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printerSettings/printerSettings1.bin" ContentType="application/vnd.openxmlformats-officedocument.spreadsheetml.printerSettings"/>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ki\AppData\Local\Microsoft\Windows\INetCache\Content.Outlook\9QGW0MR5\"/>
    </mc:Choice>
  </mc:AlternateContent>
  <xr:revisionPtr revIDLastSave="0" documentId="8_{74977399-28A4-4FB3-82A1-4DC54214F234}" xr6:coauthVersionLast="47" xr6:coauthVersionMax="47" xr10:uidLastSave="{00000000-0000-0000-0000-000000000000}"/>
  <bookViews>
    <workbookView xWindow="-120" yWindow="-120" windowWidth="29040" windowHeight="15720" tabRatio="500" firstSheet="1" activeTab="4" xr2:uid="{00000000-000D-0000-FFFF-FFFF00000000}"/>
  </bookViews>
  <sheets>
    <sheet name="Opdateringstidspunkt" sheetId="1" r:id="rId1"/>
    <sheet name="Trafikselskaber Samlet" sheetId="2" r:id="rId2"/>
    <sheet name="Samlet pr. transporttype" sheetId="12" r:id="rId3"/>
    <sheet name="BAT" sheetId="3" r:id="rId4"/>
    <sheet name="FynBus" sheetId="4" r:id="rId5"/>
    <sheet name="Cognos_Office_Connection_Cache" sheetId="5" state="hidden" r:id="rId6"/>
    <sheet name="Midttrafik " sheetId="6" r:id="rId7"/>
    <sheet name="Movia" sheetId="7" r:id="rId8"/>
    <sheet name="NT" sheetId="8" r:id="rId9"/>
    <sheet name="Sydtrafik" sheetId="9" r:id="rId10"/>
    <sheet name="PL fra KL" sheetId="10" r:id="rId11"/>
    <sheet name="Skabelon" sheetId="11" state="hidden" r:id="rId12"/>
  </sheets>
  <definedNames>
    <definedName name="ID" localSheetId="3" hidden="1">"90bc79d4-be4b-4494-80f0-445a513bb742"</definedName>
    <definedName name="ID" localSheetId="5" hidden="1">"9d7ec2f4-b411-4457-8bdb-a8058c05472d"</definedName>
    <definedName name="ID" localSheetId="4" hidden="1">"c38f1066-337a-4236-902e-2ce1f4f9dc07"</definedName>
    <definedName name="ID" localSheetId="6" hidden="1">"60ba265f-f198-4405-935c-254749b356d5"</definedName>
    <definedName name="ID" localSheetId="7" hidden="1">"5c17172c-9f19-4cab-89e7-35a04f925355"</definedName>
    <definedName name="ID" localSheetId="8" hidden="1">"f9d3cbc4-dcf3-4ee7-8c7d-1412fd6821fd"</definedName>
    <definedName name="ID" localSheetId="0" hidden="1">"1ee8b0cc-5b55-463c-a26c-2e6bc3544678"</definedName>
    <definedName name="ID" localSheetId="10" hidden="1">"2ca9cbc2-c645-4983-98ab-e12c658553d0"</definedName>
    <definedName name="ID" localSheetId="2" hidden="1">"ce5cf573-b003-4cf3-a1df-8040e395ef29"</definedName>
    <definedName name="ID" localSheetId="11" hidden="1">"173cbd96-ac82-49fc-8d93-641883ebd8a4"</definedName>
    <definedName name="ID" localSheetId="9" hidden="1">"76ff08e8-10f9-484b-bfd8-c41c725694f4"</definedName>
    <definedName name="ID" localSheetId="1" hidden="1">"0f01b64f-c30e-41bf-83bf-292d1125d44f"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C9" i="2" l="1"/>
  <c r="ED9" i="2"/>
  <c r="EE9" i="2"/>
  <c r="EF9" i="2"/>
  <c r="EG9" i="2"/>
  <c r="EH9" i="2"/>
  <c r="EI9" i="2"/>
  <c r="EJ9" i="2"/>
  <c r="EK9" i="2"/>
  <c r="EL9" i="2"/>
  <c r="EM9" i="2"/>
  <c r="EN9" i="2"/>
  <c r="EB9" i="2"/>
  <c r="W6" i="11" l="1"/>
  <c r="V6" i="11"/>
  <c r="U6" i="11"/>
  <c r="T6" i="11"/>
  <c r="S6" i="11"/>
  <c r="R6" i="11"/>
  <c r="Q6" i="11"/>
  <c r="P6" i="11"/>
  <c r="DF6" i="3"/>
  <c r="DG6" i="3"/>
  <c r="DH6" i="3"/>
  <c r="DI6" i="3"/>
  <c r="DJ6" i="3"/>
  <c r="DN6" i="12" s="1"/>
  <c r="DK6" i="3"/>
  <c r="DO6" i="12" s="1"/>
  <c r="DL6" i="3"/>
  <c r="DP6" i="12" s="1"/>
  <c r="DM6" i="3"/>
  <c r="DN6" i="3"/>
  <c r="DO6" i="3"/>
  <c r="DS6" i="12" s="1"/>
  <c r="DP6" i="3"/>
  <c r="DT6" i="12" s="1"/>
  <c r="DQ6" i="3"/>
  <c r="DU6" i="12" s="1"/>
  <c r="DR6" i="3"/>
  <c r="BZ6" i="11"/>
  <c r="O6" i="11"/>
  <c r="B20" i="2"/>
  <c r="C20" i="2"/>
  <c r="D20" i="2"/>
  <c r="E20" i="2"/>
  <c r="F20" i="2"/>
  <c r="G20" i="2"/>
  <c r="H20" i="2"/>
  <c r="I20" i="2"/>
  <c r="J20" i="2"/>
  <c r="K20" i="2"/>
  <c r="L20" i="2"/>
  <c r="M20" i="2"/>
  <c r="N20" i="2"/>
  <c r="O20" i="2"/>
  <c r="P20" i="2"/>
  <c r="Q20" i="2"/>
  <c r="R20" i="2"/>
  <c r="S20" i="2"/>
  <c r="T20" i="2"/>
  <c r="U20" i="2"/>
  <c r="V20" i="2"/>
  <c r="W20" i="2"/>
  <c r="X20" i="2"/>
  <c r="Y20" i="2"/>
  <c r="Y26" i="2" s="1"/>
  <c r="Z20" i="2"/>
  <c r="AA20" i="2"/>
  <c r="AB20" i="2"/>
  <c r="AC20" i="2"/>
  <c r="AD20" i="2"/>
  <c r="AE20" i="2"/>
  <c r="AF20" i="2"/>
  <c r="DF20" i="2" s="1"/>
  <c r="AG20" i="2"/>
  <c r="AH20" i="2"/>
  <c r="DH20" i="2" s="1"/>
  <c r="AI20" i="2"/>
  <c r="AJ20" i="2"/>
  <c r="DJ20" i="2" s="1"/>
  <c r="AK20" i="2"/>
  <c r="DK20" i="2" s="1"/>
  <c r="AL20" i="2"/>
  <c r="AM20" i="2"/>
  <c r="DM20" i="2" s="1"/>
  <c r="AN20" i="2"/>
  <c r="AO20" i="2"/>
  <c r="AP20" i="2"/>
  <c r="AQ20" i="2"/>
  <c r="AR20" i="2"/>
  <c r="AS20" i="2"/>
  <c r="AT20" i="2"/>
  <c r="AU20" i="2"/>
  <c r="AV20" i="2"/>
  <c r="AW20" i="2"/>
  <c r="AX20" i="2"/>
  <c r="AY20" i="2"/>
  <c r="AZ20" i="2"/>
  <c r="BA20" i="2"/>
  <c r="BB20" i="2"/>
  <c r="BC20" i="2"/>
  <c r="BD20" i="2"/>
  <c r="BE20" i="2"/>
  <c r="BF20" i="2"/>
  <c r="BG20" i="2"/>
  <c r="BH20" i="2"/>
  <c r="BI20" i="2"/>
  <c r="BI26" i="2" s="1"/>
  <c r="BJ20" i="2"/>
  <c r="BK20" i="2"/>
  <c r="BL20" i="2"/>
  <c r="BM20" i="2"/>
  <c r="BN20" i="2"/>
  <c r="BO20" i="2"/>
  <c r="BP20" i="2"/>
  <c r="BQ20" i="2"/>
  <c r="BR20" i="2"/>
  <c r="BS20" i="2"/>
  <c r="BT20" i="2"/>
  <c r="BU20" i="2"/>
  <c r="BV20" i="2"/>
  <c r="BW20" i="2"/>
  <c r="BX20" i="2"/>
  <c r="BY20" i="2"/>
  <c r="BZ20" i="2"/>
  <c r="CA20" i="2"/>
  <c r="CB20" i="2"/>
  <c r="DB20" i="2" s="1"/>
  <c r="CC20" i="2"/>
  <c r="DC20" i="2" s="1"/>
  <c r="CD20" i="2"/>
  <c r="CE20" i="2"/>
  <c r="CF20" i="2"/>
  <c r="CG20" i="2"/>
  <c r="DG20" i="2" s="1"/>
  <c r="CH20" i="2"/>
  <c r="CI20" i="2"/>
  <c r="DI20" i="2" s="1"/>
  <c r="CJ20" i="2"/>
  <c r="CK20" i="2"/>
  <c r="CL20" i="2"/>
  <c r="CM20" i="2"/>
  <c r="CN20" i="2"/>
  <c r="DN20" i="2" s="1"/>
  <c r="CO20" i="2"/>
  <c r="CP20" i="2"/>
  <c r="CQ20" i="2"/>
  <c r="CR20" i="2"/>
  <c r="CS20" i="2"/>
  <c r="CS26" i="2" s="1"/>
  <c r="CT20" i="2"/>
  <c r="CU20" i="2"/>
  <c r="CV20" i="2"/>
  <c r="CW20" i="2"/>
  <c r="CX20" i="2"/>
  <c r="CY20" i="2"/>
  <c r="CZ20" i="2"/>
  <c r="DA20" i="2"/>
  <c r="DD20" i="2"/>
  <c r="DE20" i="2"/>
  <c r="DL20" i="2"/>
  <c r="DO20" i="2"/>
  <c r="DP20" i="2"/>
  <c r="DQ20" i="2"/>
  <c r="DR20" i="2"/>
  <c r="DS20" i="2"/>
  <c r="DT20" i="2"/>
  <c r="DU20" i="2"/>
  <c r="DV20" i="2"/>
  <c r="DW20" i="2"/>
  <c r="DX20" i="2"/>
  <c r="DY20" i="2"/>
  <c r="DZ20" i="2"/>
  <c r="EA20" i="2"/>
  <c r="EB20" i="2"/>
  <c r="EC20" i="2"/>
  <c r="ED20" i="2"/>
  <c r="EE20" i="2"/>
  <c r="EF20" i="2"/>
  <c r="EG20" i="2"/>
  <c r="EH20" i="2"/>
  <c r="EI20" i="2"/>
  <c r="EJ20" i="2"/>
  <c r="EK20" i="2"/>
  <c r="EL20" i="2"/>
  <c r="EM20" i="2"/>
  <c r="EN20" i="2"/>
  <c r="EO20" i="2"/>
  <c r="EP20" i="2"/>
  <c r="EQ20" i="2"/>
  <c r="ER20" i="2"/>
  <c r="ES20" i="2"/>
  <c r="ET20" i="2"/>
  <c r="EU20" i="2"/>
  <c r="EV20" i="2"/>
  <c r="EW20" i="2"/>
  <c r="EX20" i="2"/>
  <c r="EY20" i="2"/>
  <c r="EZ20" i="2"/>
  <c r="FA20" i="2"/>
  <c r="B21" i="2"/>
  <c r="C21" i="2"/>
  <c r="D21" i="2"/>
  <c r="E21" i="2"/>
  <c r="F21" i="2"/>
  <c r="G21" i="2"/>
  <c r="H21" i="2"/>
  <c r="I21" i="2"/>
  <c r="J21" i="2"/>
  <c r="K21" i="2"/>
  <c r="L21" i="2"/>
  <c r="M21" i="2"/>
  <c r="N21" i="2"/>
  <c r="O21" i="2"/>
  <c r="P21" i="2"/>
  <c r="Q21" i="2"/>
  <c r="R21" i="2"/>
  <c r="S21" i="2"/>
  <c r="T21" i="2"/>
  <c r="U21" i="2"/>
  <c r="V21" i="2"/>
  <c r="W21" i="2"/>
  <c r="X21" i="2"/>
  <c r="Y21" i="2"/>
  <c r="Z21" i="2"/>
  <c r="AA21" i="2"/>
  <c r="AB21" i="2"/>
  <c r="AC21" i="2"/>
  <c r="DC21" i="2" s="1"/>
  <c r="AD21" i="2"/>
  <c r="AE21" i="2"/>
  <c r="AF21" i="2"/>
  <c r="DF21" i="2" s="1"/>
  <c r="AG21" i="2"/>
  <c r="AH21" i="2"/>
  <c r="DH21" i="2" s="1"/>
  <c r="AI21" i="2"/>
  <c r="AJ21" i="2"/>
  <c r="DJ21" i="2" s="1"/>
  <c r="AK21" i="2"/>
  <c r="DK21" i="2" s="1"/>
  <c r="AL21" i="2"/>
  <c r="AM21" i="2"/>
  <c r="DM21" i="2" s="1"/>
  <c r="AN21" i="2"/>
  <c r="AO21" i="2"/>
  <c r="AP21" i="2"/>
  <c r="AQ21" i="2"/>
  <c r="AR21" i="2"/>
  <c r="AS21" i="2"/>
  <c r="AT21" i="2"/>
  <c r="AU21" i="2"/>
  <c r="AV21" i="2"/>
  <c r="AW21" i="2"/>
  <c r="AX21" i="2"/>
  <c r="AY21" i="2"/>
  <c r="AZ21" i="2"/>
  <c r="BA21" i="2"/>
  <c r="BB21" i="2"/>
  <c r="BC21" i="2"/>
  <c r="BD21" i="2"/>
  <c r="BE21" i="2"/>
  <c r="BF21" i="2"/>
  <c r="BG21" i="2"/>
  <c r="BH21" i="2"/>
  <c r="BI21" i="2"/>
  <c r="BJ21" i="2"/>
  <c r="BK21" i="2"/>
  <c r="BL21" i="2"/>
  <c r="BM21" i="2"/>
  <c r="BN21" i="2"/>
  <c r="BO21" i="2"/>
  <c r="BP21" i="2"/>
  <c r="BQ21" i="2"/>
  <c r="BR21" i="2"/>
  <c r="BS21" i="2"/>
  <c r="BT21" i="2"/>
  <c r="BU21" i="2"/>
  <c r="BV21" i="2"/>
  <c r="BW21" i="2"/>
  <c r="BX21" i="2"/>
  <c r="BY21" i="2"/>
  <c r="BZ21" i="2"/>
  <c r="CA21" i="2"/>
  <c r="CB21" i="2"/>
  <c r="DB21" i="2" s="1"/>
  <c r="CC21" i="2"/>
  <c r="CD21" i="2"/>
  <c r="CE21" i="2"/>
  <c r="CF21" i="2"/>
  <c r="CG21" i="2"/>
  <c r="DG21" i="2" s="1"/>
  <c r="CH21" i="2"/>
  <c r="CI21" i="2"/>
  <c r="CJ21" i="2"/>
  <c r="CK21" i="2"/>
  <c r="CL21" i="2"/>
  <c r="CM21" i="2"/>
  <c r="CN21" i="2"/>
  <c r="DN21" i="2" s="1"/>
  <c r="CO21" i="2"/>
  <c r="CP21" i="2"/>
  <c r="CQ21" i="2"/>
  <c r="CR21" i="2"/>
  <c r="CS21" i="2"/>
  <c r="CT21" i="2"/>
  <c r="CU21" i="2"/>
  <c r="CV21" i="2"/>
  <c r="CW21" i="2"/>
  <c r="CX21" i="2"/>
  <c r="CY21" i="2"/>
  <c r="CZ21" i="2"/>
  <c r="DA21" i="2"/>
  <c r="DD21" i="2"/>
  <c r="DE21" i="2"/>
  <c r="DI21" i="2"/>
  <c r="DL21" i="2"/>
  <c r="DO21" i="2"/>
  <c r="DP21" i="2"/>
  <c r="DQ21" i="2"/>
  <c r="DR21" i="2"/>
  <c r="DS21" i="2"/>
  <c r="DT21" i="2"/>
  <c r="DU21" i="2"/>
  <c r="DV21" i="2"/>
  <c r="DW21" i="2"/>
  <c r="DX21" i="2"/>
  <c r="DY21" i="2"/>
  <c r="DZ21" i="2"/>
  <c r="EA21" i="2"/>
  <c r="EB21" i="2"/>
  <c r="EC21" i="2"/>
  <c r="ED21" i="2"/>
  <c r="EE21" i="2"/>
  <c r="EF21" i="2"/>
  <c r="EG21" i="2"/>
  <c r="EH21" i="2"/>
  <c r="EI21" i="2"/>
  <c r="EJ21" i="2"/>
  <c r="EK21" i="2"/>
  <c r="EL21" i="2"/>
  <c r="EM21" i="2"/>
  <c r="EN21" i="2"/>
  <c r="EO21" i="2"/>
  <c r="EP21" i="2"/>
  <c r="EQ21" i="2"/>
  <c r="EV21" i="2"/>
  <c r="EW21" i="2"/>
  <c r="EX21" i="2"/>
  <c r="EY21" i="2"/>
  <c r="EZ21" i="2"/>
  <c r="FA21" i="2"/>
  <c r="B22" i="2"/>
  <c r="C22" i="2"/>
  <c r="D22" i="2"/>
  <c r="E22" i="2"/>
  <c r="F22" i="2"/>
  <c r="G22" i="2"/>
  <c r="H22" i="2"/>
  <c r="I22" i="2"/>
  <c r="J22" i="2"/>
  <c r="K22" i="2"/>
  <c r="L22" i="2"/>
  <c r="M22" i="2"/>
  <c r="N22" i="2"/>
  <c r="O22" i="2"/>
  <c r="P22" i="2"/>
  <c r="Q22" i="2"/>
  <c r="R22" i="2"/>
  <c r="S22" i="2"/>
  <c r="T22" i="2"/>
  <c r="U22" i="2"/>
  <c r="V22" i="2"/>
  <c r="W22" i="2"/>
  <c r="X22" i="2"/>
  <c r="Y22" i="2"/>
  <c r="Z22" i="2"/>
  <c r="AA22" i="2"/>
  <c r="AB22" i="2"/>
  <c r="AC22" i="2"/>
  <c r="DC22" i="2" s="1"/>
  <c r="AD22" i="2"/>
  <c r="AE22" i="2"/>
  <c r="AF22" i="2"/>
  <c r="DF22" i="2" s="1"/>
  <c r="AG22" i="2"/>
  <c r="AH22" i="2"/>
  <c r="AI22" i="2"/>
  <c r="AJ22" i="2"/>
  <c r="DJ22" i="2" s="1"/>
  <c r="AK22" i="2"/>
  <c r="DK22" i="2" s="1"/>
  <c r="AL22" i="2"/>
  <c r="AM22" i="2"/>
  <c r="DM22" i="2" s="1"/>
  <c r="AN22" i="2"/>
  <c r="AO22" i="2"/>
  <c r="AP22" i="2"/>
  <c r="AQ22" i="2"/>
  <c r="AR22" i="2"/>
  <c r="AS22" i="2"/>
  <c r="AT22" i="2"/>
  <c r="AU22" i="2"/>
  <c r="AV22" i="2"/>
  <c r="AW22" i="2"/>
  <c r="AX22" i="2"/>
  <c r="AY22" i="2"/>
  <c r="AZ22" i="2"/>
  <c r="BA22" i="2"/>
  <c r="BB22" i="2"/>
  <c r="BC22" i="2"/>
  <c r="BD22" i="2"/>
  <c r="BE22" i="2"/>
  <c r="BF22" i="2"/>
  <c r="BG22" i="2"/>
  <c r="BH22" i="2"/>
  <c r="BI22" i="2"/>
  <c r="BJ22" i="2"/>
  <c r="BK22" i="2"/>
  <c r="BL22" i="2"/>
  <c r="BM22" i="2"/>
  <c r="BN22" i="2"/>
  <c r="BO22" i="2"/>
  <c r="BP22" i="2"/>
  <c r="BQ22" i="2"/>
  <c r="BR22" i="2"/>
  <c r="BS22" i="2"/>
  <c r="BT22" i="2"/>
  <c r="BU22" i="2"/>
  <c r="BV22" i="2"/>
  <c r="BW22" i="2"/>
  <c r="BX22" i="2"/>
  <c r="BY22" i="2"/>
  <c r="BZ22" i="2"/>
  <c r="CA22" i="2"/>
  <c r="CB22" i="2"/>
  <c r="DB22" i="2" s="1"/>
  <c r="CC22" i="2"/>
  <c r="CD22" i="2"/>
  <c r="CE22" i="2"/>
  <c r="CF22" i="2"/>
  <c r="CG22" i="2"/>
  <c r="DG22" i="2" s="1"/>
  <c r="CH22" i="2"/>
  <c r="CI22" i="2"/>
  <c r="CJ22" i="2"/>
  <c r="CK22" i="2"/>
  <c r="CL22" i="2"/>
  <c r="CM22" i="2"/>
  <c r="CN22" i="2"/>
  <c r="DN22" i="2" s="1"/>
  <c r="CO22" i="2"/>
  <c r="CP22" i="2"/>
  <c r="CQ22" i="2"/>
  <c r="CR22" i="2"/>
  <c r="CS22" i="2"/>
  <c r="CT22" i="2"/>
  <c r="CU22" i="2"/>
  <c r="CV22" i="2"/>
  <c r="CW22" i="2"/>
  <c r="CX22" i="2"/>
  <c r="CY22" i="2"/>
  <c r="CZ22" i="2"/>
  <c r="DA22" i="2"/>
  <c r="DD22" i="2"/>
  <c r="DE22" i="2"/>
  <c r="DH22" i="2"/>
  <c r="DI22" i="2"/>
  <c r="DL22" i="2"/>
  <c r="DO22" i="2"/>
  <c r="DP22" i="2"/>
  <c r="DQ22" i="2"/>
  <c r="DR22" i="2"/>
  <c r="DS22" i="2"/>
  <c r="DT22" i="2"/>
  <c r="DU22" i="2"/>
  <c r="DV22" i="2"/>
  <c r="DW22" i="2"/>
  <c r="DX22" i="2"/>
  <c r="DY22" i="2"/>
  <c r="DZ22" i="2"/>
  <c r="EA22" i="2"/>
  <c r="EB22" i="2"/>
  <c r="EC22" i="2"/>
  <c r="ED22" i="2"/>
  <c r="EE22" i="2"/>
  <c r="EF22" i="2"/>
  <c r="EG22" i="2"/>
  <c r="EH22" i="2"/>
  <c r="EI22" i="2"/>
  <c r="EJ22" i="2"/>
  <c r="EK22" i="2"/>
  <c r="EL22" i="2"/>
  <c r="EM22" i="2"/>
  <c r="EN22" i="2"/>
  <c r="EO22" i="2"/>
  <c r="EP22" i="2"/>
  <c r="EQ22" i="2"/>
  <c r="ER22" i="2"/>
  <c r="ES22" i="2"/>
  <c r="ET22" i="2"/>
  <c r="EU22" i="2"/>
  <c r="EV22" i="2"/>
  <c r="EW22" i="2"/>
  <c r="EX22" i="2"/>
  <c r="EY22" i="2"/>
  <c r="EZ22" i="2"/>
  <c r="FA22" i="2"/>
  <c r="B23" i="2"/>
  <c r="C23" i="2"/>
  <c r="D23" i="2"/>
  <c r="E23" i="2"/>
  <c r="F23" i="2"/>
  <c r="G23" i="2"/>
  <c r="H23" i="2"/>
  <c r="I23" i="2"/>
  <c r="J23" i="2"/>
  <c r="K23" i="2"/>
  <c r="L23" i="2"/>
  <c r="M23" i="2"/>
  <c r="N23" i="2"/>
  <c r="O23" i="2"/>
  <c r="P23" i="2"/>
  <c r="Q23" i="2"/>
  <c r="R23" i="2"/>
  <c r="S23" i="2"/>
  <c r="T23" i="2"/>
  <c r="U23" i="2"/>
  <c r="V23" i="2"/>
  <c r="W23" i="2"/>
  <c r="X23" i="2"/>
  <c r="Y23" i="2"/>
  <c r="Z23" i="2"/>
  <c r="AA23" i="2"/>
  <c r="AB23" i="2"/>
  <c r="AC23" i="2"/>
  <c r="DC23" i="2" s="1"/>
  <c r="AD23" i="2"/>
  <c r="AE23" i="2"/>
  <c r="AF23" i="2"/>
  <c r="DF23" i="2" s="1"/>
  <c r="AG23" i="2"/>
  <c r="AH23" i="2"/>
  <c r="AI23" i="2"/>
  <c r="AJ23" i="2"/>
  <c r="DJ23" i="2" s="1"/>
  <c r="AK23" i="2"/>
  <c r="DK23" i="2" s="1"/>
  <c r="AL23" i="2"/>
  <c r="AM23" i="2"/>
  <c r="DM23" i="2" s="1"/>
  <c r="AN23" i="2"/>
  <c r="AO23" i="2"/>
  <c r="AP23" i="2"/>
  <c r="AQ23" i="2"/>
  <c r="AR23" i="2"/>
  <c r="AS23" i="2"/>
  <c r="AT23" i="2"/>
  <c r="AU23" i="2"/>
  <c r="AV23" i="2"/>
  <c r="AW23" i="2"/>
  <c r="AX23" i="2"/>
  <c r="AY23" i="2"/>
  <c r="AZ23" i="2"/>
  <c r="BA23" i="2"/>
  <c r="BB23" i="2"/>
  <c r="BC23" i="2"/>
  <c r="BD23" i="2"/>
  <c r="BE23" i="2"/>
  <c r="BF23" i="2"/>
  <c r="BG23" i="2"/>
  <c r="BH23" i="2"/>
  <c r="BI23" i="2"/>
  <c r="BJ23" i="2"/>
  <c r="BK23" i="2"/>
  <c r="BL23" i="2"/>
  <c r="BM23" i="2"/>
  <c r="BN23" i="2"/>
  <c r="BO23" i="2"/>
  <c r="BP23" i="2"/>
  <c r="BQ23" i="2"/>
  <c r="BR23" i="2"/>
  <c r="BS23" i="2"/>
  <c r="BT23" i="2"/>
  <c r="BU23" i="2"/>
  <c r="BV23" i="2"/>
  <c r="BW23" i="2"/>
  <c r="BX23" i="2"/>
  <c r="BY23" i="2"/>
  <c r="BZ23" i="2"/>
  <c r="CA23" i="2"/>
  <c r="CB23" i="2"/>
  <c r="DB23" i="2" s="1"/>
  <c r="CC23" i="2"/>
  <c r="CD23" i="2"/>
  <c r="CE23" i="2"/>
  <c r="CF23" i="2"/>
  <c r="CG23" i="2"/>
  <c r="DG23" i="2" s="1"/>
  <c r="CH23" i="2"/>
  <c r="CI23" i="2"/>
  <c r="CJ23" i="2"/>
  <c r="CK23" i="2"/>
  <c r="CL23" i="2"/>
  <c r="CM23" i="2"/>
  <c r="CN23" i="2"/>
  <c r="DN23" i="2" s="1"/>
  <c r="CO23" i="2"/>
  <c r="CP23" i="2"/>
  <c r="CQ23" i="2"/>
  <c r="CR23" i="2"/>
  <c r="CS23" i="2"/>
  <c r="CT23" i="2"/>
  <c r="CU23" i="2"/>
  <c r="CV23" i="2"/>
  <c r="CW23" i="2"/>
  <c r="CX23" i="2"/>
  <c r="CY23" i="2"/>
  <c r="CZ23" i="2"/>
  <c r="DA23" i="2"/>
  <c r="DD23" i="2"/>
  <c r="DE23" i="2"/>
  <c r="DH23" i="2"/>
  <c r="DI23" i="2"/>
  <c r="DL23" i="2"/>
  <c r="DO23" i="2"/>
  <c r="DP23" i="2"/>
  <c r="DQ23" i="2"/>
  <c r="DR23" i="2"/>
  <c r="DS23" i="2"/>
  <c r="DT23" i="2"/>
  <c r="DU23" i="2"/>
  <c r="DV23" i="2"/>
  <c r="DW23" i="2"/>
  <c r="DX23" i="2"/>
  <c r="DY23" i="2"/>
  <c r="DZ23" i="2"/>
  <c r="EA23" i="2"/>
  <c r="EB23" i="2"/>
  <c r="EC23" i="2"/>
  <c r="ED23" i="2"/>
  <c r="EE23" i="2"/>
  <c r="EF23" i="2"/>
  <c r="EG23" i="2"/>
  <c r="EH23" i="2"/>
  <c r="EI23" i="2"/>
  <c r="EJ23" i="2"/>
  <c r="EK23" i="2"/>
  <c r="EL23" i="2"/>
  <c r="EM23" i="2"/>
  <c r="EN23" i="2"/>
  <c r="EO23" i="2"/>
  <c r="EP23" i="2"/>
  <c r="EQ23" i="2"/>
  <c r="ER23" i="2"/>
  <c r="ES23" i="2"/>
  <c r="ET23" i="2"/>
  <c r="EU23" i="2"/>
  <c r="EV23" i="2"/>
  <c r="EW23" i="2"/>
  <c r="EX23" i="2"/>
  <c r="EY23" i="2"/>
  <c r="EZ23" i="2"/>
  <c r="FA23" i="2"/>
  <c r="B24" i="2"/>
  <c r="C24" i="2"/>
  <c r="D24" i="2"/>
  <c r="E24" i="2"/>
  <c r="F24" i="2"/>
  <c r="G24" i="2"/>
  <c r="H24" i="2"/>
  <c r="I24" i="2"/>
  <c r="J24" i="2"/>
  <c r="K24" i="2"/>
  <c r="L24" i="2"/>
  <c r="M24" i="2"/>
  <c r="N24" i="2"/>
  <c r="O24" i="2"/>
  <c r="P24" i="2"/>
  <c r="Q24" i="2"/>
  <c r="R24" i="2"/>
  <c r="S24" i="2"/>
  <c r="T24" i="2"/>
  <c r="U24" i="2"/>
  <c r="V24" i="2"/>
  <c r="W24" i="2"/>
  <c r="X24" i="2"/>
  <c r="Y24" i="2"/>
  <c r="Z24" i="2"/>
  <c r="AA24" i="2"/>
  <c r="AB24" i="2"/>
  <c r="AC24" i="2"/>
  <c r="DC24" i="2" s="1"/>
  <c r="AD24" i="2"/>
  <c r="AE24" i="2"/>
  <c r="AF24" i="2"/>
  <c r="DF24" i="2" s="1"/>
  <c r="AG24" i="2"/>
  <c r="AH24" i="2"/>
  <c r="AI24" i="2"/>
  <c r="AJ24" i="2"/>
  <c r="DJ24" i="2" s="1"/>
  <c r="AK24" i="2"/>
  <c r="DK24" i="2" s="1"/>
  <c r="AL24" i="2"/>
  <c r="AM24" i="2"/>
  <c r="DM24" i="2" s="1"/>
  <c r="AN24" i="2"/>
  <c r="AO24" i="2"/>
  <c r="AP24" i="2"/>
  <c r="AQ24" i="2"/>
  <c r="AR24" i="2"/>
  <c r="AS24" i="2"/>
  <c r="AT24" i="2"/>
  <c r="AU24" i="2"/>
  <c r="AV24" i="2"/>
  <c r="AW24" i="2"/>
  <c r="AX24" i="2"/>
  <c r="AY24" i="2"/>
  <c r="AZ24" i="2"/>
  <c r="BA24" i="2"/>
  <c r="BB24" i="2"/>
  <c r="BC24" i="2"/>
  <c r="BD24" i="2"/>
  <c r="BE24" i="2"/>
  <c r="BF24" i="2"/>
  <c r="BG24" i="2"/>
  <c r="BH24" i="2"/>
  <c r="BI24" i="2"/>
  <c r="BJ24" i="2"/>
  <c r="BK24" i="2"/>
  <c r="BL24" i="2"/>
  <c r="BM24" i="2"/>
  <c r="BN24" i="2"/>
  <c r="BO24" i="2"/>
  <c r="BP24" i="2"/>
  <c r="BQ24" i="2"/>
  <c r="BR24" i="2"/>
  <c r="BS24" i="2"/>
  <c r="BT24" i="2"/>
  <c r="BU24" i="2"/>
  <c r="BV24" i="2"/>
  <c r="BW24" i="2"/>
  <c r="BX24" i="2"/>
  <c r="BY24" i="2"/>
  <c r="BZ24" i="2"/>
  <c r="CA24" i="2"/>
  <c r="CB24" i="2"/>
  <c r="DB24" i="2" s="1"/>
  <c r="CC24" i="2"/>
  <c r="CD24" i="2"/>
  <c r="CE24" i="2"/>
  <c r="CF24" i="2"/>
  <c r="CG24" i="2"/>
  <c r="DG24" i="2" s="1"/>
  <c r="CH24" i="2"/>
  <c r="CI24" i="2"/>
  <c r="CJ24" i="2"/>
  <c r="CK24" i="2"/>
  <c r="CL24" i="2"/>
  <c r="CM24" i="2"/>
  <c r="CN24" i="2"/>
  <c r="DN24" i="2" s="1"/>
  <c r="CO24" i="2"/>
  <c r="CP24" i="2"/>
  <c r="CQ24" i="2"/>
  <c r="CR24" i="2"/>
  <c r="CS24" i="2"/>
  <c r="CT24" i="2"/>
  <c r="CU24" i="2"/>
  <c r="CV24" i="2"/>
  <c r="CW24" i="2"/>
  <c r="CX24" i="2"/>
  <c r="CY24" i="2"/>
  <c r="CZ24" i="2"/>
  <c r="DA24" i="2"/>
  <c r="DD24" i="2"/>
  <c r="DE24" i="2"/>
  <c r="DH24" i="2"/>
  <c r="DI24" i="2"/>
  <c r="DL24" i="2"/>
  <c r="DO24" i="2"/>
  <c r="DP24" i="2"/>
  <c r="DQ24" i="2"/>
  <c r="DR24" i="2"/>
  <c r="DS24" i="2"/>
  <c r="DT24" i="2"/>
  <c r="DU24" i="2"/>
  <c r="DV24" i="2"/>
  <c r="DW24" i="2"/>
  <c r="DX24" i="2"/>
  <c r="DY24" i="2"/>
  <c r="DZ24" i="2"/>
  <c r="EA24" i="2"/>
  <c r="EB24" i="2"/>
  <c r="EC24" i="2"/>
  <c r="ED24" i="2"/>
  <c r="EE24" i="2"/>
  <c r="EF24" i="2"/>
  <c r="EG24" i="2"/>
  <c r="EH24" i="2"/>
  <c r="EI24" i="2"/>
  <c r="EJ24" i="2"/>
  <c r="EK24" i="2"/>
  <c r="EL24" i="2"/>
  <c r="EM24" i="2"/>
  <c r="EN24" i="2"/>
  <c r="EO24" i="2"/>
  <c r="EP24" i="2"/>
  <c r="EQ24" i="2"/>
  <c r="ER24" i="2"/>
  <c r="ES24" i="2"/>
  <c r="ET24" i="2"/>
  <c r="EU24" i="2"/>
  <c r="EV24" i="2"/>
  <c r="EW24" i="2"/>
  <c r="EX24" i="2"/>
  <c r="EY24" i="2"/>
  <c r="EZ24" i="2"/>
  <c r="FA24" i="2"/>
  <c r="B25" i="2"/>
  <c r="C25" i="2"/>
  <c r="D25" i="2"/>
  <c r="E25" i="2"/>
  <c r="F25" i="2"/>
  <c r="G25" i="2"/>
  <c r="H25" i="2"/>
  <c r="I25" i="2"/>
  <c r="J25" i="2"/>
  <c r="K25" i="2"/>
  <c r="L25" i="2"/>
  <c r="M25" i="2"/>
  <c r="N25" i="2"/>
  <c r="O25" i="2"/>
  <c r="P25" i="2"/>
  <c r="Q25" i="2"/>
  <c r="R25" i="2"/>
  <c r="S25" i="2"/>
  <c r="T25" i="2"/>
  <c r="U25" i="2"/>
  <c r="V25" i="2"/>
  <c r="W25" i="2"/>
  <c r="X25" i="2"/>
  <c r="Y25" i="2"/>
  <c r="Z25" i="2"/>
  <c r="AA25" i="2"/>
  <c r="AB25" i="2"/>
  <c r="AC25" i="2"/>
  <c r="DC25" i="2" s="1"/>
  <c r="AD25" i="2"/>
  <c r="AE25" i="2"/>
  <c r="AF25" i="2"/>
  <c r="DF25" i="2" s="1"/>
  <c r="AG25" i="2"/>
  <c r="AH25" i="2"/>
  <c r="AI25" i="2"/>
  <c r="AJ25" i="2"/>
  <c r="DJ25" i="2" s="1"/>
  <c r="AK25" i="2"/>
  <c r="DK25" i="2" s="1"/>
  <c r="AL25" i="2"/>
  <c r="AM25" i="2"/>
  <c r="DM25" i="2" s="1"/>
  <c r="AN25" i="2"/>
  <c r="AO25" i="2"/>
  <c r="AP25" i="2"/>
  <c r="AQ25" i="2"/>
  <c r="AR25" i="2"/>
  <c r="AS25" i="2"/>
  <c r="AT25" i="2"/>
  <c r="AU25" i="2"/>
  <c r="AV25" i="2"/>
  <c r="AW25" i="2"/>
  <c r="AX25" i="2"/>
  <c r="AY25" i="2"/>
  <c r="AZ25" i="2"/>
  <c r="BA25" i="2"/>
  <c r="BB25" i="2"/>
  <c r="BC25" i="2"/>
  <c r="BD25" i="2"/>
  <c r="BE25" i="2"/>
  <c r="BF25" i="2"/>
  <c r="BG25" i="2"/>
  <c r="BH25" i="2"/>
  <c r="BI25" i="2"/>
  <c r="BJ25" i="2"/>
  <c r="BK25" i="2"/>
  <c r="BL25" i="2"/>
  <c r="BM25" i="2"/>
  <c r="BN25" i="2"/>
  <c r="BO25" i="2"/>
  <c r="BP25" i="2"/>
  <c r="BQ25" i="2"/>
  <c r="BR25" i="2"/>
  <c r="BS25" i="2"/>
  <c r="BT25" i="2"/>
  <c r="BU25" i="2"/>
  <c r="BV25" i="2"/>
  <c r="BW25" i="2"/>
  <c r="BX25" i="2"/>
  <c r="BY25" i="2"/>
  <c r="BZ25" i="2"/>
  <c r="CA25" i="2"/>
  <c r="CB25" i="2"/>
  <c r="DB25" i="2" s="1"/>
  <c r="CC25" i="2"/>
  <c r="CD25" i="2"/>
  <c r="CE25" i="2"/>
  <c r="CF25" i="2"/>
  <c r="CG25" i="2"/>
  <c r="DG25" i="2" s="1"/>
  <c r="CH25" i="2"/>
  <c r="CI25" i="2"/>
  <c r="CJ25" i="2"/>
  <c r="CK25" i="2"/>
  <c r="CL25" i="2"/>
  <c r="CM25" i="2"/>
  <c r="CN25" i="2"/>
  <c r="DN25" i="2" s="1"/>
  <c r="CO25" i="2"/>
  <c r="CP25" i="2"/>
  <c r="CQ25" i="2"/>
  <c r="CR25" i="2"/>
  <c r="CS25" i="2"/>
  <c r="CT25" i="2"/>
  <c r="CU25" i="2"/>
  <c r="CV25" i="2"/>
  <c r="CW25" i="2"/>
  <c r="CX25" i="2"/>
  <c r="CY25" i="2"/>
  <c r="CZ25" i="2"/>
  <c r="DA25" i="2"/>
  <c r="DD25" i="2"/>
  <c r="DE25" i="2"/>
  <c r="DH25" i="2"/>
  <c r="DI25" i="2"/>
  <c r="DL25" i="2"/>
  <c r="DO25" i="2"/>
  <c r="DP25" i="2"/>
  <c r="DQ25" i="2"/>
  <c r="DR25" i="2"/>
  <c r="DS25" i="2"/>
  <c r="DT25" i="2"/>
  <c r="DU25" i="2"/>
  <c r="DV25" i="2"/>
  <c r="DW25" i="2"/>
  <c r="DX25" i="2"/>
  <c r="DY25" i="2"/>
  <c r="DZ25" i="2"/>
  <c r="EA25" i="2"/>
  <c r="EB25" i="2"/>
  <c r="EC25" i="2"/>
  <c r="ED25" i="2"/>
  <c r="EE25" i="2"/>
  <c r="EF25" i="2"/>
  <c r="EG25" i="2"/>
  <c r="EH25" i="2"/>
  <c r="EI25" i="2"/>
  <c r="EJ25" i="2"/>
  <c r="EK25" i="2"/>
  <c r="EL25" i="2"/>
  <c r="EM25" i="2"/>
  <c r="EN25" i="2"/>
  <c r="EO25" i="2"/>
  <c r="EP25" i="2"/>
  <c r="EQ25" i="2"/>
  <c r="ER25" i="2"/>
  <c r="ES25" i="2"/>
  <c r="ET25" i="2"/>
  <c r="EU25" i="2"/>
  <c r="EV25" i="2"/>
  <c r="EW25" i="2"/>
  <c r="EX25" i="2"/>
  <c r="EY25" i="2"/>
  <c r="EZ25" i="2"/>
  <c r="FA25" i="2"/>
  <c r="B26" i="2"/>
  <c r="C26" i="2"/>
  <c r="D26" i="2"/>
  <c r="E26" i="2"/>
  <c r="F26" i="2"/>
  <c r="G26" i="2"/>
  <c r="H26" i="2"/>
  <c r="I26" i="2"/>
  <c r="J26" i="2"/>
  <c r="K26" i="2"/>
  <c r="L26" i="2"/>
  <c r="M26" i="2"/>
  <c r="N26" i="2"/>
  <c r="O26" i="2"/>
  <c r="P26" i="2"/>
  <c r="Q26" i="2"/>
  <c r="R26" i="2"/>
  <c r="S26" i="2"/>
  <c r="T26" i="2"/>
  <c r="U26" i="2"/>
  <c r="V26" i="2"/>
  <c r="W26" i="2"/>
  <c r="X26" i="2"/>
  <c r="Z26" i="2"/>
  <c r="AA26" i="2"/>
  <c r="AB26" i="2"/>
  <c r="AC26" i="2"/>
  <c r="AD26" i="2"/>
  <c r="AE26" i="2"/>
  <c r="AF26" i="2"/>
  <c r="AG26" i="2"/>
  <c r="AH26" i="2"/>
  <c r="AI26" i="2"/>
  <c r="AJ26" i="2"/>
  <c r="DJ26" i="2" s="1"/>
  <c r="AK26" i="2"/>
  <c r="DK26" i="2" s="1"/>
  <c r="AL26" i="2"/>
  <c r="AM26" i="2"/>
  <c r="AN26" i="2"/>
  <c r="AO26" i="2"/>
  <c r="AP26" i="2"/>
  <c r="AQ26" i="2"/>
  <c r="AR26" i="2"/>
  <c r="AS26" i="2"/>
  <c r="AT26" i="2"/>
  <c r="AU26" i="2"/>
  <c r="AV26" i="2"/>
  <c r="AW26" i="2"/>
  <c r="AX26" i="2"/>
  <c r="AY26" i="2"/>
  <c r="AZ26" i="2"/>
  <c r="BA26" i="2"/>
  <c r="BB26" i="2"/>
  <c r="BC26" i="2"/>
  <c r="BD26" i="2"/>
  <c r="BE26" i="2"/>
  <c r="BF26" i="2"/>
  <c r="BG26" i="2"/>
  <c r="BH26" i="2"/>
  <c r="BJ26" i="2"/>
  <c r="BK26" i="2"/>
  <c r="BL26" i="2"/>
  <c r="BM26" i="2"/>
  <c r="BN26" i="2"/>
  <c r="BO26" i="2"/>
  <c r="BP26" i="2"/>
  <c r="BQ26" i="2"/>
  <c r="BR26" i="2"/>
  <c r="BS26" i="2"/>
  <c r="BT26" i="2"/>
  <c r="BU26" i="2"/>
  <c r="BV26" i="2"/>
  <c r="BW26" i="2"/>
  <c r="BX26" i="2"/>
  <c r="BY26" i="2"/>
  <c r="BZ26" i="2"/>
  <c r="CA26" i="2"/>
  <c r="CB26" i="2"/>
  <c r="CC26" i="2"/>
  <c r="CD26" i="2"/>
  <c r="CE26" i="2"/>
  <c r="CF26" i="2"/>
  <c r="DF26" i="2" s="1"/>
  <c r="CH26" i="2"/>
  <c r="CI26" i="2"/>
  <c r="CJ26" i="2"/>
  <c r="CK26" i="2"/>
  <c r="CL26" i="2"/>
  <c r="DL26" i="2" s="1"/>
  <c r="CM26" i="2"/>
  <c r="CN26" i="2"/>
  <c r="CO26" i="2"/>
  <c r="CP26" i="2"/>
  <c r="CQ26" i="2"/>
  <c r="CR26" i="2"/>
  <c r="CT26" i="2"/>
  <c r="CU26" i="2"/>
  <c r="CV26" i="2"/>
  <c r="CW26" i="2"/>
  <c r="CX26" i="2"/>
  <c r="CY26" i="2"/>
  <c r="CZ26" i="2"/>
  <c r="DA26" i="2"/>
  <c r="DB26" i="2"/>
  <c r="DC26" i="2"/>
  <c r="DD26" i="2"/>
  <c r="DE26" i="2"/>
  <c r="DH26" i="2"/>
  <c r="DI26" i="2"/>
  <c r="DM26" i="2"/>
  <c r="DN26" i="2"/>
  <c r="DO26" i="2"/>
  <c r="DP26" i="2"/>
  <c r="DQ26" i="2"/>
  <c r="DR26" i="2"/>
  <c r="DS26" i="2"/>
  <c r="DT26" i="2"/>
  <c r="DU26" i="2"/>
  <c r="DV26" i="2"/>
  <c r="DW26" i="2"/>
  <c r="DX26" i="2"/>
  <c r="DY26" i="2"/>
  <c r="DZ26" i="2"/>
  <c r="EA26" i="2"/>
  <c r="EP26" i="2"/>
  <c r="EQ26" i="2"/>
  <c r="EV26" i="2"/>
  <c r="EW26" i="2"/>
  <c r="EX26" i="2"/>
  <c r="EY26" i="2"/>
  <c r="EZ26" i="2"/>
  <c r="FA26" i="2"/>
  <c r="GP30" i="12"/>
  <c r="GQ30" i="12"/>
  <c r="GR30" i="12"/>
  <c r="GW30" i="12"/>
  <c r="GX30" i="12"/>
  <c r="GZ30" i="12"/>
  <c r="GP29" i="12"/>
  <c r="GQ29" i="12"/>
  <c r="GR29" i="12"/>
  <c r="GS29" i="12"/>
  <c r="GT29" i="12"/>
  <c r="GU29" i="12"/>
  <c r="GV29" i="12"/>
  <c r="GW29" i="12"/>
  <c r="GX29" i="12"/>
  <c r="GY29" i="12"/>
  <c r="GZ29" i="12"/>
  <c r="HA29" i="12"/>
  <c r="HB29" i="12"/>
  <c r="GP28" i="12"/>
  <c r="GQ28" i="12"/>
  <c r="GR28" i="12"/>
  <c r="GS28" i="12"/>
  <c r="GT28" i="12"/>
  <c r="GU28" i="12"/>
  <c r="GV28" i="12"/>
  <c r="GW28" i="12"/>
  <c r="GX28" i="12"/>
  <c r="GY28" i="12"/>
  <c r="GZ28" i="12"/>
  <c r="HA28" i="12"/>
  <c r="HB28" i="12"/>
  <c r="GP27" i="12"/>
  <c r="GQ27" i="12"/>
  <c r="GR27" i="12"/>
  <c r="GS27" i="12"/>
  <c r="GT27" i="12"/>
  <c r="GU27" i="12"/>
  <c r="GV27" i="12"/>
  <c r="GW27" i="12"/>
  <c r="GX27" i="12"/>
  <c r="GZ27" i="12"/>
  <c r="HB27" i="12"/>
  <c r="GP26" i="12"/>
  <c r="GQ26" i="12"/>
  <c r="GR26" i="12"/>
  <c r="GS26" i="12"/>
  <c r="GT26" i="12"/>
  <c r="GU26" i="12"/>
  <c r="GV26" i="12"/>
  <c r="GW26" i="12"/>
  <c r="GX26" i="12"/>
  <c r="GY26" i="12"/>
  <c r="GZ26" i="12"/>
  <c r="HA26" i="12"/>
  <c r="HB26" i="12"/>
  <c r="GP25" i="12"/>
  <c r="GQ25" i="12"/>
  <c r="GR25" i="12"/>
  <c r="GW25" i="12"/>
  <c r="GX25" i="12"/>
  <c r="GY25" i="12"/>
  <c r="GZ25" i="12"/>
  <c r="HA25" i="12"/>
  <c r="HB25" i="12"/>
  <c r="GP24" i="12"/>
  <c r="GQ24" i="12"/>
  <c r="GR24" i="12"/>
  <c r="GS24" i="12"/>
  <c r="GT24" i="12"/>
  <c r="GU24" i="12"/>
  <c r="GV24" i="12"/>
  <c r="GW24" i="12"/>
  <c r="GX24" i="12"/>
  <c r="GY24" i="12"/>
  <c r="GZ24" i="12"/>
  <c r="HA24" i="12"/>
  <c r="HB24" i="12"/>
  <c r="GP21" i="12"/>
  <c r="GQ21" i="12"/>
  <c r="GR21" i="12"/>
  <c r="GS21" i="12"/>
  <c r="GT21" i="12"/>
  <c r="GU21" i="12"/>
  <c r="GV21" i="12"/>
  <c r="GW21" i="12"/>
  <c r="GX21" i="12"/>
  <c r="GZ21" i="12"/>
  <c r="GP20" i="12"/>
  <c r="GQ20" i="12"/>
  <c r="GR20" i="12"/>
  <c r="GS20" i="12"/>
  <c r="GT20" i="12"/>
  <c r="GU20" i="12"/>
  <c r="GV20" i="12"/>
  <c r="GW20" i="12"/>
  <c r="GX20" i="12"/>
  <c r="GY20" i="12"/>
  <c r="GZ20" i="12"/>
  <c r="HA20" i="12"/>
  <c r="HB20" i="12"/>
  <c r="GP19" i="12"/>
  <c r="GQ19" i="12"/>
  <c r="GR19" i="12"/>
  <c r="GS19" i="12"/>
  <c r="GT19" i="12"/>
  <c r="GU19" i="12"/>
  <c r="GV19" i="12"/>
  <c r="GW19" i="12"/>
  <c r="GX19" i="12"/>
  <c r="GY19" i="12"/>
  <c r="GZ19" i="12"/>
  <c r="HA19" i="12"/>
  <c r="HB19" i="12"/>
  <c r="GP18" i="12"/>
  <c r="GQ18" i="12"/>
  <c r="GR18" i="12"/>
  <c r="GS18" i="12"/>
  <c r="GT18" i="12"/>
  <c r="GU18" i="12"/>
  <c r="GV18" i="12"/>
  <c r="GW18" i="12"/>
  <c r="GX18" i="12"/>
  <c r="GZ18" i="12"/>
  <c r="GP17" i="12"/>
  <c r="GQ17" i="12"/>
  <c r="GR17" i="12"/>
  <c r="GS17" i="12"/>
  <c r="GT17" i="12"/>
  <c r="GU17" i="12"/>
  <c r="GV17" i="12"/>
  <c r="GW17" i="12"/>
  <c r="GX17" i="12"/>
  <c r="GY17" i="12"/>
  <c r="GZ17" i="12"/>
  <c r="HA17" i="12"/>
  <c r="HB17" i="12"/>
  <c r="GP16" i="12"/>
  <c r="GQ16" i="12"/>
  <c r="GR16" i="12"/>
  <c r="GS16" i="12"/>
  <c r="GT16" i="12"/>
  <c r="GU16" i="12"/>
  <c r="GV16" i="12"/>
  <c r="GW16" i="12"/>
  <c r="GX16" i="12"/>
  <c r="GY16" i="12"/>
  <c r="GZ16" i="12"/>
  <c r="HA16" i="12"/>
  <c r="HB16" i="12"/>
  <c r="GP15" i="12"/>
  <c r="GQ15" i="12"/>
  <c r="GR15" i="12"/>
  <c r="GS15" i="12"/>
  <c r="GT15" i="12"/>
  <c r="GU15" i="12"/>
  <c r="GV15" i="12"/>
  <c r="GW15" i="12"/>
  <c r="GX15" i="12"/>
  <c r="GY15" i="12"/>
  <c r="GZ15" i="12"/>
  <c r="HA15" i="12"/>
  <c r="HB15" i="12"/>
  <c r="GP12" i="12"/>
  <c r="GQ12" i="12"/>
  <c r="GR12" i="12"/>
  <c r="GS12" i="12"/>
  <c r="GT12" i="12"/>
  <c r="GU12" i="12"/>
  <c r="GV12" i="12"/>
  <c r="GW12" i="12"/>
  <c r="GX12" i="12"/>
  <c r="GZ12" i="12"/>
  <c r="GP11" i="12"/>
  <c r="GQ11" i="12"/>
  <c r="GR11" i="12"/>
  <c r="GS11" i="12"/>
  <c r="GT11" i="12"/>
  <c r="GU11" i="12"/>
  <c r="GV11" i="12"/>
  <c r="GW11" i="12"/>
  <c r="GX11" i="12"/>
  <c r="GY11" i="12"/>
  <c r="GZ11" i="12"/>
  <c r="HA11" i="12"/>
  <c r="HB11" i="12"/>
  <c r="GP10" i="12"/>
  <c r="GQ10" i="12"/>
  <c r="GR10" i="12"/>
  <c r="GS10" i="12"/>
  <c r="GT10" i="12"/>
  <c r="GU10" i="12"/>
  <c r="GV10" i="12"/>
  <c r="GW10" i="12"/>
  <c r="GX10" i="12"/>
  <c r="GY10" i="12"/>
  <c r="GZ10" i="12"/>
  <c r="HA10" i="12"/>
  <c r="HB10" i="12"/>
  <c r="GP9" i="12"/>
  <c r="GQ9" i="12"/>
  <c r="GR9" i="12"/>
  <c r="GS9" i="12"/>
  <c r="GT9" i="12"/>
  <c r="GU9" i="12"/>
  <c r="GV9" i="12"/>
  <c r="GW9" i="12"/>
  <c r="GX9" i="12"/>
  <c r="GZ9" i="12"/>
  <c r="GP8" i="12"/>
  <c r="GQ8" i="12"/>
  <c r="GR8" i="12"/>
  <c r="GS8" i="12"/>
  <c r="GT8" i="12"/>
  <c r="GU8" i="12"/>
  <c r="GV8" i="12"/>
  <c r="GW8" i="12"/>
  <c r="GX8" i="12"/>
  <c r="GY8" i="12"/>
  <c r="GZ8" i="12"/>
  <c r="HA8" i="12"/>
  <c r="HB8" i="12"/>
  <c r="GP7" i="12"/>
  <c r="GQ7" i="12"/>
  <c r="GR7" i="12"/>
  <c r="GS7" i="12"/>
  <c r="GT7" i="12"/>
  <c r="GU7" i="12"/>
  <c r="GV7" i="12"/>
  <c r="GW7" i="12"/>
  <c r="GX7" i="12"/>
  <c r="GY7" i="12"/>
  <c r="GZ7" i="12"/>
  <c r="HA7" i="12"/>
  <c r="HB7" i="12"/>
  <c r="GP6" i="12"/>
  <c r="GQ6" i="12"/>
  <c r="GR6" i="12"/>
  <c r="GS6" i="12"/>
  <c r="GT6" i="12"/>
  <c r="GU6" i="12"/>
  <c r="GV6" i="12"/>
  <c r="GW6" i="12"/>
  <c r="GX6" i="12"/>
  <c r="GY6" i="12"/>
  <c r="GZ6" i="12"/>
  <c r="HA6" i="12"/>
  <c r="HB6" i="12"/>
  <c r="GC25" i="12"/>
  <c r="GN24" i="12"/>
  <c r="GE8" i="12"/>
  <c r="L15" i="2"/>
  <c r="EO11" i="2"/>
  <c r="EP11" i="2"/>
  <c r="EQ11" i="2"/>
  <c r="ER11" i="2"/>
  <c r="ES11" i="2"/>
  <c r="ET11" i="2"/>
  <c r="EU11" i="2"/>
  <c r="EV11" i="2"/>
  <c r="EW11" i="2"/>
  <c r="EX11" i="2"/>
  <c r="EY11" i="2"/>
  <c r="EZ11" i="2"/>
  <c r="FA11" i="2"/>
  <c r="EO10" i="2"/>
  <c r="EP10" i="2"/>
  <c r="EQ10" i="2"/>
  <c r="ER10" i="2"/>
  <c r="ES10" i="2"/>
  <c r="ET10" i="2"/>
  <c r="EU10" i="2"/>
  <c r="EV10" i="2"/>
  <c r="EW10" i="2"/>
  <c r="EX10" i="2"/>
  <c r="EY10" i="2"/>
  <c r="EZ10" i="2"/>
  <c r="FA10" i="2"/>
  <c r="EO9" i="2"/>
  <c r="EP9" i="2"/>
  <c r="EQ9" i="2"/>
  <c r="ER9" i="2"/>
  <c r="ES9" i="2"/>
  <c r="ET9" i="2"/>
  <c r="EU9" i="2"/>
  <c r="EV9" i="2"/>
  <c r="EW9" i="2"/>
  <c r="EX9" i="2"/>
  <c r="EY9" i="2"/>
  <c r="EZ9" i="2"/>
  <c r="FA9" i="2"/>
  <c r="EO8" i="2"/>
  <c r="EP8" i="2"/>
  <c r="EQ8" i="2"/>
  <c r="ER8" i="2"/>
  <c r="ES8" i="2"/>
  <c r="ET8" i="2"/>
  <c r="EU8" i="2"/>
  <c r="EV8" i="2"/>
  <c r="EW8" i="2"/>
  <c r="EX8" i="2"/>
  <c r="EY8" i="2"/>
  <c r="EZ8" i="2"/>
  <c r="FA8" i="2"/>
  <c r="EO7" i="2"/>
  <c r="EP7" i="2"/>
  <c r="EQ7" i="2"/>
  <c r="ET7" i="2"/>
  <c r="ET21" i="2" s="1"/>
  <c r="EU7" i="2"/>
  <c r="EU21" i="2" s="1"/>
  <c r="EV7" i="2"/>
  <c r="EW7" i="2"/>
  <c r="EX7" i="2"/>
  <c r="EY7" i="2"/>
  <c r="EZ7" i="2"/>
  <c r="FA7" i="2"/>
  <c r="EO6" i="2"/>
  <c r="EP6" i="2"/>
  <c r="EP12" i="2" s="1"/>
  <c r="EQ6" i="2"/>
  <c r="ER6" i="2"/>
  <c r="ES6" i="2"/>
  <c r="ET6" i="2"/>
  <c r="EU6" i="2"/>
  <c r="EV6" i="2"/>
  <c r="EW6" i="2"/>
  <c r="EX6" i="2"/>
  <c r="EX12" i="2" s="1"/>
  <c r="EY6" i="2"/>
  <c r="EZ6" i="2"/>
  <c r="FA6" i="2"/>
  <c r="FL9" i="12"/>
  <c r="FP18" i="12"/>
  <c r="FQ24" i="12"/>
  <c r="FR24" i="12"/>
  <c r="FS24" i="12"/>
  <c r="FT24" i="12"/>
  <c r="FU24" i="12"/>
  <c r="FV24" i="12"/>
  <c r="FW24" i="12"/>
  <c r="FX24" i="12"/>
  <c r="FY24" i="12"/>
  <c r="FZ24" i="12"/>
  <c r="FQ25" i="12"/>
  <c r="FP6" i="12"/>
  <c r="B38" i="12"/>
  <c r="C38" i="12"/>
  <c r="D38" i="12"/>
  <c r="E38" i="12"/>
  <c r="F38" i="12"/>
  <c r="G38" i="12"/>
  <c r="H38" i="12"/>
  <c r="I38" i="12"/>
  <c r="J38" i="12"/>
  <c r="K38" i="12"/>
  <c r="L38" i="12"/>
  <c r="M38" i="12"/>
  <c r="N38" i="12"/>
  <c r="P38" i="12"/>
  <c r="Q38" i="12"/>
  <c r="R38" i="12"/>
  <c r="S38" i="12"/>
  <c r="T38" i="12"/>
  <c r="U38" i="12"/>
  <c r="V38" i="12"/>
  <c r="W38" i="12"/>
  <c r="X38" i="12"/>
  <c r="Y38" i="12"/>
  <c r="Z38" i="12"/>
  <c r="AA38" i="12"/>
  <c r="AB38" i="12"/>
  <c r="AD38" i="12"/>
  <c r="AE38" i="12"/>
  <c r="AF38" i="12"/>
  <c r="AG38" i="12"/>
  <c r="AH38" i="12"/>
  <c r="AI38" i="12"/>
  <c r="AJ38" i="12"/>
  <c r="AK38" i="12"/>
  <c r="AL38" i="12"/>
  <c r="AM38" i="12"/>
  <c r="AN38" i="12"/>
  <c r="AO38" i="12"/>
  <c r="AP38" i="12"/>
  <c r="AR38" i="12"/>
  <c r="AS38" i="12"/>
  <c r="AT38" i="12"/>
  <c r="AU38" i="12"/>
  <c r="AV38" i="12"/>
  <c r="AW38" i="12"/>
  <c r="AX38" i="12"/>
  <c r="AY38" i="12"/>
  <c r="AZ38" i="12"/>
  <c r="BA38" i="12"/>
  <c r="BB38" i="12"/>
  <c r="BC38" i="12"/>
  <c r="BD38" i="12"/>
  <c r="BF38" i="12"/>
  <c r="BG38" i="12"/>
  <c r="BH38" i="12"/>
  <c r="BI38" i="12"/>
  <c r="BJ38" i="12"/>
  <c r="BK38" i="12"/>
  <c r="BL38" i="12"/>
  <c r="BM38" i="12"/>
  <c r="BN38" i="12"/>
  <c r="BO38" i="12"/>
  <c r="BP38" i="12"/>
  <c r="BQ38" i="12"/>
  <c r="BR38" i="12"/>
  <c r="BT38" i="12"/>
  <c r="BU38" i="12"/>
  <c r="BV38" i="12"/>
  <c r="BW38" i="12"/>
  <c r="BX38" i="12"/>
  <c r="BY38" i="12"/>
  <c r="BZ38" i="12"/>
  <c r="CA38" i="12"/>
  <c r="CB38" i="12"/>
  <c r="CC38" i="12"/>
  <c r="CD38" i="12"/>
  <c r="CE38" i="12"/>
  <c r="CF38" i="12"/>
  <c r="CH38" i="12"/>
  <c r="CI38" i="12"/>
  <c r="CJ38" i="12"/>
  <c r="CK38" i="12"/>
  <c r="CL38" i="12"/>
  <c r="CM38" i="12"/>
  <c r="CN38" i="12"/>
  <c r="CO38" i="12"/>
  <c r="CP38" i="12"/>
  <c r="CQ38" i="12"/>
  <c r="CR38" i="12"/>
  <c r="CS38" i="12"/>
  <c r="CT38" i="12"/>
  <c r="CV38" i="12"/>
  <c r="CW38" i="12"/>
  <c r="CX38" i="12"/>
  <c r="CY38" i="12"/>
  <c r="CZ38" i="12"/>
  <c r="DA38" i="12"/>
  <c r="DB38" i="12"/>
  <c r="DC38" i="12"/>
  <c r="DD38" i="12"/>
  <c r="DE38" i="12"/>
  <c r="DF38" i="12"/>
  <c r="DG38" i="12"/>
  <c r="DH38" i="12"/>
  <c r="DJ38" i="12"/>
  <c r="DK38" i="12"/>
  <c r="DL38" i="12"/>
  <c r="DM38" i="12"/>
  <c r="DN38" i="12"/>
  <c r="DO38" i="12"/>
  <c r="DP38" i="12"/>
  <c r="DQ38" i="12"/>
  <c r="DR38" i="12"/>
  <c r="DS38" i="12"/>
  <c r="DT38" i="12"/>
  <c r="DU38" i="12"/>
  <c r="DV38" i="12"/>
  <c r="DX38" i="12"/>
  <c r="DY38" i="12"/>
  <c r="DZ38" i="12"/>
  <c r="EA38" i="12"/>
  <c r="EB38" i="12"/>
  <c r="EC38" i="12"/>
  <c r="ED38" i="12"/>
  <c r="EE38" i="12"/>
  <c r="EF38" i="12"/>
  <c r="EG38" i="12"/>
  <c r="EH38" i="12"/>
  <c r="EI38" i="12"/>
  <c r="EJ38" i="12"/>
  <c r="EL38" i="12"/>
  <c r="EM38" i="12"/>
  <c r="EN38" i="12"/>
  <c r="EO38" i="12"/>
  <c r="EP38" i="12"/>
  <c r="EQ38" i="12"/>
  <c r="ER38" i="12"/>
  <c r="ES38" i="12"/>
  <c r="ET38" i="12"/>
  <c r="EU38" i="12"/>
  <c r="EV38" i="12"/>
  <c r="EW38" i="12"/>
  <c r="EX38" i="12"/>
  <c r="EZ38" i="12"/>
  <c r="HR38" i="12" s="1"/>
  <c r="FA38" i="12"/>
  <c r="FB38" i="12"/>
  <c r="FC38" i="12"/>
  <c r="FD38" i="12"/>
  <c r="FE38" i="12"/>
  <c r="HW38" i="12" s="1"/>
  <c r="FF38" i="12"/>
  <c r="HX38" i="12" s="1"/>
  <c r="FG38" i="12"/>
  <c r="FH38" i="12"/>
  <c r="FI38" i="12"/>
  <c r="FJ38" i="12"/>
  <c r="FK38" i="12"/>
  <c r="FL38" i="12"/>
  <c r="ID38" i="12" s="1"/>
  <c r="FN38" i="12"/>
  <c r="FO38" i="12"/>
  <c r="FP38" i="12"/>
  <c r="FQ38" i="12"/>
  <c r="FR38" i="12"/>
  <c r="FS38" i="12"/>
  <c r="FT38" i="12"/>
  <c r="FU38" i="12"/>
  <c r="FV38" i="12"/>
  <c r="FW38" i="12"/>
  <c r="FX38" i="12"/>
  <c r="FY38" i="12"/>
  <c r="FZ38" i="12"/>
  <c r="B37" i="12"/>
  <c r="C37" i="12"/>
  <c r="D37" i="12"/>
  <c r="E37" i="12"/>
  <c r="F37" i="12"/>
  <c r="G37" i="12"/>
  <c r="H37" i="12"/>
  <c r="I37" i="12"/>
  <c r="J37" i="12"/>
  <c r="K37" i="12"/>
  <c r="L37" i="12"/>
  <c r="M37" i="12"/>
  <c r="N37" i="12"/>
  <c r="P37" i="12"/>
  <c r="Q37" i="12"/>
  <c r="R37" i="12"/>
  <c r="S37" i="12"/>
  <c r="T37" i="12"/>
  <c r="U37" i="12"/>
  <c r="V37" i="12"/>
  <c r="W37" i="12"/>
  <c r="X37" i="12"/>
  <c r="Y37" i="12"/>
  <c r="Z37" i="12"/>
  <c r="AA37" i="12"/>
  <c r="AB37" i="12"/>
  <c r="AD37" i="12"/>
  <c r="AE37" i="12"/>
  <c r="AF37" i="12"/>
  <c r="AG37" i="12"/>
  <c r="AH37" i="12"/>
  <c r="AI37" i="12"/>
  <c r="AJ37" i="12"/>
  <c r="AK37" i="12"/>
  <c r="AL37" i="12"/>
  <c r="AM37" i="12"/>
  <c r="AN37" i="12"/>
  <c r="AO37" i="12"/>
  <c r="AP37" i="12"/>
  <c r="AR37" i="12"/>
  <c r="AS37" i="12"/>
  <c r="AT37" i="12"/>
  <c r="AU37" i="12"/>
  <c r="AV37" i="12"/>
  <c r="AW37" i="12"/>
  <c r="AX37" i="12"/>
  <c r="AY37" i="12"/>
  <c r="AZ37" i="12"/>
  <c r="BA37" i="12"/>
  <c r="BB37" i="12"/>
  <c r="BC37" i="12"/>
  <c r="BD37" i="12"/>
  <c r="BF37" i="12"/>
  <c r="BG37" i="12"/>
  <c r="BH37" i="12"/>
  <c r="BI37" i="12"/>
  <c r="BJ37" i="12"/>
  <c r="BK37" i="12"/>
  <c r="BL37" i="12"/>
  <c r="BM37" i="12"/>
  <c r="BN37" i="12"/>
  <c r="BO37" i="12"/>
  <c r="BP37" i="12"/>
  <c r="BQ37" i="12"/>
  <c r="BR37" i="12"/>
  <c r="BT37" i="12"/>
  <c r="BU37" i="12"/>
  <c r="BV37" i="12"/>
  <c r="BW37" i="12"/>
  <c r="BX37" i="12"/>
  <c r="BY37" i="12"/>
  <c r="BZ37" i="12"/>
  <c r="CA37" i="12"/>
  <c r="CB37" i="12"/>
  <c r="CC37" i="12"/>
  <c r="CD37" i="12"/>
  <c r="CE37" i="12"/>
  <c r="CF37" i="12"/>
  <c r="CH37" i="12"/>
  <c r="CI37" i="12"/>
  <c r="CJ37" i="12"/>
  <c r="CK37" i="12"/>
  <c r="CL37" i="12"/>
  <c r="CM37" i="12"/>
  <c r="CN37" i="12"/>
  <c r="CO37" i="12"/>
  <c r="CP37" i="12"/>
  <c r="CQ37" i="12"/>
  <c r="CR37" i="12"/>
  <c r="CS37" i="12"/>
  <c r="CT37" i="12"/>
  <c r="CV37" i="12"/>
  <c r="CW37" i="12"/>
  <c r="CX37" i="12"/>
  <c r="CY37" i="12"/>
  <c r="CZ37" i="12"/>
  <c r="DA37" i="12"/>
  <c r="DB37" i="12"/>
  <c r="DC37" i="12"/>
  <c r="DD37" i="12"/>
  <c r="DE37" i="12"/>
  <c r="DF37" i="12"/>
  <c r="DG37" i="12"/>
  <c r="DH37" i="12"/>
  <c r="DJ37" i="12"/>
  <c r="DK37" i="12"/>
  <c r="DL37" i="12"/>
  <c r="DM37" i="12"/>
  <c r="DN37" i="12"/>
  <c r="DO37" i="12"/>
  <c r="DP37" i="12"/>
  <c r="DQ37" i="12"/>
  <c r="DR37" i="12"/>
  <c r="DS37" i="12"/>
  <c r="DT37" i="12"/>
  <c r="DU37" i="12"/>
  <c r="DV37" i="12"/>
  <c r="DX37" i="12"/>
  <c r="DY37" i="12"/>
  <c r="DZ37" i="12"/>
  <c r="EA37" i="12"/>
  <c r="EB37" i="12"/>
  <c r="EC37" i="12"/>
  <c r="ED37" i="12"/>
  <c r="EE37" i="12"/>
  <c r="EF37" i="12"/>
  <c r="EG37" i="12"/>
  <c r="EH37" i="12"/>
  <c r="EI37" i="12"/>
  <c r="EJ37" i="12"/>
  <c r="EL37" i="12"/>
  <c r="EM37" i="12"/>
  <c r="EN37" i="12"/>
  <c r="EO37" i="12"/>
  <c r="EP37" i="12"/>
  <c r="EQ37" i="12"/>
  <c r="ER37" i="12"/>
  <c r="ES37" i="12"/>
  <c r="ET37" i="12"/>
  <c r="EU37" i="12"/>
  <c r="EV37" i="12"/>
  <c r="EW37" i="12"/>
  <c r="EX37" i="12"/>
  <c r="EZ37" i="12"/>
  <c r="FA37" i="12"/>
  <c r="FB37" i="12"/>
  <c r="FC37" i="12"/>
  <c r="FD37" i="12"/>
  <c r="FE37" i="12"/>
  <c r="FF37" i="12"/>
  <c r="FG37" i="12"/>
  <c r="FH37" i="12"/>
  <c r="FI37" i="12"/>
  <c r="FJ37" i="12"/>
  <c r="FK37" i="12"/>
  <c r="FL37" i="12"/>
  <c r="ID37" i="12" s="1"/>
  <c r="FN37" i="12"/>
  <c r="FO37" i="12"/>
  <c r="FP37" i="12"/>
  <c r="FQ37" i="12"/>
  <c r="FR37" i="12"/>
  <c r="FS37" i="12"/>
  <c r="FT37" i="12"/>
  <c r="FU37" i="12"/>
  <c r="FV37" i="12"/>
  <c r="FW37" i="12"/>
  <c r="FX37" i="12"/>
  <c r="FY37" i="12"/>
  <c r="FZ37" i="12"/>
  <c r="B36" i="12"/>
  <c r="C36" i="12"/>
  <c r="D36" i="12"/>
  <c r="E36" i="12"/>
  <c r="F36" i="12"/>
  <c r="G36" i="12"/>
  <c r="H36" i="12"/>
  <c r="I36" i="12"/>
  <c r="J36" i="12"/>
  <c r="K36" i="12"/>
  <c r="L36" i="12"/>
  <c r="M36" i="12"/>
  <c r="N36" i="12"/>
  <c r="P36" i="12"/>
  <c r="Q36" i="12"/>
  <c r="R36" i="12"/>
  <c r="S36" i="12"/>
  <c r="T36" i="12"/>
  <c r="U36" i="12"/>
  <c r="V36" i="12"/>
  <c r="W36" i="12"/>
  <c r="X36" i="12"/>
  <c r="Y36" i="12"/>
  <c r="Z36" i="12"/>
  <c r="AA36" i="12"/>
  <c r="AB36" i="12"/>
  <c r="AD36" i="12"/>
  <c r="AE36" i="12"/>
  <c r="AF36" i="12"/>
  <c r="AG36" i="12"/>
  <c r="AH36" i="12"/>
  <c r="AI36" i="12"/>
  <c r="AJ36" i="12"/>
  <c r="AK36" i="12"/>
  <c r="AL36" i="12"/>
  <c r="AM36" i="12"/>
  <c r="AN36" i="12"/>
  <c r="AO36" i="12"/>
  <c r="AP36" i="12"/>
  <c r="AR36" i="12"/>
  <c r="AS36" i="12"/>
  <c r="AT36" i="12"/>
  <c r="AU36" i="12"/>
  <c r="AV36" i="12"/>
  <c r="AW36" i="12"/>
  <c r="AX36" i="12"/>
  <c r="AY36" i="12"/>
  <c r="AZ36" i="12"/>
  <c r="BA36" i="12"/>
  <c r="BB36" i="12"/>
  <c r="BC36" i="12"/>
  <c r="BD36" i="12"/>
  <c r="BF36" i="12"/>
  <c r="BG36" i="12"/>
  <c r="BH36" i="12"/>
  <c r="BI36" i="12"/>
  <c r="BJ36" i="12"/>
  <c r="BK36" i="12"/>
  <c r="BL36" i="12"/>
  <c r="BM36" i="12"/>
  <c r="BN36" i="12"/>
  <c r="BO36" i="12"/>
  <c r="BP36" i="12"/>
  <c r="BQ36" i="12"/>
  <c r="BR36" i="12"/>
  <c r="BT36" i="12"/>
  <c r="BU36" i="12"/>
  <c r="BV36" i="12"/>
  <c r="BW36" i="12"/>
  <c r="BX36" i="12"/>
  <c r="BY36" i="12"/>
  <c r="BZ36" i="12"/>
  <c r="CA36" i="12"/>
  <c r="CB36" i="12"/>
  <c r="CC36" i="12"/>
  <c r="CD36" i="12"/>
  <c r="CE36" i="12"/>
  <c r="CF36" i="12"/>
  <c r="CH36" i="12"/>
  <c r="CI36" i="12"/>
  <c r="CJ36" i="12"/>
  <c r="CK36" i="12"/>
  <c r="CL36" i="12"/>
  <c r="CM36" i="12"/>
  <c r="CN36" i="12"/>
  <c r="CO36" i="12"/>
  <c r="CP36" i="12"/>
  <c r="CQ36" i="12"/>
  <c r="CR36" i="12"/>
  <c r="CS36" i="12"/>
  <c r="CT36" i="12"/>
  <c r="CV36" i="12"/>
  <c r="CW36" i="12"/>
  <c r="CX36" i="12"/>
  <c r="CY36" i="12"/>
  <c r="CZ36" i="12"/>
  <c r="DA36" i="12"/>
  <c r="DB36" i="12"/>
  <c r="DC36" i="12"/>
  <c r="DD36" i="12"/>
  <c r="DE36" i="12"/>
  <c r="DF36" i="12"/>
  <c r="DG36" i="12"/>
  <c r="DH36" i="12"/>
  <c r="DJ36" i="12"/>
  <c r="DK36" i="12"/>
  <c r="DL36" i="12"/>
  <c r="DM36" i="12"/>
  <c r="DN36" i="12"/>
  <c r="DO36" i="12"/>
  <c r="DP36" i="12"/>
  <c r="DQ36" i="12"/>
  <c r="DR36" i="12"/>
  <c r="DS36" i="12"/>
  <c r="DT36" i="12"/>
  <c r="DU36" i="12"/>
  <c r="DV36" i="12"/>
  <c r="DX36" i="12"/>
  <c r="DY36" i="12"/>
  <c r="DZ36" i="12"/>
  <c r="EA36" i="12"/>
  <c r="EB36" i="12"/>
  <c r="EC36" i="12"/>
  <c r="ED36" i="12"/>
  <c r="EE36" i="12"/>
  <c r="EF36" i="12"/>
  <c r="EG36" i="12"/>
  <c r="EH36" i="12"/>
  <c r="EI36" i="12"/>
  <c r="EJ36" i="12"/>
  <c r="EL36" i="12"/>
  <c r="EM36" i="12"/>
  <c r="EN36" i="12"/>
  <c r="EO36" i="12"/>
  <c r="EP36" i="12"/>
  <c r="EQ36" i="12"/>
  <c r="ER36" i="12"/>
  <c r="ES36" i="12"/>
  <c r="ET36" i="12"/>
  <c r="EU36" i="12"/>
  <c r="EV36" i="12"/>
  <c r="EW36" i="12"/>
  <c r="EX36" i="12"/>
  <c r="EZ36" i="12"/>
  <c r="FA36" i="12"/>
  <c r="FB36" i="12"/>
  <c r="FC36" i="12"/>
  <c r="HU36" i="12" s="1"/>
  <c r="FD36" i="12"/>
  <c r="FE36" i="12"/>
  <c r="HW36" i="12" s="1"/>
  <c r="FF36" i="12"/>
  <c r="HX36" i="12" s="1"/>
  <c r="FG36" i="12"/>
  <c r="FH36" i="12"/>
  <c r="FI36" i="12"/>
  <c r="IA36" i="12" s="1"/>
  <c r="FJ36" i="12"/>
  <c r="FK36" i="12"/>
  <c r="FL36" i="12"/>
  <c r="ID36" i="12" s="1"/>
  <c r="FN36" i="12"/>
  <c r="FO36" i="12"/>
  <c r="FP36" i="12"/>
  <c r="FQ36" i="12"/>
  <c r="FR36" i="12"/>
  <c r="FS36" i="12"/>
  <c r="FT36" i="12"/>
  <c r="FU36" i="12"/>
  <c r="FV36" i="12"/>
  <c r="FW36" i="12"/>
  <c r="FX36" i="12"/>
  <c r="FY36" i="12"/>
  <c r="FZ36" i="12"/>
  <c r="B35" i="12"/>
  <c r="C35" i="12"/>
  <c r="D35" i="12"/>
  <c r="E35" i="12"/>
  <c r="F35" i="12"/>
  <c r="G35" i="12"/>
  <c r="H35" i="12"/>
  <c r="I35" i="12"/>
  <c r="J35" i="12"/>
  <c r="K35" i="12"/>
  <c r="L35" i="12"/>
  <c r="M35" i="12"/>
  <c r="N35" i="12"/>
  <c r="P35" i="12"/>
  <c r="Q35" i="12"/>
  <c r="R35" i="12"/>
  <c r="S35" i="12"/>
  <c r="T35" i="12"/>
  <c r="U35" i="12"/>
  <c r="V35" i="12"/>
  <c r="W35" i="12"/>
  <c r="X35" i="12"/>
  <c r="Y35" i="12"/>
  <c r="Z35" i="12"/>
  <c r="AA35" i="12"/>
  <c r="AB35" i="12"/>
  <c r="AD35" i="12"/>
  <c r="AE35" i="12"/>
  <c r="AF35" i="12"/>
  <c r="AG35" i="12"/>
  <c r="AH35" i="12"/>
  <c r="AI35" i="12"/>
  <c r="AJ35" i="12"/>
  <c r="AK35" i="12"/>
  <c r="AL35" i="12"/>
  <c r="AM35" i="12"/>
  <c r="AN35" i="12"/>
  <c r="AO35" i="12"/>
  <c r="AP35" i="12"/>
  <c r="AR35" i="12"/>
  <c r="AS35" i="12"/>
  <c r="AT35" i="12"/>
  <c r="AU35" i="12"/>
  <c r="AV35" i="12"/>
  <c r="AW35" i="12"/>
  <c r="AX35" i="12"/>
  <c r="AY35" i="12"/>
  <c r="AZ35" i="12"/>
  <c r="BA35" i="12"/>
  <c r="BB35" i="12"/>
  <c r="BC35" i="12"/>
  <c r="BD35" i="12"/>
  <c r="BF35" i="12"/>
  <c r="BG35" i="12"/>
  <c r="BH35" i="12"/>
  <c r="BI35" i="12"/>
  <c r="BJ35" i="12"/>
  <c r="BK35" i="12"/>
  <c r="BL35" i="12"/>
  <c r="BM35" i="12"/>
  <c r="BN35" i="12"/>
  <c r="BO35" i="12"/>
  <c r="BP35" i="12"/>
  <c r="BQ35" i="12"/>
  <c r="BR35" i="12"/>
  <c r="BT35" i="12"/>
  <c r="BU35" i="12"/>
  <c r="BV35" i="12"/>
  <c r="BW35" i="12"/>
  <c r="BX35" i="12"/>
  <c r="BY35" i="12"/>
  <c r="BZ35" i="12"/>
  <c r="CA35" i="12"/>
  <c r="CB35" i="12"/>
  <c r="CC35" i="12"/>
  <c r="CD35" i="12"/>
  <c r="CE35" i="12"/>
  <c r="CF35" i="12"/>
  <c r="CH35" i="12"/>
  <c r="CI35" i="12"/>
  <c r="CJ35" i="12"/>
  <c r="CK35" i="12"/>
  <c r="CL35" i="12"/>
  <c r="CM35" i="12"/>
  <c r="CN35" i="12"/>
  <c r="CO35" i="12"/>
  <c r="CP35" i="12"/>
  <c r="CQ35" i="12"/>
  <c r="CR35" i="12"/>
  <c r="CS35" i="12"/>
  <c r="CT35" i="12"/>
  <c r="CV35" i="12"/>
  <c r="CW35" i="12"/>
  <c r="CX35" i="12"/>
  <c r="CY35" i="12"/>
  <c r="CZ35" i="12"/>
  <c r="DA35" i="12"/>
  <c r="DB35" i="12"/>
  <c r="DC35" i="12"/>
  <c r="DD35" i="12"/>
  <c r="DE35" i="12"/>
  <c r="DF35" i="12"/>
  <c r="DG35" i="12"/>
  <c r="DH35" i="12"/>
  <c r="DJ35" i="12"/>
  <c r="DK35" i="12"/>
  <c r="DL35" i="12"/>
  <c r="DM35" i="12"/>
  <c r="DN35" i="12"/>
  <c r="DO35" i="12"/>
  <c r="DP35" i="12"/>
  <c r="DQ35" i="12"/>
  <c r="DR35" i="12"/>
  <c r="DS35" i="12"/>
  <c r="DT35" i="12"/>
  <c r="DU35" i="12"/>
  <c r="DV35" i="12"/>
  <c r="DX35" i="12"/>
  <c r="DY35" i="12"/>
  <c r="DZ35" i="12"/>
  <c r="EA35" i="12"/>
  <c r="EB35" i="12"/>
  <c r="EC35" i="12"/>
  <c r="ED35" i="12"/>
  <c r="EE35" i="12"/>
  <c r="EF35" i="12"/>
  <c r="EG35" i="12"/>
  <c r="EH35" i="12"/>
  <c r="EI35" i="12"/>
  <c r="EJ35" i="12"/>
  <c r="EL35" i="12"/>
  <c r="EM35" i="12"/>
  <c r="EN35" i="12"/>
  <c r="EO35" i="12"/>
  <c r="EP35" i="12"/>
  <c r="EQ35" i="12"/>
  <c r="ER35" i="12"/>
  <c r="ES35" i="12"/>
  <c r="ET35" i="12"/>
  <c r="EU35" i="12"/>
  <c r="EV35" i="12"/>
  <c r="EW35" i="12"/>
  <c r="EX35" i="12"/>
  <c r="EZ35" i="12"/>
  <c r="HR35" i="12" s="1"/>
  <c r="FA35" i="12"/>
  <c r="FB35" i="12"/>
  <c r="FC35" i="12"/>
  <c r="FD35" i="12"/>
  <c r="FE35" i="12"/>
  <c r="FF35" i="12"/>
  <c r="FG35" i="12"/>
  <c r="FH35" i="12"/>
  <c r="FI35" i="12"/>
  <c r="FJ35" i="12"/>
  <c r="FK35" i="12"/>
  <c r="FL35" i="12"/>
  <c r="ID35" i="12" s="1"/>
  <c r="FN35" i="12"/>
  <c r="FO35" i="12"/>
  <c r="FP35" i="12"/>
  <c r="FQ35" i="12"/>
  <c r="FR35" i="12"/>
  <c r="FS35" i="12"/>
  <c r="FT35" i="12"/>
  <c r="FU35" i="12"/>
  <c r="FV35" i="12"/>
  <c r="FW35" i="12"/>
  <c r="FX35" i="12"/>
  <c r="FY35" i="12"/>
  <c r="FZ35" i="12"/>
  <c r="B34" i="12"/>
  <c r="C34" i="12"/>
  <c r="D34" i="12"/>
  <c r="E34" i="12"/>
  <c r="F34" i="12"/>
  <c r="G34" i="12"/>
  <c r="H34" i="12"/>
  <c r="I34" i="12"/>
  <c r="J34" i="12"/>
  <c r="K34" i="12"/>
  <c r="L34" i="12"/>
  <c r="M34" i="12"/>
  <c r="N34" i="12"/>
  <c r="P34" i="12"/>
  <c r="Q34" i="12"/>
  <c r="R34" i="12"/>
  <c r="S34" i="12"/>
  <c r="T34" i="12"/>
  <c r="U34" i="12"/>
  <c r="V34" i="12"/>
  <c r="W34" i="12"/>
  <c r="X34" i="12"/>
  <c r="Y34" i="12"/>
  <c r="Z34" i="12"/>
  <c r="AA34" i="12"/>
  <c r="AB34" i="12"/>
  <c r="AD34" i="12"/>
  <c r="AE34" i="12"/>
  <c r="AF34" i="12"/>
  <c r="AG34" i="12"/>
  <c r="AH34" i="12"/>
  <c r="AI34" i="12"/>
  <c r="AJ34" i="12"/>
  <c r="AK34" i="12"/>
  <c r="AL34" i="12"/>
  <c r="AM34" i="12"/>
  <c r="AN34" i="12"/>
  <c r="AO34" i="12"/>
  <c r="AP34" i="12"/>
  <c r="AR34" i="12"/>
  <c r="AS34" i="12"/>
  <c r="AT34" i="12"/>
  <c r="AU34" i="12"/>
  <c r="AV34" i="12"/>
  <c r="AW34" i="12"/>
  <c r="AX34" i="12"/>
  <c r="AY34" i="12"/>
  <c r="AZ34" i="12"/>
  <c r="BA34" i="12"/>
  <c r="BB34" i="12"/>
  <c r="BC34" i="12"/>
  <c r="BD34" i="12"/>
  <c r="BF34" i="12"/>
  <c r="BG34" i="12"/>
  <c r="BH34" i="12"/>
  <c r="BI34" i="12"/>
  <c r="BJ34" i="12"/>
  <c r="BK34" i="12"/>
  <c r="BL34" i="12"/>
  <c r="BM34" i="12"/>
  <c r="BN34" i="12"/>
  <c r="BO34" i="12"/>
  <c r="BP34" i="12"/>
  <c r="BQ34" i="12"/>
  <c r="BR34" i="12"/>
  <c r="BT34" i="12"/>
  <c r="BU34" i="12"/>
  <c r="BV34" i="12"/>
  <c r="BW34" i="12"/>
  <c r="BX34" i="12"/>
  <c r="BY34" i="12"/>
  <c r="BZ34" i="12"/>
  <c r="CA34" i="12"/>
  <c r="CB34" i="12"/>
  <c r="CC34" i="12"/>
  <c r="CD34" i="12"/>
  <c r="CE34" i="12"/>
  <c r="CF34" i="12"/>
  <c r="CH34" i="12"/>
  <c r="CI34" i="12"/>
  <c r="CJ34" i="12"/>
  <c r="CK34" i="12"/>
  <c r="CL34" i="12"/>
  <c r="CM34" i="12"/>
  <c r="CN34" i="12"/>
  <c r="CO34" i="12"/>
  <c r="CP34" i="12"/>
  <c r="CQ34" i="12"/>
  <c r="CR34" i="12"/>
  <c r="CS34" i="12"/>
  <c r="CT34" i="12"/>
  <c r="CV34" i="12"/>
  <c r="CW34" i="12"/>
  <c r="CX34" i="12"/>
  <c r="CY34" i="12"/>
  <c r="CZ34" i="12"/>
  <c r="DA34" i="12"/>
  <c r="DB34" i="12"/>
  <c r="DC34" i="12"/>
  <c r="DD34" i="12"/>
  <c r="DE34" i="12"/>
  <c r="DF34" i="12"/>
  <c r="DG34" i="12"/>
  <c r="DH34" i="12"/>
  <c r="DJ34" i="12"/>
  <c r="DK34" i="12"/>
  <c r="DL34" i="12"/>
  <c r="DM34" i="12"/>
  <c r="DN34" i="12"/>
  <c r="DO34" i="12"/>
  <c r="DP34" i="12"/>
  <c r="DQ34" i="12"/>
  <c r="DR34" i="12"/>
  <c r="DS34" i="12"/>
  <c r="DT34" i="12"/>
  <c r="DU34" i="12"/>
  <c r="DV34" i="12"/>
  <c r="DX34" i="12"/>
  <c r="DY34" i="12"/>
  <c r="DZ34" i="12"/>
  <c r="EA34" i="12"/>
  <c r="EB34" i="12"/>
  <c r="EC34" i="12"/>
  <c r="ED34" i="12"/>
  <c r="EE34" i="12"/>
  <c r="EF34" i="12"/>
  <c r="EG34" i="12"/>
  <c r="EH34" i="12"/>
  <c r="EI34" i="12"/>
  <c r="EJ34" i="12"/>
  <c r="EL34" i="12"/>
  <c r="EM34" i="12"/>
  <c r="EN34" i="12"/>
  <c r="EO34" i="12"/>
  <c r="EP34" i="12"/>
  <c r="EQ34" i="12"/>
  <c r="ER34" i="12"/>
  <c r="ES34" i="12"/>
  <c r="ET34" i="12"/>
  <c r="EU34" i="12"/>
  <c r="EV34" i="12"/>
  <c r="EW34" i="12"/>
  <c r="EX34" i="12"/>
  <c r="EZ34" i="12"/>
  <c r="FA34" i="12"/>
  <c r="FB34" i="12"/>
  <c r="FC34" i="12"/>
  <c r="FD34" i="12"/>
  <c r="FE34" i="12"/>
  <c r="FF34" i="12"/>
  <c r="FG34" i="12"/>
  <c r="FH34" i="12"/>
  <c r="FI34" i="12"/>
  <c r="FJ34" i="12"/>
  <c r="FK34" i="12"/>
  <c r="FL34" i="12"/>
  <c r="ID34" i="12" s="1"/>
  <c r="FN34" i="12"/>
  <c r="FO34" i="12"/>
  <c r="FP34" i="12"/>
  <c r="FQ34" i="12"/>
  <c r="FR34" i="12"/>
  <c r="FS34" i="12"/>
  <c r="FT34" i="12"/>
  <c r="FU34" i="12"/>
  <c r="FV34" i="12"/>
  <c r="FW34" i="12"/>
  <c r="FX34" i="12"/>
  <c r="FY34" i="12"/>
  <c r="FZ34" i="12"/>
  <c r="B33" i="12"/>
  <c r="C33" i="12"/>
  <c r="D33" i="12"/>
  <c r="E33" i="12"/>
  <c r="F33" i="12"/>
  <c r="G33" i="12"/>
  <c r="H33" i="12"/>
  <c r="I33" i="12"/>
  <c r="J33" i="12"/>
  <c r="K33" i="12"/>
  <c r="L33" i="12"/>
  <c r="M33" i="12"/>
  <c r="N33" i="12"/>
  <c r="P33" i="12"/>
  <c r="Q33" i="12"/>
  <c r="R33" i="12"/>
  <c r="S33" i="12"/>
  <c r="T33" i="12"/>
  <c r="U33" i="12"/>
  <c r="V33" i="12"/>
  <c r="W33" i="12"/>
  <c r="X33" i="12"/>
  <c r="Y33" i="12"/>
  <c r="Z33" i="12"/>
  <c r="AA33" i="12"/>
  <c r="AB33" i="12"/>
  <c r="AD33" i="12"/>
  <c r="AE33" i="12"/>
  <c r="AF33" i="12"/>
  <c r="AG33" i="12"/>
  <c r="AH33" i="12"/>
  <c r="AI33" i="12"/>
  <c r="AJ33" i="12"/>
  <c r="AK33" i="12"/>
  <c r="AL33" i="12"/>
  <c r="AM33" i="12"/>
  <c r="AN33" i="12"/>
  <c r="AO33" i="12"/>
  <c r="AP33" i="12"/>
  <c r="AR33" i="12"/>
  <c r="AS33" i="12"/>
  <c r="AT33" i="12"/>
  <c r="AU33" i="12"/>
  <c r="AV33" i="12"/>
  <c r="AW33" i="12"/>
  <c r="AX33" i="12"/>
  <c r="AY33" i="12"/>
  <c r="AZ33" i="12"/>
  <c r="BA33" i="12"/>
  <c r="BB33" i="12"/>
  <c r="BC33" i="12"/>
  <c r="BD33" i="12"/>
  <c r="BF33" i="12"/>
  <c r="BG33" i="12"/>
  <c r="BH33" i="12"/>
  <c r="BI33" i="12"/>
  <c r="BJ33" i="12"/>
  <c r="BK33" i="12"/>
  <c r="BL33" i="12"/>
  <c r="BM33" i="12"/>
  <c r="BN33" i="12"/>
  <c r="BO33" i="12"/>
  <c r="BP33" i="12"/>
  <c r="BQ33" i="12"/>
  <c r="BR33" i="12"/>
  <c r="BT33" i="12"/>
  <c r="BU33" i="12"/>
  <c r="BV33" i="12"/>
  <c r="BW33" i="12"/>
  <c r="BX33" i="12"/>
  <c r="BY33" i="12"/>
  <c r="BZ33" i="12"/>
  <c r="CA33" i="12"/>
  <c r="CB33" i="12"/>
  <c r="CC33" i="12"/>
  <c r="CD33" i="12"/>
  <c r="CE33" i="12"/>
  <c r="CF33" i="12"/>
  <c r="CH33" i="12"/>
  <c r="CI33" i="12"/>
  <c r="CJ33" i="12"/>
  <c r="CK33" i="12"/>
  <c r="CL33" i="12"/>
  <c r="CM33" i="12"/>
  <c r="CN33" i="12"/>
  <c r="CO33" i="12"/>
  <c r="CP33" i="12"/>
  <c r="CQ33" i="12"/>
  <c r="CR33" i="12"/>
  <c r="CS33" i="12"/>
  <c r="CT33" i="12"/>
  <c r="CV33" i="12"/>
  <c r="CW33" i="12"/>
  <c r="CX33" i="12"/>
  <c r="CY33" i="12"/>
  <c r="CZ33" i="12"/>
  <c r="DA33" i="12"/>
  <c r="DB33" i="12"/>
  <c r="DC33" i="12"/>
  <c r="DD33" i="12"/>
  <c r="DE33" i="12"/>
  <c r="DF33" i="12"/>
  <c r="DG33" i="12"/>
  <c r="DH33" i="12"/>
  <c r="DJ33" i="12"/>
  <c r="DK33" i="12"/>
  <c r="DL33" i="12"/>
  <c r="DM33" i="12"/>
  <c r="DN33" i="12"/>
  <c r="DO33" i="12"/>
  <c r="DP33" i="12"/>
  <c r="DQ33" i="12"/>
  <c r="DR33" i="12"/>
  <c r="DS33" i="12"/>
  <c r="DT33" i="12"/>
  <c r="DU33" i="12"/>
  <c r="DV33" i="12"/>
  <c r="DX33" i="12"/>
  <c r="DY33" i="12"/>
  <c r="DZ33" i="12"/>
  <c r="EA33" i="12"/>
  <c r="EB33" i="12"/>
  <c r="EC33" i="12"/>
  <c r="ED33" i="12"/>
  <c r="EE33" i="12"/>
  <c r="EF33" i="12"/>
  <c r="EG33" i="12"/>
  <c r="EH33" i="12"/>
  <c r="EI33" i="12"/>
  <c r="EJ33" i="12"/>
  <c r="EL33" i="12"/>
  <c r="EM33" i="12"/>
  <c r="EN33" i="12"/>
  <c r="EO33" i="12"/>
  <c r="EP33" i="12"/>
  <c r="EQ33" i="12"/>
  <c r="ER33" i="12"/>
  <c r="ES33" i="12"/>
  <c r="ET33" i="12"/>
  <c r="EU33" i="12"/>
  <c r="EV33" i="12"/>
  <c r="EW33" i="12"/>
  <c r="EX33" i="12"/>
  <c r="EZ33" i="12"/>
  <c r="FA33" i="12"/>
  <c r="FB33" i="12"/>
  <c r="FC33" i="12"/>
  <c r="FD33" i="12"/>
  <c r="FE33" i="12"/>
  <c r="FF33" i="12"/>
  <c r="FG33" i="12"/>
  <c r="FH33" i="12"/>
  <c r="FI33" i="12"/>
  <c r="FJ33" i="12"/>
  <c r="FK33" i="12"/>
  <c r="FL33" i="12"/>
  <c r="ID33" i="12" s="1"/>
  <c r="FN33" i="12"/>
  <c r="FO33" i="12"/>
  <c r="FP33" i="12"/>
  <c r="FQ33" i="12"/>
  <c r="FR33" i="12"/>
  <c r="FS33" i="12"/>
  <c r="FT33" i="12"/>
  <c r="FU33" i="12"/>
  <c r="FV33" i="12"/>
  <c r="FW33" i="12"/>
  <c r="FX33" i="12"/>
  <c r="FY33" i="12"/>
  <c r="FZ33" i="12"/>
  <c r="B29" i="12"/>
  <c r="C29" i="12"/>
  <c r="D29" i="12"/>
  <c r="E29" i="12"/>
  <c r="F29" i="12"/>
  <c r="G29" i="12"/>
  <c r="H29" i="12"/>
  <c r="I29" i="12"/>
  <c r="J29" i="12"/>
  <c r="K29" i="12"/>
  <c r="L29" i="12"/>
  <c r="M29" i="12"/>
  <c r="N29" i="12"/>
  <c r="P29" i="12"/>
  <c r="Q29" i="12"/>
  <c r="R29" i="12"/>
  <c r="S29" i="12"/>
  <c r="T29" i="12"/>
  <c r="U29" i="12"/>
  <c r="GG29" i="12" s="1"/>
  <c r="V29" i="12"/>
  <c r="W29" i="12"/>
  <c r="GI29" i="12" s="1"/>
  <c r="X29" i="12"/>
  <c r="Y29" i="12"/>
  <c r="GK29" i="12" s="1"/>
  <c r="Z29" i="12"/>
  <c r="AA29" i="12"/>
  <c r="AB29" i="12"/>
  <c r="AD29" i="12"/>
  <c r="AE29" i="12"/>
  <c r="AF29" i="12"/>
  <c r="AG29" i="12"/>
  <c r="AH29" i="12"/>
  <c r="AI29" i="12"/>
  <c r="AJ29" i="12"/>
  <c r="AK29" i="12"/>
  <c r="AL29" i="12"/>
  <c r="AM29" i="12"/>
  <c r="AN29" i="12"/>
  <c r="AO29" i="12"/>
  <c r="AP29" i="12"/>
  <c r="AR29" i="12"/>
  <c r="AS29" i="12"/>
  <c r="AT29" i="12"/>
  <c r="AU29" i="12"/>
  <c r="AV29" i="12"/>
  <c r="AW29" i="12"/>
  <c r="AX29" i="12"/>
  <c r="AY29" i="12"/>
  <c r="AZ29" i="12"/>
  <c r="BA29" i="12"/>
  <c r="BB29" i="12"/>
  <c r="BC29" i="12"/>
  <c r="BD29" i="12"/>
  <c r="BF29" i="12"/>
  <c r="BG29" i="12"/>
  <c r="BH29" i="12"/>
  <c r="BI29" i="12"/>
  <c r="BJ29" i="12"/>
  <c r="BK29" i="12"/>
  <c r="BL29" i="12"/>
  <c r="BM29" i="12"/>
  <c r="BN29" i="12"/>
  <c r="BO29" i="12"/>
  <c r="BP29" i="12"/>
  <c r="BQ29" i="12"/>
  <c r="BR29" i="12"/>
  <c r="BT29" i="12"/>
  <c r="BU29" i="12"/>
  <c r="BV29" i="12"/>
  <c r="BW29" i="12"/>
  <c r="BX29" i="12"/>
  <c r="BY29" i="12"/>
  <c r="BZ29" i="12"/>
  <c r="CA29" i="12"/>
  <c r="CB29" i="12"/>
  <c r="CC29" i="12"/>
  <c r="CD29" i="12"/>
  <c r="CE29" i="12"/>
  <c r="CF29" i="12"/>
  <c r="CH29" i="12"/>
  <c r="CI29" i="12"/>
  <c r="CJ29" i="12"/>
  <c r="CK29" i="12"/>
  <c r="CL29" i="12"/>
  <c r="CM29" i="12"/>
  <c r="CN29" i="12"/>
  <c r="CO29" i="12"/>
  <c r="CP29" i="12"/>
  <c r="CQ29" i="12"/>
  <c r="CR29" i="12"/>
  <c r="CS29" i="12"/>
  <c r="CT29" i="12"/>
  <c r="CV29" i="12"/>
  <c r="CW29" i="12"/>
  <c r="CX29" i="12"/>
  <c r="CY29" i="12"/>
  <c r="CZ29" i="12"/>
  <c r="DA29" i="12"/>
  <c r="DB29" i="12"/>
  <c r="DC29" i="12"/>
  <c r="DD29" i="12"/>
  <c r="DE29" i="12"/>
  <c r="DF29" i="12"/>
  <c r="DG29" i="12"/>
  <c r="DH29" i="12"/>
  <c r="DJ29" i="12"/>
  <c r="DK29" i="12"/>
  <c r="DL29" i="12"/>
  <c r="DM29" i="12"/>
  <c r="DN29" i="12"/>
  <c r="DO29" i="12"/>
  <c r="DP29" i="12"/>
  <c r="DQ29" i="12"/>
  <c r="DR29" i="12"/>
  <c r="DS29" i="12"/>
  <c r="DT29" i="12"/>
  <c r="DU29" i="12"/>
  <c r="DV29" i="12"/>
  <c r="DX29" i="12"/>
  <c r="DY29" i="12"/>
  <c r="DZ29" i="12"/>
  <c r="EA29" i="12"/>
  <c r="EB29" i="12"/>
  <c r="EC29" i="12"/>
  <c r="ED29" i="12"/>
  <c r="EE29" i="12"/>
  <c r="EF29" i="12"/>
  <c r="EG29" i="12"/>
  <c r="EH29" i="12"/>
  <c r="EI29" i="12"/>
  <c r="EJ29" i="12"/>
  <c r="EL29" i="12"/>
  <c r="EM29" i="12"/>
  <c r="EN29" i="12"/>
  <c r="EO29" i="12"/>
  <c r="EP29" i="12"/>
  <c r="EQ29" i="12"/>
  <c r="ER29" i="12"/>
  <c r="ES29" i="12"/>
  <c r="ET29" i="12"/>
  <c r="EU29" i="12"/>
  <c r="EV29" i="12"/>
  <c r="EW29" i="12"/>
  <c r="EX29" i="12"/>
  <c r="EZ29" i="12"/>
  <c r="HR29" i="12" s="1"/>
  <c r="FA29" i="12"/>
  <c r="FB29" i="12"/>
  <c r="FC29" i="12"/>
  <c r="FD29" i="12"/>
  <c r="FE29" i="12"/>
  <c r="FF29" i="12"/>
  <c r="FG29" i="12"/>
  <c r="FH29" i="12"/>
  <c r="FI29" i="12"/>
  <c r="FJ29" i="12"/>
  <c r="FK29" i="12"/>
  <c r="FL29" i="12"/>
  <c r="FN29" i="12"/>
  <c r="FO29" i="12"/>
  <c r="FP29" i="12"/>
  <c r="FQ29" i="12"/>
  <c r="FR29" i="12"/>
  <c r="FS29" i="12"/>
  <c r="FT29" i="12"/>
  <c r="FU29" i="12"/>
  <c r="FV29" i="12"/>
  <c r="FW29" i="12"/>
  <c r="FX29" i="12"/>
  <c r="FY29" i="12"/>
  <c r="FZ29" i="12"/>
  <c r="B28" i="12"/>
  <c r="C28" i="12"/>
  <c r="D28" i="12"/>
  <c r="E28" i="12"/>
  <c r="F28" i="12"/>
  <c r="G28" i="12"/>
  <c r="H28" i="12"/>
  <c r="I28" i="12"/>
  <c r="J28" i="12"/>
  <c r="K28" i="12"/>
  <c r="L28" i="12"/>
  <c r="M28" i="12"/>
  <c r="N28" i="12"/>
  <c r="P28" i="12"/>
  <c r="Q28" i="12"/>
  <c r="R28" i="12"/>
  <c r="S28" i="12"/>
  <c r="T28" i="12"/>
  <c r="GF28" i="12" s="1"/>
  <c r="U28" i="12"/>
  <c r="V28" i="12"/>
  <c r="W28" i="12"/>
  <c r="X28" i="12"/>
  <c r="GJ28" i="12" s="1"/>
  <c r="Y28" i="12"/>
  <c r="Z28" i="12"/>
  <c r="AA28" i="12"/>
  <c r="AB28" i="12"/>
  <c r="AD28" i="12"/>
  <c r="AE28" i="12"/>
  <c r="AF28" i="12"/>
  <c r="AG28" i="12"/>
  <c r="AH28" i="12"/>
  <c r="AI28" i="12"/>
  <c r="AJ28" i="12"/>
  <c r="AK28" i="12"/>
  <c r="AL28" i="12"/>
  <c r="AM28" i="12"/>
  <c r="AN28" i="12"/>
  <c r="AO28" i="12"/>
  <c r="AP28" i="12"/>
  <c r="AR28" i="12"/>
  <c r="AS28" i="12"/>
  <c r="AT28" i="12"/>
  <c r="AU28" i="12"/>
  <c r="AV28" i="12"/>
  <c r="AW28" i="12"/>
  <c r="AX28" i="12"/>
  <c r="AY28" i="12"/>
  <c r="AZ28" i="12"/>
  <c r="BA28" i="12"/>
  <c r="BB28" i="12"/>
  <c r="BC28" i="12"/>
  <c r="BD28" i="12"/>
  <c r="BF28" i="12"/>
  <c r="BG28" i="12"/>
  <c r="BH28" i="12"/>
  <c r="BI28" i="12"/>
  <c r="BJ28" i="12"/>
  <c r="BK28" i="12"/>
  <c r="BL28" i="12"/>
  <c r="BM28" i="12"/>
  <c r="BN28" i="12"/>
  <c r="BO28" i="12"/>
  <c r="BP28" i="12"/>
  <c r="BQ28" i="12"/>
  <c r="BR28" i="12"/>
  <c r="BT28" i="12"/>
  <c r="BU28" i="12"/>
  <c r="BV28" i="12"/>
  <c r="BW28" i="12"/>
  <c r="BX28" i="12"/>
  <c r="BY28" i="12"/>
  <c r="BZ28" i="12"/>
  <c r="CA28" i="12"/>
  <c r="CB28" i="12"/>
  <c r="CC28" i="12"/>
  <c r="CD28" i="12"/>
  <c r="CE28" i="12"/>
  <c r="CF28" i="12"/>
  <c r="CH28" i="12"/>
  <c r="CI28" i="12"/>
  <c r="CJ28" i="12"/>
  <c r="CK28" i="12"/>
  <c r="CL28" i="12"/>
  <c r="CM28" i="12"/>
  <c r="CN28" i="12"/>
  <c r="CO28" i="12"/>
  <c r="CP28" i="12"/>
  <c r="CQ28" i="12"/>
  <c r="CR28" i="12"/>
  <c r="CS28" i="12"/>
  <c r="CT28" i="12"/>
  <c r="CV28" i="12"/>
  <c r="CW28" i="12"/>
  <c r="CX28" i="12"/>
  <c r="CY28" i="12"/>
  <c r="CZ28" i="12"/>
  <c r="DA28" i="12"/>
  <c r="DB28" i="12"/>
  <c r="DC28" i="12"/>
  <c r="DD28" i="12"/>
  <c r="DE28" i="12"/>
  <c r="DF28" i="12"/>
  <c r="DG28" i="12"/>
  <c r="DH28" i="12"/>
  <c r="DJ28" i="12"/>
  <c r="DK28" i="12"/>
  <c r="DL28" i="12"/>
  <c r="DM28" i="12"/>
  <c r="DN28" i="12"/>
  <c r="DO28" i="12"/>
  <c r="DP28" i="12"/>
  <c r="DQ28" i="12"/>
  <c r="DR28" i="12"/>
  <c r="DS28" i="12"/>
  <c r="DT28" i="12"/>
  <c r="DU28" i="12"/>
  <c r="DV28" i="12"/>
  <c r="DX28" i="12"/>
  <c r="DY28" i="12"/>
  <c r="DZ28" i="12"/>
  <c r="EA28" i="12"/>
  <c r="EB28" i="12"/>
  <c r="EC28" i="12"/>
  <c r="ED28" i="12"/>
  <c r="EE28" i="12"/>
  <c r="EF28" i="12"/>
  <c r="EG28" i="12"/>
  <c r="EH28" i="12"/>
  <c r="EI28" i="12"/>
  <c r="EJ28" i="12"/>
  <c r="EL28" i="12"/>
  <c r="EM28" i="12"/>
  <c r="EN28" i="12"/>
  <c r="EO28" i="12"/>
  <c r="EP28" i="12"/>
  <c r="EQ28" i="12"/>
  <c r="ER28" i="12"/>
  <c r="ES28" i="12"/>
  <c r="ET28" i="12"/>
  <c r="EU28" i="12"/>
  <c r="EV28" i="12"/>
  <c r="EW28" i="12"/>
  <c r="EX28" i="12"/>
  <c r="EZ28" i="12"/>
  <c r="HR28" i="12" s="1"/>
  <c r="FA28" i="12"/>
  <c r="HS28" i="12" s="1"/>
  <c r="FB28" i="12"/>
  <c r="FC28" i="12"/>
  <c r="FD28" i="12"/>
  <c r="FE28" i="12"/>
  <c r="FF28" i="12"/>
  <c r="FG28" i="12"/>
  <c r="FH28" i="12"/>
  <c r="FI28" i="12"/>
  <c r="FJ28" i="12"/>
  <c r="FK28" i="12"/>
  <c r="FL28" i="12"/>
  <c r="ID28" i="12" s="1"/>
  <c r="FN28" i="12"/>
  <c r="FO28" i="12"/>
  <c r="FP28" i="12"/>
  <c r="FQ28" i="12"/>
  <c r="FR28" i="12"/>
  <c r="FS28" i="12"/>
  <c r="FT28" i="12"/>
  <c r="FU28" i="12"/>
  <c r="FV28" i="12"/>
  <c r="FW28" i="12"/>
  <c r="FX28" i="12"/>
  <c r="FY28" i="12"/>
  <c r="FZ28" i="12"/>
  <c r="B27" i="12"/>
  <c r="C27" i="12"/>
  <c r="D27" i="12"/>
  <c r="E27" i="12"/>
  <c r="F27" i="12"/>
  <c r="G27" i="12"/>
  <c r="H27" i="12"/>
  <c r="I27" i="12"/>
  <c r="J27" i="12"/>
  <c r="K27" i="12"/>
  <c r="L27" i="12"/>
  <c r="M27" i="12"/>
  <c r="N27" i="12"/>
  <c r="P27" i="12"/>
  <c r="Q27" i="12"/>
  <c r="R27" i="12"/>
  <c r="S27" i="12"/>
  <c r="T27" i="12"/>
  <c r="U27" i="12"/>
  <c r="V27" i="12"/>
  <c r="W27" i="12"/>
  <c r="X27" i="12"/>
  <c r="Y27" i="12"/>
  <c r="Z27" i="12"/>
  <c r="AA27" i="12"/>
  <c r="AB27" i="12"/>
  <c r="AD27" i="12"/>
  <c r="AE27" i="12"/>
  <c r="AF27" i="12"/>
  <c r="AG27" i="12"/>
  <c r="AH27" i="12"/>
  <c r="AI27" i="12"/>
  <c r="AJ27" i="12"/>
  <c r="AK27" i="12"/>
  <c r="AL27" i="12"/>
  <c r="AM27" i="12"/>
  <c r="AN27" i="12"/>
  <c r="AO27" i="12"/>
  <c r="AP27" i="12"/>
  <c r="AR27" i="12"/>
  <c r="AS27" i="12"/>
  <c r="AT27" i="12"/>
  <c r="AU27" i="12"/>
  <c r="AV27" i="12"/>
  <c r="AW27" i="12"/>
  <c r="AX27" i="12"/>
  <c r="AY27" i="12"/>
  <c r="AZ27" i="12"/>
  <c r="BA27" i="12"/>
  <c r="BB27" i="12"/>
  <c r="BC27" i="12"/>
  <c r="BD27" i="12"/>
  <c r="BF27" i="12"/>
  <c r="BG27" i="12"/>
  <c r="BH27" i="12"/>
  <c r="BI27" i="12"/>
  <c r="BJ27" i="12"/>
  <c r="BK27" i="12"/>
  <c r="BL27" i="12"/>
  <c r="BM27" i="12"/>
  <c r="BN27" i="12"/>
  <c r="BO27" i="12"/>
  <c r="BP27" i="12"/>
  <c r="BQ27" i="12"/>
  <c r="BR27" i="12"/>
  <c r="BT27" i="12"/>
  <c r="BU27" i="12"/>
  <c r="BV27" i="12"/>
  <c r="BW27" i="12"/>
  <c r="BX27" i="12"/>
  <c r="BY27" i="12"/>
  <c r="BZ27" i="12"/>
  <c r="CA27" i="12"/>
  <c r="CB27" i="12"/>
  <c r="CC27" i="12"/>
  <c r="CD27" i="12"/>
  <c r="CE27" i="12"/>
  <c r="CF27" i="12"/>
  <c r="CH27" i="12"/>
  <c r="CI27" i="12"/>
  <c r="CJ27" i="12"/>
  <c r="CK27" i="12"/>
  <c r="CL27" i="12"/>
  <c r="CM27" i="12"/>
  <c r="CN27" i="12"/>
  <c r="CO27" i="12"/>
  <c r="CP27" i="12"/>
  <c r="CQ27" i="12"/>
  <c r="CR27" i="12"/>
  <c r="CS27" i="12"/>
  <c r="CT27" i="12"/>
  <c r="CV27" i="12"/>
  <c r="CW27" i="12"/>
  <c r="CX27" i="12"/>
  <c r="CY27" i="12"/>
  <c r="CZ27" i="12"/>
  <c r="DA27" i="12"/>
  <c r="DB27" i="12"/>
  <c r="DC27" i="12"/>
  <c r="DD27" i="12"/>
  <c r="DE27" i="12"/>
  <c r="DF27" i="12"/>
  <c r="DG27" i="12"/>
  <c r="DH27" i="12"/>
  <c r="DJ27" i="12"/>
  <c r="DK27" i="12"/>
  <c r="DL27" i="12"/>
  <c r="DM27" i="12"/>
  <c r="DN27" i="12"/>
  <c r="DO27" i="12"/>
  <c r="DP27" i="12"/>
  <c r="DQ27" i="12"/>
  <c r="DR27" i="12"/>
  <c r="DS27" i="12"/>
  <c r="DT27" i="12"/>
  <c r="DU27" i="12"/>
  <c r="DV27" i="12"/>
  <c r="DX27" i="12"/>
  <c r="DY27" i="12"/>
  <c r="DZ27" i="12"/>
  <c r="EA27" i="12"/>
  <c r="EB27" i="12"/>
  <c r="EC27" i="12"/>
  <c r="ED27" i="12"/>
  <c r="EE27" i="12"/>
  <c r="EF27" i="12"/>
  <c r="EG27" i="12"/>
  <c r="EH27" i="12"/>
  <c r="EI27" i="12"/>
  <c r="EJ27" i="12"/>
  <c r="EL27" i="12"/>
  <c r="EM27" i="12"/>
  <c r="EN27" i="12"/>
  <c r="EO27" i="12"/>
  <c r="EP27" i="12"/>
  <c r="EQ27" i="12"/>
  <c r="ER27" i="12"/>
  <c r="ES27" i="12"/>
  <c r="ET27" i="12"/>
  <c r="EU27" i="12"/>
  <c r="GY27" i="12" s="1"/>
  <c r="EV27" i="12"/>
  <c r="EW27" i="12"/>
  <c r="HA27" i="12" s="1"/>
  <c r="EX27" i="12"/>
  <c r="EZ27" i="12"/>
  <c r="FA27" i="12"/>
  <c r="FB27" i="12"/>
  <c r="FC27" i="12"/>
  <c r="FD27" i="12"/>
  <c r="FE27" i="12"/>
  <c r="FF27" i="12"/>
  <c r="FG27" i="12"/>
  <c r="FH27" i="12"/>
  <c r="FI27" i="12"/>
  <c r="FJ27" i="12"/>
  <c r="FK27" i="12"/>
  <c r="FL27" i="12"/>
  <c r="ID27" i="12" s="1"/>
  <c r="FN27" i="12"/>
  <c r="FO27" i="12"/>
  <c r="FP27" i="12"/>
  <c r="FQ27" i="12"/>
  <c r="FR27" i="12"/>
  <c r="FS27" i="12"/>
  <c r="FT27" i="12"/>
  <c r="FU27" i="12"/>
  <c r="FV27" i="12"/>
  <c r="FW27" i="12"/>
  <c r="FX27" i="12"/>
  <c r="FY27" i="12"/>
  <c r="FZ27" i="12"/>
  <c r="B26" i="12"/>
  <c r="C26" i="12"/>
  <c r="D26" i="12"/>
  <c r="E26" i="12"/>
  <c r="F26" i="12"/>
  <c r="G26" i="12"/>
  <c r="H26" i="12"/>
  <c r="I26" i="12"/>
  <c r="J26" i="12"/>
  <c r="K26" i="12"/>
  <c r="L26" i="12"/>
  <c r="M26" i="12"/>
  <c r="N26" i="12"/>
  <c r="P26" i="12"/>
  <c r="Q26" i="12"/>
  <c r="R26" i="12"/>
  <c r="GD26" i="12" s="1"/>
  <c r="S26" i="12"/>
  <c r="T26" i="12"/>
  <c r="U26" i="12"/>
  <c r="V26" i="12"/>
  <c r="GH26" i="12" s="1"/>
  <c r="W26" i="12"/>
  <c r="X26" i="12"/>
  <c r="Y26" i="12"/>
  <c r="Z26" i="12"/>
  <c r="AA26" i="12"/>
  <c r="AB26" i="12"/>
  <c r="AD26" i="12"/>
  <c r="AE26" i="12"/>
  <c r="AF26" i="12"/>
  <c r="AG26" i="12"/>
  <c r="AH26" i="12"/>
  <c r="AI26" i="12"/>
  <c r="AJ26" i="12"/>
  <c r="AK26" i="12"/>
  <c r="AL26" i="12"/>
  <c r="AM26" i="12"/>
  <c r="AN26" i="12"/>
  <c r="AO26" i="12"/>
  <c r="AP26" i="12"/>
  <c r="AR26" i="12"/>
  <c r="AS26" i="12"/>
  <c r="AT26" i="12"/>
  <c r="AU26" i="12"/>
  <c r="AV26" i="12"/>
  <c r="AW26" i="12"/>
  <c r="AX26" i="12"/>
  <c r="AY26" i="12"/>
  <c r="AZ26" i="12"/>
  <c r="BA26" i="12"/>
  <c r="BB26" i="12"/>
  <c r="BC26" i="12"/>
  <c r="BD26" i="12"/>
  <c r="BF26" i="12"/>
  <c r="BG26" i="12"/>
  <c r="BH26" i="12"/>
  <c r="BI26" i="12"/>
  <c r="BJ26" i="12"/>
  <c r="BK26" i="12"/>
  <c r="BL26" i="12"/>
  <c r="BM26" i="12"/>
  <c r="BN26" i="12"/>
  <c r="BO26" i="12"/>
  <c r="BP26" i="12"/>
  <c r="BQ26" i="12"/>
  <c r="BR26" i="12"/>
  <c r="BT26" i="12"/>
  <c r="BU26" i="12"/>
  <c r="BV26" i="12"/>
  <c r="BW26" i="12"/>
  <c r="BX26" i="12"/>
  <c r="BY26" i="12"/>
  <c r="BZ26" i="12"/>
  <c r="CA26" i="12"/>
  <c r="CB26" i="12"/>
  <c r="CC26" i="12"/>
  <c r="CD26" i="12"/>
  <c r="CE26" i="12"/>
  <c r="CF26" i="12"/>
  <c r="CH26" i="12"/>
  <c r="CI26" i="12"/>
  <c r="CJ26" i="12"/>
  <c r="CK26" i="12"/>
  <c r="CL26" i="12"/>
  <c r="CM26" i="12"/>
  <c r="CN26" i="12"/>
  <c r="CO26" i="12"/>
  <c r="CP26" i="12"/>
  <c r="CQ26" i="12"/>
  <c r="CR26" i="12"/>
  <c r="CS26" i="12"/>
  <c r="CT26" i="12"/>
  <c r="CV26" i="12"/>
  <c r="CW26" i="12"/>
  <c r="CX26" i="12"/>
  <c r="CY26" i="12"/>
  <c r="CZ26" i="12"/>
  <c r="DA26" i="12"/>
  <c r="DB26" i="12"/>
  <c r="DC26" i="12"/>
  <c r="DD26" i="12"/>
  <c r="DE26" i="12"/>
  <c r="DF26" i="12"/>
  <c r="DG26" i="12"/>
  <c r="DH26" i="12"/>
  <c r="DJ26" i="12"/>
  <c r="DK26" i="12"/>
  <c r="DL26" i="12"/>
  <c r="DM26" i="12"/>
  <c r="DN26" i="12"/>
  <c r="DO26" i="12"/>
  <c r="DP26" i="12"/>
  <c r="DQ26" i="12"/>
  <c r="DR26" i="12"/>
  <c r="DS26" i="12"/>
  <c r="DT26" i="12"/>
  <c r="DU26" i="12"/>
  <c r="DV26" i="12"/>
  <c r="DX26" i="12"/>
  <c r="DY26" i="12"/>
  <c r="DZ26" i="12"/>
  <c r="EA26" i="12"/>
  <c r="EB26" i="12"/>
  <c r="EC26" i="12"/>
  <c r="ED26" i="12"/>
  <c r="EE26" i="12"/>
  <c r="EF26" i="12"/>
  <c r="EG26" i="12"/>
  <c r="EH26" i="12"/>
  <c r="EI26" i="12"/>
  <c r="EJ26" i="12"/>
  <c r="EL26" i="12"/>
  <c r="EM26" i="12"/>
  <c r="EN26" i="12"/>
  <c r="EO26" i="12"/>
  <c r="EP26" i="12"/>
  <c r="EQ26" i="12"/>
  <c r="ER26" i="12"/>
  <c r="ES26" i="12"/>
  <c r="ET26" i="12"/>
  <c r="EU26" i="12"/>
  <c r="EV26" i="12"/>
  <c r="EW26" i="12"/>
  <c r="EX26" i="12"/>
  <c r="EZ26" i="12"/>
  <c r="FA26" i="12"/>
  <c r="FB26" i="12"/>
  <c r="FC26" i="12"/>
  <c r="FD26" i="12"/>
  <c r="FE26" i="12"/>
  <c r="HW26" i="12" s="1"/>
  <c r="FF26" i="12"/>
  <c r="HX26" i="12" s="1"/>
  <c r="FG26" i="12"/>
  <c r="FH26" i="12"/>
  <c r="FI26" i="12"/>
  <c r="FJ26" i="12"/>
  <c r="FK26" i="12"/>
  <c r="FL26" i="12"/>
  <c r="ID26" i="12" s="1"/>
  <c r="FN26" i="12"/>
  <c r="FO26" i="12"/>
  <c r="FP26" i="12"/>
  <c r="FQ26" i="12"/>
  <c r="FR26" i="12"/>
  <c r="FS26" i="12"/>
  <c r="FT26" i="12"/>
  <c r="FU26" i="12"/>
  <c r="FV26" i="12"/>
  <c r="FW26" i="12"/>
  <c r="FX26" i="12"/>
  <c r="FY26" i="12"/>
  <c r="FZ26" i="12"/>
  <c r="B25" i="12"/>
  <c r="C25" i="12"/>
  <c r="D25" i="12"/>
  <c r="E25" i="12"/>
  <c r="F25" i="12"/>
  <c r="G25" i="12"/>
  <c r="H25" i="12"/>
  <c r="I25" i="12"/>
  <c r="J25" i="12"/>
  <c r="K25" i="12"/>
  <c r="L25" i="12"/>
  <c r="M25" i="12"/>
  <c r="N25" i="12"/>
  <c r="P25" i="12"/>
  <c r="Q25" i="12"/>
  <c r="R25" i="12"/>
  <c r="S25" i="12"/>
  <c r="T25" i="12"/>
  <c r="U25" i="12"/>
  <c r="V25" i="12"/>
  <c r="W25" i="12"/>
  <c r="X25" i="12"/>
  <c r="Y25" i="12"/>
  <c r="Z25" i="12"/>
  <c r="AA25" i="12"/>
  <c r="AB25" i="12"/>
  <c r="AD25" i="12"/>
  <c r="AE25" i="12"/>
  <c r="AF25" i="12"/>
  <c r="AG25" i="12"/>
  <c r="AH25" i="12"/>
  <c r="AI25" i="12"/>
  <c r="AJ25" i="12"/>
  <c r="AK25" i="12"/>
  <c r="AL25" i="12"/>
  <c r="AM25" i="12"/>
  <c r="AN25" i="12"/>
  <c r="AO25" i="12"/>
  <c r="AP25" i="12"/>
  <c r="AR25" i="12"/>
  <c r="AS25" i="12"/>
  <c r="AT25" i="12"/>
  <c r="AU25" i="12"/>
  <c r="AV25" i="12"/>
  <c r="AW25" i="12"/>
  <c r="AX25" i="12"/>
  <c r="AY25" i="12"/>
  <c r="AZ25" i="12"/>
  <c r="BA25" i="12"/>
  <c r="BB25" i="12"/>
  <c r="BC25" i="12"/>
  <c r="BD25" i="12"/>
  <c r="BF25" i="12"/>
  <c r="BG25" i="12"/>
  <c r="BH25" i="12"/>
  <c r="BI25" i="12"/>
  <c r="BJ25" i="12"/>
  <c r="BK25" i="12"/>
  <c r="BL25" i="12"/>
  <c r="BM25" i="12"/>
  <c r="BN25" i="12"/>
  <c r="BO25" i="12"/>
  <c r="BP25" i="12"/>
  <c r="BQ25" i="12"/>
  <c r="BR25" i="12"/>
  <c r="BT25" i="12"/>
  <c r="BU25" i="12"/>
  <c r="BV25" i="12"/>
  <c r="BW25" i="12"/>
  <c r="BX25" i="12"/>
  <c r="BY25" i="12"/>
  <c r="BZ25" i="12"/>
  <c r="CA25" i="12"/>
  <c r="CB25" i="12"/>
  <c r="CC25" i="12"/>
  <c r="CD25" i="12"/>
  <c r="CE25" i="12"/>
  <c r="CF25" i="12"/>
  <c r="CH25" i="12"/>
  <c r="CI25" i="12"/>
  <c r="CJ25" i="12"/>
  <c r="CK25" i="12"/>
  <c r="CL25" i="12"/>
  <c r="CM25" i="12"/>
  <c r="CN25" i="12"/>
  <c r="CO25" i="12"/>
  <c r="CP25" i="12"/>
  <c r="CQ25" i="12"/>
  <c r="CR25" i="12"/>
  <c r="CS25" i="12"/>
  <c r="CT25" i="12"/>
  <c r="CV25" i="12"/>
  <c r="CW25" i="12"/>
  <c r="CX25" i="12"/>
  <c r="CY25" i="12"/>
  <c r="CZ25" i="12"/>
  <c r="DA25" i="12"/>
  <c r="DB25" i="12"/>
  <c r="DC25" i="12"/>
  <c r="DD25" i="12"/>
  <c r="DE25" i="12"/>
  <c r="DF25" i="12"/>
  <c r="DG25" i="12"/>
  <c r="DH25" i="12"/>
  <c r="DJ25" i="12"/>
  <c r="DK25" i="12"/>
  <c r="DL25" i="12"/>
  <c r="DM25" i="12"/>
  <c r="DN25" i="12"/>
  <c r="DO25" i="12"/>
  <c r="DP25" i="12"/>
  <c r="DQ25" i="12"/>
  <c r="DR25" i="12"/>
  <c r="DS25" i="12"/>
  <c r="DT25" i="12"/>
  <c r="DU25" i="12"/>
  <c r="DV25" i="12"/>
  <c r="DX25" i="12"/>
  <c r="DY25" i="12"/>
  <c r="DZ25" i="12"/>
  <c r="EA25" i="12"/>
  <c r="EB25" i="12"/>
  <c r="EC25" i="12"/>
  <c r="ED25" i="12"/>
  <c r="EE25" i="12"/>
  <c r="EF25" i="12"/>
  <c r="EG25" i="12"/>
  <c r="EH25" i="12"/>
  <c r="EI25" i="12"/>
  <c r="EJ25" i="12"/>
  <c r="EL25" i="12"/>
  <c r="EM25" i="12"/>
  <c r="EN25" i="12"/>
  <c r="EO25" i="12"/>
  <c r="GS25" i="12" s="1"/>
  <c r="EP25" i="12"/>
  <c r="GF25" i="12" s="1"/>
  <c r="EQ25" i="12"/>
  <c r="GU25" i="12" s="1"/>
  <c r="ER25" i="12"/>
  <c r="GV25" i="12" s="1"/>
  <c r="ES25" i="12"/>
  <c r="ET25" i="12"/>
  <c r="EU25" i="12"/>
  <c r="EV25" i="12"/>
  <c r="EW25" i="12"/>
  <c r="EX25" i="12"/>
  <c r="EZ25" i="12"/>
  <c r="HR25" i="12" s="1"/>
  <c r="FA25" i="12"/>
  <c r="FB25" i="12"/>
  <c r="HT25" i="12" s="1"/>
  <c r="FG25" i="12"/>
  <c r="HY25" i="12" s="1"/>
  <c r="FH25" i="12"/>
  <c r="HZ25" i="12" s="1"/>
  <c r="FI25" i="12"/>
  <c r="FJ25" i="12"/>
  <c r="FK25" i="12"/>
  <c r="FL25" i="12"/>
  <c r="ID25" i="12" s="1"/>
  <c r="FN25" i="12"/>
  <c r="FO25" i="12"/>
  <c r="FP25" i="12"/>
  <c r="FR25" i="12"/>
  <c r="FS25" i="12"/>
  <c r="FT25" i="12"/>
  <c r="FU25" i="12"/>
  <c r="FV25" i="12"/>
  <c r="FW25" i="12"/>
  <c r="FX25" i="12"/>
  <c r="FY25" i="12"/>
  <c r="FZ25" i="12"/>
  <c r="B24" i="12"/>
  <c r="C24" i="12"/>
  <c r="D24" i="12"/>
  <c r="E24" i="12"/>
  <c r="F24" i="12"/>
  <c r="G24" i="12"/>
  <c r="H24" i="12"/>
  <c r="I24" i="12"/>
  <c r="J24" i="12"/>
  <c r="K24" i="12"/>
  <c r="L24" i="12"/>
  <c r="M24" i="12"/>
  <c r="N24" i="12"/>
  <c r="P24" i="12"/>
  <c r="Q24" i="12"/>
  <c r="GC24" i="12" s="1"/>
  <c r="R24" i="12"/>
  <c r="GD24" i="12" s="1"/>
  <c r="S24" i="12"/>
  <c r="GE24" i="12" s="1"/>
  <c r="T24" i="12"/>
  <c r="U24" i="12"/>
  <c r="GG24" i="12" s="1"/>
  <c r="V24" i="12"/>
  <c r="W24" i="12"/>
  <c r="X24" i="12"/>
  <c r="Y24" i="12"/>
  <c r="Z24" i="12"/>
  <c r="AA24" i="12"/>
  <c r="AB24" i="12"/>
  <c r="AD24" i="12"/>
  <c r="AE24" i="12"/>
  <c r="AF24" i="12"/>
  <c r="AG24" i="12"/>
  <c r="AH24" i="12"/>
  <c r="AI24" i="12"/>
  <c r="AJ24" i="12"/>
  <c r="AK24" i="12"/>
  <c r="AL24" i="12"/>
  <c r="AM24" i="12"/>
  <c r="AN24" i="12"/>
  <c r="AO24" i="12"/>
  <c r="AP24" i="12"/>
  <c r="AR24" i="12"/>
  <c r="AS24" i="12"/>
  <c r="AT24" i="12"/>
  <c r="AU24" i="12"/>
  <c r="AV24" i="12"/>
  <c r="AW24" i="12"/>
  <c r="AX24" i="12"/>
  <c r="AY24" i="12"/>
  <c r="AZ24" i="12"/>
  <c r="BA24" i="12"/>
  <c r="BB24" i="12"/>
  <c r="BC24" i="12"/>
  <c r="BD24" i="12"/>
  <c r="BF24" i="12"/>
  <c r="BG24" i="12"/>
  <c r="BH24" i="12"/>
  <c r="BI24" i="12"/>
  <c r="BJ24" i="12"/>
  <c r="BK24" i="12"/>
  <c r="BL24" i="12"/>
  <c r="BM24" i="12"/>
  <c r="BN24" i="12"/>
  <c r="BO24" i="12"/>
  <c r="BP24" i="12"/>
  <c r="BQ24" i="12"/>
  <c r="BR24" i="12"/>
  <c r="BT24" i="12"/>
  <c r="BU24" i="12"/>
  <c r="BV24" i="12"/>
  <c r="BW24" i="12"/>
  <c r="BX24" i="12"/>
  <c r="BY24" i="12"/>
  <c r="BZ24" i="12"/>
  <c r="CA24" i="12"/>
  <c r="CB24" i="12"/>
  <c r="CC24" i="12"/>
  <c r="CD24" i="12"/>
  <c r="CE24" i="12"/>
  <c r="CF24" i="12"/>
  <c r="CH24" i="12"/>
  <c r="CI24" i="12"/>
  <c r="CJ24" i="12"/>
  <c r="CK24" i="12"/>
  <c r="CL24" i="12"/>
  <c r="CM24" i="12"/>
  <c r="CN24" i="12"/>
  <c r="CO24" i="12"/>
  <c r="CP24" i="12"/>
  <c r="CQ24" i="12"/>
  <c r="CR24" i="12"/>
  <c r="CS24" i="12"/>
  <c r="CT24" i="12"/>
  <c r="CV24" i="12"/>
  <c r="CW24" i="12"/>
  <c r="CX24" i="12"/>
  <c r="CY24" i="12"/>
  <c r="CZ24" i="12"/>
  <c r="DA24" i="12"/>
  <c r="DB24" i="12"/>
  <c r="DC24" i="12"/>
  <c r="DD24" i="12"/>
  <c r="DE24" i="12"/>
  <c r="DF24" i="12"/>
  <c r="DG24" i="12"/>
  <c r="DH24" i="12"/>
  <c r="DJ24" i="12"/>
  <c r="DK24" i="12"/>
  <c r="DL24" i="12"/>
  <c r="DM24" i="12"/>
  <c r="DN24" i="12"/>
  <c r="DO24" i="12"/>
  <c r="DP24" i="12"/>
  <c r="DQ24" i="12"/>
  <c r="DR24" i="12"/>
  <c r="DS24" i="12"/>
  <c r="DT24" i="12"/>
  <c r="DU24" i="12"/>
  <c r="DV24" i="12"/>
  <c r="DX24" i="12"/>
  <c r="DY24" i="12"/>
  <c r="DZ24" i="12"/>
  <c r="EA24" i="12"/>
  <c r="EB24" i="12"/>
  <c r="EC24" i="12"/>
  <c r="ED24" i="12"/>
  <c r="EE24" i="12"/>
  <c r="EF24" i="12"/>
  <c r="EG24" i="12"/>
  <c r="EH24" i="12"/>
  <c r="EI24" i="12"/>
  <c r="EJ24" i="12"/>
  <c r="EL24" i="12"/>
  <c r="EM24" i="12"/>
  <c r="EN24" i="12"/>
  <c r="EO24" i="12"/>
  <c r="EP24" i="12"/>
  <c r="EQ24" i="12"/>
  <c r="ER24" i="12"/>
  <c r="ES24" i="12"/>
  <c r="ET24" i="12"/>
  <c r="EU24" i="12"/>
  <c r="GK24" i="12" s="1"/>
  <c r="EV24" i="12"/>
  <c r="EW24" i="12"/>
  <c r="GM24" i="12" s="1"/>
  <c r="EX24" i="12"/>
  <c r="EZ24" i="12"/>
  <c r="FA24" i="12"/>
  <c r="FB24" i="12"/>
  <c r="HT24" i="12" s="1"/>
  <c r="FC24" i="12"/>
  <c r="FD24" i="12"/>
  <c r="HV24" i="12" s="1"/>
  <c r="FE24" i="12"/>
  <c r="HW24" i="12" s="1"/>
  <c r="FF24" i="12"/>
  <c r="FG24" i="12"/>
  <c r="HY24" i="12" s="1"/>
  <c r="FH24" i="12"/>
  <c r="HZ24" i="12" s="1"/>
  <c r="FI24" i="12"/>
  <c r="FJ24" i="12"/>
  <c r="FK24" i="12"/>
  <c r="FL24" i="12"/>
  <c r="ID24" i="12" s="1"/>
  <c r="FN24" i="12"/>
  <c r="FO24" i="12"/>
  <c r="FP24" i="12"/>
  <c r="B20" i="12"/>
  <c r="C20" i="12"/>
  <c r="D20" i="12"/>
  <c r="E20" i="12"/>
  <c r="F20" i="12"/>
  <c r="G20" i="12"/>
  <c r="H20" i="12"/>
  <c r="I20" i="12"/>
  <c r="J20" i="12"/>
  <c r="K20" i="12"/>
  <c r="L20" i="12"/>
  <c r="M20" i="12"/>
  <c r="N20" i="12"/>
  <c r="P20" i="12"/>
  <c r="GB20" i="12" s="1"/>
  <c r="Q20" i="12"/>
  <c r="R20" i="12"/>
  <c r="HF20" i="12" s="1"/>
  <c r="S20" i="12"/>
  <c r="T20" i="12"/>
  <c r="U20" i="12"/>
  <c r="V20" i="12"/>
  <c r="W20" i="12"/>
  <c r="X20" i="12"/>
  <c r="Y20" i="12"/>
  <c r="Z20" i="12"/>
  <c r="AA20" i="12"/>
  <c r="AB20" i="12"/>
  <c r="GN20" i="12" s="1"/>
  <c r="AD20" i="12"/>
  <c r="AE20" i="12"/>
  <c r="AF20" i="12"/>
  <c r="AG20" i="12"/>
  <c r="AH20" i="12"/>
  <c r="AI20" i="12"/>
  <c r="AJ20" i="12"/>
  <c r="AK20" i="12"/>
  <c r="AL20" i="12"/>
  <c r="AM20" i="12"/>
  <c r="AN20" i="12"/>
  <c r="AO20" i="12"/>
  <c r="AP20" i="12"/>
  <c r="AR20" i="12"/>
  <c r="AS20" i="12"/>
  <c r="AT20" i="12"/>
  <c r="AU20" i="12"/>
  <c r="AV20" i="12"/>
  <c r="AW20" i="12"/>
  <c r="AX20" i="12"/>
  <c r="AY20" i="12"/>
  <c r="AZ20" i="12"/>
  <c r="BA20" i="12"/>
  <c r="BB20" i="12"/>
  <c r="BC20" i="12"/>
  <c r="BD20" i="12"/>
  <c r="BF20" i="12"/>
  <c r="BG20" i="12"/>
  <c r="BH20" i="12"/>
  <c r="BI20" i="12"/>
  <c r="BJ20" i="12"/>
  <c r="BK20" i="12"/>
  <c r="BL20" i="12"/>
  <c r="BM20" i="12"/>
  <c r="BN20" i="12"/>
  <c r="BO20" i="12"/>
  <c r="BP20" i="12"/>
  <c r="BQ20" i="12"/>
  <c r="BR20" i="12"/>
  <c r="BT20" i="12"/>
  <c r="BU20" i="12"/>
  <c r="BV20" i="12"/>
  <c r="BW20" i="12"/>
  <c r="BX20" i="12"/>
  <c r="BY20" i="12"/>
  <c r="BZ20" i="12"/>
  <c r="CA20" i="12"/>
  <c r="CB20" i="12"/>
  <c r="CC20" i="12"/>
  <c r="CD20" i="12"/>
  <c r="CE20" i="12"/>
  <c r="CF20" i="12"/>
  <c r="CH20" i="12"/>
  <c r="CI20" i="12"/>
  <c r="CJ20" i="12"/>
  <c r="CK20" i="12"/>
  <c r="CL20" i="12"/>
  <c r="CM20" i="12"/>
  <c r="CN20" i="12"/>
  <c r="CO20" i="12"/>
  <c r="CP20" i="12"/>
  <c r="CQ20" i="12"/>
  <c r="CR20" i="12"/>
  <c r="CS20" i="12"/>
  <c r="CT20" i="12"/>
  <c r="CV20" i="12"/>
  <c r="CW20" i="12"/>
  <c r="CX20" i="12"/>
  <c r="CY20" i="12"/>
  <c r="CZ20" i="12"/>
  <c r="DA20" i="12"/>
  <c r="DB20" i="12"/>
  <c r="DC20" i="12"/>
  <c r="DD20" i="12"/>
  <c r="DE20" i="12"/>
  <c r="DF20" i="12"/>
  <c r="DG20" i="12"/>
  <c r="DH20" i="12"/>
  <c r="DJ20" i="12"/>
  <c r="DK20" i="12"/>
  <c r="DL20" i="12"/>
  <c r="DM20" i="12"/>
  <c r="DN20" i="12"/>
  <c r="DO20" i="12"/>
  <c r="DP20" i="12"/>
  <c r="DQ20" i="12"/>
  <c r="DR20" i="12"/>
  <c r="DS20" i="12"/>
  <c r="DT20" i="12"/>
  <c r="DU20" i="12"/>
  <c r="DV20" i="12"/>
  <c r="DX20" i="12"/>
  <c r="DY20" i="12"/>
  <c r="DZ20" i="12"/>
  <c r="EA20" i="12"/>
  <c r="EB20" i="12"/>
  <c r="EC20" i="12"/>
  <c r="ED20" i="12"/>
  <c r="EE20" i="12"/>
  <c r="EF20" i="12"/>
  <c r="EG20" i="12"/>
  <c r="EH20" i="12"/>
  <c r="EI20" i="12"/>
  <c r="EJ20" i="12"/>
  <c r="EL20" i="12"/>
  <c r="EM20" i="12"/>
  <c r="EN20" i="12"/>
  <c r="EO20" i="12"/>
  <c r="EP20" i="12"/>
  <c r="EQ20" i="12"/>
  <c r="ER20" i="12"/>
  <c r="ES20" i="12"/>
  <c r="ET20" i="12"/>
  <c r="EU20" i="12"/>
  <c r="EV20" i="12"/>
  <c r="EW20" i="12"/>
  <c r="EX20" i="12"/>
  <c r="EZ20" i="12"/>
  <c r="HR20" i="12" s="1"/>
  <c r="FA20" i="12"/>
  <c r="FB20" i="12"/>
  <c r="FC20" i="12"/>
  <c r="FD20" i="12"/>
  <c r="HV20" i="12" s="1"/>
  <c r="FE20" i="12"/>
  <c r="HW20" i="12" s="1"/>
  <c r="FF20" i="12"/>
  <c r="FG20" i="12"/>
  <c r="FH20" i="12"/>
  <c r="FI20" i="12"/>
  <c r="FJ20" i="12"/>
  <c r="FK20" i="12"/>
  <c r="FL20" i="12"/>
  <c r="ID20" i="12" s="1"/>
  <c r="FN20" i="12"/>
  <c r="FO20" i="12"/>
  <c r="FP20" i="12"/>
  <c r="FQ20" i="12"/>
  <c r="FR20" i="12"/>
  <c r="FS20" i="12"/>
  <c r="FT20" i="12"/>
  <c r="FU20" i="12"/>
  <c r="FV20" i="12"/>
  <c r="FW20" i="12"/>
  <c r="FX20" i="12"/>
  <c r="FY20" i="12"/>
  <c r="FZ20" i="12"/>
  <c r="B19" i="12"/>
  <c r="C19" i="12"/>
  <c r="D19" i="12"/>
  <c r="E19" i="12"/>
  <c r="F19" i="12"/>
  <c r="G19" i="12"/>
  <c r="H19" i="12"/>
  <c r="I19" i="12"/>
  <c r="J19" i="12"/>
  <c r="K19" i="12"/>
  <c r="L19" i="12"/>
  <c r="M19" i="12"/>
  <c r="N19" i="12"/>
  <c r="P19" i="12"/>
  <c r="Q19" i="12"/>
  <c r="GC19" i="12" s="1"/>
  <c r="R19" i="12"/>
  <c r="S19" i="12"/>
  <c r="T19" i="12"/>
  <c r="U19" i="12"/>
  <c r="V19" i="12"/>
  <c r="W19" i="12"/>
  <c r="X19" i="12"/>
  <c r="Y19" i="12"/>
  <c r="Z19" i="12"/>
  <c r="AA19" i="12"/>
  <c r="GM19" i="12" s="1"/>
  <c r="AB19" i="12"/>
  <c r="AD19" i="12"/>
  <c r="AE19" i="12"/>
  <c r="AF19" i="12"/>
  <c r="AG19" i="12"/>
  <c r="AH19" i="12"/>
  <c r="AI19" i="12"/>
  <c r="AJ19" i="12"/>
  <c r="AK19" i="12"/>
  <c r="AL19" i="12"/>
  <c r="AM19" i="12"/>
  <c r="AN19" i="12"/>
  <c r="AO19" i="12"/>
  <c r="AP19" i="12"/>
  <c r="AR19" i="12"/>
  <c r="AS19" i="12"/>
  <c r="AT19" i="12"/>
  <c r="AU19" i="12"/>
  <c r="AV19" i="12"/>
  <c r="AW19" i="12"/>
  <c r="AX19" i="12"/>
  <c r="AY19" i="12"/>
  <c r="AZ19" i="12"/>
  <c r="BA19" i="12"/>
  <c r="BB19" i="12"/>
  <c r="BC19" i="12"/>
  <c r="BD19" i="12"/>
  <c r="BF19" i="12"/>
  <c r="BG19" i="12"/>
  <c r="BH19" i="12"/>
  <c r="BI19" i="12"/>
  <c r="BJ19" i="12"/>
  <c r="BK19" i="12"/>
  <c r="BL19" i="12"/>
  <c r="BM19" i="12"/>
  <c r="BN19" i="12"/>
  <c r="BO19" i="12"/>
  <c r="BP19" i="12"/>
  <c r="BQ19" i="12"/>
  <c r="BR19" i="12"/>
  <c r="BT19" i="12"/>
  <c r="BU19" i="12"/>
  <c r="BV19" i="12"/>
  <c r="BW19" i="12"/>
  <c r="BX19" i="12"/>
  <c r="BY19" i="12"/>
  <c r="BZ19" i="12"/>
  <c r="CA19" i="12"/>
  <c r="CB19" i="12"/>
  <c r="CC19" i="12"/>
  <c r="CD19" i="12"/>
  <c r="CE19" i="12"/>
  <c r="CF19" i="12"/>
  <c r="CH19" i="12"/>
  <c r="CI19" i="12"/>
  <c r="CJ19" i="12"/>
  <c r="CK19" i="12"/>
  <c r="CL19" i="12"/>
  <c r="CM19" i="12"/>
  <c r="CN19" i="12"/>
  <c r="CO19" i="12"/>
  <c r="CP19" i="12"/>
  <c r="CQ19" i="12"/>
  <c r="CR19" i="12"/>
  <c r="CS19" i="12"/>
  <c r="CT19" i="12"/>
  <c r="CV19" i="12"/>
  <c r="CW19" i="12"/>
  <c r="CX19" i="12"/>
  <c r="CY19" i="12"/>
  <c r="CZ19" i="12"/>
  <c r="DA19" i="12"/>
  <c r="DB19" i="12"/>
  <c r="DC19" i="12"/>
  <c r="DD19" i="12"/>
  <c r="DE19" i="12"/>
  <c r="DF19" i="12"/>
  <c r="DG19" i="12"/>
  <c r="DH19" i="12"/>
  <c r="DJ19" i="12"/>
  <c r="DK19" i="12"/>
  <c r="DL19" i="12"/>
  <c r="DM19" i="12"/>
  <c r="DN19" i="12"/>
  <c r="DO19" i="12"/>
  <c r="DP19" i="12"/>
  <c r="DQ19" i="12"/>
  <c r="DR19" i="12"/>
  <c r="DS19" i="12"/>
  <c r="DT19" i="12"/>
  <c r="DU19" i="12"/>
  <c r="DV19" i="12"/>
  <c r="DX19" i="12"/>
  <c r="DY19" i="12"/>
  <c r="DZ19" i="12"/>
  <c r="EA19" i="12"/>
  <c r="EB19" i="12"/>
  <c r="EC19" i="12"/>
  <c r="ED19" i="12"/>
  <c r="EE19" i="12"/>
  <c r="EF19" i="12"/>
  <c r="EG19" i="12"/>
  <c r="EH19" i="12"/>
  <c r="EI19" i="12"/>
  <c r="EJ19" i="12"/>
  <c r="EL19" i="12"/>
  <c r="EM19" i="12"/>
  <c r="EN19" i="12"/>
  <c r="EO19" i="12"/>
  <c r="EP19" i="12"/>
  <c r="EQ19" i="12"/>
  <c r="ER19" i="12"/>
  <c r="ES19" i="12"/>
  <c r="ET19" i="12"/>
  <c r="EU19" i="12"/>
  <c r="EV19" i="12"/>
  <c r="EW19" i="12"/>
  <c r="EX19" i="12"/>
  <c r="EZ19" i="12"/>
  <c r="HR19" i="12" s="1"/>
  <c r="FA19" i="12"/>
  <c r="FB19" i="12"/>
  <c r="FC19" i="12"/>
  <c r="HU19" i="12" s="1"/>
  <c r="FD19" i="12"/>
  <c r="FE19" i="12"/>
  <c r="HW19" i="12" s="1"/>
  <c r="FF19" i="12"/>
  <c r="HX19" i="12" s="1"/>
  <c r="FG19" i="12"/>
  <c r="FH19" i="12"/>
  <c r="FI19" i="12"/>
  <c r="FJ19" i="12"/>
  <c r="FK19" i="12"/>
  <c r="FL19" i="12"/>
  <c r="ID19" i="12" s="1"/>
  <c r="FN19" i="12"/>
  <c r="FO19" i="12"/>
  <c r="FP19" i="12"/>
  <c r="FQ19" i="12"/>
  <c r="FR19" i="12"/>
  <c r="FS19" i="12"/>
  <c r="FT19" i="12"/>
  <c r="FU19" i="12"/>
  <c r="FV19" i="12"/>
  <c r="FW19" i="12"/>
  <c r="FX19" i="12"/>
  <c r="FY19" i="12"/>
  <c r="FZ19" i="12"/>
  <c r="B18" i="12"/>
  <c r="C18" i="12"/>
  <c r="D18" i="12"/>
  <c r="E18" i="12"/>
  <c r="F18" i="12"/>
  <c r="G18" i="12"/>
  <c r="H18" i="12"/>
  <c r="I18" i="12"/>
  <c r="J18" i="12"/>
  <c r="K18" i="12"/>
  <c r="L18" i="12"/>
  <c r="M18" i="12"/>
  <c r="N18" i="12"/>
  <c r="P18" i="12"/>
  <c r="HD18" i="12" s="1"/>
  <c r="Q18" i="12"/>
  <c r="R18" i="12"/>
  <c r="S18" i="12"/>
  <c r="T18" i="12"/>
  <c r="U18" i="12"/>
  <c r="V18" i="12"/>
  <c r="W18" i="12"/>
  <c r="X18" i="12"/>
  <c r="Y18" i="12"/>
  <c r="Z18" i="12"/>
  <c r="GL18" i="12" s="1"/>
  <c r="AA18" i="12"/>
  <c r="AB18" i="12"/>
  <c r="AD18" i="12"/>
  <c r="AE18" i="12"/>
  <c r="AF18" i="12"/>
  <c r="AG18" i="12"/>
  <c r="AH18" i="12"/>
  <c r="AI18" i="12"/>
  <c r="AJ18" i="12"/>
  <c r="AK18" i="12"/>
  <c r="AL18" i="12"/>
  <c r="AM18" i="12"/>
  <c r="AN18" i="12"/>
  <c r="AO18" i="12"/>
  <c r="AP18" i="12"/>
  <c r="AR18" i="12"/>
  <c r="AS18" i="12"/>
  <c r="AT18" i="12"/>
  <c r="AU18" i="12"/>
  <c r="AV18" i="12"/>
  <c r="AW18" i="12"/>
  <c r="AX18" i="12"/>
  <c r="AY18" i="12"/>
  <c r="AZ18" i="12"/>
  <c r="BA18" i="12"/>
  <c r="BB18" i="12"/>
  <c r="BC18" i="12"/>
  <c r="BD18" i="12"/>
  <c r="BF18" i="12"/>
  <c r="BG18" i="12"/>
  <c r="BH18" i="12"/>
  <c r="BI18" i="12"/>
  <c r="BJ18" i="12"/>
  <c r="BK18" i="12"/>
  <c r="BL18" i="12"/>
  <c r="BM18" i="12"/>
  <c r="BN18" i="12"/>
  <c r="BO18" i="12"/>
  <c r="BP18" i="12"/>
  <c r="BQ18" i="12"/>
  <c r="BR18" i="12"/>
  <c r="BT18" i="12"/>
  <c r="BU18" i="12"/>
  <c r="BV18" i="12"/>
  <c r="BW18" i="12"/>
  <c r="BX18" i="12"/>
  <c r="BY18" i="12"/>
  <c r="BZ18" i="12"/>
  <c r="CA18" i="12"/>
  <c r="CB18" i="12"/>
  <c r="CC18" i="12"/>
  <c r="CD18" i="12"/>
  <c r="CE18" i="12"/>
  <c r="CF18" i="12"/>
  <c r="CH18" i="12"/>
  <c r="CI18" i="12"/>
  <c r="CJ18" i="12"/>
  <c r="CK18" i="12"/>
  <c r="CL18" i="12"/>
  <c r="CM18" i="12"/>
  <c r="CN18" i="12"/>
  <c r="CO18" i="12"/>
  <c r="CP18" i="12"/>
  <c r="CQ18" i="12"/>
  <c r="CR18" i="12"/>
  <c r="CS18" i="12"/>
  <c r="CT18" i="12"/>
  <c r="CV18" i="12"/>
  <c r="CW18" i="12"/>
  <c r="CX18" i="12"/>
  <c r="CY18" i="12"/>
  <c r="CZ18" i="12"/>
  <c r="DA18" i="12"/>
  <c r="DB18" i="12"/>
  <c r="DC18" i="12"/>
  <c r="DD18" i="12"/>
  <c r="DE18" i="12"/>
  <c r="DF18" i="12"/>
  <c r="DG18" i="12"/>
  <c r="DH18" i="12"/>
  <c r="DJ18" i="12"/>
  <c r="DK18" i="12"/>
  <c r="DL18" i="12"/>
  <c r="DM18" i="12"/>
  <c r="DN18" i="12"/>
  <c r="DO18" i="12"/>
  <c r="DP18" i="12"/>
  <c r="DQ18" i="12"/>
  <c r="DR18" i="12"/>
  <c r="DS18" i="12"/>
  <c r="DT18" i="12"/>
  <c r="DU18" i="12"/>
  <c r="DV18" i="12"/>
  <c r="DX18" i="12"/>
  <c r="DY18" i="12"/>
  <c r="DZ18" i="12"/>
  <c r="EA18" i="12"/>
  <c r="EB18" i="12"/>
  <c r="EC18" i="12"/>
  <c r="ED18" i="12"/>
  <c r="EE18" i="12"/>
  <c r="EF18" i="12"/>
  <c r="EG18" i="12"/>
  <c r="GY18" i="12" s="1"/>
  <c r="EH18" i="12"/>
  <c r="EI18" i="12"/>
  <c r="HA18" i="12" s="1"/>
  <c r="EJ18" i="12"/>
  <c r="HB18" i="12" s="1"/>
  <c r="EL18" i="12"/>
  <c r="EM18" i="12"/>
  <c r="EN18" i="12"/>
  <c r="EO18" i="12"/>
  <c r="EP18" i="12"/>
  <c r="EQ18" i="12"/>
  <c r="ER18" i="12"/>
  <c r="ES18" i="12"/>
  <c r="ET18" i="12"/>
  <c r="EU18" i="12"/>
  <c r="EV18" i="12"/>
  <c r="EW18" i="12"/>
  <c r="EX18" i="12"/>
  <c r="EZ18" i="12"/>
  <c r="HR18" i="12" s="1"/>
  <c r="FA18" i="12"/>
  <c r="FB18" i="12"/>
  <c r="HT18" i="12" s="1"/>
  <c r="FC18" i="12"/>
  <c r="FD18" i="12"/>
  <c r="FE18" i="12"/>
  <c r="FF18" i="12"/>
  <c r="FG18" i="12"/>
  <c r="FH18" i="12"/>
  <c r="FI18" i="12"/>
  <c r="FJ18" i="12"/>
  <c r="FK18" i="12"/>
  <c r="FL18" i="12"/>
  <c r="ID18" i="12" s="1"/>
  <c r="FN18" i="12"/>
  <c r="FO18" i="12"/>
  <c r="FQ18" i="12"/>
  <c r="FR18" i="12"/>
  <c r="FS18" i="12"/>
  <c r="FT18" i="12"/>
  <c r="FU18" i="12"/>
  <c r="FV18" i="12"/>
  <c r="FW18" i="12"/>
  <c r="FX18" i="12"/>
  <c r="FY18" i="12"/>
  <c r="FZ18" i="12"/>
  <c r="B17" i="12"/>
  <c r="C17" i="12"/>
  <c r="D17" i="12"/>
  <c r="E17" i="12"/>
  <c r="F17" i="12"/>
  <c r="G17" i="12"/>
  <c r="H17" i="12"/>
  <c r="I17" i="12"/>
  <c r="J17" i="12"/>
  <c r="K17" i="12"/>
  <c r="L17" i="12"/>
  <c r="M17" i="12"/>
  <c r="N17" i="12"/>
  <c r="P17" i="12"/>
  <c r="HD17" i="12" s="1"/>
  <c r="Q17" i="12"/>
  <c r="R17" i="12"/>
  <c r="S17" i="12"/>
  <c r="T17" i="12"/>
  <c r="U17" i="12"/>
  <c r="V17" i="12"/>
  <c r="W17" i="12"/>
  <c r="X17" i="12"/>
  <c r="Y17" i="12"/>
  <c r="Z17" i="12"/>
  <c r="AA17" i="12"/>
  <c r="AB17" i="12"/>
  <c r="HP17" i="12" s="1"/>
  <c r="AD17" i="12"/>
  <c r="AE17" i="12"/>
  <c r="AF17" i="12"/>
  <c r="AG17" i="12"/>
  <c r="AH17" i="12"/>
  <c r="AI17" i="12"/>
  <c r="AJ17" i="12"/>
  <c r="AK17" i="12"/>
  <c r="AL17" i="12"/>
  <c r="AM17" i="12"/>
  <c r="AN17" i="12"/>
  <c r="AO17" i="12"/>
  <c r="AP17" i="12"/>
  <c r="AR17" i="12"/>
  <c r="AS17" i="12"/>
  <c r="AT17" i="12"/>
  <c r="AU17" i="12"/>
  <c r="AV17" i="12"/>
  <c r="AW17" i="12"/>
  <c r="AX17" i="12"/>
  <c r="AY17" i="12"/>
  <c r="AZ17" i="12"/>
  <c r="BA17" i="12"/>
  <c r="BB17" i="12"/>
  <c r="BC17" i="12"/>
  <c r="BD17" i="12"/>
  <c r="BF17" i="12"/>
  <c r="BG17" i="12"/>
  <c r="BH17" i="12"/>
  <c r="BI17" i="12"/>
  <c r="BJ17" i="12"/>
  <c r="BK17" i="12"/>
  <c r="BL17" i="12"/>
  <c r="BM17" i="12"/>
  <c r="BN17" i="12"/>
  <c r="BO17" i="12"/>
  <c r="BP17" i="12"/>
  <c r="BQ17" i="12"/>
  <c r="BR17" i="12"/>
  <c r="BT17" i="12"/>
  <c r="BU17" i="12"/>
  <c r="BV17" i="12"/>
  <c r="BW17" i="12"/>
  <c r="BX17" i="12"/>
  <c r="BY17" i="12"/>
  <c r="BZ17" i="12"/>
  <c r="CA17" i="12"/>
  <c r="CB17" i="12"/>
  <c r="CC17" i="12"/>
  <c r="CD17" i="12"/>
  <c r="CE17" i="12"/>
  <c r="CF17" i="12"/>
  <c r="CH17" i="12"/>
  <c r="CI17" i="12"/>
  <c r="CJ17" i="12"/>
  <c r="CK17" i="12"/>
  <c r="CL17" i="12"/>
  <c r="CM17" i="12"/>
  <c r="CN17" i="12"/>
  <c r="CO17" i="12"/>
  <c r="CP17" i="12"/>
  <c r="CQ17" i="12"/>
  <c r="CR17" i="12"/>
  <c r="CS17" i="12"/>
  <c r="CT17" i="12"/>
  <c r="CV17" i="12"/>
  <c r="CW17" i="12"/>
  <c r="CX17" i="12"/>
  <c r="CY17" i="12"/>
  <c r="CZ17" i="12"/>
  <c r="DA17" i="12"/>
  <c r="DB17" i="12"/>
  <c r="DC17" i="12"/>
  <c r="DD17" i="12"/>
  <c r="DE17" i="12"/>
  <c r="DF17" i="12"/>
  <c r="DG17" i="12"/>
  <c r="DH17" i="12"/>
  <c r="DJ17" i="12"/>
  <c r="DK17" i="12"/>
  <c r="DL17" i="12"/>
  <c r="DM17" i="12"/>
  <c r="DN17" i="12"/>
  <c r="DO17" i="12"/>
  <c r="DP17" i="12"/>
  <c r="DQ17" i="12"/>
  <c r="DR17" i="12"/>
  <c r="DS17" i="12"/>
  <c r="DT17" i="12"/>
  <c r="DU17" i="12"/>
  <c r="DV17" i="12"/>
  <c r="DX17" i="12"/>
  <c r="DY17" i="12"/>
  <c r="DZ17" i="12"/>
  <c r="EA17" i="12"/>
  <c r="EB17" i="12"/>
  <c r="GF17" i="12" s="1"/>
  <c r="EC17" i="12"/>
  <c r="ED17" i="12"/>
  <c r="EE17" i="12"/>
  <c r="EF17" i="12"/>
  <c r="EG17" i="12"/>
  <c r="EH17" i="12"/>
  <c r="EI17" i="12"/>
  <c r="EJ17" i="12"/>
  <c r="EL17" i="12"/>
  <c r="EM17" i="12"/>
  <c r="EN17" i="12"/>
  <c r="EO17" i="12"/>
  <c r="EP17" i="12"/>
  <c r="EQ17" i="12"/>
  <c r="ER17" i="12"/>
  <c r="ES17" i="12"/>
  <c r="ET17" i="12"/>
  <c r="EU17" i="12"/>
  <c r="EV17" i="12"/>
  <c r="EW17" i="12"/>
  <c r="EX17" i="12"/>
  <c r="EZ17" i="12"/>
  <c r="HR17" i="12" s="1"/>
  <c r="FA17" i="12"/>
  <c r="FB17" i="12"/>
  <c r="HT17" i="12" s="1"/>
  <c r="FC17" i="12"/>
  <c r="FD17" i="12"/>
  <c r="FE17" i="12"/>
  <c r="FF17" i="12"/>
  <c r="FG17" i="12"/>
  <c r="FH17" i="12"/>
  <c r="FI17" i="12"/>
  <c r="FJ17" i="12"/>
  <c r="FK17" i="12"/>
  <c r="FL17" i="12"/>
  <c r="ID17" i="12" s="1"/>
  <c r="FN17" i="12"/>
  <c r="FO17" i="12"/>
  <c r="FP17" i="12"/>
  <c r="FQ17" i="12"/>
  <c r="FR17" i="12"/>
  <c r="FS17" i="12"/>
  <c r="FT17" i="12"/>
  <c r="FU17" i="12"/>
  <c r="FV17" i="12"/>
  <c r="FW17" i="12"/>
  <c r="FX17" i="12"/>
  <c r="FY17" i="12"/>
  <c r="FZ17" i="12"/>
  <c r="B16" i="12"/>
  <c r="C16" i="12"/>
  <c r="D16" i="12"/>
  <c r="E16" i="12"/>
  <c r="F16" i="12"/>
  <c r="G16" i="12"/>
  <c r="H16" i="12"/>
  <c r="I16" i="12"/>
  <c r="J16" i="12"/>
  <c r="K16" i="12"/>
  <c r="L16" i="12"/>
  <c r="M16" i="12"/>
  <c r="N16" i="12"/>
  <c r="P16" i="12"/>
  <c r="Q16" i="12"/>
  <c r="R16" i="12"/>
  <c r="S16" i="12"/>
  <c r="T16" i="12"/>
  <c r="U16" i="12"/>
  <c r="V16" i="12"/>
  <c r="W16" i="12"/>
  <c r="X16" i="12"/>
  <c r="GJ16" i="12" s="1"/>
  <c r="Y16" i="12"/>
  <c r="GK16" i="12" s="1"/>
  <c r="Z16" i="12"/>
  <c r="AA16" i="12"/>
  <c r="AB16" i="12"/>
  <c r="AD16" i="12"/>
  <c r="AE16" i="12"/>
  <c r="AF16" i="12"/>
  <c r="AG16" i="12"/>
  <c r="AH16" i="12"/>
  <c r="AI16" i="12"/>
  <c r="AJ16" i="12"/>
  <c r="AK16" i="12"/>
  <c r="AL16" i="12"/>
  <c r="AM16" i="12"/>
  <c r="AN16" i="12"/>
  <c r="AO16" i="12"/>
  <c r="AP16" i="12"/>
  <c r="AR16" i="12"/>
  <c r="AS16" i="12"/>
  <c r="AT16" i="12"/>
  <c r="AU16" i="12"/>
  <c r="AV16" i="12"/>
  <c r="AW16" i="12"/>
  <c r="AX16" i="12"/>
  <c r="AY16" i="12"/>
  <c r="AZ16" i="12"/>
  <c r="BA16" i="12"/>
  <c r="BB16" i="12"/>
  <c r="BC16" i="12"/>
  <c r="BD16" i="12"/>
  <c r="BF16" i="12"/>
  <c r="BG16" i="12"/>
  <c r="BH16" i="12"/>
  <c r="BI16" i="12"/>
  <c r="BJ16" i="12"/>
  <c r="BK16" i="12"/>
  <c r="BL16" i="12"/>
  <c r="BM16" i="12"/>
  <c r="BN16" i="12"/>
  <c r="BO16" i="12"/>
  <c r="BP16" i="12"/>
  <c r="BQ16" i="12"/>
  <c r="BR16" i="12"/>
  <c r="BT16" i="12"/>
  <c r="BU16" i="12"/>
  <c r="BV16" i="12"/>
  <c r="BW16" i="12"/>
  <c r="BX16" i="12"/>
  <c r="BY16" i="12"/>
  <c r="BZ16" i="12"/>
  <c r="CA16" i="12"/>
  <c r="CB16" i="12"/>
  <c r="CC16" i="12"/>
  <c r="CD16" i="12"/>
  <c r="CE16" i="12"/>
  <c r="CF16" i="12"/>
  <c r="CH16" i="12"/>
  <c r="CI16" i="12"/>
  <c r="CJ16" i="12"/>
  <c r="CK16" i="12"/>
  <c r="CL16" i="12"/>
  <c r="CM16" i="12"/>
  <c r="CN16" i="12"/>
  <c r="CO16" i="12"/>
  <c r="CP16" i="12"/>
  <c r="CQ16" i="12"/>
  <c r="CR16" i="12"/>
  <c r="CS16" i="12"/>
  <c r="CT16" i="12"/>
  <c r="CV16" i="12"/>
  <c r="CW16" i="12"/>
  <c r="CX16" i="12"/>
  <c r="CY16" i="12"/>
  <c r="CZ16" i="12"/>
  <c r="DA16" i="12"/>
  <c r="DB16" i="12"/>
  <c r="DC16" i="12"/>
  <c r="DD16" i="12"/>
  <c r="DE16" i="12"/>
  <c r="DF16" i="12"/>
  <c r="DG16" i="12"/>
  <c r="DH16" i="12"/>
  <c r="DJ16" i="12"/>
  <c r="DK16" i="12"/>
  <c r="DL16" i="12"/>
  <c r="DM16" i="12"/>
  <c r="DN16" i="12"/>
  <c r="DO16" i="12"/>
  <c r="DP16" i="12"/>
  <c r="DQ16" i="12"/>
  <c r="DR16" i="12"/>
  <c r="DS16" i="12"/>
  <c r="DT16" i="12"/>
  <c r="DU16" i="12"/>
  <c r="DV16" i="12"/>
  <c r="DX16" i="12"/>
  <c r="DY16" i="12"/>
  <c r="DZ16" i="12"/>
  <c r="EA16" i="12"/>
  <c r="GE16" i="12" s="1"/>
  <c r="EB16" i="12"/>
  <c r="EC16" i="12"/>
  <c r="ED16" i="12"/>
  <c r="GH16" i="12" s="1"/>
  <c r="EE16" i="12"/>
  <c r="EF16" i="12"/>
  <c r="EG16" i="12"/>
  <c r="EH16" i="12"/>
  <c r="EI16" i="12"/>
  <c r="EJ16" i="12"/>
  <c r="EL16" i="12"/>
  <c r="EM16" i="12"/>
  <c r="EN16" i="12"/>
  <c r="EO16" i="12"/>
  <c r="EP16" i="12"/>
  <c r="EQ16" i="12"/>
  <c r="ER16" i="12"/>
  <c r="ES16" i="12"/>
  <c r="ET16" i="12"/>
  <c r="EU16" i="12"/>
  <c r="EV16" i="12"/>
  <c r="EW16" i="12"/>
  <c r="EX16" i="12"/>
  <c r="EZ16" i="12"/>
  <c r="HR16" i="12" s="1"/>
  <c r="FA16" i="12"/>
  <c r="FB16" i="12"/>
  <c r="FC16" i="12"/>
  <c r="FD16" i="12"/>
  <c r="FE16" i="12"/>
  <c r="FF16" i="12"/>
  <c r="FG16" i="12"/>
  <c r="FH16" i="12"/>
  <c r="FI16" i="12"/>
  <c r="FJ16" i="12"/>
  <c r="FK16" i="12"/>
  <c r="FL16" i="12"/>
  <c r="FN16" i="12"/>
  <c r="FO16" i="12"/>
  <c r="FP16" i="12"/>
  <c r="FQ16" i="12"/>
  <c r="FR16" i="12"/>
  <c r="FS16" i="12"/>
  <c r="FT16" i="12"/>
  <c r="FU16" i="12"/>
  <c r="FV16" i="12"/>
  <c r="FW16" i="12"/>
  <c r="FX16" i="12"/>
  <c r="FY16" i="12"/>
  <c r="FZ16" i="12"/>
  <c r="B15" i="12"/>
  <c r="C15" i="12"/>
  <c r="D15" i="12"/>
  <c r="E15" i="12"/>
  <c r="F15" i="12"/>
  <c r="G15" i="12"/>
  <c r="H15" i="12"/>
  <c r="I15" i="12"/>
  <c r="J15" i="12"/>
  <c r="K15" i="12"/>
  <c r="L15" i="12"/>
  <c r="M15" i="12"/>
  <c r="N15" i="12"/>
  <c r="P15" i="12"/>
  <c r="Q15" i="12"/>
  <c r="R15" i="12"/>
  <c r="S15" i="12"/>
  <c r="T15" i="12"/>
  <c r="U15" i="12"/>
  <c r="V15" i="12"/>
  <c r="W15" i="12"/>
  <c r="X15" i="12"/>
  <c r="Y15" i="12"/>
  <c r="Z15" i="12"/>
  <c r="AA15" i="12"/>
  <c r="AB15" i="12"/>
  <c r="AD15" i="12"/>
  <c r="AE15" i="12"/>
  <c r="AF15" i="12"/>
  <c r="AG15" i="12"/>
  <c r="AH15" i="12"/>
  <c r="AI15" i="12"/>
  <c r="AJ15" i="12"/>
  <c r="AK15" i="12"/>
  <c r="AL15" i="12"/>
  <c r="AM15" i="12"/>
  <c r="AN15" i="12"/>
  <c r="AO15" i="12"/>
  <c r="AP15" i="12"/>
  <c r="AR15" i="12"/>
  <c r="AS15" i="12"/>
  <c r="AT15" i="12"/>
  <c r="AU15" i="12"/>
  <c r="AV15" i="12"/>
  <c r="AW15" i="12"/>
  <c r="AX15" i="12"/>
  <c r="AY15" i="12"/>
  <c r="AZ15" i="12"/>
  <c r="BA15" i="12"/>
  <c r="BB15" i="12"/>
  <c r="BC15" i="12"/>
  <c r="BD15" i="12"/>
  <c r="BF15" i="12"/>
  <c r="BG15" i="12"/>
  <c r="BH15" i="12"/>
  <c r="BI15" i="12"/>
  <c r="BJ15" i="12"/>
  <c r="BK15" i="12"/>
  <c r="BL15" i="12"/>
  <c r="BM15" i="12"/>
  <c r="BN15" i="12"/>
  <c r="BO15" i="12"/>
  <c r="BP15" i="12"/>
  <c r="BQ15" i="12"/>
  <c r="BR15" i="12"/>
  <c r="BT15" i="12"/>
  <c r="BU15" i="12"/>
  <c r="BV15" i="12"/>
  <c r="BW15" i="12"/>
  <c r="BX15" i="12"/>
  <c r="BY15" i="12"/>
  <c r="BZ15" i="12"/>
  <c r="CA15" i="12"/>
  <c r="CB15" i="12"/>
  <c r="CC15" i="12"/>
  <c r="CD15" i="12"/>
  <c r="CE15" i="12"/>
  <c r="CF15" i="12"/>
  <c r="CH15" i="12"/>
  <c r="CI15" i="12"/>
  <c r="CJ15" i="12"/>
  <c r="CK15" i="12"/>
  <c r="CL15" i="12"/>
  <c r="CM15" i="12"/>
  <c r="CN15" i="12"/>
  <c r="CO15" i="12"/>
  <c r="CP15" i="12"/>
  <c r="CQ15" i="12"/>
  <c r="CR15" i="12"/>
  <c r="CS15" i="12"/>
  <c r="CT15" i="12"/>
  <c r="CV15" i="12"/>
  <c r="CW15" i="12"/>
  <c r="CX15" i="12"/>
  <c r="CY15" i="12"/>
  <c r="CZ15" i="12"/>
  <c r="DA15" i="12"/>
  <c r="DB15" i="12"/>
  <c r="DC15" i="12"/>
  <c r="DD15" i="12"/>
  <c r="DE15" i="12"/>
  <c r="DF15" i="12"/>
  <c r="DG15" i="12"/>
  <c r="DH15" i="12"/>
  <c r="DJ15" i="12"/>
  <c r="DK15" i="12"/>
  <c r="DL15" i="12"/>
  <c r="DM15" i="12"/>
  <c r="DN15" i="12"/>
  <c r="DO15" i="12"/>
  <c r="DP15" i="12"/>
  <c r="DQ15" i="12"/>
  <c r="DR15" i="12"/>
  <c r="DS15" i="12"/>
  <c r="DT15" i="12"/>
  <c r="DU15" i="12"/>
  <c r="DV15" i="12"/>
  <c r="DX15" i="12"/>
  <c r="DY15" i="12"/>
  <c r="DZ15" i="12"/>
  <c r="GD15" i="12" s="1"/>
  <c r="EA15" i="12"/>
  <c r="EB15" i="12"/>
  <c r="GF15" i="12" s="1"/>
  <c r="EC15" i="12"/>
  <c r="ED15" i="12"/>
  <c r="EE15" i="12"/>
  <c r="EF15" i="12"/>
  <c r="EG15" i="12"/>
  <c r="EH15" i="12"/>
  <c r="EI15" i="12"/>
  <c r="EJ15" i="12"/>
  <c r="EL15" i="12"/>
  <c r="EM15" i="12"/>
  <c r="EN15" i="12"/>
  <c r="EO15" i="12"/>
  <c r="EP15" i="12"/>
  <c r="EQ15" i="12"/>
  <c r="ER15" i="12"/>
  <c r="ES15" i="12"/>
  <c r="ET15" i="12"/>
  <c r="EU15" i="12"/>
  <c r="EV15" i="12"/>
  <c r="EW15" i="12"/>
  <c r="EX15" i="12"/>
  <c r="EZ15" i="12"/>
  <c r="HR15" i="12" s="1"/>
  <c r="FA15" i="12"/>
  <c r="FB15" i="12"/>
  <c r="FC15" i="12"/>
  <c r="FD15" i="12"/>
  <c r="FE15" i="12"/>
  <c r="FF15" i="12"/>
  <c r="FG15" i="12"/>
  <c r="FH15" i="12"/>
  <c r="FI15" i="12"/>
  <c r="FJ15" i="12"/>
  <c r="FK15" i="12"/>
  <c r="FL15" i="12"/>
  <c r="ID15" i="12" s="1"/>
  <c r="FN15" i="12"/>
  <c r="FO15" i="12"/>
  <c r="FP15" i="12"/>
  <c r="FQ15" i="12"/>
  <c r="FR15" i="12"/>
  <c r="FS15" i="12"/>
  <c r="FT15" i="12"/>
  <c r="FU15" i="12"/>
  <c r="FV15" i="12"/>
  <c r="FW15" i="12"/>
  <c r="FX15" i="12"/>
  <c r="FY15" i="12"/>
  <c r="FZ15" i="12"/>
  <c r="B11" i="12"/>
  <c r="C11" i="12"/>
  <c r="D11" i="12"/>
  <c r="E11" i="12"/>
  <c r="F11" i="12"/>
  <c r="G11" i="12"/>
  <c r="H11" i="12"/>
  <c r="I11" i="12"/>
  <c r="J11" i="12"/>
  <c r="K11" i="12"/>
  <c r="L11" i="12"/>
  <c r="M11" i="12"/>
  <c r="M47" i="12" s="1"/>
  <c r="N11" i="12"/>
  <c r="P11" i="12"/>
  <c r="Q11" i="12"/>
  <c r="R11" i="12"/>
  <c r="S11" i="12"/>
  <c r="T11" i="12"/>
  <c r="U11" i="12"/>
  <c r="V11" i="12"/>
  <c r="GH11" i="12" s="1"/>
  <c r="W11" i="12"/>
  <c r="GI11" i="12" s="1"/>
  <c r="X11" i="12"/>
  <c r="Y11" i="12"/>
  <c r="GK11" i="12" s="1"/>
  <c r="Z11" i="12"/>
  <c r="AA11" i="12"/>
  <c r="AB11" i="12"/>
  <c r="AD11" i="12"/>
  <c r="AE11" i="12"/>
  <c r="AF11" i="12"/>
  <c r="AG11" i="12"/>
  <c r="AH11" i="12"/>
  <c r="AI11" i="12"/>
  <c r="AJ11" i="12"/>
  <c r="AK11" i="12"/>
  <c r="AL11" i="12"/>
  <c r="AM11" i="12"/>
  <c r="AM47" i="12" s="1"/>
  <c r="AN11" i="12"/>
  <c r="AO11" i="12"/>
  <c r="AP11" i="12"/>
  <c r="AR11" i="12"/>
  <c r="AS11" i="12"/>
  <c r="AT11" i="12"/>
  <c r="AU11" i="12"/>
  <c r="AV11" i="12"/>
  <c r="AW11" i="12"/>
  <c r="AX11" i="12"/>
  <c r="AY11" i="12"/>
  <c r="AZ11" i="12"/>
  <c r="AZ47" i="12" s="1"/>
  <c r="BA11" i="12"/>
  <c r="BB11" i="12"/>
  <c r="BC11" i="12"/>
  <c r="BD11" i="12"/>
  <c r="BF11" i="12"/>
  <c r="BG11" i="12"/>
  <c r="BH11" i="12"/>
  <c r="BI11" i="12"/>
  <c r="BJ11" i="12"/>
  <c r="BK11" i="12"/>
  <c r="BL11" i="12"/>
  <c r="BM11" i="12"/>
  <c r="BM47" i="12" s="1"/>
  <c r="BN11" i="12"/>
  <c r="BO11" i="12"/>
  <c r="BP11" i="12"/>
  <c r="BQ11" i="12"/>
  <c r="BR11" i="12"/>
  <c r="BT11" i="12"/>
  <c r="BU11" i="12"/>
  <c r="BV11" i="12"/>
  <c r="BW11" i="12"/>
  <c r="BX11" i="12"/>
  <c r="BY11" i="12"/>
  <c r="BZ11" i="12"/>
  <c r="BZ47" i="12" s="1"/>
  <c r="CA11" i="12"/>
  <c r="CB11" i="12"/>
  <c r="CC11" i="12"/>
  <c r="CD11" i="12"/>
  <c r="CE11" i="12"/>
  <c r="CF11" i="12"/>
  <c r="CH11" i="12"/>
  <c r="CI11" i="12"/>
  <c r="CJ11" i="12"/>
  <c r="CK11" i="12"/>
  <c r="CL11" i="12"/>
  <c r="CM11" i="12"/>
  <c r="CM47" i="12" s="1"/>
  <c r="CN11" i="12"/>
  <c r="CO11" i="12"/>
  <c r="CP11" i="12"/>
  <c r="CQ11" i="12"/>
  <c r="CR11" i="12"/>
  <c r="CS11" i="12"/>
  <c r="CT11" i="12"/>
  <c r="CV11" i="12"/>
  <c r="CW11" i="12"/>
  <c r="CX11" i="12"/>
  <c r="CY11" i="12"/>
  <c r="CZ11" i="12"/>
  <c r="CZ47" i="12" s="1"/>
  <c r="DA11" i="12"/>
  <c r="DB11" i="12"/>
  <c r="DC11" i="12"/>
  <c r="DD11" i="12"/>
  <c r="DE11" i="12"/>
  <c r="DF11" i="12"/>
  <c r="DG11" i="12"/>
  <c r="DH11" i="12"/>
  <c r="DJ11" i="12"/>
  <c r="DK11" i="12"/>
  <c r="DL11" i="12"/>
  <c r="DM11" i="12"/>
  <c r="DN11" i="12"/>
  <c r="DO11" i="12"/>
  <c r="DP11" i="12"/>
  <c r="DQ11" i="12"/>
  <c r="DR11" i="12"/>
  <c r="DS11" i="12"/>
  <c r="DT11" i="12"/>
  <c r="DU11" i="12"/>
  <c r="DV11" i="12"/>
  <c r="DX11" i="12"/>
  <c r="DY11" i="12"/>
  <c r="DZ11" i="12"/>
  <c r="DZ47" i="12" s="1"/>
  <c r="EA11" i="12"/>
  <c r="EB11" i="12"/>
  <c r="EC11" i="12"/>
  <c r="ED11" i="12"/>
  <c r="EE11" i="12"/>
  <c r="EF11" i="12"/>
  <c r="EG11" i="12"/>
  <c r="EH11" i="12"/>
  <c r="EI11" i="12"/>
  <c r="EJ11" i="12"/>
  <c r="EL11" i="12"/>
  <c r="EM11" i="12"/>
  <c r="EM47" i="12" s="1"/>
  <c r="EN11" i="12"/>
  <c r="EO11" i="12"/>
  <c r="EP11" i="12"/>
  <c r="EQ11" i="12"/>
  <c r="ER11" i="12"/>
  <c r="ES11" i="12"/>
  <c r="ET11" i="12"/>
  <c r="EU11" i="12"/>
  <c r="EV11" i="12"/>
  <c r="EW11" i="12"/>
  <c r="EW47" i="12" s="1"/>
  <c r="EX11" i="12"/>
  <c r="EZ11" i="12"/>
  <c r="HR11" i="12" s="1"/>
  <c r="FA11" i="12"/>
  <c r="FB11" i="12"/>
  <c r="FC11" i="12"/>
  <c r="FD11" i="12"/>
  <c r="FE11" i="12"/>
  <c r="FF11" i="12"/>
  <c r="FG11" i="12"/>
  <c r="FH11" i="12"/>
  <c r="FI11" i="12"/>
  <c r="FJ11" i="12"/>
  <c r="FK11" i="12"/>
  <c r="FL11" i="12"/>
  <c r="FL47" i="12" s="1"/>
  <c r="FN11" i="12"/>
  <c r="FO11" i="12"/>
  <c r="FP11" i="12"/>
  <c r="FQ11" i="12"/>
  <c r="FR11" i="12"/>
  <c r="FS11" i="12"/>
  <c r="FT11" i="12"/>
  <c r="FU11" i="12"/>
  <c r="FV11" i="12"/>
  <c r="FW11" i="12"/>
  <c r="FW47" i="12" s="1"/>
  <c r="FX11" i="12"/>
  <c r="FY11" i="12"/>
  <c r="FY47" i="12" s="1"/>
  <c r="FZ11" i="12"/>
  <c r="B10" i="12"/>
  <c r="C10" i="12"/>
  <c r="D10" i="12"/>
  <c r="E10" i="12"/>
  <c r="F10" i="12"/>
  <c r="G10" i="12"/>
  <c r="H10" i="12"/>
  <c r="I10" i="12"/>
  <c r="J10" i="12"/>
  <c r="J46" i="12" s="1"/>
  <c r="K10" i="12"/>
  <c r="L10" i="12"/>
  <c r="L46" i="12" s="1"/>
  <c r="M10" i="12"/>
  <c r="N10" i="12"/>
  <c r="P10" i="12"/>
  <c r="Q10" i="12"/>
  <c r="R10" i="12"/>
  <c r="S10" i="12"/>
  <c r="T10" i="12"/>
  <c r="U10" i="12"/>
  <c r="GG10" i="12" s="1"/>
  <c r="V10" i="12"/>
  <c r="W10" i="12"/>
  <c r="GI10" i="12" s="1"/>
  <c r="X10" i="12"/>
  <c r="GJ10" i="12" s="1"/>
  <c r="Y10" i="12"/>
  <c r="Z10" i="12"/>
  <c r="AA10" i="12"/>
  <c r="AB10" i="12"/>
  <c r="AD10" i="12"/>
  <c r="AE10" i="12"/>
  <c r="AF10" i="12"/>
  <c r="AG10" i="12"/>
  <c r="AH10" i="12"/>
  <c r="AI10" i="12"/>
  <c r="AJ10" i="12"/>
  <c r="AJ46" i="12" s="1"/>
  <c r="AK10" i="12"/>
  <c r="AL10" i="12"/>
  <c r="AL46" i="12" s="1"/>
  <c r="AM10" i="12"/>
  <c r="AN10" i="12"/>
  <c r="AO10" i="12"/>
  <c r="AP10" i="12"/>
  <c r="AR10" i="12"/>
  <c r="AS10" i="12"/>
  <c r="AT10" i="12"/>
  <c r="AU10" i="12"/>
  <c r="AV10" i="12"/>
  <c r="AW10" i="12"/>
  <c r="AW46" i="12" s="1"/>
  <c r="AX10" i="12"/>
  <c r="AY10" i="12"/>
  <c r="AY46" i="12" s="1"/>
  <c r="AZ10" i="12"/>
  <c r="BA10" i="12"/>
  <c r="BB10" i="12"/>
  <c r="BC10" i="12"/>
  <c r="BD10" i="12"/>
  <c r="BF10" i="12"/>
  <c r="BG10" i="12"/>
  <c r="BH10" i="12"/>
  <c r="BI10" i="12"/>
  <c r="BJ10" i="12"/>
  <c r="BJ46" i="12" s="1"/>
  <c r="BK10" i="12"/>
  <c r="BL10" i="12"/>
  <c r="BL46" i="12" s="1"/>
  <c r="BM10" i="12"/>
  <c r="BN10" i="12"/>
  <c r="BO10" i="12"/>
  <c r="BP10" i="12"/>
  <c r="BQ10" i="12"/>
  <c r="BR10" i="12"/>
  <c r="BT10" i="12"/>
  <c r="BU10" i="12"/>
  <c r="BV10" i="12"/>
  <c r="BW10" i="12"/>
  <c r="BW46" i="12" s="1"/>
  <c r="BX10" i="12"/>
  <c r="BY10" i="12"/>
  <c r="BY46" i="12" s="1"/>
  <c r="BZ10" i="12"/>
  <c r="CA10" i="12"/>
  <c r="CB10" i="12"/>
  <c r="CC10" i="12"/>
  <c r="CD10" i="12"/>
  <c r="CE10" i="12"/>
  <c r="CF10" i="12"/>
  <c r="CH10" i="12"/>
  <c r="CI10" i="12"/>
  <c r="CJ10" i="12"/>
  <c r="CJ46" i="12" s="1"/>
  <c r="CK10" i="12"/>
  <c r="CL10" i="12"/>
  <c r="CL46" i="12" s="1"/>
  <c r="CM10" i="12"/>
  <c r="CN10" i="12"/>
  <c r="CO10" i="12"/>
  <c r="CP10" i="12"/>
  <c r="CQ10" i="12"/>
  <c r="CR10" i="12"/>
  <c r="CS10" i="12"/>
  <c r="CT10" i="12"/>
  <c r="CV10" i="12"/>
  <c r="CW10" i="12"/>
  <c r="CW46" i="12" s="1"/>
  <c r="CX10" i="12"/>
  <c r="CY10" i="12"/>
  <c r="CY46" i="12" s="1"/>
  <c r="CZ10" i="12"/>
  <c r="DA10" i="12"/>
  <c r="DB10" i="12"/>
  <c r="DC10" i="12"/>
  <c r="DD10" i="12"/>
  <c r="DE10" i="12"/>
  <c r="DF10" i="12"/>
  <c r="DG10" i="12"/>
  <c r="DH10" i="12"/>
  <c r="DJ10" i="12"/>
  <c r="DK10" i="12"/>
  <c r="DL10" i="12"/>
  <c r="DM10" i="12"/>
  <c r="DN10" i="12"/>
  <c r="DO10" i="12"/>
  <c r="DP10" i="12"/>
  <c r="DQ10" i="12"/>
  <c r="DR10" i="12"/>
  <c r="DS10" i="12"/>
  <c r="DT10" i="12"/>
  <c r="DU10" i="12"/>
  <c r="DV10" i="12"/>
  <c r="DX10" i="12"/>
  <c r="DX46" i="12" s="1"/>
  <c r="DY10" i="12"/>
  <c r="DY46" i="12" s="1"/>
  <c r="DZ10" i="12"/>
  <c r="EA10" i="12"/>
  <c r="EB10" i="12"/>
  <c r="EC10" i="12"/>
  <c r="ED10" i="12"/>
  <c r="EE10" i="12"/>
  <c r="EF10" i="12"/>
  <c r="EG10" i="12"/>
  <c r="EH10" i="12"/>
  <c r="EI10" i="12"/>
  <c r="EJ10" i="12"/>
  <c r="EJ46" i="12" s="1"/>
  <c r="EL10" i="12"/>
  <c r="EL46" i="12" s="1"/>
  <c r="EM10" i="12"/>
  <c r="EN10" i="12"/>
  <c r="EO10" i="12"/>
  <c r="EP10" i="12"/>
  <c r="EQ10" i="12"/>
  <c r="ER10" i="12"/>
  <c r="ES10" i="12"/>
  <c r="ET10" i="12"/>
  <c r="EU10" i="12"/>
  <c r="EV10" i="12"/>
  <c r="EV46" i="12" s="1"/>
  <c r="EW10" i="12"/>
  <c r="EW46" i="12" s="1"/>
  <c r="EX10" i="12"/>
  <c r="EX46" i="12" s="1"/>
  <c r="EZ10" i="12"/>
  <c r="HR10" i="12" s="1"/>
  <c r="FA10" i="12"/>
  <c r="HS10" i="12" s="1"/>
  <c r="FB10" i="12"/>
  <c r="FC10" i="12"/>
  <c r="FD10" i="12"/>
  <c r="FE10" i="12"/>
  <c r="FF10" i="12"/>
  <c r="FG10" i="12"/>
  <c r="FH10" i="12"/>
  <c r="FI10" i="12"/>
  <c r="FJ10" i="12"/>
  <c r="FJ46" i="12" s="1"/>
  <c r="FK10" i="12"/>
  <c r="FL10" i="12"/>
  <c r="FN10" i="12"/>
  <c r="FO10" i="12"/>
  <c r="FP10" i="12"/>
  <c r="FQ10" i="12"/>
  <c r="FR10" i="12"/>
  <c r="FS10" i="12"/>
  <c r="FT10" i="12"/>
  <c r="FU10" i="12"/>
  <c r="FV10" i="12"/>
  <c r="FV46" i="12" s="1"/>
  <c r="FW10" i="12"/>
  <c r="FW46" i="12" s="1"/>
  <c r="FX10" i="12"/>
  <c r="FX46" i="12" s="1"/>
  <c r="FY10" i="12"/>
  <c r="FZ10" i="12"/>
  <c r="B9" i="12"/>
  <c r="C9" i="12"/>
  <c r="D9" i="12"/>
  <c r="E9" i="12"/>
  <c r="F9" i="12"/>
  <c r="G9" i="12"/>
  <c r="H9" i="12"/>
  <c r="I9" i="12"/>
  <c r="I45" i="12" s="1"/>
  <c r="J9" i="12"/>
  <c r="J45" i="12" s="1"/>
  <c r="K9" i="12"/>
  <c r="L9" i="12"/>
  <c r="M9" i="12"/>
  <c r="N9" i="12"/>
  <c r="P9" i="12"/>
  <c r="Q9" i="12"/>
  <c r="R9" i="12"/>
  <c r="S9" i="12"/>
  <c r="T9" i="12"/>
  <c r="GF9" i="12" s="1"/>
  <c r="U9" i="12"/>
  <c r="GG9" i="12" s="1"/>
  <c r="V9" i="12"/>
  <c r="GH9" i="12" s="1"/>
  <c r="W9" i="12"/>
  <c r="X9" i="12"/>
  <c r="Y9" i="12"/>
  <c r="Z9" i="12"/>
  <c r="AA9" i="12"/>
  <c r="AB9" i="12"/>
  <c r="AD9" i="12"/>
  <c r="AE9" i="12"/>
  <c r="AF9" i="12"/>
  <c r="AG9" i="12"/>
  <c r="AH9" i="12"/>
  <c r="AI9" i="12"/>
  <c r="AI45" i="12" s="1"/>
  <c r="AJ9" i="12"/>
  <c r="AJ45" i="12" s="1"/>
  <c r="AK9" i="12"/>
  <c r="AK45" i="12" s="1"/>
  <c r="AL9" i="12"/>
  <c r="AM9" i="12"/>
  <c r="AN9" i="12"/>
  <c r="AO9" i="12"/>
  <c r="AP9" i="12"/>
  <c r="AR9" i="12"/>
  <c r="AS9" i="12"/>
  <c r="AT9" i="12"/>
  <c r="AU9" i="12"/>
  <c r="AV9" i="12"/>
  <c r="AV45" i="12" s="1"/>
  <c r="AW9" i="12"/>
  <c r="AW45" i="12" s="1"/>
  <c r="AX9" i="12"/>
  <c r="AX45" i="12" s="1"/>
  <c r="AY9" i="12"/>
  <c r="AZ9" i="12"/>
  <c r="BA9" i="12"/>
  <c r="BB9" i="12"/>
  <c r="BC9" i="12"/>
  <c r="BD9" i="12"/>
  <c r="BF9" i="12"/>
  <c r="BG9" i="12"/>
  <c r="BH9" i="12"/>
  <c r="BI9" i="12"/>
  <c r="BI45" i="12" s="1"/>
  <c r="BJ9" i="12"/>
  <c r="BJ45" i="12" s="1"/>
  <c r="BK9" i="12"/>
  <c r="BK45" i="12" s="1"/>
  <c r="BL9" i="12"/>
  <c r="BM9" i="12"/>
  <c r="BN9" i="12"/>
  <c r="BO9" i="12"/>
  <c r="BP9" i="12"/>
  <c r="BQ9" i="12"/>
  <c r="BR9" i="12"/>
  <c r="BT9" i="12"/>
  <c r="BU9" i="12"/>
  <c r="BV9" i="12"/>
  <c r="BV45" i="12" s="1"/>
  <c r="BW9" i="12"/>
  <c r="BW45" i="12" s="1"/>
  <c r="BX9" i="12"/>
  <c r="BX45" i="12" s="1"/>
  <c r="BY9" i="12"/>
  <c r="BZ9" i="12"/>
  <c r="CA9" i="12"/>
  <c r="CB9" i="12"/>
  <c r="CC9" i="12"/>
  <c r="CD9" i="12"/>
  <c r="CE9" i="12"/>
  <c r="CF9" i="12"/>
  <c r="CH9" i="12"/>
  <c r="CI9" i="12"/>
  <c r="CI45" i="12" s="1"/>
  <c r="CJ9" i="12"/>
  <c r="CJ45" i="12" s="1"/>
  <c r="CK9" i="12"/>
  <c r="CK45" i="12" s="1"/>
  <c r="CL9" i="12"/>
  <c r="CM9" i="12"/>
  <c r="CN9" i="12"/>
  <c r="CO9" i="12"/>
  <c r="CP9" i="12"/>
  <c r="CQ9" i="12"/>
  <c r="CR9" i="12"/>
  <c r="CS9" i="12"/>
  <c r="CT9" i="12"/>
  <c r="CV9" i="12"/>
  <c r="CV45" i="12" s="1"/>
  <c r="CW9" i="12"/>
  <c r="CW45" i="12" s="1"/>
  <c r="CX9" i="12"/>
  <c r="CX45" i="12" s="1"/>
  <c r="CY9" i="12"/>
  <c r="CZ9" i="12"/>
  <c r="DA9" i="12"/>
  <c r="DB9" i="12"/>
  <c r="DC9" i="12"/>
  <c r="DD9" i="12"/>
  <c r="DE9" i="12"/>
  <c r="DF9" i="12"/>
  <c r="DG9" i="12"/>
  <c r="DH9" i="12"/>
  <c r="DJ9" i="12"/>
  <c r="DK9" i="12"/>
  <c r="DL9" i="12"/>
  <c r="DM9" i="12"/>
  <c r="DN9" i="12"/>
  <c r="DO9" i="12"/>
  <c r="DP9" i="12"/>
  <c r="DQ9" i="12"/>
  <c r="DR9" i="12"/>
  <c r="DS9" i="12"/>
  <c r="DT9" i="12"/>
  <c r="DU9" i="12"/>
  <c r="DV9" i="12"/>
  <c r="DX9" i="12"/>
  <c r="DX45" i="12" s="1"/>
  <c r="DY9" i="12"/>
  <c r="DZ9" i="12"/>
  <c r="EA9" i="12"/>
  <c r="EB9" i="12"/>
  <c r="EC9" i="12"/>
  <c r="ED9" i="12"/>
  <c r="EE9" i="12"/>
  <c r="EF9" i="12"/>
  <c r="EG9" i="12"/>
  <c r="GY9" i="12" s="1"/>
  <c r="EH9" i="12"/>
  <c r="EI9" i="12"/>
  <c r="EJ9" i="12"/>
  <c r="EL9" i="12"/>
  <c r="EM9" i="12"/>
  <c r="EN9" i="12"/>
  <c r="EO9" i="12"/>
  <c r="EP9" i="12"/>
  <c r="EQ9" i="12"/>
  <c r="ER9" i="12"/>
  <c r="ES9" i="12"/>
  <c r="ET9" i="12"/>
  <c r="EU9" i="12"/>
  <c r="EU45" i="12" s="1"/>
  <c r="EV9" i="12"/>
  <c r="EV45" i="12" s="1"/>
  <c r="EW9" i="12"/>
  <c r="EW45" i="12" s="1"/>
  <c r="EX9" i="12"/>
  <c r="EZ9" i="12"/>
  <c r="FA9" i="12"/>
  <c r="FB9" i="12"/>
  <c r="FC9" i="12"/>
  <c r="FD9" i="12"/>
  <c r="FE9" i="12"/>
  <c r="FF9" i="12"/>
  <c r="FG9" i="12"/>
  <c r="FH9" i="12"/>
  <c r="FH45" i="12" s="1"/>
  <c r="FI9" i="12"/>
  <c r="FI45" i="12" s="1"/>
  <c r="FJ9" i="12"/>
  <c r="FK9" i="12"/>
  <c r="FN9" i="12"/>
  <c r="FO9" i="12"/>
  <c r="FP9" i="12"/>
  <c r="FQ9" i="12"/>
  <c r="FR9" i="12"/>
  <c r="FS9" i="12"/>
  <c r="FT9" i="12"/>
  <c r="FU9" i="12"/>
  <c r="FV9" i="12"/>
  <c r="FW9" i="12"/>
  <c r="FX9" i="12"/>
  <c r="FY9" i="12"/>
  <c r="FZ9" i="12"/>
  <c r="B8" i="12"/>
  <c r="C8" i="12"/>
  <c r="D8" i="12"/>
  <c r="E8" i="12"/>
  <c r="F8" i="12"/>
  <c r="G8" i="12"/>
  <c r="H8" i="12"/>
  <c r="I8" i="12"/>
  <c r="J8" i="12"/>
  <c r="K8" i="12"/>
  <c r="L8" i="12"/>
  <c r="M8" i="12"/>
  <c r="N8" i="12"/>
  <c r="P8" i="12"/>
  <c r="Q8" i="12"/>
  <c r="R8" i="12"/>
  <c r="S8" i="12"/>
  <c r="T8" i="12"/>
  <c r="U8" i="12"/>
  <c r="GG8" i="12" s="1"/>
  <c r="V8" i="12"/>
  <c r="W8" i="12"/>
  <c r="GI8" i="12" s="1"/>
  <c r="X8" i="12"/>
  <c r="Y8" i="12"/>
  <c r="Z8" i="12"/>
  <c r="AA8" i="12"/>
  <c r="AB8" i="12"/>
  <c r="AD8" i="12"/>
  <c r="AE8" i="12"/>
  <c r="AF8" i="12"/>
  <c r="AG8" i="12"/>
  <c r="AH8" i="12"/>
  <c r="AI8" i="12"/>
  <c r="AJ8" i="12"/>
  <c r="AK8" i="12"/>
  <c r="AL8" i="12"/>
  <c r="AM8" i="12"/>
  <c r="AN8" i="12"/>
  <c r="AO8" i="12"/>
  <c r="AP8" i="12"/>
  <c r="AR8" i="12"/>
  <c r="AS8" i="12"/>
  <c r="AT8" i="12"/>
  <c r="AU8" i="12"/>
  <c r="AV8" i="12"/>
  <c r="AW8" i="12"/>
  <c r="AX8" i="12"/>
  <c r="AY8" i="12"/>
  <c r="AZ8" i="12"/>
  <c r="BA8" i="12"/>
  <c r="BB8" i="12"/>
  <c r="BC8" i="12"/>
  <c r="BD8" i="12"/>
  <c r="BF8" i="12"/>
  <c r="BG8" i="12"/>
  <c r="BH8" i="12"/>
  <c r="BI8" i="12"/>
  <c r="BJ8" i="12"/>
  <c r="BK8" i="12"/>
  <c r="BL8" i="12"/>
  <c r="BM8" i="12"/>
  <c r="BN8" i="12"/>
  <c r="BO8" i="12"/>
  <c r="BP8" i="12"/>
  <c r="BQ8" i="12"/>
  <c r="BR8" i="12"/>
  <c r="BT8" i="12"/>
  <c r="BU8" i="12"/>
  <c r="BV8" i="12"/>
  <c r="BW8" i="12"/>
  <c r="BX8" i="12"/>
  <c r="BY8" i="12"/>
  <c r="BZ8" i="12"/>
  <c r="CA8" i="12"/>
  <c r="CB8" i="12"/>
  <c r="CC8" i="12"/>
  <c r="CD8" i="12"/>
  <c r="CE8" i="12"/>
  <c r="CF8" i="12"/>
  <c r="CH8" i="12"/>
  <c r="CI8" i="12"/>
  <c r="CJ8" i="12"/>
  <c r="CK8" i="12"/>
  <c r="CL8" i="12"/>
  <c r="CM8" i="12"/>
  <c r="CN8" i="12"/>
  <c r="CO8" i="12"/>
  <c r="CP8" i="12"/>
  <c r="CQ8" i="12"/>
  <c r="CR8" i="12"/>
  <c r="CS8" i="12"/>
  <c r="CT8" i="12"/>
  <c r="CV8" i="12"/>
  <c r="CW8" i="12"/>
  <c r="CX8" i="12"/>
  <c r="CY8" i="12"/>
  <c r="CZ8" i="12"/>
  <c r="DA8" i="12"/>
  <c r="DB8" i="12"/>
  <c r="DC8" i="12"/>
  <c r="DD8" i="12"/>
  <c r="DE8" i="12"/>
  <c r="DF8" i="12"/>
  <c r="DG8" i="12"/>
  <c r="DH8" i="12"/>
  <c r="DJ8" i="12"/>
  <c r="DK8" i="12"/>
  <c r="DL8" i="12"/>
  <c r="DM8" i="12"/>
  <c r="DN8" i="12"/>
  <c r="DO8" i="12"/>
  <c r="DP8" i="12"/>
  <c r="DQ8" i="12"/>
  <c r="DR8" i="12"/>
  <c r="DS8" i="12"/>
  <c r="DT8" i="12"/>
  <c r="DU8" i="12"/>
  <c r="DV8" i="12"/>
  <c r="DX8" i="12"/>
  <c r="DY8" i="12"/>
  <c r="DZ8" i="12"/>
  <c r="GD8" i="12" s="1"/>
  <c r="EA8" i="12"/>
  <c r="EB8" i="12"/>
  <c r="EC8" i="12"/>
  <c r="ED8" i="12"/>
  <c r="EE8" i="12"/>
  <c r="EF8" i="12"/>
  <c r="EG8" i="12"/>
  <c r="EH8" i="12"/>
  <c r="EI8" i="12"/>
  <c r="EJ8" i="12"/>
  <c r="EL8" i="12"/>
  <c r="EM8" i="12"/>
  <c r="EN8" i="12"/>
  <c r="EO8" i="12"/>
  <c r="EP8" i="12"/>
  <c r="EQ8" i="12"/>
  <c r="ER8" i="12"/>
  <c r="ES8" i="12"/>
  <c r="ET8" i="12"/>
  <c r="EU8" i="12"/>
  <c r="EV8" i="12"/>
  <c r="EW8" i="12"/>
  <c r="EX8" i="12"/>
  <c r="EZ8" i="12"/>
  <c r="FA8" i="12"/>
  <c r="FB8" i="12"/>
  <c r="FC8" i="12"/>
  <c r="FD8" i="12"/>
  <c r="FE8" i="12"/>
  <c r="FF8" i="12"/>
  <c r="FG8" i="12"/>
  <c r="FH8" i="12"/>
  <c r="FI8" i="12"/>
  <c r="FJ8" i="12"/>
  <c r="FK8" i="12"/>
  <c r="FL8" i="12"/>
  <c r="FN8" i="12"/>
  <c r="FO8" i="12"/>
  <c r="FP8" i="12"/>
  <c r="FQ8" i="12"/>
  <c r="FR8" i="12"/>
  <c r="FS8" i="12"/>
  <c r="FT8" i="12"/>
  <c r="FU8" i="12"/>
  <c r="FV8" i="12"/>
  <c r="FW8" i="12"/>
  <c r="FX8" i="12"/>
  <c r="FY8" i="12"/>
  <c r="FZ8" i="12"/>
  <c r="B7" i="12"/>
  <c r="C7" i="12"/>
  <c r="D7" i="12"/>
  <c r="E7" i="12"/>
  <c r="F7" i="12"/>
  <c r="G7" i="12"/>
  <c r="H7" i="12"/>
  <c r="I7" i="12"/>
  <c r="J7" i="12"/>
  <c r="K7" i="12"/>
  <c r="L7" i="12"/>
  <c r="M7" i="12"/>
  <c r="N7" i="12"/>
  <c r="P7" i="12"/>
  <c r="Q7" i="12"/>
  <c r="R7" i="12"/>
  <c r="GD7" i="12" s="1"/>
  <c r="S7" i="12"/>
  <c r="GE7" i="12" s="1"/>
  <c r="T7" i="12"/>
  <c r="GF7" i="12" s="1"/>
  <c r="U7" i="12"/>
  <c r="V7" i="12"/>
  <c r="GH7" i="12" s="1"/>
  <c r="W7" i="12"/>
  <c r="X7" i="12"/>
  <c r="Y7" i="12"/>
  <c r="Z7" i="12"/>
  <c r="AA7" i="12"/>
  <c r="AB7" i="12"/>
  <c r="AD7" i="12"/>
  <c r="AE7" i="12"/>
  <c r="AF7" i="12"/>
  <c r="AG7" i="12"/>
  <c r="AH7" i="12"/>
  <c r="AI7" i="12"/>
  <c r="AJ7" i="12"/>
  <c r="AK7" i="12"/>
  <c r="AL7" i="12"/>
  <c r="AM7" i="12"/>
  <c r="AN7" i="12"/>
  <c r="AO7" i="12"/>
  <c r="AP7" i="12"/>
  <c r="AR7" i="12"/>
  <c r="AS7" i="12"/>
  <c r="AT7" i="12"/>
  <c r="AU7" i="12"/>
  <c r="AV7" i="12"/>
  <c r="AW7" i="12"/>
  <c r="AX7" i="12"/>
  <c r="AY7" i="12"/>
  <c r="AZ7" i="12"/>
  <c r="BA7" i="12"/>
  <c r="BB7" i="12"/>
  <c r="BC7" i="12"/>
  <c r="BD7" i="12"/>
  <c r="BF7" i="12"/>
  <c r="BG7" i="12"/>
  <c r="BH7" i="12"/>
  <c r="BI7" i="12"/>
  <c r="BJ7" i="12"/>
  <c r="BK7" i="12"/>
  <c r="BL7" i="12"/>
  <c r="BM7" i="12"/>
  <c r="BN7" i="12"/>
  <c r="BO7" i="12"/>
  <c r="BP7" i="12"/>
  <c r="BQ7" i="12"/>
  <c r="BR7" i="12"/>
  <c r="BT7" i="12"/>
  <c r="BU7" i="12"/>
  <c r="BV7" i="12"/>
  <c r="BW7" i="12"/>
  <c r="BX7" i="12"/>
  <c r="BY7" i="12"/>
  <c r="BZ7" i="12"/>
  <c r="CA7" i="12"/>
  <c r="CB7" i="12"/>
  <c r="CC7" i="12"/>
  <c r="CD7" i="12"/>
  <c r="CE7" i="12"/>
  <c r="CF7" i="12"/>
  <c r="CH7" i="12"/>
  <c r="CI7" i="12"/>
  <c r="CJ7" i="12"/>
  <c r="CK7" i="12"/>
  <c r="CL7" i="12"/>
  <c r="CM7" i="12"/>
  <c r="CN7" i="12"/>
  <c r="CO7" i="12"/>
  <c r="CP7" i="12"/>
  <c r="CQ7" i="12"/>
  <c r="CR7" i="12"/>
  <c r="CS7" i="12"/>
  <c r="CT7" i="12"/>
  <c r="CV7" i="12"/>
  <c r="CW7" i="12"/>
  <c r="CX7" i="12"/>
  <c r="CY7" i="12"/>
  <c r="CZ7" i="12"/>
  <c r="DA7" i="12"/>
  <c r="DB7" i="12"/>
  <c r="DC7" i="12"/>
  <c r="DD7" i="12"/>
  <c r="DE7" i="12"/>
  <c r="DF7" i="12"/>
  <c r="DG7" i="12"/>
  <c r="DH7" i="12"/>
  <c r="DJ7" i="12"/>
  <c r="DK7" i="12"/>
  <c r="DL7" i="12"/>
  <c r="DM7" i="12"/>
  <c r="DN7" i="12"/>
  <c r="DO7" i="12"/>
  <c r="DP7" i="12"/>
  <c r="DQ7" i="12"/>
  <c r="DR7" i="12"/>
  <c r="DS7" i="12"/>
  <c r="DT7" i="12"/>
  <c r="DU7" i="12"/>
  <c r="DV7" i="12"/>
  <c r="DX7" i="12"/>
  <c r="DY7" i="12"/>
  <c r="DZ7" i="12"/>
  <c r="EA7" i="12"/>
  <c r="EB7" i="12"/>
  <c r="EC7" i="12"/>
  <c r="ED7" i="12"/>
  <c r="EE7" i="12"/>
  <c r="EF7" i="12"/>
  <c r="EG7" i="12"/>
  <c r="EH7" i="12"/>
  <c r="EI7" i="12"/>
  <c r="EJ7" i="12"/>
  <c r="EL7" i="12"/>
  <c r="EM7" i="12"/>
  <c r="EN7" i="12"/>
  <c r="EO7" i="12"/>
  <c r="EP7" i="12"/>
  <c r="EQ7" i="12"/>
  <c r="ER7" i="12"/>
  <c r="ES7" i="12"/>
  <c r="ET7" i="12"/>
  <c r="EU7" i="12"/>
  <c r="EV7" i="12"/>
  <c r="EW7" i="12"/>
  <c r="EX7" i="12"/>
  <c r="EZ7" i="12"/>
  <c r="HR7" i="12" s="1"/>
  <c r="FA7" i="12"/>
  <c r="HS7" i="12" s="1"/>
  <c r="FB7" i="12"/>
  <c r="HT7" i="12" s="1"/>
  <c r="FG7" i="12"/>
  <c r="FH7" i="12"/>
  <c r="FI7" i="12"/>
  <c r="FJ7" i="12"/>
  <c r="FK7" i="12"/>
  <c r="FL7" i="12"/>
  <c r="ID7" i="12" s="1"/>
  <c r="FN7" i="12"/>
  <c r="FO7" i="12"/>
  <c r="FP7" i="12"/>
  <c r="FQ7" i="12"/>
  <c r="FR7" i="12"/>
  <c r="FS7" i="12"/>
  <c r="FS43" i="12" s="1"/>
  <c r="FT7" i="12"/>
  <c r="FT43" i="12" s="1"/>
  <c r="FU7" i="12"/>
  <c r="FU43" i="12" s="1"/>
  <c r="FV7" i="12"/>
  <c r="FW7" i="12"/>
  <c r="FX7" i="12"/>
  <c r="FY7" i="12"/>
  <c r="FZ7" i="12"/>
  <c r="B6" i="12"/>
  <c r="C6" i="12"/>
  <c r="D6" i="12"/>
  <c r="E6" i="12"/>
  <c r="F6" i="12"/>
  <c r="G6" i="12"/>
  <c r="H6" i="12"/>
  <c r="I6" i="12"/>
  <c r="J6" i="12"/>
  <c r="K6" i="12"/>
  <c r="L6" i="12"/>
  <c r="M6" i="12"/>
  <c r="N6" i="12"/>
  <c r="P6" i="12"/>
  <c r="Q6" i="12"/>
  <c r="GC6" i="12" s="1"/>
  <c r="R6" i="12"/>
  <c r="S6" i="12"/>
  <c r="T6" i="12"/>
  <c r="U6" i="12"/>
  <c r="GG6" i="12" s="1"/>
  <c r="V6" i="12"/>
  <c r="W6" i="12"/>
  <c r="X6" i="12"/>
  <c r="Y6" i="12"/>
  <c r="Z6" i="12"/>
  <c r="AA6" i="12"/>
  <c r="AB6" i="12"/>
  <c r="AD6" i="12"/>
  <c r="AE6" i="12"/>
  <c r="AF6" i="12"/>
  <c r="AG6" i="12"/>
  <c r="AH6" i="12"/>
  <c r="AI6" i="12"/>
  <c r="AJ6" i="12"/>
  <c r="AK6" i="12"/>
  <c r="AL6" i="12"/>
  <c r="AM6" i="12"/>
  <c r="AN6" i="12"/>
  <c r="AO6" i="12"/>
  <c r="AP6" i="12"/>
  <c r="AR6" i="12"/>
  <c r="AS6" i="12"/>
  <c r="AT6" i="12"/>
  <c r="AU6" i="12"/>
  <c r="AV6" i="12"/>
  <c r="AW6" i="12"/>
  <c r="AX6" i="12"/>
  <c r="AY6" i="12"/>
  <c r="AZ6" i="12"/>
  <c r="BA6" i="12"/>
  <c r="BB6" i="12"/>
  <c r="BC6" i="12"/>
  <c r="BD6" i="12"/>
  <c r="BF6" i="12"/>
  <c r="BG6" i="12"/>
  <c r="BH6" i="12"/>
  <c r="BI6" i="12"/>
  <c r="BJ6" i="12"/>
  <c r="BK6" i="12"/>
  <c r="BL6" i="12"/>
  <c r="BM6" i="12"/>
  <c r="BN6" i="12"/>
  <c r="BO6" i="12"/>
  <c r="BP6" i="12"/>
  <c r="BQ6" i="12"/>
  <c r="BR6" i="12"/>
  <c r="BT6" i="12"/>
  <c r="BU6" i="12"/>
  <c r="BV6" i="12"/>
  <c r="BW6" i="12"/>
  <c r="BX6" i="12"/>
  <c r="BY6" i="12"/>
  <c r="BZ6" i="12"/>
  <c r="CA6" i="12"/>
  <c r="CB6" i="12"/>
  <c r="CC6" i="12"/>
  <c r="CD6" i="12"/>
  <c r="CE6" i="12"/>
  <c r="CF6" i="12"/>
  <c r="CH6" i="12"/>
  <c r="CI6" i="12"/>
  <c r="CJ6" i="12"/>
  <c r="CK6" i="12"/>
  <c r="CL6" i="12"/>
  <c r="CM6" i="12"/>
  <c r="CN6" i="12"/>
  <c r="CO6" i="12"/>
  <c r="CP6" i="12"/>
  <c r="CQ6" i="12"/>
  <c r="CR6" i="12"/>
  <c r="CS6" i="12"/>
  <c r="CT6" i="12"/>
  <c r="CV6" i="12"/>
  <c r="CW6" i="12"/>
  <c r="CX6" i="12"/>
  <c r="CY6" i="12"/>
  <c r="CZ6" i="12"/>
  <c r="DA6" i="12"/>
  <c r="DB6" i="12"/>
  <c r="DC6" i="12"/>
  <c r="DD6" i="12"/>
  <c r="DE6" i="12"/>
  <c r="DF6" i="12"/>
  <c r="DG6" i="12"/>
  <c r="DH6" i="12"/>
  <c r="DJ6" i="12"/>
  <c r="DK6" i="12"/>
  <c r="DL6" i="12"/>
  <c r="DM6" i="12"/>
  <c r="DQ6" i="12"/>
  <c r="DR6" i="12"/>
  <c r="DV6" i="12"/>
  <c r="DX6" i="12"/>
  <c r="GB6" i="12" s="1"/>
  <c r="DY6" i="12"/>
  <c r="DZ6" i="12"/>
  <c r="EA6" i="12"/>
  <c r="EB6" i="12"/>
  <c r="EC6" i="12"/>
  <c r="ED6" i="12"/>
  <c r="EE6" i="12"/>
  <c r="EF6" i="12"/>
  <c r="EG6" i="12"/>
  <c r="EH6" i="12"/>
  <c r="EI6" i="12"/>
  <c r="EJ6" i="12"/>
  <c r="EL6" i="12"/>
  <c r="EM6" i="12"/>
  <c r="EN6" i="12"/>
  <c r="EO6" i="12"/>
  <c r="EP6" i="12"/>
  <c r="EQ6" i="12"/>
  <c r="ER6" i="12"/>
  <c r="ES6" i="12"/>
  <c r="ET6" i="12"/>
  <c r="EU6" i="12"/>
  <c r="EV6" i="12"/>
  <c r="EW6" i="12"/>
  <c r="EX6" i="12"/>
  <c r="EZ6" i="12"/>
  <c r="HR6" i="12" s="1"/>
  <c r="FA6" i="12"/>
  <c r="FB6" i="12"/>
  <c r="FC6" i="12"/>
  <c r="HU6" i="12" s="1"/>
  <c r="FD6" i="12"/>
  <c r="FE6" i="12"/>
  <c r="HW6" i="12" s="1"/>
  <c r="FF6" i="12"/>
  <c r="HX6" i="12" s="1"/>
  <c r="FG6" i="12"/>
  <c r="HY6" i="12" s="1"/>
  <c r="FH6" i="12"/>
  <c r="HZ6" i="12" s="1"/>
  <c r="FI6" i="12"/>
  <c r="FJ6" i="12"/>
  <c r="FK6" i="12"/>
  <c r="FL6" i="12"/>
  <c r="ID6" i="12" s="1"/>
  <c r="FN6" i="12"/>
  <c r="FO6" i="12"/>
  <c r="FQ6" i="12"/>
  <c r="FR6" i="12"/>
  <c r="FS6" i="12"/>
  <c r="FS42" i="12" s="1"/>
  <c r="FT6" i="12"/>
  <c r="FU6" i="12"/>
  <c r="FV6" i="12"/>
  <c r="FW6" i="12"/>
  <c r="FX6" i="12"/>
  <c r="FY6" i="12"/>
  <c r="FZ6" i="12"/>
  <c r="CI6" i="6"/>
  <c r="CB8" i="2"/>
  <c r="BG78" i="11"/>
  <c r="BF78" i="11"/>
  <c r="BE78" i="11"/>
  <c r="BD78" i="11"/>
  <c r="BC78" i="11"/>
  <c r="BB78" i="11"/>
  <c r="BA78" i="11"/>
  <c r="AZ78" i="11"/>
  <c r="AY78" i="11"/>
  <c r="AX78" i="11"/>
  <c r="AW78" i="11"/>
  <c r="AV78" i="11"/>
  <c r="AO78" i="11"/>
  <c r="AL78" i="11"/>
  <c r="AK78" i="11"/>
  <c r="AJ78" i="11"/>
  <c r="AC78" i="11"/>
  <c r="Z78" i="11"/>
  <c r="Y78" i="11"/>
  <c r="X78" i="11"/>
  <c r="N78" i="11"/>
  <c r="M78" i="11"/>
  <c r="L78" i="11"/>
  <c r="AX56" i="11"/>
  <c r="AX6" i="11" s="1"/>
  <c r="AW56" i="11"/>
  <c r="AV56" i="11"/>
  <c r="AU56" i="11"/>
  <c r="AU78" i="11" s="1"/>
  <c r="AT56" i="11"/>
  <c r="AT78" i="11" s="1"/>
  <c r="AS56" i="11"/>
  <c r="AR56" i="11"/>
  <c r="AR78" i="11" s="1"/>
  <c r="AQ56" i="11"/>
  <c r="AQ78" i="11" s="1"/>
  <c r="AP56" i="11"/>
  <c r="AP78" i="11" s="1"/>
  <c r="AO56" i="11"/>
  <c r="AN56" i="11"/>
  <c r="AN78" i="11" s="1"/>
  <c r="AM56" i="11"/>
  <c r="AM78" i="11" s="1"/>
  <c r="AL56" i="11"/>
  <c r="AL6" i="11" s="1"/>
  <c r="AK56" i="11"/>
  <c r="AJ56" i="11"/>
  <c r="AI56" i="11"/>
  <c r="AI78" i="11" s="1"/>
  <c r="AH56" i="11"/>
  <c r="AH78" i="11" s="1"/>
  <c r="AG56" i="11"/>
  <c r="AF56" i="11"/>
  <c r="AF78" i="11" s="1"/>
  <c r="AE56" i="11"/>
  <c r="AE78" i="11" s="1"/>
  <c r="AD56" i="11"/>
  <c r="AD78" i="11" s="1"/>
  <c r="AC56" i="11"/>
  <c r="AB56" i="11"/>
  <c r="AB78" i="11" s="1"/>
  <c r="AA56" i="11"/>
  <c r="AA78" i="11" s="1"/>
  <c r="Z56" i="11"/>
  <c r="Z6" i="11" s="1"/>
  <c r="Y56" i="11"/>
  <c r="X56" i="11"/>
  <c r="W56" i="11"/>
  <c r="V56" i="11"/>
  <c r="U56" i="11"/>
  <c r="T56" i="11"/>
  <c r="S56" i="11"/>
  <c r="R56" i="11"/>
  <c r="Q56" i="11"/>
  <c r="P56" i="11"/>
  <c r="O56" i="11"/>
  <c r="N56" i="11"/>
  <c r="M56" i="11"/>
  <c r="L56" i="11"/>
  <c r="K56" i="11"/>
  <c r="K6" i="11" s="1"/>
  <c r="J56" i="11"/>
  <c r="J6" i="11" s="1"/>
  <c r="I56" i="11"/>
  <c r="I6" i="11" s="1"/>
  <c r="H56" i="11"/>
  <c r="G56" i="11"/>
  <c r="F56" i="11"/>
  <c r="W35" i="11"/>
  <c r="V35" i="11"/>
  <c r="U35" i="11"/>
  <c r="T35" i="11"/>
  <c r="S35" i="11"/>
  <c r="R35" i="11"/>
  <c r="Q35" i="11"/>
  <c r="P35" i="11"/>
  <c r="O35" i="11"/>
  <c r="N35" i="11"/>
  <c r="M35" i="11"/>
  <c r="L35" i="11"/>
  <c r="K35" i="11"/>
  <c r="K78" i="11" s="1"/>
  <c r="J35" i="11"/>
  <c r="J78" i="11" s="1"/>
  <c r="I35" i="11"/>
  <c r="I78" i="11" s="1"/>
  <c r="H35" i="11"/>
  <c r="H78" i="11" s="1"/>
  <c r="G35" i="11"/>
  <c r="G78" i="11" s="1"/>
  <c r="F35" i="11"/>
  <c r="F78" i="11" s="1"/>
  <c r="W31" i="11"/>
  <c r="V31" i="11"/>
  <c r="U31" i="11"/>
  <c r="T31" i="11"/>
  <c r="S31" i="11"/>
  <c r="R31" i="11"/>
  <c r="Q31" i="11"/>
  <c r="P31" i="11"/>
  <c r="O31" i="11"/>
  <c r="N31" i="11"/>
  <c r="M31" i="11"/>
  <c r="L31" i="11"/>
  <c r="W9" i="11"/>
  <c r="W78" i="11" s="1"/>
  <c r="V9" i="11"/>
  <c r="V78" i="11" s="1"/>
  <c r="U9" i="11"/>
  <c r="T9" i="11"/>
  <c r="T78" i="11" s="1"/>
  <c r="S9" i="11"/>
  <c r="S78" i="11" s="1"/>
  <c r="R9" i="11"/>
  <c r="R78" i="11" s="1"/>
  <c r="Q9" i="11"/>
  <c r="P9" i="11"/>
  <c r="P78" i="11" s="1"/>
  <c r="O9" i="11"/>
  <c r="O78" i="11" s="1"/>
  <c r="N9" i="11"/>
  <c r="N6" i="11" s="1"/>
  <c r="M9" i="11"/>
  <c r="L9" i="11"/>
  <c r="BC6" i="11"/>
  <c r="BB6" i="11"/>
  <c r="BA6" i="11"/>
  <c r="AZ6" i="11"/>
  <c r="AW6" i="11"/>
  <c r="AV6" i="11"/>
  <c r="AR6" i="11"/>
  <c r="AQ6" i="11"/>
  <c r="AP6" i="11"/>
  <c r="AO6" i="11"/>
  <c r="AN6" i="11"/>
  <c r="AM6" i="11"/>
  <c r="AK6" i="11"/>
  <c r="AJ6" i="11"/>
  <c r="AF6" i="11"/>
  <c r="AE6" i="11"/>
  <c r="AD6" i="11"/>
  <c r="AC6" i="11"/>
  <c r="AB6" i="11"/>
  <c r="AA6" i="11"/>
  <c r="Y6" i="11"/>
  <c r="X6" i="11"/>
  <c r="M6" i="11"/>
  <c r="L6" i="11"/>
  <c r="H6" i="11"/>
  <c r="G6" i="11"/>
  <c r="F6" i="11"/>
  <c r="M35" i="10"/>
  <c r="M36" i="10" s="1"/>
  <c r="M37" i="10" s="1"/>
  <c r="M38" i="10" s="1"/>
  <c r="M39" i="10" s="1"/>
  <c r="M40" i="10" s="1"/>
  <c r="M34" i="10"/>
  <c r="CE78" i="9"/>
  <c r="CD78" i="9"/>
  <c r="CC78" i="9"/>
  <c r="CB78" i="9"/>
  <c r="BW78" i="9"/>
  <c r="BS78" i="9"/>
  <c r="BR78" i="9"/>
  <c r="BQ78" i="9"/>
  <c r="BP78" i="9"/>
  <c r="BO78" i="9"/>
  <c r="BN78" i="9"/>
  <c r="BM78" i="9"/>
  <c r="BL78" i="9"/>
  <c r="BK78" i="9"/>
  <c r="BJ78" i="9"/>
  <c r="BI78" i="9"/>
  <c r="BH78" i="9"/>
  <c r="BG78" i="9"/>
  <c r="BF78" i="9"/>
  <c r="BE78" i="9"/>
  <c r="BD78" i="9"/>
  <c r="AZ78" i="9"/>
  <c r="AY78" i="9"/>
  <c r="AU78" i="9"/>
  <c r="AT78" i="9"/>
  <c r="AS78" i="9"/>
  <c r="AR78" i="9"/>
  <c r="BE56" i="9"/>
  <c r="BD56" i="9"/>
  <c r="BC56" i="9"/>
  <c r="BB56" i="9"/>
  <c r="BB78" i="9" s="1"/>
  <c r="BA56" i="9"/>
  <c r="BA78" i="9" s="1"/>
  <c r="AZ56" i="9"/>
  <c r="AY56" i="9"/>
  <c r="AX56" i="9"/>
  <c r="AX78" i="9" s="1"/>
  <c r="AW56" i="9"/>
  <c r="AW78" i="9" s="1"/>
  <c r="AV56" i="9"/>
  <c r="AV78" i="9" s="1"/>
  <c r="AU56" i="9"/>
  <c r="AT56" i="9"/>
  <c r="AS56" i="9"/>
  <c r="AR56" i="9"/>
  <c r="AQ56" i="9"/>
  <c r="AP56" i="9"/>
  <c r="AP78" i="9" s="1"/>
  <c r="AO56" i="9"/>
  <c r="AO78" i="9" s="1"/>
  <c r="AN56" i="9"/>
  <c r="AM56" i="9"/>
  <c r="AL56" i="9"/>
  <c r="AF56" i="9"/>
  <c r="AE56" i="9"/>
  <c r="AE6" i="9" s="1"/>
  <c r="AD56" i="9"/>
  <c r="AC56" i="9"/>
  <c r="AB56" i="9"/>
  <c r="AA56" i="9"/>
  <c r="Z56" i="9"/>
  <c r="Z6" i="9" s="1"/>
  <c r="Y56" i="9"/>
  <c r="X56" i="9"/>
  <c r="W56" i="9"/>
  <c r="V56" i="9"/>
  <c r="U56" i="9"/>
  <c r="T56" i="9"/>
  <c r="S56" i="9"/>
  <c r="R56" i="9"/>
  <c r="Q56" i="9"/>
  <c r="P56" i="9"/>
  <c r="O56" i="9"/>
  <c r="N56" i="9"/>
  <c r="N6" i="9" s="1"/>
  <c r="M56" i="9"/>
  <c r="L56" i="9"/>
  <c r="K56" i="9"/>
  <c r="J56" i="9"/>
  <c r="I56" i="9"/>
  <c r="H56" i="9"/>
  <c r="G56" i="9"/>
  <c r="F56" i="9"/>
  <c r="CZ47" i="9"/>
  <c r="CU47" i="9"/>
  <c r="CR47" i="9"/>
  <c r="CQ47" i="9"/>
  <c r="CP47" i="9"/>
  <c r="CO47" i="9"/>
  <c r="CN47" i="9"/>
  <c r="DA47" i="9" s="1"/>
  <c r="CJ47" i="9"/>
  <c r="CW47" i="9" s="1"/>
  <c r="CI47" i="9"/>
  <c r="CG47" i="9"/>
  <c r="CT47" i="9" s="1"/>
  <c r="AN47" i="9"/>
  <c r="DN47" i="9" s="1"/>
  <c r="AM47" i="9"/>
  <c r="CM47" i="9" s="1"/>
  <c r="AL47" i="9"/>
  <c r="CL47" i="9" s="1"/>
  <c r="CY47" i="9" s="1"/>
  <c r="AK47" i="9"/>
  <c r="AJ47" i="9"/>
  <c r="DJ47" i="9" s="1"/>
  <c r="AI47" i="9"/>
  <c r="AH47" i="9"/>
  <c r="CH47" i="9" s="1"/>
  <c r="AG47" i="9"/>
  <c r="DG47" i="9" s="1"/>
  <c r="AF47" i="9"/>
  <c r="S47" i="9"/>
  <c r="F47" i="9"/>
  <c r="DA46" i="9"/>
  <c r="CT46" i="9"/>
  <c r="CR46" i="9"/>
  <c r="CQ46" i="9"/>
  <c r="CP46" i="9"/>
  <c r="CO46" i="9"/>
  <c r="CM46" i="9"/>
  <c r="CZ46" i="9" s="1"/>
  <c r="CI46" i="9"/>
  <c r="CV46" i="9" s="1"/>
  <c r="CH46" i="9"/>
  <c r="CU46" i="9" s="1"/>
  <c r="AN46" i="9"/>
  <c r="CN46" i="9" s="1"/>
  <c r="AM46" i="9"/>
  <c r="DM46" i="9" s="1"/>
  <c r="AL46" i="9"/>
  <c r="AK46" i="9"/>
  <c r="CK46" i="9" s="1"/>
  <c r="AJ46" i="9"/>
  <c r="CJ46" i="9" s="1"/>
  <c r="CW46" i="9" s="1"/>
  <c r="AI46" i="9"/>
  <c r="DI46" i="9" s="1"/>
  <c r="AH46" i="9"/>
  <c r="DH46" i="9" s="1"/>
  <c r="AG46" i="9"/>
  <c r="CG46" i="9" s="1"/>
  <c r="AF46" i="9"/>
  <c r="CF46" i="9" s="1"/>
  <c r="CS46" i="9" s="1"/>
  <c r="S46" i="9"/>
  <c r="F46" i="9"/>
  <c r="DK45" i="9"/>
  <c r="CR45" i="9"/>
  <c r="CQ45" i="9"/>
  <c r="CP45" i="9"/>
  <c r="CO45" i="9"/>
  <c r="CN45" i="9"/>
  <c r="DA45" i="9" s="1"/>
  <c r="CI45" i="9"/>
  <c r="CG45" i="9"/>
  <c r="CT45" i="9" s="1"/>
  <c r="AN45" i="9"/>
  <c r="AM45" i="9"/>
  <c r="CM45" i="9" s="1"/>
  <c r="CZ45" i="9" s="1"/>
  <c r="AL45" i="9"/>
  <c r="CL45" i="9" s="1"/>
  <c r="CY45" i="9" s="1"/>
  <c r="AK45" i="9"/>
  <c r="CK45" i="9" s="1"/>
  <c r="CX45" i="9" s="1"/>
  <c r="AJ45" i="9"/>
  <c r="CJ45" i="9" s="1"/>
  <c r="CW45" i="9" s="1"/>
  <c r="AI45" i="9"/>
  <c r="AH45" i="9"/>
  <c r="CH45" i="9" s="1"/>
  <c r="CU45" i="9" s="1"/>
  <c r="AG45" i="9"/>
  <c r="DG45" i="9" s="1"/>
  <c r="AF45" i="9"/>
  <c r="S45" i="9"/>
  <c r="F45" i="9"/>
  <c r="DJ44" i="9"/>
  <c r="CT44" i="9"/>
  <c r="CR44" i="9"/>
  <c r="CQ44" i="9"/>
  <c r="CP44" i="9"/>
  <c r="CO44" i="9"/>
  <c r="CM44" i="9"/>
  <c r="CZ44" i="9" s="1"/>
  <c r="CI44" i="9"/>
  <c r="CV44" i="9" s="1"/>
  <c r="CH44" i="9"/>
  <c r="CU44" i="9" s="1"/>
  <c r="AN44" i="9"/>
  <c r="CN44" i="9" s="1"/>
  <c r="DA44" i="9" s="1"/>
  <c r="AM44" i="9"/>
  <c r="DM44" i="9" s="1"/>
  <c r="AL44" i="9"/>
  <c r="AK44" i="9"/>
  <c r="CK44" i="9" s="1"/>
  <c r="AJ44" i="9"/>
  <c r="CJ44" i="9" s="1"/>
  <c r="CW44" i="9" s="1"/>
  <c r="AI44" i="9"/>
  <c r="DI44" i="9" s="1"/>
  <c r="AH44" i="9"/>
  <c r="AG44" i="9"/>
  <c r="CG44" i="9" s="1"/>
  <c r="AF44" i="9"/>
  <c r="S44" i="9"/>
  <c r="F44" i="9"/>
  <c r="CZ43" i="9"/>
  <c r="CU43" i="9"/>
  <c r="CR43" i="9"/>
  <c r="CQ43" i="9"/>
  <c r="CP43" i="9"/>
  <c r="CO43" i="9"/>
  <c r="CN43" i="9"/>
  <c r="DA43" i="9" s="1"/>
  <c r="CI43" i="9"/>
  <c r="CG43" i="9"/>
  <c r="CT43" i="9" s="1"/>
  <c r="AN43" i="9"/>
  <c r="DN43" i="9" s="1"/>
  <c r="AM43" i="9"/>
  <c r="CM43" i="9" s="1"/>
  <c r="AL43" i="9"/>
  <c r="CL43" i="9" s="1"/>
  <c r="CY43" i="9" s="1"/>
  <c r="AK43" i="9"/>
  <c r="CK43" i="9" s="1"/>
  <c r="CX43" i="9" s="1"/>
  <c r="AJ43" i="9"/>
  <c r="CJ43" i="9" s="1"/>
  <c r="CW43" i="9" s="1"/>
  <c r="AI43" i="9"/>
  <c r="AH43" i="9"/>
  <c r="CH43" i="9" s="1"/>
  <c r="AG43" i="9"/>
  <c r="DG43" i="9" s="1"/>
  <c r="AF43" i="9"/>
  <c r="S43" i="9"/>
  <c r="F43" i="9"/>
  <c r="DA42" i="9"/>
  <c r="CT42" i="9"/>
  <c r="CR42" i="9"/>
  <c r="CQ42" i="9"/>
  <c r="CP42" i="9"/>
  <c r="CO42" i="9"/>
  <c r="CM42" i="9"/>
  <c r="CZ42" i="9" s="1"/>
  <c r="CI42" i="9"/>
  <c r="CV42" i="9" s="1"/>
  <c r="CH42" i="9"/>
  <c r="CU42" i="9" s="1"/>
  <c r="AN42" i="9"/>
  <c r="CN42" i="9" s="1"/>
  <c r="AM42" i="9"/>
  <c r="DM42" i="9" s="1"/>
  <c r="AL42" i="9"/>
  <c r="AK42" i="9"/>
  <c r="CK42" i="9" s="1"/>
  <c r="AJ42" i="9"/>
  <c r="CJ42" i="9" s="1"/>
  <c r="CW42" i="9" s="1"/>
  <c r="AI42" i="9"/>
  <c r="DI42" i="9" s="1"/>
  <c r="AH42" i="9"/>
  <c r="DH42" i="9" s="1"/>
  <c r="AG42" i="9"/>
  <c r="CG42" i="9" s="1"/>
  <c r="AF42" i="9"/>
  <c r="CF42" i="9" s="1"/>
  <c r="CS42" i="9" s="1"/>
  <c r="S42" i="9"/>
  <c r="F42" i="9"/>
  <c r="DK41" i="9"/>
  <c r="CR41" i="9"/>
  <c r="CQ41" i="9"/>
  <c r="CP41" i="9"/>
  <c r="CO41" i="9"/>
  <c r="CN41" i="9"/>
  <c r="DA41" i="9" s="1"/>
  <c r="CI41" i="9"/>
  <c r="CG41" i="9"/>
  <c r="CT41" i="9" s="1"/>
  <c r="AN41" i="9"/>
  <c r="AM41" i="9"/>
  <c r="CM41" i="9" s="1"/>
  <c r="CZ41" i="9" s="1"/>
  <c r="AL41" i="9"/>
  <c r="CL41" i="9" s="1"/>
  <c r="CY41" i="9" s="1"/>
  <c r="AK41" i="9"/>
  <c r="CK41" i="9" s="1"/>
  <c r="CX41" i="9" s="1"/>
  <c r="AJ41" i="9"/>
  <c r="CJ41" i="9" s="1"/>
  <c r="CW41" i="9" s="1"/>
  <c r="AI41" i="9"/>
  <c r="AH41" i="9"/>
  <c r="CH41" i="9" s="1"/>
  <c r="CU41" i="9" s="1"/>
  <c r="AG41" i="9"/>
  <c r="DG41" i="9" s="1"/>
  <c r="AF41" i="9"/>
  <c r="S41" i="9"/>
  <c r="F41" i="9"/>
  <c r="DJ40" i="9"/>
  <c r="CT40" i="9"/>
  <c r="CR40" i="9"/>
  <c r="CQ40" i="9"/>
  <c r="CP40" i="9"/>
  <c r="CO40" i="9"/>
  <c r="CM40" i="9"/>
  <c r="CZ40" i="9" s="1"/>
  <c r="CI40" i="9"/>
  <c r="CV40" i="9" s="1"/>
  <c r="CH40" i="9"/>
  <c r="CU40" i="9" s="1"/>
  <c r="AN40" i="9"/>
  <c r="CN40" i="9" s="1"/>
  <c r="DA40" i="9" s="1"/>
  <c r="AM40" i="9"/>
  <c r="DM40" i="9" s="1"/>
  <c r="AL40" i="9"/>
  <c r="AK40" i="9"/>
  <c r="CK40" i="9" s="1"/>
  <c r="AJ40" i="9"/>
  <c r="CJ40" i="9" s="1"/>
  <c r="CW40" i="9" s="1"/>
  <c r="AI40" i="9"/>
  <c r="DI40" i="9" s="1"/>
  <c r="AH40" i="9"/>
  <c r="AG40" i="9"/>
  <c r="CG40" i="9" s="1"/>
  <c r="AF40" i="9"/>
  <c r="S40" i="9"/>
  <c r="F40" i="9"/>
  <c r="DK39" i="9"/>
  <c r="CZ39" i="9"/>
  <c r="CU39" i="9"/>
  <c r="CR39" i="9"/>
  <c r="CQ39" i="9"/>
  <c r="CP39" i="9"/>
  <c r="CO39" i="9"/>
  <c r="CN39" i="9"/>
  <c r="DA39" i="9" s="1"/>
  <c r="CI39" i="9"/>
  <c r="CG39" i="9"/>
  <c r="CT39" i="9" s="1"/>
  <c r="AN39" i="9"/>
  <c r="DN39" i="9" s="1"/>
  <c r="AM39" i="9"/>
  <c r="CM39" i="9" s="1"/>
  <c r="AL39" i="9"/>
  <c r="CL39" i="9" s="1"/>
  <c r="CY39" i="9" s="1"/>
  <c r="AK39" i="9"/>
  <c r="CK39" i="9" s="1"/>
  <c r="CX39" i="9" s="1"/>
  <c r="AJ39" i="9"/>
  <c r="CJ39" i="9" s="1"/>
  <c r="CW39" i="9" s="1"/>
  <c r="AI39" i="9"/>
  <c r="AH39" i="9"/>
  <c r="CH39" i="9" s="1"/>
  <c r="AG39" i="9"/>
  <c r="DG39" i="9" s="1"/>
  <c r="AF39" i="9"/>
  <c r="S39" i="9"/>
  <c r="F39" i="9"/>
  <c r="DA38" i="9"/>
  <c r="CT38" i="9"/>
  <c r="CR38" i="9"/>
  <c r="CQ38" i="9"/>
  <c r="CP38" i="9"/>
  <c r="CO38" i="9"/>
  <c r="CM38" i="9"/>
  <c r="CZ38" i="9" s="1"/>
  <c r="CI38" i="9"/>
  <c r="CV38" i="9" s="1"/>
  <c r="CH38" i="9"/>
  <c r="CU38" i="9" s="1"/>
  <c r="AN38" i="9"/>
  <c r="CN38" i="9" s="1"/>
  <c r="AM38" i="9"/>
  <c r="DM38" i="9" s="1"/>
  <c r="AL38" i="9"/>
  <c r="AK38" i="9"/>
  <c r="CK38" i="9" s="1"/>
  <c r="AJ38" i="9"/>
  <c r="CJ38" i="9" s="1"/>
  <c r="CW38" i="9" s="1"/>
  <c r="AI38" i="9"/>
  <c r="DI38" i="9" s="1"/>
  <c r="AH38" i="9"/>
  <c r="DH38" i="9" s="1"/>
  <c r="AG38" i="9"/>
  <c r="CG38" i="9" s="1"/>
  <c r="AF38" i="9"/>
  <c r="CF38" i="9" s="1"/>
  <c r="CS38" i="9" s="1"/>
  <c r="S38" i="9"/>
  <c r="F38" i="9"/>
  <c r="CR37" i="9"/>
  <c r="CQ37" i="9"/>
  <c r="CP37" i="9"/>
  <c r="CO37" i="9"/>
  <c r="CN37" i="9"/>
  <c r="DA37" i="9" s="1"/>
  <c r="CI37" i="9"/>
  <c r="CG37" i="9"/>
  <c r="CT37" i="9" s="1"/>
  <c r="AN37" i="9"/>
  <c r="AM37" i="9"/>
  <c r="CM37" i="9" s="1"/>
  <c r="CZ37" i="9" s="1"/>
  <c r="AL37" i="9"/>
  <c r="CL37" i="9" s="1"/>
  <c r="CY37" i="9" s="1"/>
  <c r="AK37" i="9"/>
  <c r="AJ37" i="9"/>
  <c r="CJ37" i="9" s="1"/>
  <c r="CW37" i="9" s="1"/>
  <c r="AI37" i="9"/>
  <c r="AH37" i="9"/>
  <c r="CH37" i="9" s="1"/>
  <c r="CU37" i="9" s="1"/>
  <c r="AG37" i="9"/>
  <c r="DG37" i="9" s="1"/>
  <c r="AF37" i="9"/>
  <c r="S37" i="9"/>
  <c r="F37" i="9"/>
  <c r="DJ36" i="9"/>
  <c r="CT36" i="9"/>
  <c r="CR36" i="9"/>
  <c r="CQ36" i="9"/>
  <c r="CP36" i="9"/>
  <c r="CO36" i="9"/>
  <c r="CM36" i="9"/>
  <c r="CZ36" i="9" s="1"/>
  <c r="CI36" i="9"/>
  <c r="CV36" i="9" s="1"/>
  <c r="CH36" i="9"/>
  <c r="CU36" i="9" s="1"/>
  <c r="AN36" i="9"/>
  <c r="CN36" i="9" s="1"/>
  <c r="DA36" i="9" s="1"/>
  <c r="AM36" i="9"/>
  <c r="DM36" i="9" s="1"/>
  <c r="AL36" i="9"/>
  <c r="AK36" i="9"/>
  <c r="AJ36" i="9"/>
  <c r="CJ36" i="9" s="1"/>
  <c r="CW36" i="9" s="1"/>
  <c r="AI36" i="9"/>
  <c r="DI36" i="9" s="1"/>
  <c r="AH36" i="9"/>
  <c r="AG36" i="9"/>
  <c r="CG36" i="9" s="1"/>
  <c r="AF36" i="9"/>
  <c r="X36" i="9"/>
  <c r="W36" i="9"/>
  <c r="V36" i="9"/>
  <c r="U36" i="9"/>
  <c r="T36" i="9"/>
  <c r="S36" i="9"/>
  <c r="S35" i="9" s="1"/>
  <c r="FC35" i="9"/>
  <c r="FB35" i="9"/>
  <c r="FA35" i="9"/>
  <c r="EZ35" i="9"/>
  <c r="EY35" i="9"/>
  <c r="EX35" i="9"/>
  <c r="EW35" i="9"/>
  <c r="EV35" i="9"/>
  <c r="EU35" i="9"/>
  <c r="ET35" i="9"/>
  <c r="ES35" i="9"/>
  <c r="ED35" i="9"/>
  <c r="EC35" i="9"/>
  <c r="EB35" i="9"/>
  <c r="EA35" i="9"/>
  <c r="DZ35" i="9"/>
  <c r="DY35" i="9"/>
  <c r="DX35" i="9"/>
  <c r="DW35" i="9"/>
  <c r="DW6" i="9" s="1"/>
  <c r="DV35" i="9"/>
  <c r="DU35" i="9"/>
  <c r="DT35" i="9"/>
  <c r="DS35" i="9"/>
  <c r="CA35" i="9"/>
  <c r="BZ35" i="9"/>
  <c r="BY35" i="9"/>
  <c r="BX35" i="9"/>
  <c r="BW35" i="9"/>
  <c r="BV35" i="9"/>
  <c r="BU35" i="9"/>
  <c r="BT35" i="9"/>
  <c r="AN35" i="9"/>
  <c r="AM35" i="9"/>
  <c r="AJ35" i="9"/>
  <c r="AI35" i="9"/>
  <c r="AH35" i="9"/>
  <c r="AG35" i="9"/>
  <c r="AE35" i="9"/>
  <c r="AD35" i="9"/>
  <c r="AC35" i="9"/>
  <c r="AB35" i="9"/>
  <c r="AA35" i="9"/>
  <c r="Z35" i="9"/>
  <c r="Y35" i="9"/>
  <c r="X35" i="9"/>
  <c r="W35" i="9"/>
  <c r="V35" i="9"/>
  <c r="U35" i="9"/>
  <c r="T35" i="9"/>
  <c r="R35" i="9"/>
  <c r="Q35" i="9"/>
  <c r="P35" i="9"/>
  <c r="O35" i="9"/>
  <c r="N35" i="9"/>
  <c r="M35" i="9"/>
  <c r="L35" i="9"/>
  <c r="K35" i="9"/>
  <c r="J35" i="9"/>
  <c r="I35" i="9"/>
  <c r="H35" i="9"/>
  <c r="G35" i="9"/>
  <c r="F35" i="9"/>
  <c r="DN32" i="9"/>
  <c r="DI32" i="9"/>
  <c r="CX32" i="9"/>
  <c r="CS32" i="9"/>
  <c r="CR32" i="9"/>
  <c r="CQ32" i="9"/>
  <c r="CP32" i="9"/>
  <c r="CO32" i="9"/>
  <c r="CN32" i="9"/>
  <c r="DA32" i="9" s="1"/>
  <c r="CM32" i="9"/>
  <c r="DM32" i="9" s="1"/>
  <c r="CL32" i="9"/>
  <c r="CK32" i="9"/>
  <c r="DK32" i="9" s="1"/>
  <c r="CJ32" i="9"/>
  <c r="CW32" i="9" s="1"/>
  <c r="CI32" i="9"/>
  <c r="CV32" i="9" s="1"/>
  <c r="CH32" i="9"/>
  <c r="CU32" i="9" s="1"/>
  <c r="CG32" i="9"/>
  <c r="CF32" i="9"/>
  <c r="DF32" i="9" s="1"/>
  <c r="FQ31" i="9"/>
  <c r="FP31" i="9"/>
  <c r="FO31" i="9"/>
  <c r="FN31" i="9"/>
  <c r="FM31" i="9"/>
  <c r="FL31" i="9"/>
  <c r="FL6" i="9" s="1"/>
  <c r="FK31" i="9"/>
  <c r="FJ31" i="9"/>
  <c r="FI31" i="9"/>
  <c r="FH31" i="9"/>
  <c r="FG31" i="9"/>
  <c r="FG6" i="9" s="1"/>
  <c r="FF31" i="9"/>
  <c r="FB31" i="9"/>
  <c r="FA31" i="9"/>
  <c r="EZ31" i="9"/>
  <c r="EY31" i="9"/>
  <c r="EX31" i="9"/>
  <c r="EW31" i="9"/>
  <c r="EV31" i="9"/>
  <c r="EU31" i="9"/>
  <c r="ET31" i="9"/>
  <c r="ES31" i="9"/>
  <c r="EQ31" i="9"/>
  <c r="EP31" i="9"/>
  <c r="EO31" i="9"/>
  <c r="EN31" i="9"/>
  <c r="EM31" i="9"/>
  <c r="EL31" i="9"/>
  <c r="EK31" i="9"/>
  <c r="EJ31" i="9"/>
  <c r="EJ6" i="9" s="1"/>
  <c r="EI31" i="9"/>
  <c r="EH31" i="9"/>
  <c r="EG31" i="9"/>
  <c r="EF31" i="9"/>
  <c r="CA31" i="9"/>
  <c r="BZ31" i="9"/>
  <c r="BY31" i="9"/>
  <c r="BX31" i="9"/>
  <c r="BW31" i="9"/>
  <c r="BV31" i="9"/>
  <c r="BU31" i="9"/>
  <c r="BT31" i="9"/>
  <c r="AN31" i="9"/>
  <c r="AM31" i="9"/>
  <c r="AL31" i="9"/>
  <c r="AK31" i="9"/>
  <c r="AJ31" i="9"/>
  <c r="AI31" i="9"/>
  <c r="AH31" i="9"/>
  <c r="AG31" i="9"/>
  <c r="AF31" i="9"/>
  <c r="AE31" i="9"/>
  <c r="AD31" i="9"/>
  <c r="AC31" i="9"/>
  <c r="AB31" i="9"/>
  <c r="AA31" i="9"/>
  <c r="Z31" i="9"/>
  <c r="Y31" i="9"/>
  <c r="X31" i="9"/>
  <c r="W31" i="9"/>
  <c r="V31" i="9"/>
  <c r="U31" i="9"/>
  <c r="T31" i="9"/>
  <c r="S31" i="9"/>
  <c r="R31" i="9"/>
  <c r="Q31" i="9"/>
  <c r="P31" i="9"/>
  <c r="O31" i="9"/>
  <c r="N31" i="9"/>
  <c r="M31" i="9"/>
  <c r="L31" i="9"/>
  <c r="G31" i="9"/>
  <c r="F31" i="9"/>
  <c r="DJ21" i="9"/>
  <c r="CR21" i="9"/>
  <c r="CQ21" i="9"/>
  <c r="CP21" i="9"/>
  <c r="CO21" i="9"/>
  <c r="CM21" i="9"/>
  <c r="CZ21" i="9" s="1"/>
  <c r="CI21" i="9"/>
  <c r="CV21" i="9" s="1"/>
  <c r="BU21" i="9"/>
  <c r="BT21" i="9"/>
  <c r="AN21" i="9"/>
  <c r="AM21" i="9"/>
  <c r="DM21" i="9" s="1"/>
  <c r="AL21" i="9"/>
  <c r="CL21" i="9" s="1"/>
  <c r="CY21" i="9" s="1"/>
  <c r="AK21" i="9"/>
  <c r="CK21" i="9" s="1"/>
  <c r="AJ21" i="9"/>
  <c r="CJ21" i="9" s="1"/>
  <c r="CW21" i="9" s="1"/>
  <c r="AI21" i="9"/>
  <c r="DI21" i="9" s="1"/>
  <c r="AH21" i="9"/>
  <c r="AG21" i="9"/>
  <c r="AF21" i="9"/>
  <c r="CF21" i="9" s="1"/>
  <c r="CS21" i="9" s="1"/>
  <c r="X21" i="9"/>
  <c r="W21" i="9"/>
  <c r="V21" i="9"/>
  <c r="U21" i="9"/>
  <c r="CH21" i="9" s="1"/>
  <c r="CU21" i="9" s="1"/>
  <c r="T21" i="9"/>
  <c r="S21" i="9"/>
  <c r="K21" i="9"/>
  <c r="J21" i="9"/>
  <c r="I21" i="9"/>
  <c r="H21" i="9"/>
  <c r="G21" i="9"/>
  <c r="CR20" i="9"/>
  <c r="CQ20" i="9"/>
  <c r="CP20" i="9"/>
  <c r="CO20" i="9"/>
  <c r="CN20" i="9"/>
  <c r="DA20" i="9" s="1"/>
  <c r="CM20" i="9"/>
  <c r="CZ20" i="9" s="1"/>
  <c r="CH20" i="9"/>
  <c r="BU20" i="9"/>
  <c r="BT20" i="9"/>
  <c r="AN20" i="9"/>
  <c r="DN20" i="9" s="1"/>
  <c r="AM20" i="9"/>
  <c r="AL20" i="9"/>
  <c r="AK20" i="9"/>
  <c r="CK20" i="9" s="1"/>
  <c r="CX20" i="9" s="1"/>
  <c r="AJ20" i="9"/>
  <c r="CJ20" i="9" s="1"/>
  <c r="AI20" i="9"/>
  <c r="CI20" i="9" s="1"/>
  <c r="CV20" i="9" s="1"/>
  <c r="AH20" i="9"/>
  <c r="AG20" i="9"/>
  <c r="AF20" i="9"/>
  <c r="X20" i="9"/>
  <c r="W20" i="9"/>
  <c r="V20" i="9"/>
  <c r="U20" i="9"/>
  <c r="T20" i="9"/>
  <c r="S20" i="9"/>
  <c r="CF20" i="9" s="1"/>
  <c r="CS20" i="9" s="1"/>
  <c r="K20" i="9"/>
  <c r="J20" i="9"/>
  <c r="I20" i="9"/>
  <c r="H20" i="9"/>
  <c r="G20" i="9"/>
  <c r="DH19" i="9"/>
  <c r="CR19" i="9"/>
  <c r="CQ19" i="9"/>
  <c r="CP19" i="9"/>
  <c r="CO19" i="9"/>
  <c r="CM19" i="9"/>
  <c r="CG19" i="9"/>
  <c r="CT19" i="9" s="1"/>
  <c r="CF19" i="9"/>
  <c r="CS19" i="9" s="1"/>
  <c r="BU19" i="9"/>
  <c r="BT19" i="9"/>
  <c r="AN19" i="9"/>
  <c r="CN19" i="9" s="1"/>
  <c r="DA19" i="9" s="1"/>
  <c r="AM19" i="9"/>
  <c r="AL19" i="9"/>
  <c r="AK19" i="9"/>
  <c r="AJ19" i="9"/>
  <c r="CJ19" i="9" s="1"/>
  <c r="CW19" i="9" s="1"/>
  <c r="AI19" i="9"/>
  <c r="CI19" i="9" s="1"/>
  <c r="AH19" i="9"/>
  <c r="CH19" i="9" s="1"/>
  <c r="CU19" i="9" s="1"/>
  <c r="AG19" i="9"/>
  <c r="DG19" i="9" s="1"/>
  <c r="AF19" i="9"/>
  <c r="X19" i="9"/>
  <c r="CK19" i="9" s="1"/>
  <c r="CX19" i="9" s="1"/>
  <c r="W19" i="9"/>
  <c r="V19" i="9"/>
  <c r="U19" i="9"/>
  <c r="T19" i="9"/>
  <c r="S19" i="9"/>
  <c r="K19" i="9"/>
  <c r="J19" i="9"/>
  <c r="I19" i="9"/>
  <c r="H19" i="9"/>
  <c r="G19" i="9"/>
  <c r="DH18" i="9"/>
  <c r="CR18" i="9"/>
  <c r="CQ18" i="9"/>
  <c r="CP18" i="9"/>
  <c r="CO18" i="9"/>
  <c r="CL18" i="9"/>
  <c r="CY18" i="9" s="1"/>
  <c r="CF18" i="9"/>
  <c r="BU18" i="9"/>
  <c r="BT18" i="9"/>
  <c r="AN18" i="9"/>
  <c r="CN18" i="9" s="1"/>
  <c r="AM18" i="9"/>
  <c r="CM18" i="9" s="1"/>
  <c r="AL18" i="9"/>
  <c r="DL18" i="9" s="1"/>
  <c r="AK18" i="9"/>
  <c r="AJ18" i="9"/>
  <c r="AI18" i="9"/>
  <c r="CI18" i="9" s="1"/>
  <c r="CV18" i="9" s="1"/>
  <c r="AH18" i="9"/>
  <c r="AG18" i="9"/>
  <c r="CG18" i="9" s="1"/>
  <c r="CT18" i="9" s="1"/>
  <c r="AF18" i="9"/>
  <c r="X18" i="9"/>
  <c r="CK18" i="9" s="1"/>
  <c r="CX18" i="9" s="1"/>
  <c r="W18" i="9"/>
  <c r="V18" i="9"/>
  <c r="U18" i="9"/>
  <c r="CH18" i="9" s="1"/>
  <c r="CU18" i="9" s="1"/>
  <c r="T18" i="9"/>
  <c r="S18" i="9"/>
  <c r="K18" i="9"/>
  <c r="J18" i="9"/>
  <c r="I18" i="9"/>
  <c r="H18" i="9"/>
  <c r="G18" i="9"/>
  <c r="DF17" i="9"/>
  <c r="CR17" i="9"/>
  <c r="CQ17" i="9"/>
  <c r="CP17" i="9"/>
  <c r="CO17" i="9"/>
  <c r="CK17" i="9"/>
  <c r="CF17" i="9"/>
  <c r="CS17" i="9" s="1"/>
  <c r="BT17" i="9"/>
  <c r="AN17" i="9"/>
  <c r="AM17" i="9"/>
  <c r="CM17" i="9" s="1"/>
  <c r="CZ17" i="9" s="1"/>
  <c r="AL17" i="9"/>
  <c r="CL17" i="9" s="1"/>
  <c r="CY17" i="9" s="1"/>
  <c r="AK17" i="9"/>
  <c r="AJ17" i="9"/>
  <c r="CJ17" i="9" s="1"/>
  <c r="CW17" i="9" s="1"/>
  <c r="AI17" i="9"/>
  <c r="AH17" i="9"/>
  <c r="CH17" i="9" s="1"/>
  <c r="CU17" i="9" s="1"/>
  <c r="AG17" i="9"/>
  <c r="CG17" i="9" s="1"/>
  <c r="CT17" i="9" s="1"/>
  <c r="AF17" i="9"/>
  <c r="X17" i="9"/>
  <c r="W17" i="9"/>
  <c r="V17" i="9"/>
  <c r="U17" i="9"/>
  <c r="T17" i="9"/>
  <c r="S17" i="9"/>
  <c r="K17" i="9"/>
  <c r="J17" i="9"/>
  <c r="I17" i="9"/>
  <c r="H17" i="9"/>
  <c r="G17" i="9"/>
  <c r="DJ16" i="9"/>
  <c r="CR16" i="9"/>
  <c r="CQ16" i="9"/>
  <c r="CP16" i="9"/>
  <c r="CO16" i="9"/>
  <c r="CM16" i="9"/>
  <c r="CZ16" i="9" s="1"/>
  <c r="CI16" i="9"/>
  <c r="CV16" i="9" s="1"/>
  <c r="BU16" i="9"/>
  <c r="BT16" i="9"/>
  <c r="AN16" i="9"/>
  <c r="AM16" i="9"/>
  <c r="DM16" i="9" s="1"/>
  <c r="AL16" i="9"/>
  <c r="CL16" i="9" s="1"/>
  <c r="CY16" i="9" s="1"/>
  <c r="AK16" i="9"/>
  <c r="AJ16" i="9"/>
  <c r="CJ16" i="9" s="1"/>
  <c r="CW16" i="9" s="1"/>
  <c r="AI16" i="9"/>
  <c r="DI16" i="9" s="1"/>
  <c r="AH16" i="9"/>
  <c r="AG16" i="9"/>
  <c r="AF16" i="9"/>
  <c r="CF16" i="9" s="1"/>
  <c r="CS16" i="9" s="1"/>
  <c r="X16" i="9"/>
  <c r="CK16" i="9" s="1"/>
  <c r="W16" i="9"/>
  <c r="V16" i="9"/>
  <c r="U16" i="9"/>
  <c r="T16" i="9"/>
  <c r="S16" i="9"/>
  <c r="K16" i="9"/>
  <c r="J16" i="9"/>
  <c r="I16" i="9"/>
  <c r="H16" i="9"/>
  <c r="G16" i="9"/>
  <c r="CR15" i="9"/>
  <c r="CQ15" i="9"/>
  <c r="CP15" i="9"/>
  <c r="CO15" i="9"/>
  <c r="CN15" i="9"/>
  <c r="DA15" i="9" s="1"/>
  <c r="CM15" i="9"/>
  <c r="CZ15" i="9" s="1"/>
  <c r="CH15" i="9"/>
  <c r="BU15" i="9"/>
  <c r="BT15" i="9"/>
  <c r="AN15" i="9"/>
  <c r="DN15" i="9" s="1"/>
  <c r="AM15" i="9"/>
  <c r="DM15" i="9" s="1"/>
  <c r="AL15" i="9"/>
  <c r="AK15" i="9"/>
  <c r="CK15" i="9" s="1"/>
  <c r="CX15" i="9" s="1"/>
  <c r="AJ15" i="9"/>
  <c r="CJ15" i="9" s="1"/>
  <c r="AI15" i="9"/>
  <c r="CI15" i="9" s="1"/>
  <c r="CV15" i="9" s="1"/>
  <c r="AH15" i="9"/>
  <c r="AG15" i="9"/>
  <c r="AF15" i="9"/>
  <c r="X15" i="9"/>
  <c r="W15" i="9"/>
  <c r="V15" i="9"/>
  <c r="U15" i="9"/>
  <c r="T15" i="9"/>
  <c r="S15" i="9"/>
  <c r="CF15" i="9" s="1"/>
  <c r="CS15" i="9" s="1"/>
  <c r="K15" i="9"/>
  <c r="J15" i="9"/>
  <c r="I15" i="9"/>
  <c r="H15" i="9"/>
  <c r="G15" i="9"/>
  <c r="CR14" i="9"/>
  <c r="CQ14" i="9"/>
  <c r="CP14" i="9"/>
  <c r="CO14" i="9"/>
  <c r="CM14" i="9"/>
  <c r="CG14" i="9"/>
  <c r="CT14" i="9" s="1"/>
  <c r="CF14" i="9"/>
  <c r="CS14" i="9" s="1"/>
  <c r="BU14" i="9"/>
  <c r="BT14" i="9"/>
  <c r="AN14" i="9"/>
  <c r="CN14" i="9" s="1"/>
  <c r="DA14" i="9" s="1"/>
  <c r="AM14" i="9"/>
  <c r="AL14" i="9"/>
  <c r="AK14" i="9"/>
  <c r="DK14" i="9" s="1"/>
  <c r="AJ14" i="9"/>
  <c r="CJ14" i="9" s="1"/>
  <c r="CW14" i="9" s="1"/>
  <c r="AI14" i="9"/>
  <c r="CI14" i="9" s="1"/>
  <c r="AH14" i="9"/>
  <c r="CH14" i="9" s="1"/>
  <c r="CU14" i="9" s="1"/>
  <c r="AG14" i="9"/>
  <c r="DG14" i="9" s="1"/>
  <c r="AF14" i="9"/>
  <c r="X14" i="9"/>
  <c r="CK14" i="9" s="1"/>
  <c r="CX14" i="9" s="1"/>
  <c r="W14" i="9"/>
  <c r="V14" i="9"/>
  <c r="U14" i="9"/>
  <c r="T14" i="9"/>
  <c r="S14" i="9"/>
  <c r="K14" i="9"/>
  <c r="J14" i="9"/>
  <c r="I14" i="9"/>
  <c r="H14" i="9"/>
  <c r="G14" i="9"/>
  <c r="DH13" i="9"/>
  <c r="CR13" i="9"/>
  <c r="CQ13" i="9"/>
  <c r="CP13" i="9"/>
  <c r="CO13" i="9"/>
  <c r="CL13" i="9"/>
  <c r="CY13" i="9" s="1"/>
  <c r="CF13" i="9"/>
  <c r="BU13" i="9"/>
  <c r="BT13" i="9"/>
  <c r="BT9" i="9" s="1"/>
  <c r="BT78" i="9" s="1"/>
  <c r="AN13" i="9"/>
  <c r="CN13" i="9" s="1"/>
  <c r="AM13" i="9"/>
  <c r="CM13" i="9" s="1"/>
  <c r="CZ13" i="9" s="1"/>
  <c r="AL13" i="9"/>
  <c r="DL13" i="9" s="1"/>
  <c r="AK13" i="9"/>
  <c r="AJ13" i="9"/>
  <c r="AI13" i="9"/>
  <c r="AH13" i="9"/>
  <c r="CH13" i="9" s="1"/>
  <c r="CU13" i="9" s="1"/>
  <c r="AG13" i="9"/>
  <c r="CG13" i="9" s="1"/>
  <c r="CT13" i="9" s="1"/>
  <c r="AF13" i="9"/>
  <c r="X13" i="9"/>
  <c r="CK13" i="9" s="1"/>
  <c r="CX13" i="9" s="1"/>
  <c r="W13" i="9"/>
  <c r="V13" i="9"/>
  <c r="U13" i="9"/>
  <c r="T13" i="9"/>
  <c r="S13" i="9"/>
  <c r="K13" i="9"/>
  <c r="J13" i="9"/>
  <c r="I13" i="9"/>
  <c r="H13" i="9"/>
  <c r="G13" i="9"/>
  <c r="DF12" i="9"/>
  <c r="CR12" i="9"/>
  <c r="CQ12" i="9"/>
  <c r="CP12" i="9"/>
  <c r="CO12" i="9"/>
  <c r="CK12" i="9"/>
  <c r="CX12" i="9" s="1"/>
  <c r="CI12" i="9"/>
  <c r="CV12" i="9" s="1"/>
  <c r="BU12" i="9"/>
  <c r="BU9" i="9" s="1"/>
  <c r="BT12" i="9"/>
  <c r="AN12" i="9"/>
  <c r="CN12" i="9" s="1"/>
  <c r="DA12" i="9" s="1"/>
  <c r="AM12" i="9"/>
  <c r="CM12" i="9" s="1"/>
  <c r="CZ12" i="9" s="1"/>
  <c r="AL12" i="9"/>
  <c r="CL12" i="9" s="1"/>
  <c r="CY12" i="9" s="1"/>
  <c r="AK12" i="9"/>
  <c r="AJ12" i="9"/>
  <c r="AI12" i="9"/>
  <c r="AH12" i="9"/>
  <c r="AG12" i="9"/>
  <c r="AF12" i="9"/>
  <c r="CF12" i="9" s="1"/>
  <c r="CS12" i="9" s="1"/>
  <c r="X12" i="9"/>
  <c r="W12" i="9"/>
  <c r="V12" i="9"/>
  <c r="U12" i="9"/>
  <c r="T12" i="9"/>
  <c r="CG12" i="9" s="1"/>
  <c r="S12" i="9"/>
  <c r="K12" i="9"/>
  <c r="J12" i="9"/>
  <c r="J9" i="9" s="1"/>
  <c r="I12" i="9"/>
  <c r="H12" i="9"/>
  <c r="G12" i="9"/>
  <c r="DK11" i="9"/>
  <c r="CR11" i="9"/>
  <c r="CQ11" i="9"/>
  <c r="CP11" i="9"/>
  <c r="CO11" i="9"/>
  <c r="CN11" i="9"/>
  <c r="DA11" i="9" s="1"/>
  <c r="CJ11" i="9"/>
  <c r="CW11" i="9" s="1"/>
  <c r="CI11" i="9"/>
  <c r="CV11" i="9" s="1"/>
  <c r="BU11" i="9"/>
  <c r="BT11" i="9"/>
  <c r="AN11" i="9"/>
  <c r="AM11" i="9"/>
  <c r="AL11" i="9"/>
  <c r="CL11" i="9" s="1"/>
  <c r="AK11" i="9"/>
  <c r="CK11" i="9" s="1"/>
  <c r="CX11" i="9" s="1"/>
  <c r="AJ11" i="9"/>
  <c r="DJ11" i="9" s="1"/>
  <c r="AI11" i="9"/>
  <c r="DI11" i="9" s="1"/>
  <c r="AH11" i="9"/>
  <c r="AG11" i="9"/>
  <c r="CG11" i="9" s="1"/>
  <c r="CT11" i="9" s="1"/>
  <c r="AF11" i="9"/>
  <c r="CF11" i="9" s="1"/>
  <c r="CS11" i="9" s="1"/>
  <c r="X11" i="9"/>
  <c r="W11" i="9"/>
  <c r="V11" i="9"/>
  <c r="U11" i="9"/>
  <c r="T11" i="9"/>
  <c r="T9" i="9" s="1"/>
  <c r="S11" i="9"/>
  <c r="K11" i="9"/>
  <c r="J11" i="9"/>
  <c r="I11" i="9"/>
  <c r="I9" i="9" s="1"/>
  <c r="H11" i="9"/>
  <c r="H9" i="9" s="1"/>
  <c r="G11" i="9"/>
  <c r="CU10" i="9"/>
  <c r="CS10" i="9"/>
  <c r="CR10" i="9"/>
  <c r="CQ10" i="9"/>
  <c r="CP10" i="9"/>
  <c r="CO10" i="9"/>
  <c r="CN10" i="9"/>
  <c r="DA10" i="9" s="1"/>
  <c r="CG10" i="9"/>
  <c r="CT10" i="9" s="1"/>
  <c r="CF10" i="9"/>
  <c r="DF10" i="9" s="1"/>
  <c r="AN10" i="9"/>
  <c r="AM10" i="9"/>
  <c r="CM10" i="9" s="1"/>
  <c r="CZ10" i="9" s="1"/>
  <c r="AL10" i="9"/>
  <c r="CL10" i="9" s="1"/>
  <c r="CY10" i="9" s="1"/>
  <c r="AK10" i="9"/>
  <c r="AJ10" i="9"/>
  <c r="CJ10" i="9" s="1"/>
  <c r="CW10" i="9" s="1"/>
  <c r="AI10" i="9"/>
  <c r="AH10" i="9"/>
  <c r="CH10" i="9" s="1"/>
  <c r="AG10" i="9"/>
  <c r="AG9" i="9" s="1"/>
  <c r="X10" i="9"/>
  <c r="W10" i="9"/>
  <c r="V10" i="9"/>
  <c r="V9" i="9" s="1"/>
  <c r="V78" i="9" s="1"/>
  <c r="U10" i="9"/>
  <c r="T10" i="9"/>
  <c r="CA9" i="9"/>
  <c r="BZ9" i="9"/>
  <c r="BZ78" i="9" s="1"/>
  <c r="BY9" i="9"/>
  <c r="BY78" i="9" s="1"/>
  <c r="BX9" i="9"/>
  <c r="BX78" i="9" s="1"/>
  <c r="BW9" i="9"/>
  <c r="BV9" i="9"/>
  <c r="BV78" i="9" s="1"/>
  <c r="AE9" i="9"/>
  <c r="AE78" i="9" s="1"/>
  <c r="AD9" i="9"/>
  <c r="AD78" i="9" s="1"/>
  <c r="AC9" i="9"/>
  <c r="AC78" i="9" s="1"/>
  <c r="AB9" i="9"/>
  <c r="AB78" i="9" s="1"/>
  <c r="AA9" i="9"/>
  <c r="AA6" i="9" s="1"/>
  <c r="Z9" i="9"/>
  <c r="Z78" i="9" s="1"/>
  <c r="Y9" i="9"/>
  <c r="Y78" i="9" s="1"/>
  <c r="W9" i="9"/>
  <c r="W6" i="9" s="1"/>
  <c r="R9" i="9"/>
  <c r="R78" i="9" s="1"/>
  <c r="Q9" i="9"/>
  <c r="Q78" i="9" s="1"/>
  <c r="P9" i="9"/>
  <c r="P78" i="9" s="1"/>
  <c r="O9" i="9"/>
  <c r="N9" i="9"/>
  <c r="N78" i="9" s="1"/>
  <c r="M9" i="9"/>
  <c r="M78" i="9" s="1"/>
  <c r="L9" i="9"/>
  <c r="K9" i="9"/>
  <c r="F9" i="9"/>
  <c r="F78" i="9" s="1"/>
  <c r="FP6" i="9"/>
  <c r="FO6" i="9"/>
  <c r="FN6" i="9"/>
  <c r="FM6" i="9"/>
  <c r="FK6" i="9"/>
  <c r="FJ6" i="9"/>
  <c r="FI6" i="9"/>
  <c r="FH6" i="9"/>
  <c r="FF6" i="9"/>
  <c r="FC6" i="9"/>
  <c r="FB6" i="9"/>
  <c r="FA6" i="9"/>
  <c r="EZ6" i="9"/>
  <c r="EY6" i="9"/>
  <c r="EX6" i="9"/>
  <c r="EV6" i="9"/>
  <c r="EU6" i="9"/>
  <c r="ET6" i="9"/>
  <c r="ES6" i="9"/>
  <c r="EP6" i="9"/>
  <c r="EO6" i="9"/>
  <c r="EN6" i="9"/>
  <c r="EM6" i="9"/>
  <c r="EL6" i="9"/>
  <c r="EK6" i="9"/>
  <c r="EI6" i="9"/>
  <c r="EH6" i="9"/>
  <c r="EG6" i="9"/>
  <c r="EF6" i="9"/>
  <c r="EC6" i="9"/>
  <c r="EB6" i="9"/>
  <c r="EA6" i="9"/>
  <c r="DZ6" i="9"/>
  <c r="DY6" i="9"/>
  <c r="DX6" i="9"/>
  <c r="DV6" i="9"/>
  <c r="DU6" i="9"/>
  <c r="DT6" i="9"/>
  <c r="DS6" i="9"/>
  <c r="BW6" i="9"/>
  <c r="BV6" i="9"/>
  <c r="BR6" i="9"/>
  <c r="BQ6" i="9"/>
  <c r="BP6" i="9"/>
  <c r="BO6" i="9"/>
  <c r="CO6" i="9" s="1"/>
  <c r="BN6" i="9"/>
  <c r="BM6" i="9"/>
  <c r="BK6" i="9"/>
  <c r="BJ6" i="9"/>
  <c r="BI6" i="9"/>
  <c r="BH6" i="9"/>
  <c r="BG6" i="9"/>
  <c r="BF6" i="9"/>
  <c r="BE6" i="9"/>
  <c r="CR6" i="9" s="1"/>
  <c r="BD6" i="9"/>
  <c r="BB6" i="9"/>
  <c r="BA6" i="9"/>
  <c r="AZ6" i="9"/>
  <c r="AY6" i="9"/>
  <c r="AX6" i="9"/>
  <c r="AW6" i="9"/>
  <c r="AV6" i="9"/>
  <c r="AU6" i="9"/>
  <c r="AT6" i="9"/>
  <c r="AS6" i="9"/>
  <c r="AR6" i="9"/>
  <c r="DR6" i="9" s="1"/>
  <c r="AP6" i="9"/>
  <c r="AO6" i="9"/>
  <c r="AD6" i="9"/>
  <c r="Z11" i="2" s="1"/>
  <c r="AB6" i="9"/>
  <c r="Y6" i="9"/>
  <c r="V6" i="9"/>
  <c r="R6" i="9"/>
  <c r="P6" i="9"/>
  <c r="M6" i="9"/>
  <c r="L6" i="9"/>
  <c r="F6" i="9"/>
  <c r="BD78" i="8"/>
  <c r="AY78" i="8"/>
  <c r="AM78" i="8"/>
  <c r="DP56" i="8"/>
  <c r="DM56" i="8"/>
  <c r="DI56" i="8"/>
  <c r="DE56" i="8"/>
  <c r="DD56" i="8"/>
  <c r="DC56" i="8"/>
  <c r="DC6" i="8" s="1"/>
  <c r="DB56" i="8"/>
  <c r="DA56" i="8"/>
  <c r="CZ56" i="8"/>
  <c r="CY56" i="8"/>
  <c r="CX56" i="8"/>
  <c r="CW56" i="8"/>
  <c r="CV56" i="8"/>
  <c r="CU56" i="8"/>
  <c r="CT56" i="8"/>
  <c r="CS56" i="8"/>
  <c r="CR56" i="8"/>
  <c r="DR56" i="8" s="1"/>
  <c r="CQ56" i="8"/>
  <c r="CP56" i="8"/>
  <c r="CO56" i="8"/>
  <c r="CN56" i="8"/>
  <c r="CM56" i="8"/>
  <c r="CL56" i="8"/>
  <c r="CK56" i="8"/>
  <c r="CJ56" i="8"/>
  <c r="CI56" i="8"/>
  <c r="CH56" i="8"/>
  <c r="CG56" i="8"/>
  <c r="CF56" i="8"/>
  <c r="DF56" i="8" s="1"/>
  <c r="CE56" i="8"/>
  <c r="CD56" i="8"/>
  <c r="CC56" i="8"/>
  <c r="CB56" i="8"/>
  <c r="CA56" i="8"/>
  <c r="BZ56" i="8"/>
  <c r="BY56" i="8"/>
  <c r="BY6" i="8" s="1"/>
  <c r="BX56" i="8"/>
  <c r="BW56" i="8"/>
  <c r="BV56" i="8"/>
  <c r="BU56" i="8"/>
  <c r="BT56" i="8"/>
  <c r="BT6" i="8" s="1"/>
  <c r="BS56" i="8"/>
  <c r="BR56" i="8"/>
  <c r="BQ56" i="8"/>
  <c r="BP56" i="8"/>
  <c r="BO56" i="8"/>
  <c r="BN56" i="8"/>
  <c r="BM56" i="8"/>
  <c r="BM6" i="8" s="1"/>
  <c r="BL56" i="8"/>
  <c r="BK56" i="8"/>
  <c r="BJ56" i="8"/>
  <c r="BI56" i="8"/>
  <c r="BH56" i="8"/>
  <c r="BH6" i="8" s="1"/>
  <c r="BG56" i="8"/>
  <c r="BF56" i="8"/>
  <c r="BE56" i="8"/>
  <c r="BD56" i="8"/>
  <c r="BC56" i="8"/>
  <c r="BB56" i="8"/>
  <c r="BA56" i="8"/>
  <c r="BA6" i="8" s="1"/>
  <c r="AZ56" i="8"/>
  <c r="AY56" i="8"/>
  <c r="AX56" i="8"/>
  <c r="AW56" i="8"/>
  <c r="AV56" i="8"/>
  <c r="AV6" i="8" s="1"/>
  <c r="AU56" i="8"/>
  <c r="AT56" i="8"/>
  <c r="AS56" i="8"/>
  <c r="AR56" i="8"/>
  <c r="AQ56" i="8"/>
  <c r="AP56" i="8"/>
  <c r="AO56" i="8"/>
  <c r="AN56" i="8"/>
  <c r="DN56" i="8" s="1"/>
  <c r="AM56" i="8"/>
  <c r="AL56" i="8"/>
  <c r="DL56" i="8" s="1"/>
  <c r="AK56" i="8"/>
  <c r="AJ56" i="8"/>
  <c r="DJ56" i="8" s="1"/>
  <c r="AI56" i="8"/>
  <c r="AH56" i="8"/>
  <c r="DH56" i="8" s="1"/>
  <c r="AG56" i="8"/>
  <c r="DG56" i="8" s="1"/>
  <c r="AF56" i="8"/>
  <c r="AE56" i="8"/>
  <c r="AD56" i="8"/>
  <c r="AC56" i="8"/>
  <c r="AB56" i="8"/>
  <c r="AA56" i="8"/>
  <c r="Z56" i="8"/>
  <c r="Y56" i="8"/>
  <c r="X56" i="8"/>
  <c r="W56" i="8"/>
  <c r="V56" i="8"/>
  <c r="U56" i="8"/>
  <c r="T56" i="8"/>
  <c r="S56" i="8"/>
  <c r="R56" i="8"/>
  <c r="Q56" i="8"/>
  <c r="P56" i="8"/>
  <c r="O56" i="8"/>
  <c r="N56" i="8"/>
  <c r="M56" i="8"/>
  <c r="L56" i="8"/>
  <c r="K56" i="8"/>
  <c r="J56" i="8"/>
  <c r="I56" i="8"/>
  <c r="H56" i="8"/>
  <c r="G56" i="8"/>
  <c r="F56" i="8"/>
  <c r="DN48" i="8"/>
  <c r="DK48" i="8"/>
  <c r="DJ48" i="8"/>
  <c r="DI48" i="8"/>
  <c r="DH48" i="8"/>
  <c r="DF48" i="8"/>
  <c r="CX48" i="8"/>
  <c r="CT48" i="8"/>
  <c r="CS48" i="8"/>
  <c r="CN48" i="8"/>
  <c r="DA48" i="8" s="1"/>
  <c r="CM48" i="8"/>
  <c r="CZ48" i="8" s="1"/>
  <c r="CL48" i="8"/>
  <c r="CY48" i="8" s="1"/>
  <c r="CK48" i="8"/>
  <c r="CJ48" i="8"/>
  <c r="CW48" i="8" s="1"/>
  <c r="CI48" i="8"/>
  <c r="CV48" i="8" s="1"/>
  <c r="CH48" i="8"/>
  <c r="CU48" i="8" s="1"/>
  <c r="CG48" i="8"/>
  <c r="DG48" i="8" s="1"/>
  <c r="CF48" i="8"/>
  <c r="DN47" i="8"/>
  <c r="DM47" i="8"/>
  <c r="DL47" i="8"/>
  <c r="DK47" i="8"/>
  <c r="DI47" i="8"/>
  <c r="DA47" i="8"/>
  <c r="CW47" i="8"/>
  <c r="CV47" i="8"/>
  <c r="CU47" i="8"/>
  <c r="CN47" i="8"/>
  <c r="CM47" i="8"/>
  <c r="CZ47" i="8" s="1"/>
  <c r="CL47" i="8"/>
  <c r="CY47" i="8" s="1"/>
  <c r="CK47" i="8"/>
  <c r="CX47" i="8" s="1"/>
  <c r="CJ47" i="8"/>
  <c r="DJ47" i="8" s="1"/>
  <c r="CI47" i="8"/>
  <c r="CH47" i="8"/>
  <c r="DH47" i="8" s="1"/>
  <c r="CG47" i="8"/>
  <c r="CT47" i="8" s="1"/>
  <c r="CF47" i="8"/>
  <c r="DN46" i="8"/>
  <c r="DL46" i="8"/>
  <c r="CZ46" i="8"/>
  <c r="CY46" i="8"/>
  <c r="CX46" i="8"/>
  <c r="CT46" i="8"/>
  <c r="CN46" i="8"/>
  <c r="DA46" i="8" s="1"/>
  <c r="CM46" i="8"/>
  <c r="DM46" i="8" s="1"/>
  <c r="CL46" i="8"/>
  <c r="CK46" i="8"/>
  <c r="DK46" i="8" s="1"/>
  <c r="CJ46" i="8"/>
  <c r="CW46" i="8" s="1"/>
  <c r="CI46" i="8"/>
  <c r="CH46" i="8"/>
  <c r="CU46" i="8" s="1"/>
  <c r="CG46" i="8"/>
  <c r="DG46" i="8" s="1"/>
  <c r="CF46" i="8"/>
  <c r="CS46" i="8" s="1"/>
  <c r="DK45" i="8"/>
  <c r="DH45" i="8"/>
  <c r="DG45" i="8"/>
  <c r="DF45" i="8"/>
  <c r="DA45" i="8"/>
  <c r="CW45" i="8"/>
  <c r="CU45" i="8"/>
  <c r="CN45" i="8"/>
  <c r="DN45" i="8" s="1"/>
  <c r="CM45" i="8"/>
  <c r="CZ45" i="8" s="1"/>
  <c r="CL45" i="8"/>
  <c r="CK45" i="8"/>
  <c r="CX45" i="8" s="1"/>
  <c r="CJ45" i="8"/>
  <c r="DJ45" i="8" s="1"/>
  <c r="CI45" i="8"/>
  <c r="CV45" i="8" s="1"/>
  <c r="CH45" i="8"/>
  <c r="CG45" i="8"/>
  <c r="CT45" i="8" s="1"/>
  <c r="CF45" i="8"/>
  <c r="CS45" i="8" s="1"/>
  <c r="DN44" i="8"/>
  <c r="DK44" i="8"/>
  <c r="DJ44" i="8"/>
  <c r="DI44" i="8"/>
  <c r="DF44" i="8"/>
  <c r="CZ44" i="8"/>
  <c r="CX44" i="8"/>
  <c r="CT44" i="8"/>
  <c r="CS44" i="8"/>
  <c r="CN44" i="8"/>
  <c r="DA44" i="8" s="1"/>
  <c r="CM44" i="8"/>
  <c r="DM44" i="8" s="1"/>
  <c r="CL44" i="8"/>
  <c r="CY44" i="8" s="1"/>
  <c r="CK44" i="8"/>
  <c r="CJ44" i="8"/>
  <c r="CW44" i="8" s="1"/>
  <c r="CI44" i="8"/>
  <c r="CV44" i="8" s="1"/>
  <c r="CH44" i="8"/>
  <c r="CU44" i="8" s="1"/>
  <c r="CG44" i="8"/>
  <c r="DG44" i="8" s="1"/>
  <c r="CF44" i="8"/>
  <c r="DN43" i="8"/>
  <c r="DM43" i="8"/>
  <c r="DL43" i="8"/>
  <c r="DI43" i="8"/>
  <c r="DA43" i="8"/>
  <c r="CW43" i="8"/>
  <c r="CV43" i="8"/>
  <c r="CU43" i="8"/>
  <c r="CN43" i="8"/>
  <c r="CM43" i="8"/>
  <c r="CZ43" i="8" s="1"/>
  <c r="CL43" i="8"/>
  <c r="CY43" i="8" s="1"/>
  <c r="CK43" i="8"/>
  <c r="CX43" i="8" s="1"/>
  <c r="CJ43" i="8"/>
  <c r="DJ43" i="8" s="1"/>
  <c r="CI43" i="8"/>
  <c r="CH43" i="8"/>
  <c r="DH43" i="8" s="1"/>
  <c r="CG43" i="8"/>
  <c r="CT43" i="8" s="1"/>
  <c r="CF43" i="8"/>
  <c r="DL42" i="8"/>
  <c r="DH42" i="8"/>
  <c r="CZ42" i="8"/>
  <c r="CY42" i="8"/>
  <c r="CX42" i="8"/>
  <c r="CT42" i="8"/>
  <c r="CN42" i="8"/>
  <c r="DA42" i="8" s="1"/>
  <c r="CM42" i="8"/>
  <c r="DM42" i="8" s="1"/>
  <c r="CL42" i="8"/>
  <c r="CK42" i="8"/>
  <c r="DK42" i="8" s="1"/>
  <c r="CJ42" i="8"/>
  <c r="CW42" i="8" s="1"/>
  <c r="CI42" i="8"/>
  <c r="CH42" i="8"/>
  <c r="CU42" i="8" s="1"/>
  <c r="CG42" i="8"/>
  <c r="DG42" i="8" s="1"/>
  <c r="CF42" i="8"/>
  <c r="CS42" i="8" s="1"/>
  <c r="DH41" i="8"/>
  <c r="DG41" i="8"/>
  <c r="DF41" i="8"/>
  <c r="DA41" i="8"/>
  <c r="CW41" i="8"/>
  <c r="CU41" i="8"/>
  <c r="CN41" i="8"/>
  <c r="DN41" i="8" s="1"/>
  <c r="CM41" i="8"/>
  <c r="CZ41" i="8" s="1"/>
  <c r="CL41" i="8"/>
  <c r="CK41" i="8"/>
  <c r="CJ41" i="8"/>
  <c r="DJ41" i="8" s="1"/>
  <c r="CI41" i="8"/>
  <c r="CV41" i="8" s="1"/>
  <c r="CH41" i="8"/>
  <c r="CG41" i="8"/>
  <c r="CT41" i="8" s="1"/>
  <c r="CF41" i="8"/>
  <c r="CS41" i="8" s="1"/>
  <c r="DN40" i="8"/>
  <c r="DK40" i="8"/>
  <c r="DJ40" i="8"/>
  <c r="DI40" i="8"/>
  <c r="DF40" i="8"/>
  <c r="CZ40" i="8"/>
  <c r="CX40" i="8"/>
  <c r="CT40" i="8"/>
  <c r="CS40" i="8"/>
  <c r="CN40" i="8"/>
  <c r="DA40" i="8" s="1"/>
  <c r="CM40" i="8"/>
  <c r="DM40" i="8" s="1"/>
  <c r="CL40" i="8"/>
  <c r="CY40" i="8" s="1"/>
  <c r="CK40" i="8"/>
  <c r="CJ40" i="8"/>
  <c r="CW40" i="8" s="1"/>
  <c r="CI40" i="8"/>
  <c r="CV40" i="8" s="1"/>
  <c r="CH40" i="8"/>
  <c r="CU40" i="8" s="1"/>
  <c r="CG40" i="8"/>
  <c r="DG40" i="8" s="1"/>
  <c r="CF40" i="8"/>
  <c r="DN39" i="8"/>
  <c r="DM39" i="8"/>
  <c r="DL39" i="8"/>
  <c r="DI39" i="8"/>
  <c r="DA39" i="8"/>
  <c r="CW39" i="8"/>
  <c r="CV39" i="8"/>
  <c r="CU39" i="8"/>
  <c r="CN39" i="8"/>
  <c r="CM39" i="8"/>
  <c r="CZ39" i="8" s="1"/>
  <c r="CL39" i="8"/>
  <c r="CY39" i="8" s="1"/>
  <c r="CK39" i="8"/>
  <c r="CJ39" i="8"/>
  <c r="DJ39" i="8" s="1"/>
  <c r="CI39" i="8"/>
  <c r="CH39" i="8"/>
  <c r="DH39" i="8" s="1"/>
  <c r="CG39" i="8"/>
  <c r="CT39" i="8" s="1"/>
  <c r="CF39" i="8"/>
  <c r="DL38" i="8"/>
  <c r="DH38" i="8"/>
  <c r="CZ38" i="8"/>
  <c r="CY38" i="8"/>
  <c r="CX38" i="8"/>
  <c r="CN38" i="8"/>
  <c r="CM38" i="8"/>
  <c r="DM38" i="8" s="1"/>
  <c r="CL38" i="8"/>
  <c r="CK38" i="8"/>
  <c r="DK38" i="8" s="1"/>
  <c r="CJ38" i="8"/>
  <c r="CW38" i="8" s="1"/>
  <c r="CI38" i="8"/>
  <c r="CH38" i="8"/>
  <c r="CU38" i="8" s="1"/>
  <c r="CG38" i="8"/>
  <c r="CT38" i="8" s="1"/>
  <c r="CF38" i="8"/>
  <c r="DK37" i="8"/>
  <c r="DH37" i="8"/>
  <c r="DG37" i="8"/>
  <c r="DF37" i="8"/>
  <c r="DA37" i="8"/>
  <c r="CU37" i="8"/>
  <c r="CS37" i="8"/>
  <c r="CN37" i="8"/>
  <c r="DN37" i="8" s="1"/>
  <c r="CM37" i="8"/>
  <c r="CZ37" i="8" s="1"/>
  <c r="CL37" i="8"/>
  <c r="CK37" i="8"/>
  <c r="CJ37" i="8"/>
  <c r="CW37" i="8" s="1"/>
  <c r="CI37" i="8"/>
  <c r="CV37" i="8" s="1"/>
  <c r="CH37" i="8"/>
  <c r="CG37" i="8"/>
  <c r="CT37" i="8" s="1"/>
  <c r="CT35" i="8" s="1"/>
  <c r="CF37" i="8"/>
  <c r="DN36" i="8"/>
  <c r="DJ36" i="8"/>
  <c r="DI36" i="8"/>
  <c r="DF36" i="8"/>
  <c r="CX36" i="8"/>
  <c r="CV36" i="8"/>
  <c r="CT36" i="8"/>
  <c r="CS36" i="8"/>
  <c r="CN36" i="8"/>
  <c r="CM36" i="8"/>
  <c r="CZ36" i="8" s="1"/>
  <c r="CZ35" i="8" s="1"/>
  <c r="CL36" i="8"/>
  <c r="CY36" i="8" s="1"/>
  <c r="CK36" i="8"/>
  <c r="DK36" i="8" s="1"/>
  <c r="CJ36" i="8"/>
  <c r="CW36" i="8" s="1"/>
  <c r="CI36" i="8"/>
  <c r="CH36" i="8"/>
  <c r="CU36" i="8" s="1"/>
  <c r="CG36" i="8"/>
  <c r="DG36" i="8" s="1"/>
  <c r="CF36" i="8"/>
  <c r="EY35" i="8"/>
  <c r="EX35" i="8"/>
  <c r="ED35" i="8"/>
  <c r="EC35" i="8"/>
  <c r="EC6" i="8" s="1"/>
  <c r="EB35" i="8"/>
  <c r="EA35" i="8"/>
  <c r="DZ35" i="8"/>
  <c r="DY35" i="8"/>
  <c r="DX35" i="8"/>
  <c r="DW35" i="8"/>
  <c r="DW6" i="8" s="1"/>
  <c r="DV35" i="8"/>
  <c r="DU35" i="8"/>
  <c r="DT35" i="8"/>
  <c r="DS35" i="8"/>
  <c r="DR35" i="8"/>
  <c r="DQ35" i="8"/>
  <c r="DO35" i="8"/>
  <c r="DE35" i="8"/>
  <c r="DE6" i="8" s="1"/>
  <c r="DD35" i="8"/>
  <c r="DC35" i="8"/>
  <c r="DB35" i="8"/>
  <c r="CR35" i="8"/>
  <c r="CQ35" i="8"/>
  <c r="CP35" i="8"/>
  <c r="CO35" i="8"/>
  <c r="CM35" i="8"/>
  <c r="CG35" i="8"/>
  <c r="DG35" i="8" s="1"/>
  <c r="CE35" i="8"/>
  <c r="CD35" i="8"/>
  <c r="CC35" i="8"/>
  <c r="CB35" i="8"/>
  <c r="CA35" i="8"/>
  <c r="BZ35" i="8"/>
  <c r="BY35" i="8"/>
  <c r="BX35" i="8"/>
  <c r="BW35" i="8"/>
  <c r="BV35" i="8"/>
  <c r="BV78" i="8" s="1"/>
  <c r="BU35" i="8"/>
  <c r="BT35" i="8"/>
  <c r="BS35" i="8"/>
  <c r="BR35" i="8"/>
  <c r="BQ35" i="8"/>
  <c r="BP35" i="8"/>
  <c r="BO35" i="8"/>
  <c r="BN35" i="8"/>
  <c r="BM35" i="8"/>
  <c r="BL35" i="8"/>
  <c r="BK35" i="8"/>
  <c r="BJ35" i="8"/>
  <c r="BJ6" i="8" s="1"/>
  <c r="BI35" i="8"/>
  <c r="BH35" i="8"/>
  <c r="BG35" i="8"/>
  <c r="BF35" i="8"/>
  <c r="BE35" i="8"/>
  <c r="BD35" i="8"/>
  <c r="BC35" i="8"/>
  <c r="BB35" i="8"/>
  <c r="BA35" i="8"/>
  <c r="AZ35" i="8"/>
  <c r="AY35" i="8"/>
  <c r="AX35" i="8"/>
  <c r="AX78" i="8" s="1"/>
  <c r="AW35" i="8"/>
  <c r="AV35" i="8"/>
  <c r="AU35" i="8"/>
  <c r="AT35" i="8"/>
  <c r="AS35" i="8"/>
  <c r="AR35" i="8"/>
  <c r="AQ35" i="8"/>
  <c r="AP35" i="8"/>
  <c r="DP35" i="8" s="1"/>
  <c r="AO35" i="8"/>
  <c r="AN35" i="8"/>
  <c r="AM35" i="8"/>
  <c r="DM35" i="8" s="1"/>
  <c r="AL35" i="8"/>
  <c r="AL78" i="8" s="1"/>
  <c r="AK35" i="8"/>
  <c r="AJ35" i="8"/>
  <c r="AI35" i="8"/>
  <c r="AH35" i="8"/>
  <c r="AG35" i="8"/>
  <c r="AF35" i="8"/>
  <c r="AE35" i="8"/>
  <c r="AD35" i="8"/>
  <c r="AC35" i="8"/>
  <c r="AB35" i="8"/>
  <c r="AA35" i="8"/>
  <c r="Z35" i="8"/>
  <c r="Z6" i="8" s="1"/>
  <c r="Y35" i="8"/>
  <c r="X35" i="8"/>
  <c r="W35" i="8"/>
  <c r="V35" i="8"/>
  <c r="U35" i="8"/>
  <c r="T35" i="8"/>
  <c r="S35" i="8"/>
  <c r="R35" i="8"/>
  <c r="Q35" i="8"/>
  <c r="P35" i="8"/>
  <c r="O35" i="8"/>
  <c r="N35" i="8"/>
  <c r="N6" i="8" s="1"/>
  <c r="M35" i="8"/>
  <c r="L35" i="8"/>
  <c r="K35" i="8"/>
  <c r="J35" i="8"/>
  <c r="I35" i="8"/>
  <c r="H35" i="8"/>
  <c r="G35" i="8"/>
  <c r="F35" i="8"/>
  <c r="DL32" i="8"/>
  <c r="DK32" i="8"/>
  <c r="DJ32" i="8"/>
  <c r="DH32" i="8"/>
  <c r="CZ32" i="8"/>
  <c r="CZ31" i="8" s="1"/>
  <c r="CV32" i="8"/>
  <c r="CV31" i="8" s="1"/>
  <c r="CU32" i="8"/>
  <c r="CU31" i="8" s="1"/>
  <c r="CT32" i="8"/>
  <c r="CT31" i="8" s="1"/>
  <c r="CN32" i="8"/>
  <c r="CN31" i="8" s="1"/>
  <c r="CM32" i="8"/>
  <c r="DM32" i="8" s="1"/>
  <c r="CL32" i="8"/>
  <c r="CY32" i="8" s="1"/>
  <c r="CY31" i="8" s="1"/>
  <c r="CK32" i="8"/>
  <c r="CX32" i="8" s="1"/>
  <c r="CX31" i="8" s="1"/>
  <c r="CJ32" i="8"/>
  <c r="CI32" i="8"/>
  <c r="DI32" i="8" s="1"/>
  <c r="CH32" i="8"/>
  <c r="CG32" i="8"/>
  <c r="DG32" i="8" s="1"/>
  <c r="CF32" i="8"/>
  <c r="CS32" i="8" s="1"/>
  <c r="CS31" i="8" s="1"/>
  <c r="FR31" i="8"/>
  <c r="FQ31" i="8"/>
  <c r="FP31" i="8"/>
  <c r="FO31" i="8"/>
  <c r="FN31" i="8"/>
  <c r="FM31" i="8"/>
  <c r="FL31" i="8"/>
  <c r="FK31" i="8"/>
  <c r="FJ31" i="8"/>
  <c r="FI31" i="8"/>
  <c r="FH31" i="8"/>
  <c r="FG31" i="8"/>
  <c r="FF31" i="8"/>
  <c r="EY31" i="8"/>
  <c r="EY6" i="8" s="1"/>
  <c r="EX31" i="8"/>
  <c r="EW31" i="8"/>
  <c r="EV31" i="8"/>
  <c r="EU31" i="8"/>
  <c r="ET31" i="8"/>
  <c r="ES31" i="8"/>
  <c r="DN31" i="8"/>
  <c r="DM31" i="8"/>
  <c r="DG31" i="8"/>
  <c r="DE31" i="8"/>
  <c r="DD31" i="8"/>
  <c r="DC31" i="8"/>
  <c r="DB31" i="8"/>
  <c r="DB6" i="8" s="1"/>
  <c r="CR31" i="8"/>
  <c r="CQ31" i="8"/>
  <c r="CP31" i="8"/>
  <c r="CP6" i="8" s="1"/>
  <c r="CO31" i="8"/>
  <c r="CM31" i="8"/>
  <c r="CL31" i="8"/>
  <c r="CK31" i="8"/>
  <c r="CI31" i="8"/>
  <c r="CH31" i="8"/>
  <c r="CG31" i="8"/>
  <c r="CE31" i="8"/>
  <c r="CD31" i="8"/>
  <c r="CC31" i="8"/>
  <c r="CC6" i="8" s="1"/>
  <c r="CB31" i="8"/>
  <c r="CA31" i="8"/>
  <c r="BZ31" i="8"/>
  <c r="BY31" i="8"/>
  <c r="BX31" i="8"/>
  <c r="BW31" i="8"/>
  <c r="BW78" i="8" s="1"/>
  <c r="BV31" i="8"/>
  <c r="BU31" i="8"/>
  <c r="BT31" i="8"/>
  <c r="BS31" i="8"/>
  <c r="BR31" i="8"/>
  <c r="BQ31" i="8"/>
  <c r="BQ6" i="8" s="1"/>
  <c r="BP31" i="8"/>
  <c r="BO31" i="8"/>
  <c r="BN31" i="8"/>
  <c r="BM31" i="8"/>
  <c r="BL31" i="8"/>
  <c r="BK31" i="8"/>
  <c r="BK78" i="8" s="1"/>
  <c r="BJ31" i="8"/>
  <c r="BI31" i="8"/>
  <c r="BH31" i="8"/>
  <c r="BG31" i="8"/>
  <c r="BF31" i="8"/>
  <c r="BE31" i="8"/>
  <c r="BD31" i="8"/>
  <c r="BC31" i="8"/>
  <c r="BB31" i="8"/>
  <c r="BA31" i="8"/>
  <c r="AZ31" i="8"/>
  <c r="AY31" i="8"/>
  <c r="AX31" i="8"/>
  <c r="AW31" i="8"/>
  <c r="AV31" i="8"/>
  <c r="AU31" i="8"/>
  <c r="AT31" i="8"/>
  <c r="AS31" i="8"/>
  <c r="AR31" i="8"/>
  <c r="DR31" i="8" s="1"/>
  <c r="AQ31" i="8"/>
  <c r="DQ31" i="8" s="1"/>
  <c r="AP31" i="8"/>
  <c r="DP31" i="8" s="1"/>
  <c r="AO31" i="8"/>
  <c r="AN31" i="8"/>
  <c r="AM31" i="8"/>
  <c r="AL31" i="8"/>
  <c r="DL31" i="8" s="1"/>
  <c r="AK31" i="8"/>
  <c r="DK31" i="8" s="1"/>
  <c r="AJ31" i="8"/>
  <c r="AI31" i="8"/>
  <c r="AH31" i="8"/>
  <c r="DH31" i="8" s="1"/>
  <c r="AG31" i="8"/>
  <c r="AF31" i="8"/>
  <c r="AE31" i="8"/>
  <c r="AD31" i="8"/>
  <c r="AC31" i="8"/>
  <c r="AB31" i="8"/>
  <c r="AA31" i="8"/>
  <c r="AA78" i="8" s="1"/>
  <c r="Z31" i="8"/>
  <c r="Y31" i="8"/>
  <c r="X31" i="8"/>
  <c r="W31" i="8"/>
  <c r="V31" i="8"/>
  <c r="U31" i="8"/>
  <c r="T31" i="8"/>
  <c r="S31" i="8"/>
  <c r="R31" i="8"/>
  <c r="Q31" i="8"/>
  <c r="P31" i="8"/>
  <c r="O31" i="8"/>
  <c r="O78" i="8" s="1"/>
  <c r="N31" i="8"/>
  <c r="M31" i="8"/>
  <c r="L31" i="8"/>
  <c r="K31" i="8"/>
  <c r="J31" i="8"/>
  <c r="I31" i="8"/>
  <c r="H31" i="8"/>
  <c r="G31" i="8"/>
  <c r="F31" i="8"/>
  <c r="DL25" i="8"/>
  <c r="DH25" i="8"/>
  <c r="DG25" i="8"/>
  <c r="CV25" i="8"/>
  <c r="CN25" i="8"/>
  <c r="DA25" i="8" s="1"/>
  <c r="CM25" i="8"/>
  <c r="CL25" i="8"/>
  <c r="CY25" i="8" s="1"/>
  <c r="CK25" i="8"/>
  <c r="CX25" i="8" s="1"/>
  <c r="CJ25" i="8"/>
  <c r="CW25" i="8" s="1"/>
  <c r="CI25" i="8"/>
  <c r="DI25" i="8" s="1"/>
  <c r="CH25" i="8"/>
  <c r="CU25" i="8" s="1"/>
  <c r="CG25" i="8"/>
  <c r="CT25" i="8" s="1"/>
  <c r="CF25" i="8"/>
  <c r="CS25" i="8" s="1"/>
  <c r="DK24" i="8"/>
  <c r="DJ24" i="8"/>
  <c r="DI24" i="8"/>
  <c r="DG24" i="8"/>
  <c r="CY24" i="8"/>
  <c r="CU24" i="8"/>
  <c r="CT24" i="8"/>
  <c r="CS24" i="8"/>
  <c r="CN24" i="8"/>
  <c r="DA24" i="8" s="1"/>
  <c r="CM24" i="8"/>
  <c r="CZ24" i="8" s="1"/>
  <c r="CL24" i="8"/>
  <c r="DL24" i="8" s="1"/>
  <c r="CK24" i="8"/>
  <c r="CX24" i="8" s="1"/>
  <c r="CJ24" i="8"/>
  <c r="CW24" i="8" s="1"/>
  <c r="CI24" i="8"/>
  <c r="CV24" i="8" s="1"/>
  <c r="CH24" i="8"/>
  <c r="DH24" i="8" s="1"/>
  <c r="CG24" i="8"/>
  <c r="CF24" i="8"/>
  <c r="DF24" i="8" s="1"/>
  <c r="DN23" i="8"/>
  <c r="DM23" i="8"/>
  <c r="CX23" i="8"/>
  <c r="CW23" i="8"/>
  <c r="CV23" i="8"/>
  <c r="CN23" i="8"/>
  <c r="DA23" i="8" s="1"/>
  <c r="CM23" i="8"/>
  <c r="CZ23" i="8" s="1"/>
  <c r="CL23" i="8"/>
  <c r="CY23" i="8" s="1"/>
  <c r="CK23" i="8"/>
  <c r="DK23" i="8" s="1"/>
  <c r="CJ23" i="8"/>
  <c r="DJ23" i="8" s="1"/>
  <c r="CI23" i="8"/>
  <c r="DI23" i="8" s="1"/>
  <c r="CH23" i="8"/>
  <c r="CU23" i="8" s="1"/>
  <c r="CG23" i="8"/>
  <c r="CF23" i="8"/>
  <c r="CS23" i="8" s="1"/>
  <c r="DI22" i="8"/>
  <c r="DA22" i="8"/>
  <c r="CZ22" i="8"/>
  <c r="CY22" i="8"/>
  <c r="CS22" i="8"/>
  <c r="CN22" i="8"/>
  <c r="DN22" i="8" s="1"/>
  <c r="CM22" i="8"/>
  <c r="DM22" i="8" s="1"/>
  <c r="CL22" i="8"/>
  <c r="DL22" i="8" s="1"/>
  <c r="CK22" i="8"/>
  <c r="CX22" i="8" s="1"/>
  <c r="CJ22" i="8"/>
  <c r="CI22" i="8"/>
  <c r="CV22" i="8" s="1"/>
  <c r="CH22" i="8"/>
  <c r="CU22" i="8" s="1"/>
  <c r="CG22" i="8"/>
  <c r="CT22" i="8" s="1"/>
  <c r="CF22" i="8"/>
  <c r="DF22" i="8" s="1"/>
  <c r="DL21" i="8"/>
  <c r="DH21" i="8"/>
  <c r="DG21" i="8"/>
  <c r="DF21" i="8"/>
  <c r="CV21" i="8"/>
  <c r="CN21" i="8"/>
  <c r="DA21" i="8" s="1"/>
  <c r="CM21" i="8"/>
  <c r="CL21" i="8"/>
  <c r="CY21" i="8" s="1"/>
  <c r="CK21" i="8"/>
  <c r="CX21" i="8" s="1"/>
  <c r="CJ21" i="8"/>
  <c r="CW21" i="8" s="1"/>
  <c r="CI21" i="8"/>
  <c r="DI21" i="8" s="1"/>
  <c r="CH21" i="8"/>
  <c r="CU21" i="8" s="1"/>
  <c r="CG21" i="8"/>
  <c r="CT21" i="8" s="1"/>
  <c r="CF21" i="8"/>
  <c r="CS21" i="8" s="1"/>
  <c r="DK20" i="8"/>
  <c r="DJ20" i="8"/>
  <c r="DI20" i="8"/>
  <c r="CY20" i="8"/>
  <c r="CU20" i="8"/>
  <c r="CT20" i="8"/>
  <c r="CS20" i="8"/>
  <c r="CN20" i="8"/>
  <c r="DA20" i="8" s="1"/>
  <c r="CM20" i="8"/>
  <c r="CZ20" i="8" s="1"/>
  <c r="CL20" i="8"/>
  <c r="DL20" i="8" s="1"/>
  <c r="CK20" i="8"/>
  <c r="CX20" i="8" s="1"/>
  <c r="CJ20" i="8"/>
  <c r="CW20" i="8" s="1"/>
  <c r="CI20" i="8"/>
  <c r="CV20" i="8" s="1"/>
  <c r="CH20" i="8"/>
  <c r="DH20" i="8" s="1"/>
  <c r="CG20" i="8"/>
  <c r="DG20" i="8" s="1"/>
  <c r="CF20" i="8"/>
  <c r="DF20" i="8" s="1"/>
  <c r="DN19" i="8"/>
  <c r="DM19" i="8"/>
  <c r="CX19" i="8"/>
  <c r="CW19" i="8"/>
  <c r="CV19" i="8"/>
  <c r="CN19" i="8"/>
  <c r="DA19" i="8" s="1"/>
  <c r="CM19" i="8"/>
  <c r="CZ19" i="8" s="1"/>
  <c r="CL19" i="8"/>
  <c r="CY19" i="8" s="1"/>
  <c r="CK19" i="8"/>
  <c r="DK19" i="8" s="1"/>
  <c r="CJ19" i="8"/>
  <c r="DJ19" i="8" s="1"/>
  <c r="CI19" i="8"/>
  <c r="DI19" i="8" s="1"/>
  <c r="CH19" i="8"/>
  <c r="CU19" i="8" s="1"/>
  <c r="CG19" i="8"/>
  <c r="CF19" i="8"/>
  <c r="CS19" i="8" s="1"/>
  <c r="DI18" i="8"/>
  <c r="DA18" i="8"/>
  <c r="CZ18" i="8"/>
  <c r="CY18" i="8"/>
  <c r="CS18" i="8"/>
  <c r="CN18" i="8"/>
  <c r="DN18" i="8" s="1"/>
  <c r="CM18" i="8"/>
  <c r="DM18" i="8" s="1"/>
  <c r="CL18" i="8"/>
  <c r="DL18" i="8" s="1"/>
  <c r="CK18" i="8"/>
  <c r="CX18" i="8" s="1"/>
  <c r="CJ18" i="8"/>
  <c r="CI18" i="8"/>
  <c r="CV18" i="8" s="1"/>
  <c r="CH18" i="8"/>
  <c r="CU18" i="8" s="1"/>
  <c r="CG18" i="8"/>
  <c r="CT18" i="8" s="1"/>
  <c r="CF18" i="8"/>
  <c r="DF18" i="8" s="1"/>
  <c r="DL17" i="8"/>
  <c r="DH17" i="8"/>
  <c r="DG17" i="8"/>
  <c r="DF17" i="8"/>
  <c r="CV17" i="8"/>
  <c r="CT17" i="8"/>
  <c r="CN17" i="8"/>
  <c r="DA17" i="8" s="1"/>
  <c r="CM17" i="8"/>
  <c r="CL17" i="8"/>
  <c r="CY17" i="8" s="1"/>
  <c r="CK17" i="8"/>
  <c r="CX17" i="8" s="1"/>
  <c r="CJ17" i="8"/>
  <c r="CW17" i="8" s="1"/>
  <c r="CI17" i="8"/>
  <c r="DI17" i="8" s="1"/>
  <c r="CH17" i="8"/>
  <c r="CU17" i="8" s="1"/>
  <c r="CG17" i="8"/>
  <c r="CF17" i="8"/>
  <c r="CS17" i="8" s="1"/>
  <c r="DK16" i="8"/>
  <c r="DJ16" i="8"/>
  <c r="DH16" i="8"/>
  <c r="CY16" i="8"/>
  <c r="CW16" i="8"/>
  <c r="CU16" i="8"/>
  <c r="CT16" i="8"/>
  <c r="CS16" i="8"/>
  <c r="CN16" i="8"/>
  <c r="DA16" i="8" s="1"/>
  <c r="CM16" i="8"/>
  <c r="CZ16" i="8" s="1"/>
  <c r="CL16" i="8"/>
  <c r="DL16" i="8" s="1"/>
  <c r="CK16" i="8"/>
  <c r="CX16" i="8" s="1"/>
  <c r="CJ16" i="8"/>
  <c r="CI16" i="8"/>
  <c r="CV16" i="8" s="1"/>
  <c r="CH16" i="8"/>
  <c r="CG16" i="8"/>
  <c r="DG16" i="8" s="1"/>
  <c r="CF16" i="8"/>
  <c r="DF16" i="8" s="1"/>
  <c r="DN15" i="8"/>
  <c r="DM15" i="8"/>
  <c r="DL15" i="8"/>
  <c r="DK15" i="8"/>
  <c r="CZ15" i="8"/>
  <c r="CX15" i="8"/>
  <c r="CW15" i="8"/>
  <c r="CV15" i="8"/>
  <c r="CN15" i="8"/>
  <c r="DA15" i="8" s="1"/>
  <c r="CM15" i="8"/>
  <c r="CL15" i="8"/>
  <c r="CY15" i="8" s="1"/>
  <c r="CK15" i="8"/>
  <c r="CJ15" i="8"/>
  <c r="DJ15" i="8" s="1"/>
  <c r="CI15" i="8"/>
  <c r="DI15" i="8" s="1"/>
  <c r="CH15" i="8"/>
  <c r="CU15" i="8" s="1"/>
  <c r="CG15" i="8"/>
  <c r="CF15" i="8"/>
  <c r="CS15" i="8" s="1"/>
  <c r="DI14" i="8"/>
  <c r="DG14" i="8"/>
  <c r="DA14" i="8"/>
  <c r="CZ14" i="8"/>
  <c r="CY14" i="8"/>
  <c r="CS14" i="8"/>
  <c r="CN14" i="8"/>
  <c r="DN14" i="8" s="1"/>
  <c r="CM14" i="8"/>
  <c r="DM14" i="8" s="1"/>
  <c r="CL14" i="8"/>
  <c r="DL14" i="8" s="1"/>
  <c r="CK14" i="8"/>
  <c r="CX14" i="8" s="1"/>
  <c r="CJ14" i="8"/>
  <c r="CI14" i="8"/>
  <c r="CV14" i="8" s="1"/>
  <c r="CH14" i="8"/>
  <c r="CU14" i="8" s="1"/>
  <c r="CG14" i="8"/>
  <c r="CT14" i="8" s="1"/>
  <c r="CF14" i="8"/>
  <c r="DF14" i="8" s="1"/>
  <c r="DJ13" i="8"/>
  <c r="DH13" i="8"/>
  <c r="DG13" i="8"/>
  <c r="DF13" i="8"/>
  <c r="CV13" i="8"/>
  <c r="CT13" i="8"/>
  <c r="CN13" i="8"/>
  <c r="DA13" i="8" s="1"/>
  <c r="CM13" i="8"/>
  <c r="CL13" i="8"/>
  <c r="CY13" i="8" s="1"/>
  <c r="CK13" i="8"/>
  <c r="CX13" i="8" s="1"/>
  <c r="CJ13" i="8"/>
  <c r="CW13" i="8" s="1"/>
  <c r="CI13" i="8"/>
  <c r="DI13" i="8" s="1"/>
  <c r="CH13" i="8"/>
  <c r="CU13" i="8" s="1"/>
  <c r="CG13" i="8"/>
  <c r="CF13" i="8"/>
  <c r="CS13" i="8" s="1"/>
  <c r="DM12" i="8"/>
  <c r="DK12" i="8"/>
  <c r="DJ12" i="8"/>
  <c r="DH12" i="8"/>
  <c r="CY12" i="8"/>
  <c r="CW12" i="8"/>
  <c r="CU12" i="8"/>
  <c r="CT12" i="8"/>
  <c r="CS12" i="8"/>
  <c r="CN12" i="8"/>
  <c r="DA12" i="8" s="1"/>
  <c r="CM12" i="8"/>
  <c r="CZ12" i="8" s="1"/>
  <c r="CL12" i="8"/>
  <c r="DL12" i="8" s="1"/>
  <c r="CK12" i="8"/>
  <c r="CX12" i="8" s="1"/>
  <c r="CJ12" i="8"/>
  <c r="CI12" i="8"/>
  <c r="CV12" i="8" s="1"/>
  <c r="CH12" i="8"/>
  <c r="CG12" i="8"/>
  <c r="DG12" i="8" s="1"/>
  <c r="CF12" i="8"/>
  <c r="DF12" i="8" s="1"/>
  <c r="DN11" i="8"/>
  <c r="DM11" i="8"/>
  <c r="CZ11" i="8"/>
  <c r="CX11" i="8"/>
  <c r="CW11" i="8"/>
  <c r="CV11" i="8"/>
  <c r="CN11" i="8"/>
  <c r="DA11" i="8" s="1"/>
  <c r="CM11" i="8"/>
  <c r="CL11" i="8"/>
  <c r="CY11" i="8" s="1"/>
  <c r="CY9" i="8" s="1"/>
  <c r="CK11" i="8"/>
  <c r="DK11" i="8" s="1"/>
  <c r="CJ11" i="8"/>
  <c r="DJ11" i="8" s="1"/>
  <c r="CI11" i="8"/>
  <c r="DI11" i="8" s="1"/>
  <c r="CH11" i="8"/>
  <c r="CG11" i="8"/>
  <c r="CF11" i="8"/>
  <c r="CS11" i="8" s="1"/>
  <c r="DI10" i="8"/>
  <c r="DA10" i="8"/>
  <c r="DA9" i="8" s="1"/>
  <c r="CZ10" i="8"/>
  <c r="CY10" i="8"/>
  <c r="CS10" i="8"/>
  <c r="CN10" i="8"/>
  <c r="DN10" i="8" s="1"/>
  <c r="CM10" i="8"/>
  <c r="DM10" i="8" s="1"/>
  <c r="CL10" i="8"/>
  <c r="DL10" i="8" s="1"/>
  <c r="CK10" i="8"/>
  <c r="CJ10" i="8"/>
  <c r="CI10" i="8"/>
  <c r="CH10" i="8"/>
  <c r="CU10" i="8" s="1"/>
  <c r="CG10" i="8"/>
  <c r="CT10" i="8" s="1"/>
  <c r="CF10" i="8"/>
  <c r="DF10" i="8" s="1"/>
  <c r="DE9" i="8"/>
  <c r="DE78" i="8" s="1"/>
  <c r="DD9" i="8"/>
  <c r="DC9" i="8"/>
  <c r="DC78" i="8" s="1"/>
  <c r="DB9" i="8"/>
  <c r="CR9" i="8"/>
  <c r="CQ9" i="8"/>
  <c r="CQ78" i="8" s="1"/>
  <c r="CP9" i="8"/>
  <c r="CO9" i="8"/>
  <c r="CN9" i="8"/>
  <c r="CM9" i="8"/>
  <c r="CE9" i="8"/>
  <c r="CE78" i="8" s="1"/>
  <c r="CD9" i="8"/>
  <c r="CD78" i="8" s="1"/>
  <c r="CC9" i="8"/>
  <c r="CC78" i="8" s="1"/>
  <c r="CB9" i="8"/>
  <c r="CA9" i="8"/>
  <c r="BZ9" i="8"/>
  <c r="BZ78" i="8" s="1"/>
  <c r="BY9" i="8"/>
  <c r="BX9" i="8"/>
  <c r="BX78" i="8" s="1"/>
  <c r="BW9" i="8"/>
  <c r="BV9" i="8"/>
  <c r="BU9" i="8"/>
  <c r="BU78" i="8" s="1"/>
  <c r="BT9" i="8"/>
  <c r="BS9" i="8"/>
  <c r="BS78" i="8" s="1"/>
  <c r="BR9" i="8"/>
  <c r="BR78" i="8" s="1"/>
  <c r="BQ9" i="8"/>
  <c r="BQ78" i="8" s="1"/>
  <c r="BP9" i="8"/>
  <c r="BO9" i="8"/>
  <c r="BN9" i="8"/>
  <c r="BN78" i="8" s="1"/>
  <c r="BM9" i="8"/>
  <c r="BL9" i="8"/>
  <c r="BL78" i="8" s="1"/>
  <c r="BK9" i="8"/>
  <c r="BJ9" i="8"/>
  <c r="BI9" i="8"/>
  <c r="BI78" i="8" s="1"/>
  <c r="BH9" i="8"/>
  <c r="BG9" i="8"/>
  <c r="BG78" i="8" s="1"/>
  <c r="BF9" i="8"/>
  <c r="BF78" i="8" s="1"/>
  <c r="BE9" i="8"/>
  <c r="BE78" i="8" s="1"/>
  <c r="BD9" i="8"/>
  <c r="BC9" i="8"/>
  <c r="BB9" i="8"/>
  <c r="BB78" i="8" s="1"/>
  <c r="BA9" i="8"/>
  <c r="AZ9" i="8"/>
  <c r="AZ78" i="8" s="1"/>
  <c r="AY9" i="8"/>
  <c r="AX9" i="8"/>
  <c r="AW9" i="8"/>
  <c r="AW78" i="8" s="1"/>
  <c r="AV9" i="8"/>
  <c r="AU9" i="8"/>
  <c r="AU78" i="8" s="1"/>
  <c r="AT9" i="8"/>
  <c r="AT78" i="8" s="1"/>
  <c r="AS9" i="8"/>
  <c r="AS78" i="8" s="1"/>
  <c r="AR9" i="8"/>
  <c r="AQ9" i="8"/>
  <c r="AP9" i="8"/>
  <c r="AP78" i="8" s="1"/>
  <c r="AO9" i="8"/>
  <c r="DO9" i="8" s="1"/>
  <c r="AN9" i="8"/>
  <c r="AM9" i="8"/>
  <c r="DM9" i="8" s="1"/>
  <c r="AL9" i="8"/>
  <c r="AK9" i="8"/>
  <c r="AK78" i="8" s="1"/>
  <c r="AJ9" i="8"/>
  <c r="AI9" i="8"/>
  <c r="AH9" i="8"/>
  <c r="AG9" i="8"/>
  <c r="AF9" i="8"/>
  <c r="AE9" i="8"/>
  <c r="AD9" i="8"/>
  <c r="AD78" i="8" s="1"/>
  <c r="AC9" i="8"/>
  <c r="AB9" i="8"/>
  <c r="AB78" i="8" s="1"/>
  <c r="AA9" i="8"/>
  <c r="Z9" i="8"/>
  <c r="Y9" i="8"/>
  <c r="Y78" i="8" s="1"/>
  <c r="X9" i="8"/>
  <c r="W9" i="8"/>
  <c r="W78" i="8" s="1"/>
  <c r="V9" i="8"/>
  <c r="V78" i="8" s="1"/>
  <c r="U9" i="8"/>
  <c r="U78" i="8" s="1"/>
  <c r="T9" i="8"/>
  <c r="S9" i="8"/>
  <c r="R9" i="8"/>
  <c r="R78" i="8" s="1"/>
  <c r="Q9" i="8"/>
  <c r="P9" i="8"/>
  <c r="P78" i="8" s="1"/>
  <c r="O9" i="8"/>
  <c r="N9" i="8"/>
  <c r="M9" i="8"/>
  <c r="M78" i="8" s="1"/>
  <c r="L9" i="8"/>
  <c r="K9" i="8"/>
  <c r="K78" i="8" s="1"/>
  <c r="J9" i="8"/>
  <c r="J78" i="8" s="1"/>
  <c r="I9" i="8"/>
  <c r="I78" i="8" s="1"/>
  <c r="H9" i="8"/>
  <c r="H6" i="8" s="1"/>
  <c r="G9" i="8"/>
  <c r="F9" i="8"/>
  <c r="F78" i="8" s="1"/>
  <c r="FC6" i="8"/>
  <c r="FB6" i="8"/>
  <c r="FA6" i="8"/>
  <c r="EZ6" i="8"/>
  <c r="EX6" i="8"/>
  <c r="EW6" i="8"/>
  <c r="EV6" i="8"/>
  <c r="EU6" i="8"/>
  <c r="ET6" i="8"/>
  <c r="ES6" i="8"/>
  <c r="EQ6" i="8"/>
  <c r="EP6" i="8"/>
  <c r="EO6" i="8"/>
  <c r="EN6" i="8"/>
  <c r="EM6" i="8"/>
  <c r="EL6" i="8"/>
  <c r="EK6" i="8"/>
  <c r="EJ6" i="8"/>
  <c r="EI6" i="8"/>
  <c r="EH6" i="8"/>
  <c r="EG6" i="8"/>
  <c r="EF6" i="8"/>
  <c r="ED6" i="8"/>
  <c r="EB6" i="8"/>
  <c r="EA6" i="8"/>
  <c r="DZ6" i="8"/>
  <c r="DY6" i="8"/>
  <c r="DX6" i="8"/>
  <c r="DV6" i="8"/>
  <c r="DU6" i="8"/>
  <c r="DT6" i="8"/>
  <c r="DS6" i="8"/>
  <c r="CE6" i="8"/>
  <c r="CD6" i="8"/>
  <c r="BX6" i="8"/>
  <c r="BW6" i="8"/>
  <c r="BU6" i="8"/>
  <c r="BS6" i="8"/>
  <c r="BR6" i="8"/>
  <c r="BL6" i="8"/>
  <c r="BK6" i="8"/>
  <c r="BI6" i="8"/>
  <c r="BG6" i="8"/>
  <c r="BF6" i="8"/>
  <c r="BE6" i="8"/>
  <c r="BD6" i="8"/>
  <c r="BB6" i="8"/>
  <c r="AZ6" i="8"/>
  <c r="AY6" i="8"/>
  <c r="AW6" i="8"/>
  <c r="AU6" i="8"/>
  <c r="AT6" i="8"/>
  <c r="AS6" i="8"/>
  <c r="AR6" i="8"/>
  <c r="AP6" i="8"/>
  <c r="DP6" i="8" s="1"/>
  <c r="AN6" i="8"/>
  <c r="AM6" i="8"/>
  <c r="AK6" i="8"/>
  <c r="AI6" i="8"/>
  <c r="AH6" i="8"/>
  <c r="AG6" i="8"/>
  <c r="AD6" i="8"/>
  <c r="AC6" i="8"/>
  <c r="AB6" i="8"/>
  <c r="AA6" i="8"/>
  <c r="Y6" i="8"/>
  <c r="X6" i="8"/>
  <c r="W6" i="8"/>
  <c r="V6" i="8"/>
  <c r="U6" i="8"/>
  <c r="R6" i="8"/>
  <c r="Q6" i="8"/>
  <c r="P6" i="8"/>
  <c r="O6" i="8"/>
  <c r="M6" i="8"/>
  <c r="L6" i="8"/>
  <c r="K6" i="8"/>
  <c r="J6" i="8"/>
  <c r="I6" i="8"/>
  <c r="F6" i="8"/>
  <c r="FR126" i="7"/>
  <c r="FQ126" i="7"/>
  <c r="FO126" i="7"/>
  <c r="FN126" i="7"/>
  <c r="FM126" i="7"/>
  <c r="FG126" i="7"/>
  <c r="FF126" i="7"/>
  <c r="FE126" i="7"/>
  <c r="FD126" i="7"/>
  <c r="FC126" i="7"/>
  <c r="FB126" i="7"/>
  <c r="FA126" i="7"/>
  <c r="EU126" i="7"/>
  <c r="ET126" i="7"/>
  <c r="ES126" i="7"/>
  <c r="ER126" i="7"/>
  <c r="EQ126" i="7"/>
  <c r="EO126" i="7"/>
  <c r="EI126" i="7"/>
  <c r="EE126" i="7"/>
  <c r="ED126" i="7"/>
  <c r="EC126" i="7"/>
  <c r="EB126" i="7"/>
  <c r="DX126" i="7"/>
  <c r="DW126" i="7"/>
  <c r="DV126" i="7"/>
  <c r="DU126" i="7"/>
  <c r="CV126" i="7"/>
  <c r="CU126" i="7"/>
  <c r="CT126" i="7"/>
  <c r="CS126" i="7"/>
  <c r="CR126" i="7"/>
  <c r="CQ126" i="7"/>
  <c r="CP126" i="7"/>
  <c r="CO126" i="7"/>
  <c r="CI126" i="7"/>
  <c r="CH126" i="7"/>
  <c r="CG126" i="7"/>
  <c r="CE126" i="7"/>
  <c r="CD126" i="7"/>
  <c r="CC126" i="7"/>
  <c r="CB126" i="7"/>
  <c r="BW126" i="7"/>
  <c r="BV126" i="7"/>
  <c r="BU126" i="7"/>
  <c r="BR126" i="7"/>
  <c r="BQ126" i="7"/>
  <c r="BO126" i="7"/>
  <c r="BK126" i="7"/>
  <c r="BJ126" i="7"/>
  <c r="BG126" i="7"/>
  <c r="BF126" i="7"/>
  <c r="BE126" i="7"/>
  <c r="BD126" i="7"/>
  <c r="BB126" i="7"/>
  <c r="AZ126" i="7"/>
  <c r="AY126" i="7"/>
  <c r="AX126" i="7"/>
  <c r="AW126" i="7"/>
  <c r="AR126" i="7"/>
  <c r="AQ126" i="7"/>
  <c r="AO126" i="7"/>
  <c r="AM126" i="7"/>
  <c r="AL126" i="7"/>
  <c r="AK126" i="7"/>
  <c r="AI126" i="7"/>
  <c r="AH126" i="7"/>
  <c r="AG126" i="7"/>
  <c r="AE126" i="7"/>
  <c r="AD126" i="7"/>
  <c r="AB126" i="7"/>
  <c r="AA126" i="7"/>
  <c r="Z126" i="7"/>
  <c r="Y126" i="7"/>
  <c r="V126" i="7"/>
  <c r="U126" i="7"/>
  <c r="R126" i="7"/>
  <c r="Q126" i="7"/>
  <c r="FP124" i="7"/>
  <c r="FP126" i="7" s="1"/>
  <c r="FN124" i="7"/>
  <c r="FM124" i="7"/>
  <c r="FL124" i="7"/>
  <c r="FL126" i="7" s="1"/>
  <c r="FK124" i="7"/>
  <c r="FK126" i="7" s="1"/>
  <c r="FJ124" i="7"/>
  <c r="FJ126" i="7" s="1"/>
  <c r="FI124" i="7"/>
  <c r="FI126" i="7" s="1"/>
  <c r="FH124" i="7"/>
  <c r="FH126" i="7" s="1"/>
  <c r="FG124" i="7"/>
  <c r="FF124" i="7"/>
  <c r="FC124" i="7"/>
  <c r="FA124" i="7"/>
  <c r="EZ124" i="7"/>
  <c r="EZ126" i="7" s="1"/>
  <c r="EY124" i="7"/>
  <c r="EY126" i="7" s="1"/>
  <c r="EX124" i="7"/>
  <c r="EX126" i="7" s="1"/>
  <c r="EW124" i="7"/>
  <c r="EW126" i="7" s="1"/>
  <c r="EV124" i="7"/>
  <c r="EV126" i="7" s="1"/>
  <c r="EU124" i="7"/>
  <c r="ET124" i="7"/>
  <c r="ES124" i="7"/>
  <c r="EP124" i="7"/>
  <c r="EP126" i="7" s="1"/>
  <c r="EN124" i="7"/>
  <c r="EN126" i="7" s="1"/>
  <c r="EM124" i="7"/>
  <c r="EM126" i="7" s="1"/>
  <c r="EL124" i="7"/>
  <c r="EL126" i="7" s="1"/>
  <c r="EK124" i="7"/>
  <c r="EK126" i="7" s="1"/>
  <c r="EJ124" i="7"/>
  <c r="EJ126" i="7" s="1"/>
  <c r="EI124" i="7"/>
  <c r="EH124" i="7"/>
  <c r="EH126" i="7" s="1"/>
  <c r="EG124" i="7"/>
  <c r="EG126" i="7" s="1"/>
  <c r="EF124" i="7"/>
  <c r="EF126" i="7" s="1"/>
  <c r="EC124" i="7"/>
  <c r="EA124" i="7"/>
  <c r="EA126" i="7" s="1"/>
  <c r="DZ124" i="7"/>
  <c r="DZ126" i="7" s="1"/>
  <c r="DY124" i="7"/>
  <c r="DY126" i="7" s="1"/>
  <c r="DX124" i="7"/>
  <c r="DW124" i="7"/>
  <c r="DV124" i="7"/>
  <c r="DU124" i="7"/>
  <c r="DT124" i="7"/>
  <c r="DT126" i="7" s="1"/>
  <c r="DS124" i="7"/>
  <c r="DS126" i="7" s="1"/>
  <c r="DC124" i="7"/>
  <c r="DC126" i="7" s="1"/>
  <c r="DA124" i="7"/>
  <c r="DA126" i="7" s="1"/>
  <c r="CZ124" i="7"/>
  <c r="CZ126" i="7" s="1"/>
  <c r="CY124" i="7"/>
  <c r="CY126" i="7" s="1"/>
  <c r="CX124" i="7"/>
  <c r="CX126" i="7" s="1"/>
  <c r="CW124" i="7"/>
  <c r="CW126" i="7" s="1"/>
  <c r="CV124" i="7"/>
  <c r="CU124" i="7"/>
  <c r="CT124" i="7"/>
  <c r="CS124" i="7"/>
  <c r="CP124" i="7"/>
  <c r="CN124" i="7"/>
  <c r="CN126" i="7" s="1"/>
  <c r="CM124" i="7"/>
  <c r="CM126" i="7" s="1"/>
  <c r="CL124" i="7"/>
  <c r="CL126" i="7" s="1"/>
  <c r="CK124" i="7"/>
  <c r="CK126" i="7" s="1"/>
  <c r="CJ124" i="7"/>
  <c r="CJ126" i="7" s="1"/>
  <c r="CI124" i="7"/>
  <c r="CH124" i="7"/>
  <c r="CG124" i="7"/>
  <c r="CF124" i="7"/>
  <c r="CF126" i="7" s="1"/>
  <c r="CC124" i="7"/>
  <c r="CA124" i="7"/>
  <c r="CA126" i="7" s="1"/>
  <c r="BZ124" i="7"/>
  <c r="BZ126" i="7" s="1"/>
  <c r="BY124" i="7"/>
  <c r="BY126" i="7" s="1"/>
  <c r="BX124" i="7"/>
  <c r="BX126" i="7" s="1"/>
  <c r="BW124" i="7"/>
  <c r="BV124" i="7"/>
  <c r="BU124" i="7"/>
  <c r="BT124" i="7"/>
  <c r="BT126" i="7" s="1"/>
  <c r="BS124" i="7"/>
  <c r="BS126" i="7" s="1"/>
  <c r="BP124" i="7"/>
  <c r="BP126" i="7" s="1"/>
  <c r="BN124" i="7"/>
  <c r="BN126" i="7" s="1"/>
  <c r="BM124" i="7"/>
  <c r="BM126" i="7" s="1"/>
  <c r="BL124" i="7"/>
  <c r="BL126" i="7" s="1"/>
  <c r="BK124" i="7"/>
  <c r="BJ124" i="7"/>
  <c r="BI124" i="7"/>
  <c r="BI126" i="7" s="1"/>
  <c r="BH124" i="7"/>
  <c r="BH126" i="7" s="1"/>
  <c r="BG124" i="7"/>
  <c r="BF124" i="7"/>
  <c r="BC124" i="7"/>
  <c r="BC126" i="7" s="1"/>
  <c r="BA124" i="7"/>
  <c r="BA126" i="7" s="1"/>
  <c r="AZ124" i="7"/>
  <c r="AY124" i="7"/>
  <c r="AX124" i="7"/>
  <c r="AW124" i="7"/>
  <c r="AV124" i="7"/>
  <c r="AV126" i="7" s="1"/>
  <c r="AU124" i="7"/>
  <c r="AU126" i="7" s="1"/>
  <c r="AT124" i="7"/>
  <c r="AT126" i="7" s="1"/>
  <c r="AS124" i="7"/>
  <c r="AS126" i="7" s="1"/>
  <c r="AP124" i="7"/>
  <c r="AP126" i="7" s="1"/>
  <c r="AN124" i="7"/>
  <c r="AN126" i="7" s="1"/>
  <c r="AM124" i="7"/>
  <c r="AL124" i="7"/>
  <c r="AK124" i="7"/>
  <c r="AJ124" i="7"/>
  <c r="AJ126" i="7" s="1"/>
  <c r="AI124" i="7"/>
  <c r="AH124" i="7"/>
  <c r="AG124" i="7"/>
  <c r="AF124" i="7"/>
  <c r="AF126" i="7" s="1"/>
  <c r="AC124" i="7"/>
  <c r="AC126" i="7" s="1"/>
  <c r="AA124" i="7"/>
  <c r="Z124" i="7"/>
  <c r="Y124" i="7"/>
  <c r="X124" i="7"/>
  <c r="X126" i="7" s="1"/>
  <c r="W124" i="7"/>
  <c r="W126" i="7" s="1"/>
  <c r="V124" i="7"/>
  <c r="U124" i="7"/>
  <c r="T124" i="7"/>
  <c r="T126" i="7" s="1"/>
  <c r="S124" i="7"/>
  <c r="S126" i="7" s="1"/>
  <c r="P124" i="7"/>
  <c r="P126" i="7" s="1"/>
  <c r="N124" i="7"/>
  <c r="N126" i="7" s="1"/>
  <c r="M124" i="7"/>
  <c r="M126" i="7" s="1"/>
  <c r="L124" i="7"/>
  <c r="L126" i="7" s="1"/>
  <c r="K124" i="7"/>
  <c r="K126" i="7" s="1"/>
  <c r="J124" i="7"/>
  <c r="J126" i="7" s="1"/>
  <c r="I124" i="7"/>
  <c r="I126" i="7" s="1"/>
  <c r="H124" i="7"/>
  <c r="H126" i="7" s="1"/>
  <c r="G124" i="7"/>
  <c r="G126" i="7" s="1"/>
  <c r="F124" i="7"/>
  <c r="F126" i="7" s="1"/>
  <c r="FO6" i="7"/>
  <c r="BZ78" i="6"/>
  <c r="BX78" i="6"/>
  <c r="BW78" i="6"/>
  <c r="BV78" i="6"/>
  <c r="BT78" i="6"/>
  <c r="BS78" i="6"/>
  <c r="BK78" i="6"/>
  <c r="BH78" i="6"/>
  <c r="BG78" i="6"/>
  <c r="BF78" i="6"/>
  <c r="BD78" i="6"/>
  <c r="BC78" i="6"/>
  <c r="AY78" i="6"/>
  <c r="AX78" i="6"/>
  <c r="AW78" i="6"/>
  <c r="AV78" i="6"/>
  <c r="AU78" i="6"/>
  <c r="AT78" i="6"/>
  <c r="AS78" i="6"/>
  <c r="AN78" i="6"/>
  <c r="AM78" i="6"/>
  <c r="AL78" i="6"/>
  <c r="AK78" i="6"/>
  <c r="AJ78" i="6"/>
  <c r="AI78" i="6"/>
  <c r="AH78" i="6"/>
  <c r="AG78" i="6"/>
  <c r="AF78" i="6"/>
  <c r="AE78" i="6"/>
  <c r="AA78" i="6"/>
  <c r="Z78" i="6"/>
  <c r="T78" i="6"/>
  <c r="N78" i="6"/>
  <c r="BN56" i="6"/>
  <c r="BN78" i="6" s="1"/>
  <c r="BM56" i="6"/>
  <c r="BL56" i="6"/>
  <c r="BL6" i="6" s="1"/>
  <c r="BK56" i="6"/>
  <c r="BJ56" i="6"/>
  <c r="BJ78" i="6" s="1"/>
  <c r="BI56" i="6"/>
  <c r="BI6" i="6" s="1"/>
  <c r="BH56" i="6"/>
  <c r="BH6" i="6" s="1"/>
  <c r="BG56" i="6"/>
  <c r="BF56" i="6"/>
  <c r="BE56" i="6"/>
  <c r="BE78" i="6" s="1"/>
  <c r="BD56" i="6"/>
  <c r="BC56" i="6"/>
  <c r="BB56" i="6"/>
  <c r="BB78" i="6" s="1"/>
  <c r="BA56" i="6"/>
  <c r="AZ56" i="6"/>
  <c r="AY56" i="6"/>
  <c r="AR56" i="6"/>
  <c r="AQ56" i="6"/>
  <c r="AP56" i="6"/>
  <c r="AO56" i="6"/>
  <c r="AN56" i="6"/>
  <c r="AM56" i="6"/>
  <c r="AL56" i="6"/>
  <c r="AE56" i="6"/>
  <c r="AD56" i="6"/>
  <c r="AD78" i="6" s="1"/>
  <c r="AC56" i="6"/>
  <c r="AB56" i="6"/>
  <c r="AA56" i="6"/>
  <c r="Z56" i="6"/>
  <c r="Y56" i="6"/>
  <c r="X56" i="6"/>
  <c r="X6" i="6" s="1"/>
  <c r="W56" i="6"/>
  <c r="V56" i="6"/>
  <c r="U56" i="6"/>
  <c r="T56" i="6"/>
  <c r="S56" i="6"/>
  <c r="R56" i="6"/>
  <c r="R78" i="6" s="1"/>
  <c r="Q56" i="6"/>
  <c r="P56" i="6"/>
  <c r="O56" i="6"/>
  <c r="N56" i="6"/>
  <c r="M56" i="6"/>
  <c r="L56" i="6"/>
  <c r="J56" i="6"/>
  <c r="EY55" i="6"/>
  <c r="EY35" i="6" s="1"/>
  <c r="EY6" i="6" s="1"/>
  <c r="EX55" i="6"/>
  <c r="EX35" i="6" s="1"/>
  <c r="EX6" i="6" s="1"/>
  <c r="EA55" i="6"/>
  <c r="EA35" i="6" s="1"/>
  <c r="EA6" i="6" s="1"/>
  <c r="DZ55" i="6"/>
  <c r="DZ35" i="6" s="1"/>
  <c r="DZ6" i="6" s="1"/>
  <c r="DY55" i="6"/>
  <c r="DX55" i="6"/>
  <c r="DW55" i="6"/>
  <c r="DV55" i="6"/>
  <c r="DU55" i="6"/>
  <c r="DT55" i="6"/>
  <c r="DS55" i="6"/>
  <c r="FD35" i="6"/>
  <c r="FC35" i="6"/>
  <c r="FB35" i="6"/>
  <c r="FB6" i="6" s="1"/>
  <c r="FA35" i="6"/>
  <c r="FA6" i="6" s="1"/>
  <c r="EZ35" i="6"/>
  <c r="EZ6" i="6" s="1"/>
  <c r="EE35" i="6"/>
  <c r="EE6" i="6" s="1"/>
  <c r="ED35" i="6"/>
  <c r="ED6" i="6" s="1"/>
  <c r="EC35" i="6"/>
  <c r="EB35" i="6"/>
  <c r="DY35" i="6"/>
  <c r="DX35" i="6"/>
  <c r="DX6" i="6" s="1"/>
  <c r="DW35" i="6"/>
  <c r="DW6" i="6" s="1"/>
  <c r="DS8" i="2" s="1"/>
  <c r="DV35" i="6"/>
  <c r="DV6" i="6" s="1"/>
  <c r="DU35" i="6"/>
  <c r="DT35" i="6"/>
  <c r="DS35" i="6"/>
  <c r="DS6" i="6" s="1"/>
  <c r="AE35" i="6"/>
  <c r="AD35" i="6"/>
  <c r="AC35" i="6"/>
  <c r="AB35" i="6"/>
  <c r="AA35" i="6"/>
  <c r="Z35" i="6"/>
  <c r="Y35" i="6"/>
  <c r="Y6" i="6" s="1"/>
  <c r="W35" i="6"/>
  <c r="W6" i="6" s="1"/>
  <c r="CJ6" i="6" s="1"/>
  <c r="V35" i="6"/>
  <c r="V6" i="6" s="1"/>
  <c r="U35" i="6"/>
  <c r="T35" i="6"/>
  <c r="S35" i="6"/>
  <c r="R35" i="6"/>
  <c r="Q35" i="6"/>
  <c r="P35" i="6"/>
  <c r="O35" i="6"/>
  <c r="N35" i="6"/>
  <c r="M35" i="6"/>
  <c r="L35" i="6"/>
  <c r="J35" i="6"/>
  <c r="J6" i="6" s="1"/>
  <c r="FL33" i="6"/>
  <c r="FL31" i="6" s="1"/>
  <c r="FL6" i="6" s="1"/>
  <c r="FK33" i="6"/>
  <c r="EL33" i="6"/>
  <c r="EL31" i="6" s="1"/>
  <c r="EL6" i="6" s="1"/>
  <c r="EK33" i="6"/>
  <c r="FP31" i="6"/>
  <c r="FP6" i="6" s="1"/>
  <c r="FO31" i="6"/>
  <c r="FN31" i="6"/>
  <c r="FM31" i="6"/>
  <c r="FK31" i="6"/>
  <c r="FJ31" i="6"/>
  <c r="FJ6" i="6" s="1"/>
  <c r="FI31" i="6"/>
  <c r="FI6" i="6" s="1"/>
  <c r="FH31" i="6"/>
  <c r="FH6" i="6" s="1"/>
  <c r="FG31" i="6"/>
  <c r="FF31" i="6"/>
  <c r="FD31" i="6"/>
  <c r="FC31" i="6"/>
  <c r="FB31" i="6"/>
  <c r="FA31" i="6"/>
  <c r="EZ31" i="6"/>
  <c r="EY31" i="6"/>
  <c r="EX31" i="6"/>
  <c r="EW31" i="6"/>
  <c r="EV31" i="6"/>
  <c r="EU31" i="6"/>
  <c r="ET31" i="6"/>
  <c r="ES31" i="6"/>
  <c r="ER31" i="6"/>
  <c r="EQ31" i="6"/>
  <c r="EP31" i="6"/>
  <c r="EO31" i="6"/>
  <c r="EN31" i="6"/>
  <c r="EM31" i="6"/>
  <c r="EK31" i="6"/>
  <c r="EJ31" i="6"/>
  <c r="EI31" i="6"/>
  <c r="EH31" i="6"/>
  <c r="EG31" i="6"/>
  <c r="EF31" i="6"/>
  <c r="DX31" i="6"/>
  <c r="DW31" i="6"/>
  <c r="DV31" i="6"/>
  <c r="DU31" i="6"/>
  <c r="DT31" i="6"/>
  <c r="DS31" i="6"/>
  <c r="BW31" i="6"/>
  <c r="BW6" i="6" s="1"/>
  <c r="BU31" i="6"/>
  <c r="AE31" i="6"/>
  <c r="AE6" i="6" s="1"/>
  <c r="AD31" i="6"/>
  <c r="AC31" i="6"/>
  <c r="AB31" i="6"/>
  <c r="AB78" i="6" s="1"/>
  <c r="AA31" i="6"/>
  <c r="Z31" i="6"/>
  <c r="Y31" i="6"/>
  <c r="X31" i="6"/>
  <c r="X78" i="6" s="1"/>
  <c r="W31" i="6"/>
  <c r="V31" i="6"/>
  <c r="U31" i="6"/>
  <c r="T31" i="6"/>
  <c r="T6" i="6" s="1"/>
  <c r="S31" i="6"/>
  <c r="S78" i="6" s="1"/>
  <c r="R31" i="6"/>
  <c r="Q31" i="6"/>
  <c r="P31" i="6"/>
  <c r="O31" i="6"/>
  <c r="N31" i="6"/>
  <c r="M31" i="6"/>
  <c r="L31" i="6"/>
  <c r="K31" i="6"/>
  <c r="K56" i="6" s="1"/>
  <c r="K6" i="6" s="1"/>
  <c r="J31" i="6"/>
  <c r="I31" i="6"/>
  <c r="H31" i="6"/>
  <c r="H78" i="6" s="1"/>
  <c r="G31" i="6"/>
  <c r="G56" i="6" s="1"/>
  <c r="F31" i="6"/>
  <c r="F56" i="6" s="1"/>
  <c r="AE9" i="6"/>
  <c r="AD9" i="6"/>
  <c r="AC9" i="6"/>
  <c r="AC78" i="6" s="1"/>
  <c r="AB9" i="6"/>
  <c r="AA9" i="6"/>
  <c r="Z9" i="6"/>
  <c r="Y9" i="6"/>
  <c r="R9" i="6"/>
  <c r="Q9" i="6"/>
  <c r="P9" i="6"/>
  <c r="O9" i="6"/>
  <c r="N9" i="6"/>
  <c r="M9" i="6"/>
  <c r="M78" i="6" s="1"/>
  <c r="L9" i="6"/>
  <c r="L78" i="6" s="1"/>
  <c r="FQ6" i="6"/>
  <c r="FO6" i="6"/>
  <c r="FN6" i="6"/>
  <c r="FM6" i="6"/>
  <c r="FK6" i="6"/>
  <c r="FG6" i="6"/>
  <c r="FF6" i="6"/>
  <c r="FC6" i="6"/>
  <c r="EW6" i="6"/>
  <c r="EV6" i="6"/>
  <c r="EU6" i="6"/>
  <c r="ET6" i="6"/>
  <c r="ES6" i="6"/>
  <c r="ER6" i="6"/>
  <c r="EQ6" i="6"/>
  <c r="EP6" i="6"/>
  <c r="EO6" i="6"/>
  <c r="EN6" i="6"/>
  <c r="EM6" i="6"/>
  <c r="EK6" i="6"/>
  <c r="EJ6" i="6"/>
  <c r="EI6" i="6"/>
  <c r="EE8" i="2" s="1"/>
  <c r="EH6" i="6"/>
  <c r="EG6" i="6"/>
  <c r="EF6" i="6"/>
  <c r="EC6" i="6"/>
  <c r="EB6" i="6"/>
  <c r="DY6" i="6"/>
  <c r="DU6" i="6"/>
  <c r="DT6" i="6"/>
  <c r="DK6" i="6"/>
  <c r="CE6" i="6"/>
  <c r="CD6" i="6"/>
  <c r="CC6" i="6"/>
  <c r="CB6" i="6"/>
  <c r="CA6" i="6"/>
  <c r="BZ6" i="6"/>
  <c r="BY6" i="6"/>
  <c r="BX6" i="6"/>
  <c r="BV6" i="6"/>
  <c r="BT6" i="6"/>
  <c r="BR6" i="6"/>
  <c r="BQ6" i="6"/>
  <c r="BP6" i="6"/>
  <c r="BO6" i="6"/>
  <c r="BN6" i="6"/>
  <c r="BK6" i="6"/>
  <c r="CK6" i="6" s="1"/>
  <c r="CX6" i="6" s="1"/>
  <c r="BJ6" i="6"/>
  <c r="BG6" i="6"/>
  <c r="CG6" i="6" s="1"/>
  <c r="BF6" i="6"/>
  <c r="BE6" i="6"/>
  <c r="BD6" i="6"/>
  <c r="BC6" i="6"/>
  <c r="AY6" i="6"/>
  <c r="AX6" i="6"/>
  <c r="AW6" i="6"/>
  <c r="AV6" i="6"/>
  <c r="AU6" i="6"/>
  <c r="AT6" i="6"/>
  <c r="AS6" i="6"/>
  <c r="AR6" i="6"/>
  <c r="AQ6" i="6"/>
  <c r="AP6" i="6"/>
  <c r="AO6" i="6"/>
  <c r="AN6" i="6"/>
  <c r="AM6" i="6"/>
  <c r="AL6" i="6"/>
  <c r="AK6" i="6"/>
  <c r="AJ6" i="6"/>
  <c r="DJ6" i="6" s="1"/>
  <c r="AI6" i="6"/>
  <c r="AH6" i="6"/>
  <c r="AG6" i="6"/>
  <c r="AF6" i="6"/>
  <c r="AD6" i="6"/>
  <c r="AA6" i="6"/>
  <c r="Z6" i="6"/>
  <c r="R6" i="6"/>
  <c r="N6" i="6"/>
  <c r="H6" i="6"/>
  <c r="G6" i="6"/>
  <c r="F6" i="6"/>
  <c r="BX78" i="4"/>
  <c r="BW78" i="4"/>
  <c r="BV78" i="4"/>
  <c r="BU78" i="4"/>
  <c r="BT78" i="4"/>
  <c r="BS78" i="4"/>
  <c r="BR78" i="4"/>
  <c r="BQ78" i="4"/>
  <c r="BL78" i="4"/>
  <c r="BK78" i="4"/>
  <c r="BJ78" i="4"/>
  <c r="BI78" i="4"/>
  <c r="BH78" i="4"/>
  <c r="BG78" i="4"/>
  <c r="BF78" i="4"/>
  <c r="BE78" i="4"/>
  <c r="AY78" i="4"/>
  <c r="AX78" i="4"/>
  <c r="AW78" i="4"/>
  <c r="AV78" i="4"/>
  <c r="AU78" i="4"/>
  <c r="AT78" i="4"/>
  <c r="AS78" i="4"/>
  <c r="AL78" i="4"/>
  <c r="AK78" i="4"/>
  <c r="AJ78" i="4"/>
  <c r="AI78" i="4"/>
  <c r="AH78" i="4"/>
  <c r="AG78" i="4"/>
  <c r="V78" i="4"/>
  <c r="U78" i="4"/>
  <c r="N78" i="4"/>
  <c r="J78" i="4"/>
  <c r="I78" i="4"/>
  <c r="AN64" i="4"/>
  <c r="AM64" i="4"/>
  <c r="AL64" i="4"/>
  <c r="N64" i="4"/>
  <c r="N56" i="4" s="1"/>
  <c r="M64" i="4"/>
  <c r="M56" i="4" s="1"/>
  <c r="M6" i="4" s="1"/>
  <c r="L64" i="4"/>
  <c r="L56" i="4" s="1"/>
  <c r="L78" i="4" s="1"/>
  <c r="CE56" i="4"/>
  <c r="CE78" i="4" s="1"/>
  <c r="CD56" i="4"/>
  <c r="CD78" i="4" s="1"/>
  <c r="CC56" i="4"/>
  <c r="CC78" i="4" s="1"/>
  <c r="CB56" i="4"/>
  <c r="CB6" i="4" s="1"/>
  <c r="CA56" i="4"/>
  <c r="CA78" i="4" s="1"/>
  <c r="BZ56" i="4"/>
  <c r="BZ78" i="4" s="1"/>
  <c r="BY56" i="4"/>
  <c r="BY78" i="4" s="1"/>
  <c r="BR56" i="4"/>
  <c r="BQ56" i="4"/>
  <c r="BP56" i="4"/>
  <c r="BP78" i="4" s="1"/>
  <c r="BO56" i="4"/>
  <c r="BN56" i="4"/>
  <c r="BM56" i="4"/>
  <c r="BM78" i="4" s="1"/>
  <c r="BE56" i="4"/>
  <c r="BD56" i="4"/>
  <c r="BD78" i="4" s="1"/>
  <c r="BC56" i="4"/>
  <c r="BC6" i="4" s="1"/>
  <c r="BB56" i="4"/>
  <c r="BB78" i="4" s="1"/>
  <c r="BA56" i="4"/>
  <c r="BA78" i="4" s="1"/>
  <c r="AZ56" i="4"/>
  <c r="AZ78" i="4" s="1"/>
  <c r="AR56" i="4"/>
  <c r="AQ56" i="4"/>
  <c r="AP56" i="4"/>
  <c r="AP6" i="4" s="1"/>
  <c r="AO56" i="4"/>
  <c r="AO6" i="4" s="1"/>
  <c r="AN56" i="4"/>
  <c r="AM56" i="4"/>
  <c r="AL56" i="4"/>
  <c r="AF56" i="4"/>
  <c r="AF78" i="4" s="1"/>
  <c r="AE56" i="4"/>
  <c r="AD56" i="4"/>
  <c r="AC56" i="4"/>
  <c r="AB56" i="4"/>
  <c r="AA56" i="4"/>
  <c r="Z56" i="4"/>
  <c r="Y56" i="4"/>
  <c r="X56" i="4"/>
  <c r="X6" i="4" s="1"/>
  <c r="CK6" i="4" s="1"/>
  <c r="DK6" i="4" s="1"/>
  <c r="W56" i="4"/>
  <c r="V56" i="4"/>
  <c r="U56" i="4"/>
  <c r="T56" i="4"/>
  <c r="T78" i="4" s="1"/>
  <c r="S56" i="4"/>
  <c r="S6" i="4" s="1"/>
  <c r="R56" i="4"/>
  <c r="Q56" i="4"/>
  <c r="P56" i="4"/>
  <c r="O56" i="4"/>
  <c r="K56" i="4"/>
  <c r="J56" i="4"/>
  <c r="I56" i="4"/>
  <c r="H56" i="4"/>
  <c r="H78" i="4" s="1"/>
  <c r="G56" i="4"/>
  <c r="G6" i="4" s="1"/>
  <c r="F56" i="4"/>
  <c r="F78" i="4" s="1"/>
  <c r="FD35" i="4"/>
  <c r="FC35" i="4"/>
  <c r="FB35" i="4"/>
  <c r="FA35" i="4"/>
  <c r="EZ35" i="4"/>
  <c r="EY35" i="4"/>
  <c r="EY6" i="4" s="1"/>
  <c r="FF7" i="12" s="1"/>
  <c r="EX35" i="4"/>
  <c r="EW35" i="4"/>
  <c r="EV35" i="4"/>
  <c r="EU35" i="4"/>
  <c r="EU6" i="4" s="1"/>
  <c r="ET35" i="4"/>
  <c r="ET6" i="4" s="1"/>
  <c r="ES35" i="4"/>
  <c r="ED35" i="4"/>
  <c r="EC35" i="4"/>
  <c r="EB35" i="4"/>
  <c r="EA35" i="4"/>
  <c r="DZ35" i="4"/>
  <c r="DY35" i="4"/>
  <c r="DX35" i="4"/>
  <c r="DX6" i="4" s="1"/>
  <c r="DW35" i="4"/>
  <c r="DV35" i="4"/>
  <c r="DU35" i="4"/>
  <c r="DU6" i="4" s="1"/>
  <c r="DT35" i="4"/>
  <c r="DT6" i="4" s="1"/>
  <c r="DS35" i="4"/>
  <c r="AR35" i="4"/>
  <c r="AQ35" i="4"/>
  <c r="AP35" i="4"/>
  <c r="AO35" i="4"/>
  <c r="AN35" i="4"/>
  <c r="AM35" i="4"/>
  <c r="AL35" i="4"/>
  <c r="AL6" i="4" s="1"/>
  <c r="AE35" i="4"/>
  <c r="AD35" i="4"/>
  <c r="AC35" i="4"/>
  <c r="AB35" i="4"/>
  <c r="AA35" i="4"/>
  <c r="Z35" i="4"/>
  <c r="Y35" i="4"/>
  <c r="R35" i="4"/>
  <c r="Q35" i="4"/>
  <c r="P35" i="4"/>
  <c r="O35" i="4"/>
  <c r="N35" i="4"/>
  <c r="N6" i="4" s="1"/>
  <c r="M35" i="4"/>
  <c r="L35" i="4"/>
  <c r="FQ31" i="4"/>
  <c r="FQ6" i="4" s="1"/>
  <c r="FP31" i="4"/>
  <c r="FP6" i="4" s="1"/>
  <c r="FO31" i="4"/>
  <c r="FN31" i="4"/>
  <c r="FM31" i="4"/>
  <c r="FL31" i="4"/>
  <c r="FD31" i="4"/>
  <c r="FC31" i="4"/>
  <c r="FC6" i="4" s="1"/>
  <c r="FB31" i="4"/>
  <c r="FB6" i="4" s="1"/>
  <c r="FA31" i="4"/>
  <c r="FA6" i="4" s="1"/>
  <c r="EZ31" i="4"/>
  <c r="EY31" i="4"/>
  <c r="FF25" i="12" s="1"/>
  <c r="HX25" i="12" s="1"/>
  <c r="EX31" i="4"/>
  <c r="EX6" i="4" s="1"/>
  <c r="FE7" i="12" s="1"/>
  <c r="HW7" i="12" s="1"/>
  <c r="EW31" i="4"/>
  <c r="EW6" i="4" s="1"/>
  <c r="FD7" i="12" s="1"/>
  <c r="EV31" i="4"/>
  <c r="FC25" i="12" s="1"/>
  <c r="HU25" i="12" s="1"/>
  <c r="ES31" i="4"/>
  <c r="EQ31" i="4"/>
  <c r="EP31" i="4"/>
  <c r="EO31" i="4"/>
  <c r="EN31" i="4"/>
  <c r="EM31" i="4"/>
  <c r="EL31" i="4"/>
  <c r="EK31" i="4"/>
  <c r="EJ31" i="4"/>
  <c r="EI31" i="4"/>
  <c r="AE31" i="4"/>
  <c r="AE6" i="4" s="1"/>
  <c r="AD31" i="4"/>
  <c r="AC31" i="4"/>
  <c r="AB31" i="4"/>
  <c r="AA31" i="4"/>
  <c r="Z31" i="4"/>
  <c r="Y31" i="4"/>
  <c r="AR9" i="4"/>
  <c r="AR78" i="4" s="1"/>
  <c r="AQ9" i="4"/>
  <c r="AP9" i="4"/>
  <c r="AP78" i="4" s="1"/>
  <c r="AO9" i="4"/>
  <c r="AO78" i="4" s="1"/>
  <c r="AN9" i="4"/>
  <c r="AN6" i="4" s="1"/>
  <c r="AM9" i="4"/>
  <c r="AM6" i="4" s="1"/>
  <c r="AL9" i="4"/>
  <c r="AE9" i="4"/>
  <c r="AE78" i="4" s="1"/>
  <c r="AD9" i="4"/>
  <c r="AD78" i="4" s="1"/>
  <c r="AC9" i="4"/>
  <c r="AC78" i="4" s="1"/>
  <c r="AB9" i="4"/>
  <c r="AB78" i="4" s="1"/>
  <c r="AA9" i="4"/>
  <c r="Z9" i="4"/>
  <c r="Z6" i="4" s="1"/>
  <c r="Y9" i="4"/>
  <c r="Y6" i="4" s="1"/>
  <c r="R9" i="4"/>
  <c r="R78" i="4" s="1"/>
  <c r="Q9" i="4"/>
  <c r="Q78" i="4" s="1"/>
  <c r="P9" i="4"/>
  <c r="P6" i="4" s="1"/>
  <c r="O9" i="4"/>
  <c r="O6" i="4" s="1"/>
  <c r="N9" i="4"/>
  <c r="M9" i="4"/>
  <c r="L9" i="4"/>
  <c r="FO6" i="4"/>
  <c r="FN6" i="4"/>
  <c r="FM6" i="4"/>
  <c r="FL6" i="4"/>
  <c r="FK6" i="4"/>
  <c r="FJ6" i="4"/>
  <c r="FI6" i="4"/>
  <c r="FH6" i="4"/>
  <c r="FG6" i="4"/>
  <c r="FF6" i="4"/>
  <c r="EZ6" i="4"/>
  <c r="ES6" i="4"/>
  <c r="ED6" i="4"/>
  <c r="EC6" i="4"/>
  <c r="EB6" i="4"/>
  <c r="EA6" i="4"/>
  <c r="DZ6" i="4"/>
  <c r="DY6" i="4"/>
  <c r="DW6" i="4"/>
  <c r="DV6" i="4"/>
  <c r="DS6" i="4"/>
  <c r="CE6" i="4"/>
  <c r="CD6" i="4"/>
  <c r="CC6" i="4"/>
  <c r="CA6" i="4"/>
  <c r="BZ6" i="4"/>
  <c r="BY6" i="4"/>
  <c r="BX6" i="4"/>
  <c r="BW6" i="4"/>
  <c r="BV6" i="4"/>
  <c r="BU6" i="4"/>
  <c r="BT6" i="4"/>
  <c r="BR6" i="4"/>
  <c r="BQ6" i="4"/>
  <c r="BM6" i="4"/>
  <c r="BL6" i="4"/>
  <c r="BK6" i="4"/>
  <c r="BJ6" i="4"/>
  <c r="BI6" i="4"/>
  <c r="BH6" i="4"/>
  <c r="CH6" i="4" s="1"/>
  <c r="CU6" i="4" s="1"/>
  <c r="BG6" i="4"/>
  <c r="BF6" i="4"/>
  <c r="BE6" i="4"/>
  <c r="BD6" i="4"/>
  <c r="BB6" i="4"/>
  <c r="BA6" i="4"/>
  <c r="AZ6" i="4"/>
  <c r="AY6" i="4"/>
  <c r="AX6" i="4"/>
  <c r="AW6" i="4"/>
  <c r="AV6" i="4"/>
  <c r="AU6" i="4"/>
  <c r="AT6" i="4"/>
  <c r="AS6" i="4"/>
  <c r="AK6" i="4"/>
  <c r="AJ6" i="4"/>
  <c r="AI6" i="4"/>
  <c r="AH6" i="4"/>
  <c r="AG6" i="4"/>
  <c r="AF6" i="4"/>
  <c r="AD6" i="4"/>
  <c r="AC6" i="4"/>
  <c r="AB6" i="4"/>
  <c r="V6" i="4"/>
  <c r="U6" i="4"/>
  <c r="T6" i="4"/>
  <c r="R6" i="4"/>
  <c r="Q6" i="4"/>
  <c r="J6" i="4"/>
  <c r="I6" i="4"/>
  <c r="H6" i="4"/>
  <c r="F6" i="4"/>
  <c r="CE78" i="3"/>
  <c r="CD78" i="3"/>
  <c r="CC78" i="3"/>
  <c r="CB78" i="3"/>
  <c r="CA78" i="3"/>
  <c r="BZ78" i="3"/>
  <c r="BX78" i="3"/>
  <c r="BW78" i="3"/>
  <c r="BV78" i="3"/>
  <c r="BU78" i="3"/>
  <c r="BT78" i="3"/>
  <c r="BS78" i="3"/>
  <c r="BR78" i="3"/>
  <c r="BQ78" i="3"/>
  <c r="BJ78" i="3"/>
  <c r="BI78" i="3"/>
  <c r="BG78" i="3"/>
  <c r="BF78" i="3"/>
  <c r="BE78" i="3"/>
  <c r="AX78" i="3"/>
  <c r="AW78" i="3"/>
  <c r="AU78" i="3"/>
  <c r="AT78" i="3"/>
  <c r="AS78" i="3"/>
  <c r="AL78" i="3"/>
  <c r="AK78" i="3"/>
  <c r="AJ78" i="3"/>
  <c r="AI78" i="3"/>
  <c r="AH78" i="3"/>
  <c r="AG78" i="3"/>
  <c r="AF78" i="3"/>
  <c r="Y78" i="3"/>
  <c r="V78" i="3"/>
  <c r="O78" i="3"/>
  <c r="N78" i="3"/>
  <c r="K78" i="3"/>
  <c r="J78" i="3"/>
  <c r="BR56" i="3"/>
  <c r="BQ56" i="3"/>
  <c r="BP56" i="3"/>
  <c r="BO56" i="3"/>
  <c r="BN56" i="3"/>
  <c r="BM56" i="3"/>
  <c r="BM78" i="3" s="1"/>
  <c r="BL56" i="3"/>
  <c r="BL78" i="3" s="1"/>
  <c r="BK56" i="3"/>
  <c r="BK78" i="3" s="1"/>
  <c r="BJ56" i="3"/>
  <c r="BI56" i="3"/>
  <c r="BH56" i="3"/>
  <c r="BH78" i="3" s="1"/>
  <c r="BG56" i="3"/>
  <c r="BF56" i="3"/>
  <c r="BE56" i="3"/>
  <c r="BD56" i="3"/>
  <c r="BC56" i="3"/>
  <c r="BB56" i="3"/>
  <c r="BA56" i="3"/>
  <c r="BA78" i="3" s="1"/>
  <c r="AZ56" i="3"/>
  <c r="AZ78" i="3" s="1"/>
  <c r="AY56" i="3"/>
  <c r="AX56" i="3"/>
  <c r="AW56" i="3"/>
  <c r="AV56" i="3"/>
  <c r="AV78" i="3" s="1"/>
  <c r="AU56" i="3"/>
  <c r="AT56" i="3"/>
  <c r="AS56" i="3"/>
  <c r="AR56" i="3"/>
  <c r="AR6" i="3" s="1"/>
  <c r="AQ56" i="3"/>
  <c r="AQ6" i="3" s="1"/>
  <c r="AP56" i="3"/>
  <c r="AP6" i="3" s="1"/>
  <c r="AO56" i="3"/>
  <c r="AN56" i="3"/>
  <c r="AN78" i="3" s="1"/>
  <c r="AM56" i="3"/>
  <c r="AL56" i="3"/>
  <c r="AE56" i="3"/>
  <c r="AD56" i="3"/>
  <c r="AC56" i="3"/>
  <c r="AB56" i="3"/>
  <c r="AA56" i="3"/>
  <c r="Z56" i="3"/>
  <c r="Y56" i="3"/>
  <c r="Y6" i="3" s="1"/>
  <c r="X56" i="3"/>
  <c r="W56" i="3"/>
  <c r="V56" i="3"/>
  <c r="U56" i="3"/>
  <c r="T56" i="3"/>
  <c r="S56" i="3"/>
  <c r="R56" i="3"/>
  <c r="Q56" i="3"/>
  <c r="P56" i="3"/>
  <c r="O56" i="3"/>
  <c r="N56" i="3"/>
  <c r="M56" i="3"/>
  <c r="M6" i="3" s="1"/>
  <c r="L56" i="3"/>
  <c r="K56" i="3"/>
  <c r="J56" i="3"/>
  <c r="I56" i="3"/>
  <c r="H56" i="3"/>
  <c r="H78" i="3" s="1"/>
  <c r="G56" i="3"/>
  <c r="G78" i="3" s="1"/>
  <c r="F56" i="3"/>
  <c r="F78" i="3" s="1"/>
  <c r="ED35" i="3"/>
  <c r="EC35" i="3"/>
  <c r="EB35" i="3"/>
  <c r="EA35" i="3"/>
  <c r="DZ35" i="3"/>
  <c r="DZ6" i="3" s="1"/>
  <c r="DY35" i="3"/>
  <c r="DY6" i="3" s="1"/>
  <c r="DX35" i="3"/>
  <c r="DW35" i="3"/>
  <c r="DV35" i="3"/>
  <c r="DV6" i="3" s="1"/>
  <c r="DU35" i="3"/>
  <c r="DU6" i="3" s="1"/>
  <c r="DT35" i="3"/>
  <c r="DS35" i="3"/>
  <c r="AR35" i="3"/>
  <c r="AR78" i="3" s="1"/>
  <c r="AQ35" i="3"/>
  <c r="AP35" i="3"/>
  <c r="AO35" i="3"/>
  <c r="AE35" i="3"/>
  <c r="AD35" i="3"/>
  <c r="AC35" i="3"/>
  <c r="AB35" i="3"/>
  <c r="R35" i="3"/>
  <c r="Q35" i="3"/>
  <c r="Q6" i="3" s="1"/>
  <c r="P35" i="3"/>
  <c r="O35" i="3"/>
  <c r="AE31" i="3"/>
  <c r="AD31" i="3"/>
  <c r="AC31" i="3"/>
  <c r="AB31" i="3"/>
  <c r="AB6" i="3" s="1"/>
  <c r="AA31" i="3"/>
  <c r="AA6" i="3" s="1"/>
  <c r="Z31" i="3"/>
  <c r="Z6" i="3" s="1"/>
  <c r="Y31" i="3"/>
  <c r="X31" i="3"/>
  <c r="W31" i="3"/>
  <c r="V31" i="3"/>
  <c r="U31" i="3"/>
  <c r="T31" i="3"/>
  <c r="S31" i="3"/>
  <c r="R31" i="3"/>
  <c r="Q31" i="3"/>
  <c r="P31" i="3"/>
  <c r="P6" i="3" s="1"/>
  <c r="O31" i="3"/>
  <c r="O6" i="3" s="1"/>
  <c r="N31" i="3"/>
  <c r="N6" i="3" s="1"/>
  <c r="M31" i="3"/>
  <c r="L31" i="3"/>
  <c r="AE9" i="3"/>
  <c r="AD9" i="3"/>
  <c r="AD78" i="3" s="1"/>
  <c r="AC9" i="3"/>
  <c r="AC78" i="3" s="1"/>
  <c r="AB9" i="3"/>
  <c r="AA9" i="3"/>
  <c r="Z9" i="3"/>
  <c r="Y9" i="3"/>
  <c r="X9" i="3"/>
  <c r="W9" i="3"/>
  <c r="V9" i="3"/>
  <c r="V6" i="3" s="1"/>
  <c r="U9" i="3"/>
  <c r="T9" i="3"/>
  <c r="T78" i="3" s="1"/>
  <c r="S9" i="3"/>
  <c r="R9" i="3"/>
  <c r="Q9" i="3"/>
  <c r="Q78" i="3" s="1"/>
  <c r="P9" i="3"/>
  <c r="O9" i="3"/>
  <c r="N9" i="3"/>
  <c r="M9" i="3"/>
  <c r="L9" i="3"/>
  <c r="FD6" i="3"/>
  <c r="FC6" i="3"/>
  <c r="FB6" i="3"/>
  <c r="FA6" i="3"/>
  <c r="EZ6" i="3"/>
  <c r="EY6" i="3"/>
  <c r="EX6" i="3"/>
  <c r="EW6" i="3"/>
  <c r="EV6" i="3"/>
  <c r="EU6" i="3"/>
  <c r="ET6" i="3"/>
  <c r="ES6" i="3"/>
  <c r="EB6" i="3"/>
  <c r="EA6" i="3"/>
  <c r="DX6" i="3"/>
  <c r="DW6" i="3"/>
  <c r="DT6" i="3"/>
  <c r="DS6" i="3"/>
  <c r="BW6" i="3"/>
  <c r="BV6" i="3"/>
  <c r="BU6" i="3"/>
  <c r="BT6" i="3"/>
  <c r="BR6" i="3"/>
  <c r="BQ6" i="3"/>
  <c r="BM6" i="3"/>
  <c r="BL6" i="3"/>
  <c r="BJ6" i="3"/>
  <c r="BI6" i="3"/>
  <c r="BH6" i="3"/>
  <c r="BG6" i="3"/>
  <c r="BF6" i="3"/>
  <c r="BE6" i="3"/>
  <c r="BA6" i="3"/>
  <c r="AZ6" i="3"/>
  <c r="AX6" i="3"/>
  <c r="AW6" i="3"/>
  <c r="AV6" i="3"/>
  <c r="AU6" i="3"/>
  <c r="AT6" i="3"/>
  <c r="AS6" i="3"/>
  <c r="AN6" i="3"/>
  <c r="AL6" i="3"/>
  <c r="AK6" i="3"/>
  <c r="AJ6" i="3"/>
  <c r="AI6" i="3"/>
  <c r="AH6" i="3"/>
  <c r="AG6" i="3"/>
  <c r="AF6" i="3"/>
  <c r="AC6" i="3"/>
  <c r="K6" i="3"/>
  <c r="J6" i="3"/>
  <c r="G6" i="3"/>
  <c r="F6" i="3"/>
  <c r="BK15" i="2"/>
  <c r="BX15" i="2" s="1"/>
  <c r="CK15" i="2" s="1"/>
  <c r="CX15" i="2" s="1"/>
  <c r="BJ15" i="2"/>
  <c r="BW15" i="2" s="1"/>
  <c r="CJ15" i="2" s="1"/>
  <c r="CW15" i="2" s="1"/>
  <c r="BI15" i="2"/>
  <c r="I15" i="2" s="1"/>
  <c r="V15" i="2" s="1"/>
  <c r="AI15" i="2" s="1"/>
  <c r="AV15" i="2" s="1"/>
  <c r="BH15" i="2"/>
  <c r="BU15" i="2" s="1"/>
  <c r="CH15" i="2" s="1"/>
  <c r="CU15" i="2" s="1"/>
  <c r="BG15" i="2"/>
  <c r="BT15" i="2" s="1"/>
  <c r="CG15" i="2" s="1"/>
  <c r="CT15" i="2" s="1"/>
  <c r="BF15" i="2"/>
  <c r="F15" i="2" s="1"/>
  <c r="S15" i="2" s="1"/>
  <c r="AF15" i="2" s="1"/>
  <c r="AS15" i="2" s="1"/>
  <c r="BE15" i="2"/>
  <c r="BD15" i="2"/>
  <c r="D15" i="2" s="1"/>
  <c r="Q15" i="2" s="1"/>
  <c r="AD15" i="2" s="1"/>
  <c r="AQ15" i="2" s="1"/>
  <c r="BC15" i="2"/>
  <c r="C15" i="2" s="1"/>
  <c r="P15" i="2" s="1"/>
  <c r="AC15" i="2" s="1"/>
  <c r="AP15" i="2" s="1"/>
  <c r="BB15" i="2"/>
  <c r="M15" i="2"/>
  <c r="FN11" i="2"/>
  <c r="FM11" i="2"/>
  <c r="FL11" i="2"/>
  <c r="FK11" i="2"/>
  <c r="FJ11" i="2"/>
  <c r="FI11" i="2"/>
  <c r="FH11" i="2"/>
  <c r="FG11" i="2"/>
  <c r="FF11" i="2"/>
  <c r="FE11" i="2"/>
  <c r="FD11" i="2"/>
  <c r="FC11" i="2"/>
  <c r="FB11" i="2"/>
  <c r="EN11" i="2"/>
  <c r="EM11" i="2"/>
  <c r="EL11" i="2"/>
  <c r="EK11" i="2"/>
  <c r="EJ11" i="2"/>
  <c r="EI11" i="2"/>
  <c r="EH11" i="2"/>
  <c r="EG11" i="2"/>
  <c r="EF11" i="2"/>
  <c r="EE11" i="2"/>
  <c r="ED11" i="2"/>
  <c r="EC11" i="2"/>
  <c r="EB11" i="2"/>
  <c r="EA11" i="2"/>
  <c r="DZ11" i="2"/>
  <c r="DY11" i="2"/>
  <c r="DX11" i="2"/>
  <c r="DW11" i="2"/>
  <c r="DV11" i="2"/>
  <c r="DU11" i="2"/>
  <c r="DT11" i="2"/>
  <c r="DS11" i="2"/>
  <c r="DR11" i="2"/>
  <c r="DQ11" i="2"/>
  <c r="DP11" i="2"/>
  <c r="DO11" i="2"/>
  <c r="DN11" i="2"/>
  <c r="CN11" i="2"/>
  <c r="CK11" i="2"/>
  <c r="CA11" i="2"/>
  <c r="BZ11" i="2"/>
  <c r="BY11" i="2"/>
  <c r="BX11" i="2"/>
  <c r="BW11" i="2"/>
  <c r="BV11" i="2"/>
  <c r="BU11" i="2"/>
  <c r="BT11" i="2"/>
  <c r="BS11" i="2"/>
  <c r="BR11" i="2"/>
  <c r="BO11" i="2"/>
  <c r="BN11" i="2"/>
  <c r="BM11" i="2"/>
  <c r="BL11" i="2"/>
  <c r="BK11" i="2"/>
  <c r="BJ11" i="2"/>
  <c r="BI11" i="2"/>
  <c r="BH11" i="2"/>
  <c r="BG11" i="2"/>
  <c r="BF11" i="2"/>
  <c r="BE11" i="2"/>
  <c r="BD11" i="2"/>
  <c r="BC11" i="2"/>
  <c r="BB11" i="2"/>
  <c r="BA11" i="2"/>
  <c r="AZ11" i="2"/>
  <c r="AX11" i="2"/>
  <c r="AW11" i="2"/>
  <c r="AV11" i="2"/>
  <c r="AU11" i="2"/>
  <c r="AT11" i="2"/>
  <c r="AS11" i="2"/>
  <c r="AR11" i="2"/>
  <c r="AQ11" i="2"/>
  <c r="AP11" i="2"/>
  <c r="AO11" i="2"/>
  <c r="AN11" i="2"/>
  <c r="AL11" i="2"/>
  <c r="AK11" i="2"/>
  <c r="AA11" i="2"/>
  <c r="X11" i="2"/>
  <c r="W11" i="2"/>
  <c r="V11" i="2"/>
  <c r="U11" i="2"/>
  <c r="S11" i="2"/>
  <c r="R11" i="2"/>
  <c r="N11" i="2"/>
  <c r="L11" i="2"/>
  <c r="J11" i="2"/>
  <c r="I11" i="2"/>
  <c r="H11" i="2"/>
  <c r="B11" i="2"/>
  <c r="FN10" i="2"/>
  <c r="FM10" i="2"/>
  <c r="FL10" i="2"/>
  <c r="FK10" i="2"/>
  <c r="FJ10" i="2"/>
  <c r="FI10" i="2"/>
  <c r="FH10" i="2"/>
  <c r="FG10" i="2"/>
  <c r="FF10" i="2"/>
  <c r="FE10" i="2"/>
  <c r="FD10" i="2"/>
  <c r="FC10" i="2"/>
  <c r="FB10" i="2"/>
  <c r="EN10" i="2"/>
  <c r="EM10" i="2"/>
  <c r="EL10" i="2"/>
  <c r="EK10" i="2"/>
  <c r="EJ10" i="2"/>
  <c r="EI10" i="2"/>
  <c r="EH10" i="2"/>
  <c r="EG10" i="2"/>
  <c r="EF10" i="2"/>
  <c r="EE10" i="2"/>
  <c r="ED10" i="2"/>
  <c r="EC10" i="2"/>
  <c r="EB10" i="2"/>
  <c r="EA10" i="2"/>
  <c r="DZ10" i="2"/>
  <c r="DY10" i="2"/>
  <c r="DX10" i="2"/>
  <c r="DW10" i="2"/>
  <c r="DV10" i="2"/>
  <c r="DU10" i="2"/>
  <c r="DT10" i="2"/>
  <c r="DS10" i="2"/>
  <c r="DR10" i="2"/>
  <c r="DQ10" i="2"/>
  <c r="DP10" i="2"/>
  <c r="DO10" i="2"/>
  <c r="DL10" i="2"/>
  <c r="DA10" i="2"/>
  <c r="CY10" i="2"/>
  <c r="CX10" i="2"/>
  <c r="CL10" i="2"/>
  <c r="CA10" i="2"/>
  <c r="BZ10" i="2"/>
  <c r="BY10" i="2"/>
  <c r="BU10" i="2"/>
  <c r="BT10" i="2"/>
  <c r="BS10" i="2"/>
  <c r="BQ10" i="2"/>
  <c r="BP10" i="2"/>
  <c r="BO10" i="2"/>
  <c r="BN10" i="2"/>
  <c r="BM10" i="2"/>
  <c r="BI10" i="2"/>
  <c r="BH10" i="2"/>
  <c r="BG10" i="2"/>
  <c r="BF10" i="2"/>
  <c r="BE10" i="2"/>
  <c r="BD10" i="2"/>
  <c r="BC10" i="2"/>
  <c r="BB10" i="2"/>
  <c r="BA10" i="2"/>
  <c r="AZ10" i="2"/>
  <c r="AX10" i="2"/>
  <c r="AW10" i="2"/>
  <c r="AV10" i="2"/>
  <c r="AU10" i="2"/>
  <c r="AS10" i="2"/>
  <c r="AR10" i="2"/>
  <c r="AQ10" i="2"/>
  <c r="AP10" i="2"/>
  <c r="AO10" i="2"/>
  <c r="AN10" i="2"/>
  <c r="AL10" i="2"/>
  <c r="AJ10" i="2"/>
  <c r="AI10" i="2"/>
  <c r="AG10" i="2"/>
  <c r="AE10" i="2"/>
  <c r="AD10" i="2"/>
  <c r="AC10" i="2"/>
  <c r="Z10" i="2"/>
  <c r="Y10" i="2"/>
  <c r="X10" i="2"/>
  <c r="W10" i="2"/>
  <c r="V10" i="2"/>
  <c r="U10" i="2"/>
  <c r="T10" i="2"/>
  <c r="S10" i="2"/>
  <c r="R10" i="2"/>
  <c r="Q10" i="2"/>
  <c r="N10" i="2"/>
  <c r="M10" i="2"/>
  <c r="L10" i="2"/>
  <c r="K10" i="2"/>
  <c r="J10" i="2"/>
  <c r="I10" i="2"/>
  <c r="H10" i="2"/>
  <c r="G10" i="2"/>
  <c r="F10" i="2"/>
  <c r="E10" i="2"/>
  <c r="D10" i="2"/>
  <c r="B10" i="2"/>
  <c r="FN9" i="2"/>
  <c r="FM9" i="2"/>
  <c r="FL9" i="2"/>
  <c r="FK9" i="2"/>
  <c r="FJ9" i="2"/>
  <c r="FI9" i="2"/>
  <c r="FH9" i="2"/>
  <c r="FG9" i="2"/>
  <c r="FF9" i="2"/>
  <c r="FE9" i="2"/>
  <c r="FD9" i="2"/>
  <c r="FC9" i="2"/>
  <c r="FB9" i="2"/>
  <c r="EA9" i="2"/>
  <c r="DZ9" i="2"/>
  <c r="DY9" i="2"/>
  <c r="DX9" i="2"/>
  <c r="DW9" i="2"/>
  <c r="DV9" i="2"/>
  <c r="DU9" i="2"/>
  <c r="DT9" i="2"/>
  <c r="DS9" i="2"/>
  <c r="DR9" i="2"/>
  <c r="DQ9" i="2"/>
  <c r="DP9" i="2"/>
  <c r="DO9" i="2"/>
  <c r="DN9" i="2"/>
  <c r="DM9" i="2"/>
  <c r="DL9" i="2"/>
  <c r="DK9" i="2"/>
  <c r="DJ9" i="2"/>
  <c r="DI9" i="2"/>
  <c r="DH9" i="2"/>
  <c r="DG9" i="2"/>
  <c r="DF9" i="2"/>
  <c r="DE9" i="2"/>
  <c r="DD9" i="2"/>
  <c r="DC9" i="2"/>
  <c r="DB9" i="2"/>
  <c r="DA9" i="2"/>
  <c r="CZ9" i="2"/>
  <c r="CY9" i="2"/>
  <c r="CX9" i="2"/>
  <c r="CW9" i="2"/>
  <c r="CV9" i="2"/>
  <c r="CU9" i="2"/>
  <c r="CT9" i="2"/>
  <c r="CS9" i="2"/>
  <c r="CR9" i="2"/>
  <c r="CQ9" i="2"/>
  <c r="CP9" i="2"/>
  <c r="CO9" i="2"/>
  <c r="CN9" i="2"/>
  <c r="CM9" i="2"/>
  <c r="CL9" i="2"/>
  <c r="CK9" i="2"/>
  <c r="CJ9" i="2"/>
  <c r="CI9" i="2"/>
  <c r="CH9" i="2"/>
  <c r="CG9" i="2"/>
  <c r="CF9" i="2"/>
  <c r="CE9" i="2"/>
  <c r="CD9" i="2"/>
  <c r="CC9" i="2"/>
  <c r="CB9" i="2"/>
  <c r="CA9" i="2"/>
  <c r="BZ9" i="2"/>
  <c r="BY9" i="2"/>
  <c r="BX9" i="2"/>
  <c r="BW9" i="2"/>
  <c r="BV9" i="2"/>
  <c r="BU9" i="2"/>
  <c r="BT9" i="2"/>
  <c r="BS9" i="2"/>
  <c r="BR9" i="2"/>
  <c r="BQ9" i="2"/>
  <c r="BP9" i="2"/>
  <c r="BO9" i="2"/>
  <c r="BN9" i="2"/>
  <c r="BM9" i="2"/>
  <c r="BL9" i="2"/>
  <c r="BK9" i="2"/>
  <c r="BJ9" i="2"/>
  <c r="BI9" i="2"/>
  <c r="BH9" i="2"/>
  <c r="BG9" i="2"/>
  <c r="BF9" i="2"/>
  <c r="BE9" i="2"/>
  <c r="BD9" i="2"/>
  <c r="BC9" i="2"/>
  <c r="BB9" i="2"/>
  <c r="BA9" i="2"/>
  <c r="AZ9" i="2"/>
  <c r="AY9" i="2"/>
  <c r="AX9" i="2"/>
  <c r="AW9" i="2"/>
  <c r="AV9" i="2"/>
  <c r="AU9" i="2"/>
  <c r="AT9" i="2"/>
  <c r="AS9" i="2"/>
  <c r="AR9" i="2"/>
  <c r="AQ9" i="2"/>
  <c r="AP9" i="2"/>
  <c r="AO9" i="2"/>
  <c r="AN9" i="2"/>
  <c r="AM9" i="2"/>
  <c r="AL9" i="2"/>
  <c r="AK9" i="2"/>
  <c r="AJ9" i="2"/>
  <c r="AI9" i="2"/>
  <c r="AH9" i="2"/>
  <c r="AG9" i="2"/>
  <c r="AF9" i="2"/>
  <c r="AE9" i="2"/>
  <c r="AD9" i="2"/>
  <c r="AC9" i="2"/>
  <c r="AB9" i="2"/>
  <c r="AA9" i="2"/>
  <c r="Z9" i="2"/>
  <c r="Y9" i="2"/>
  <c r="X9" i="2"/>
  <c r="W9" i="2"/>
  <c r="V9" i="2"/>
  <c r="U9" i="2"/>
  <c r="T9" i="2"/>
  <c r="S9" i="2"/>
  <c r="R9" i="2"/>
  <c r="Q9" i="2"/>
  <c r="P9" i="2"/>
  <c r="O9" i="2"/>
  <c r="N9" i="2"/>
  <c r="M9" i="2"/>
  <c r="L9" i="2"/>
  <c r="K9" i="2"/>
  <c r="J9" i="2"/>
  <c r="I9" i="2"/>
  <c r="H9" i="2"/>
  <c r="G9" i="2"/>
  <c r="F9" i="2"/>
  <c r="E9" i="2"/>
  <c r="D9" i="2"/>
  <c r="C9" i="2"/>
  <c r="B9" i="2"/>
  <c r="FN8" i="2"/>
  <c r="FM8" i="2"/>
  <c r="FL8" i="2"/>
  <c r="FK8" i="2"/>
  <c r="FJ8" i="2"/>
  <c r="FI8" i="2"/>
  <c r="FH8" i="2"/>
  <c r="FG8" i="2"/>
  <c r="FF8" i="2"/>
  <c r="FE8" i="2"/>
  <c r="FD8" i="2"/>
  <c r="FC8" i="2"/>
  <c r="FB8" i="2"/>
  <c r="EN8" i="2"/>
  <c r="EM8" i="2"/>
  <c r="EL8" i="2"/>
  <c r="EK8" i="2"/>
  <c r="EJ8" i="2"/>
  <c r="EI8" i="2"/>
  <c r="EH8" i="2"/>
  <c r="EG8" i="2"/>
  <c r="EF8" i="2"/>
  <c r="ED8" i="2"/>
  <c r="EC8" i="2"/>
  <c r="EB8" i="2"/>
  <c r="EA8" i="2"/>
  <c r="DZ8" i="2"/>
  <c r="DY8" i="2"/>
  <c r="DX8" i="2"/>
  <c r="DW8" i="2"/>
  <c r="DV8" i="2"/>
  <c r="DU8" i="2"/>
  <c r="DT8" i="2"/>
  <c r="DR8" i="2"/>
  <c r="DQ8" i="2"/>
  <c r="DP8" i="2"/>
  <c r="DO8" i="2"/>
  <c r="DG8" i="2"/>
  <c r="DF8" i="2"/>
  <c r="CT8" i="2"/>
  <c r="CG8" i="2"/>
  <c r="CF8" i="2"/>
  <c r="CC8" i="2"/>
  <c r="CA8" i="2"/>
  <c r="BZ8" i="2"/>
  <c r="BY8" i="2"/>
  <c r="BX8" i="2"/>
  <c r="BW8" i="2"/>
  <c r="BV8" i="2"/>
  <c r="BU8" i="2"/>
  <c r="BT8" i="2"/>
  <c r="BS8" i="2"/>
  <c r="BR8" i="2"/>
  <c r="BP8" i="2"/>
  <c r="BO8" i="2"/>
  <c r="BN8" i="2"/>
  <c r="BM8" i="2"/>
  <c r="BL8" i="2"/>
  <c r="BK8" i="2"/>
  <c r="BJ8" i="2"/>
  <c r="BH8" i="2"/>
  <c r="BG8" i="2"/>
  <c r="BF8" i="2"/>
  <c r="BE8" i="2"/>
  <c r="BD8" i="2"/>
  <c r="BC8" i="2"/>
  <c r="BB8" i="2"/>
  <c r="BA8" i="2"/>
  <c r="AZ8" i="2"/>
  <c r="AY8" i="2"/>
  <c r="AU8" i="2"/>
  <c r="AT8" i="2"/>
  <c r="AS8" i="2"/>
  <c r="AR8" i="2"/>
  <c r="AQ8" i="2"/>
  <c r="AP8" i="2"/>
  <c r="AO8" i="2"/>
  <c r="AN8" i="2"/>
  <c r="AM8" i="2"/>
  <c r="AL8" i="2"/>
  <c r="AK8" i="2"/>
  <c r="AJ8" i="2"/>
  <c r="AI8" i="2"/>
  <c r="AH8" i="2"/>
  <c r="AG8" i="2"/>
  <c r="AF8" i="2"/>
  <c r="AE8" i="2"/>
  <c r="AD8" i="2"/>
  <c r="AC8" i="2"/>
  <c r="AB8" i="2"/>
  <c r="AA8" i="2"/>
  <c r="Z8" i="2"/>
  <c r="W8" i="2"/>
  <c r="V8" i="2"/>
  <c r="U8" i="2"/>
  <c r="T8" i="2"/>
  <c r="S8" i="2"/>
  <c r="R8" i="2"/>
  <c r="P8" i="2"/>
  <c r="N8" i="2"/>
  <c r="J8" i="2"/>
  <c r="G8" i="2"/>
  <c r="F8" i="2"/>
  <c r="D8" i="2"/>
  <c r="C8" i="2"/>
  <c r="B8" i="2"/>
  <c r="FN7" i="2"/>
  <c r="FM7" i="2"/>
  <c r="FL7" i="2"/>
  <c r="FK7" i="2"/>
  <c r="FJ7" i="2"/>
  <c r="FI7" i="2"/>
  <c r="FH7" i="2"/>
  <c r="FG7" i="2"/>
  <c r="FF7" i="2"/>
  <c r="FE7" i="2"/>
  <c r="FD7" i="2"/>
  <c r="FC7" i="2"/>
  <c r="FB7" i="2"/>
  <c r="EN7" i="2"/>
  <c r="EM7" i="2"/>
  <c r="EL7" i="2"/>
  <c r="EK7" i="2"/>
  <c r="EJ7" i="2"/>
  <c r="EI7" i="2"/>
  <c r="EH7" i="2"/>
  <c r="EG7" i="2"/>
  <c r="EF7" i="2"/>
  <c r="EE7" i="2"/>
  <c r="ED7" i="2"/>
  <c r="EC7" i="2"/>
  <c r="EB7" i="2"/>
  <c r="EA7" i="2"/>
  <c r="DZ7" i="2"/>
  <c r="DY7" i="2"/>
  <c r="DX7" i="2"/>
  <c r="DW7" i="2"/>
  <c r="DV7" i="2"/>
  <c r="DU7" i="2"/>
  <c r="DT7" i="2"/>
  <c r="DS7" i="2"/>
  <c r="DR7" i="2"/>
  <c r="DQ7" i="2"/>
  <c r="DP7" i="2"/>
  <c r="DO7" i="2"/>
  <c r="DG7" i="2"/>
  <c r="CQ7" i="2"/>
  <c r="CG7" i="2"/>
  <c r="CD7" i="2"/>
  <c r="CA7" i="2"/>
  <c r="BZ7" i="2"/>
  <c r="BY7" i="2"/>
  <c r="BX7" i="2"/>
  <c r="BW7" i="2"/>
  <c r="BV7" i="2"/>
  <c r="BU7" i="2"/>
  <c r="BT7" i="2"/>
  <c r="BS7" i="2"/>
  <c r="BR7" i="2"/>
  <c r="BQ7" i="2"/>
  <c r="BP7" i="2"/>
  <c r="BO7" i="2"/>
  <c r="BN7" i="2"/>
  <c r="BM7" i="2"/>
  <c r="BI7" i="2"/>
  <c r="BH7" i="2"/>
  <c r="BG7" i="2"/>
  <c r="BF7" i="2"/>
  <c r="BE7" i="2"/>
  <c r="BD7" i="2"/>
  <c r="BC7" i="2"/>
  <c r="BB7" i="2"/>
  <c r="BA7" i="2"/>
  <c r="AZ7" i="2"/>
  <c r="AY7" i="2"/>
  <c r="AX7" i="2"/>
  <c r="AW7" i="2"/>
  <c r="AV7" i="2"/>
  <c r="AU7" i="2"/>
  <c r="AT7" i="2"/>
  <c r="AS7" i="2"/>
  <c r="AR7" i="2"/>
  <c r="AQ7" i="2"/>
  <c r="AP7" i="2"/>
  <c r="AO7" i="2"/>
  <c r="AL7" i="2"/>
  <c r="AK7" i="2"/>
  <c r="AJ7" i="2"/>
  <c r="AI7" i="2"/>
  <c r="AH7" i="2"/>
  <c r="AG7" i="2"/>
  <c r="AF7" i="2"/>
  <c r="AE7" i="2"/>
  <c r="AD7" i="2"/>
  <c r="AC7" i="2"/>
  <c r="AB7" i="2"/>
  <c r="AA7" i="2"/>
  <c r="Z7" i="2"/>
  <c r="Y7" i="2"/>
  <c r="X7" i="2"/>
  <c r="V7" i="2"/>
  <c r="U7" i="2"/>
  <c r="T7" i="2"/>
  <c r="R7" i="2"/>
  <c r="Q7" i="2"/>
  <c r="P7" i="2"/>
  <c r="O7" i="2"/>
  <c r="N7" i="2"/>
  <c r="M7" i="2"/>
  <c r="L7" i="2"/>
  <c r="K7" i="2"/>
  <c r="J7" i="2"/>
  <c r="I7" i="2"/>
  <c r="F7" i="2"/>
  <c r="E7" i="2"/>
  <c r="D7" i="2"/>
  <c r="C7" i="2"/>
  <c r="B7" i="2"/>
  <c r="FN6" i="2"/>
  <c r="FM6" i="2"/>
  <c r="FL6" i="2"/>
  <c r="FK6" i="2"/>
  <c r="FJ6" i="2"/>
  <c r="FI6" i="2"/>
  <c r="FH6" i="2"/>
  <c r="FG6" i="2"/>
  <c r="FF6" i="2"/>
  <c r="FE6" i="2"/>
  <c r="FD6" i="2"/>
  <c r="FC6" i="2"/>
  <c r="FB6" i="2"/>
  <c r="EN6" i="2"/>
  <c r="EM6" i="2"/>
  <c r="EL6" i="2"/>
  <c r="EK6" i="2"/>
  <c r="EJ6" i="2"/>
  <c r="EI6" i="2"/>
  <c r="EH6" i="2"/>
  <c r="EG6" i="2"/>
  <c r="EF6" i="2"/>
  <c r="EE6" i="2"/>
  <c r="ED6" i="2"/>
  <c r="EC6" i="2"/>
  <c r="EB6" i="2"/>
  <c r="EA6" i="2"/>
  <c r="DZ6" i="2"/>
  <c r="DY6" i="2"/>
  <c r="DX6" i="2"/>
  <c r="DW6" i="2"/>
  <c r="DV6" i="2"/>
  <c r="DU6" i="2"/>
  <c r="DT6" i="2"/>
  <c r="DS6" i="2"/>
  <c r="DR6" i="2"/>
  <c r="DQ6" i="2"/>
  <c r="DP6" i="2"/>
  <c r="DO6" i="2"/>
  <c r="CA6" i="2"/>
  <c r="BZ6" i="2"/>
  <c r="BY6" i="2"/>
  <c r="BX6" i="2"/>
  <c r="BW6" i="2"/>
  <c r="BV6" i="2"/>
  <c r="BU6" i="2"/>
  <c r="BT6" i="2"/>
  <c r="BS6" i="2"/>
  <c r="BR6" i="2"/>
  <c r="BQ6" i="2"/>
  <c r="BP6" i="2"/>
  <c r="BO6" i="2"/>
  <c r="BN6" i="2"/>
  <c r="BM6" i="2"/>
  <c r="BI6" i="2"/>
  <c r="BH6" i="2"/>
  <c r="BF6" i="2"/>
  <c r="BE6" i="2"/>
  <c r="BD6" i="2"/>
  <c r="BC6" i="2"/>
  <c r="BB6" i="2"/>
  <c r="BA6" i="2"/>
  <c r="AW6" i="2"/>
  <c r="AV6" i="2"/>
  <c r="AT6" i="2"/>
  <c r="AS6" i="2"/>
  <c r="AR6" i="2"/>
  <c r="AQ6" i="2"/>
  <c r="AP6" i="2"/>
  <c r="AO6" i="2"/>
  <c r="AN6" i="2"/>
  <c r="AM6" i="2"/>
  <c r="AL6" i="2"/>
  <c r="AJ6" i="2"/>
  <c r="AH6" i="2"/>
  <c r="AG6" i="2"/>
  <c r="AF6" i="2"/>
  <c r="AE6" i="2"/>
  <c r="AD6" i="2"/>
  <c r="AC6" i="2"/>
  <c r="AB6" i="2"/>
  <c r="Y6" i="2"/>
  <c r="X6" i="2"/>
  <c r="W6" i="2"/>
  <c r="V6" i="2"/>
  <c r="U6" i="2"/>
  <c r="R6" i="2"/>
  <c r="M6" i="2"/>
  <c r="L6" i="2"/>
  <c r="K6" i="2"/>
  <c r="J6" i="2"/>
  <c r="I6" i="2"/>
  <c r="G6" i="2"/>
  <c r="F6" i="2"/>
  <c r="C6" i="2"/>
  <c r="B6" i="2"/>
  <c r="EV6" i="4" l="1"/>
  <c r="ES7" i="2"/>
  <c r="ES21" i="2" s="1"/>
  <c r="FE25" i="12"/>
  <c r="HW25" i="12" s="1"/>
  <c r="FD25" i="12"/>
  <c r="GT25" i="12"/>
  <c r="GE25" i="12"/>
  <c r="GG25" i="12"/>
  <c r="CG26" i="2"/>
  <c r="DG26" i="2" s="1"/>
  <c r="HP18" i="12"/>
  <c r="EJ45" i="12"/>
  <c r="EI45" i="12"/>
  <c r="DH45" i="12"/>
  <c r="K45" i="12"/>
  <c r="HB9" i="12"/>
  <c r="HA9" i="12"/>
  <c r="FA12" i="2"/>
  <c r="EQ12" i="2"/>
  <c r="EW12" i="2"/>
  <c r="EU12" i="2"/>
  <c r="EU26" i="2" s="1"/>
  <c r="ES12" i="2"/>
  <c r="ES26" i="2" s="1"/>
  <c r="EY12" i="2"/>
  <c r="EO12" i="2"/>
  <c r="EO26" i="2" s="1"/>
  <c r="EV12" i="2"/>
  <c r="ET12" i="2"/>
  <c r="ET26" i="2" s="1"/>
  <c r="IC19" i="12"/>
  <c r="IB37" i="12"/>
  <c r="HS38" i="12"/>
  <c r="IB19" i="12"/>
  <c r="IB36" i="12"/>
  <c r="GC9" i="12"/>
  <c r="GD10" i="12"/>
  <c r="GG16" i="12"/>
  <c r="GH17" i="12"/>
  <c r="IA19" i="12"/>
  <c r="HT26" i="12"/>
  <c r="GK17" i="12"/>
  <c r="HZ19" i="12"/>
  <c r="HS26" i="12"/>
  <c r="GD29" i="12"/>
  <c r="HZ36" i="12"/>
  <c r="HY36" i="12"/>
  <c r="HY35" i="12"/>
  <c r="GE11" i="12"/>
  <c r="FV42" i="12"/>
  <c r="GH6" i="12"/>
  <c r="GI7" i="12"/>
  <c r="GJ8" i="12"/>
  <c r="GM15" i="12"/>
  <c r="GB16" i="12"/>
  <c r="HU17" i="12"/>
  <c r="HU18" i="12"/>
  <c r="HE18" i="12"/>
  <c r="HV19" i="12"/>
  <c r="GD19" i="12"/>
  <c r="HK20" i="12"/>
  <c r="HG20" i="12"/>
  <c r="GH24" i="12"/>
  <c r="GH25" i="12"/>
  <c r="GI26" i="12"/>
  <c r="GK28" i="12"/>
  <c r="HS33" i="12"/>
  <c r="HU35" i="12"/>
  <c r="HV36" i="12"/>
  <c r="GG7" i="12"/>
  <c r="GJ11" i="12"/>
  <c r="GM18" i="12"/>
  <c r="HT19" i="12"/>
  <c r="GN19" i="12"/>
  <c r="HD19" i="12"/>
  <c r="HU20" i="12"/>
  <c r="HH25" i="12"/>
  <c r="HY26" i="12"/>
  <c r="GH27" i="12"/>
  <c r="GJ29" i="12"/>
  <c r="HT36" i="12"/>
  <c r="HV38" i="12"/>
  <c r="HS19" i="12"/>
  <c r="HS36" i="12"/>
  <c r="IB28" i="12"/>
  <c r="DY21" i="12"/>
  <c r="CY21" i="12"/>
  <c r="BY21" i="12"/>
  <c r="HM15" i="12"/>
  <c r="HS17" i="12"/>
  <c r="HS18" i="12"/>
  <c r="HE20" i="12"/>
  <c r="ES30" i="12"/>
  <c r="EF30" i="12"/>
  <c r="DF30" i="12"/>
  <c r="CS30" i="12"/>
  <c r="CF30" i="12"/>
  <c r="BT30" i="12"/>
  <c r="BG30" i="12"/>
  <c r="AT30" i="12"/>
  <c r="AG30" i="12"/>
  <c r="T30" i="12"/>
  <c r="G30" i="12"/>
  <c r="HL26" i="12"/>
  <c r="HZ27" i="12"/>
  <c r="HM27" i="12"/>
  <c r="IA28" i="12"/>
  <c r="BY39" i="12"/>
  <c r="HS35" i="12"/>
  <c r="GK6" i="12"/>
  <c r="HK27" i="12"/>
  <c r="HX8" i="12"/>
  <c r="ES45" i="12"/>
  <c r="EF45" i="12"/>
  <c r="DF45" i="12"/>
  <c r="CS45" i="12"/>
  <c r="CF45" i="12"/>
  <c r="BT45" i="12"/>
  <c r="BG45" i="12"/>
  <c r="AT45" i="12"/>
  <c r="AG45" i="12"/>
  <c r="G45" i="12"/>
  <c r="FT46" i="12"/>
  <c r="ET46" i="12"/>
  <c r="EG46" i="12"/>
  <c r="DG46" i="12"/>
  <c r="CT46" i="12"/>
  <c r="BU46" i="12"/>
  <c r="H46" i="12"/>
  <c r="GL19" i="12"/>
  <c r="GM20" i="12"/>
  <c r="GE26" i="12"/>
  <c r="GF27" i="12"/>
  <c r="HL27" i="12"/>
  <c r="HI27" i="12"/>
  <c r="AH46" i="12"/>
  <c r="EC42" i="12"/>
  <c r="FQ43" i="12"/>
  <c r="EQ43" i="12"/>
  <c r="ED43" i="12"/>
  <c r="DD43" i="12"/>
  <c r="CQ43" i="12"/>
  <c r="CD43" i="12"/>
  <c r="BQ43" i="12"/>
  <c r="BD43" i="12"/>
  <c r="AR43" i="12"/>
  <c r="AE43" i="12"/>
  <c r="E43" i="12"/>
  <c r="FR44" i="12"/>
  <c r="ER44" i="12"/>
  <c r="EE44" i="12"/>
  <c r="DE44" i="12"/>
  <c r="CR44" i="12"/>
  <c r="CE44" i="12"/>
  <c r="BR44" i="12"/>
  <c r="BF44" i="12"/>
  <c r="AS44" i="12"/>
  <c r="AF44" i="12"/>
  <c r="F44" i="12"/>
  <c r="FS45" i="12"/>
  <c r="ER45" i="12"/>
  <c r="DE45" i="12"/>
  <c r="CR45" i="12"/>
  <c r="CE45" i="12"/>
  <c r="BR45" i="12"/>
  <c r="BF45" i="12"/>
  <c r="AS45" i="12"/>
  <c r="AF45" i="12"/>
  <c r="S45" i="12"/>
  <c r="F45" i="12"/>
  <c r="FS46" i="12"/>
  <c r="ES46" i="12"/>
  <c r="DF46" i="12"/>
  <c r="CS46" i="12"/>
  <c r="CF46" i="12"/>
  <c r="BT46" i="12"/>
  <c r="BG46" i="12"/>
  <c r="AT46" i="12"/>
  <c r="AG46" i="12"/>
  <c r="T46" i="12"/>
  <c r="G46" i="12"/>
  <c r="FT47" i="12"/>
  <c r="FG47" i="12"/>
  <c r="ET47" i="12"/>
  <c r="EG47" i="12"/>
  <c r="GG11" i="12"/>
  <c r="GH15" i="12"/>
  <c r="GI16" i="12"/>
  <c r="IB17" i="12"/>
  <c r="GJ17" i="12"/>
  <c r="IB18" i="12"/>
  <c r="GJ18" i="12"/>
  <c r="GK19" i="12"/>
  <c r="GL20" i="12"/>
  <c r="HG27" i="12"/>
  <c r="HX28" i="12"/>
  <c r="IB35" i="12"/>
  <c r="GG27" i="12"/>
  <c r="ID10" i="12"/>
  <c r="HO7" i="12"/>
  <c r="GB8" i="12"/>
  <c r="HN29" i="12"/>
  <c r="HY8" i="12"/>
  <c r="AU46" i="12"/>
  <c r="HT6" i="12"/>
  <c r="GN6" i="12"/>
  <c r="GC7" i="12"/>
  <c r="GD9" i="12"/>
  <c r="HW10" i="12"/>
  <c r="GE10" i="12"/>
  <c r="GF11" i="12"/>
  <c r="GG15" i="12"/>
  <c r="GI17" i="12"/>
  <c r="IA18" i="12"/>
  <c r="GI18" i="12"/>
  <c r="GJ19" i="12"/>
  <c r="GK20" i="12"/>
  <c r="GB24" i="12"/>
  <c r="GN25" i="12"/>
  <c r="GB25" i="12"/>
  <c r="GC26" i="12"/>
  <c r="GD27" i="12"/>
  <c r="HW28" i="12"/>
  <c r="GE28" i="12"/>
  <c r="GF29" i="12"/>
  <c r="IA35" i="12"/>
  <c r="GM8" i="12"/>
  <c r="HN15" i="12"/>
  <c r="HG6" i="12"/>
  <c r="HZ28" i="12"/>
  <c r="GM6" i="12"/>
  <c r="GN7" i="12"/>
  <c r="GB7" i="12"/>
  <c r="GC8" i="12"/>
  <c r="HV10" i="12"/>
  <c r="GI19" i="12"/>
  <c r="HV28" i="12"/>
  <c r="GF10" i="12"/>
  <c r="HZ10" i="12"/>
  <c r="CH46" i="12"/>
  <c r="GD6" i="12"/>
  <c r="HT8" i="12"/>
  <c r="GF8" i="12"/>
  <c r="HT9" i="12"/>
  <c r="HU10" i="12"/>
  <c r="GD11" i="12"/>
  <c r="GI15" i="12"/>
  <c r="HY17" i="12"/>
  <c r="HO20" i="12"/>
  <c r="GL24" i="12"/>
  <c r="HT27" i="12"/>
  <c r="HU28" i="12"/>
  <c r="IB10" i="12"/>
  <c r="GB19" i="12"/>
  <c r="HG15" i="12"/>
  <c r="IC28" i="12"/>
  <c r="HF17" i="12"/>
  <c r="HY27" i="12"/>
  <c r="BH46" i="12"/>
  <c r="HD20" i="12"/>
  <c r="ID29" i="12"/>
  <c r="EH43" i="12"/>
  <c r="BV43" i="12"/>
  <c r="BJ44" i="12"/>
  <c r="FW45" i="12"/>
  <c r="HO16" i="12"/>
  <c r="IC29" i="12"/>
  <c r="ET43" i="12"/>
  <c r="DG43" i="12"/>
  <c r="CH43" i="12"/>
  <c r="BH43" i="12"/>
  <c r="AH43" i="12"/>
  <c r="FU44" i="12"/>
  <c r="EH44" i="12"/>
  <c r="CV44" i="12"/>
  <c r="BI44" i="12"/>
  <c r="AI44" i="12"/>
  <c r="I44" i="12"/>
  <c r="EH45" i="12"/>
  <c r="GL9" i="12"/>
  <c r="HN16" i="12"/>
  <c r="HO18" i="12"/>
  <c r="HL29" i="12"/>
  <c r="HY11" i="12"/>
  <c r="GE27" i="12"/>
  <c r="GI6" i="12"/>
  <c r="GJ7" i="12"/>
  <c r="GK8" i="12"/>
  <c r="HI9" i="12"/>
  <c r="IA11" i="12"/>
  <c r="HP20" i="12"/>
  <c r="FS30" i="12"/>
  <c r="HG25" i="12"/>
  <c r="HH26" i="12"/>
  <c r="IB33" i="12"/>
  <c r="HT37" i="12"/>
  <c r="HU38" i="12"/>
  <c r="HS20" i="12"/>
  <c r="GL7" i="12"/>
  <c r="GN9" i="12"/>
  <c r="GC10" i="12"/>
  <c r="X45" i="12"/>
  <c r="GJ9" i="12"/>
  <c r="BI43" i="12"/>
  <c r="FV44" i="12"/>
  <c r="CW44" i="12"/>
  <c r="AJ44" i="12"/>
  <c r="HV37" i="12"/>
  <c r="HH6" i="12"/>
  <c r="GF6" i="12"/>
  <c r="EG43" i="12"/>
  <c r="CT43" i="12"/>
  <c r="BU43" i="12"/>
  <c r="AU43" i="12"/>
  <c r="H43" i="12"/>
  <c r="EU44" i="12"/>
  <c r="DH44" i="12"/>
  <c r="CI44" i="12"/>
  <c r="BV44" i="12"/>
  <c r="AV44" i="12"/>
  <c r="V44" i="12"/>
  <c r="GH8" i="12"/>
  <c r="FV45" i="12"/>
  <c r="EI46" i="12"/>
  <c r="GM10" i="12"/>
  <c r="EJ47" i="12"/>
  <c r="GN11" i="12"/>
  <c r="DX47" i="12"/>
  <c r="GB11" i="12"/>
  <c r="IC15" i="12"/>
  <c r="HO17" i="12"/>
  <c r="HI26" i="12"/>
  <c r="HJ27" i="12"/>
  <c r="HK28" i="12"/>
  <c r="IB29" i="12"/>
  <c r="IC33" i="12"/>
  <c r="HU37" i="12"/>
  <c r="GM7" i="12"/>
  <c r="HJ10" i="12"/>
  <c r="IB15" i="12"/>
  <c r="HL15" i="12"/>
  <c r="HM16" i="12"/>
  <c r="HN17" i="12"/>
  <c r="HN18" i="12"/>
  <c r="HT20" i="12"/>
  <c r="HJ28" i="12"/>
  <c r="IA29" i="12"/>
  <c r="HK29" i="12"/>
  <c r="HD16" i="12"/>
  <c r="GL15" i="12"/>
  <c r="GN17" i="12"/>
  <c r="GC18" i="12"/>
  <c r="GE20" i="12"/>
  <c r="EU43" i="12"/>
  <c r="CI43" i="12"/>
  <c r="I43" i="12"/>
  <c r="AW44" i="12"/>
  <c r="HR33" i="12"/>
  <c r="HX33" i="12"/>
  <c r="ID11" i="12"/>
  <c r="EP43" i="12"/>
  <c r="CC43" i="12"/>
  <c r="D43" i="12"/>
  <c r="BD44" i="12"/>
  <c r="R44" i="12"/>
  <c r="IA17" i="12"/>
  <c r="HX29" i="12"/>
  <c r="IC37" i="12"/>
  <c r="HI16" i="12"/>
  <c r="HO24" i="12"/>
  <c r="HS25" i="12"/>
  <c r="IB38" i="12"/>
  <c r="GE9" i="12"/>
  <c r="GF26" i="12"/>
  <c r="GH28" i="12"/>
  <c r="HJ17" i="12"/>
  <c r="HR37" i="12"/>
  <c r="GK15" i="12"/>
  <c r="GM17" i="12"/>
  <c r="GB18" i="12"/>
  <c r="GD20" i="12"/>
  <c r="FP43" i="12"/>
  <c r="EC43" i="12"/>
  <c r="BP43" i="12"/>
  <c r="AP43" i="12"/>
  <c r="FQ44" i="12"/>
  <c r="CQ44" i="12"/>
  <c r="AR44" i="12"/>
  <c r="FR45" i="12"/>
  <c r="HY15" i="12"/>
  <c r="IC20" i="12"/>
  <c r="IC38" i="12"/>
  <c r="GJ15" i="12"/>
  <c r="GL17" i="12"/>
  <c r="GC20" i="12"/>
  <c r="GI28" i="12"/>
  <c r="HN6" i="12"/>
  <c r="HP8" i="12"/>
  <c r="HD8" i="12"/>
  <c r="HP9" i="12"/>
  <c r="HD9" i="12"/>
  <c r="HE10" i="12"/>
  <c r="HV11" i="12"/>
  <c r="HW15" i="12"/>
  <c r="GE15" i="12"/>
  <c r="HH16" i="12"/>
  <c r="GF16" i="12"/>
  <c r="HI17" i="12"/>
  <c r="GG17" i="12"/>
  <c r="HY18" i="12"/>
  <c r="HI18" i="12"/>
  <c r="GG18" i="12"/>
  <c r="GH19" i="12"/>
  <c r="IA20" i="12"/>
  <c r="GI20" i="12"/>
  <c r="HU24" i="12"/>
  <c r="HR24" i="12"/>
  <c r="HN25" i="12"/>
  <c r="GL25" i="12"/>
  <c r="HO26" i="12"/>
  <c r="GM26" i="12"/>
  <c r="HP27" i="12"/>
  <c r="GN27" i="12"/>
  <c r="HD27" i="12"/>
  <c r="GB27" i="12"/>
  <c r="HE28" i="12"/>
  <c r="HV29" i="12"/>
  <c r="HW33" i="12"/>
  <c r="IA37" i="12"/>
  <c r="HM6" i="12"/>
  <c r="GL6" i="12"/>
  <c r="GN8" i="12"/>
  <c r="GM9" i="12"/>
  <c r="GN10" i="12"/>
  <c r="GB10" i="12"/>
  <c r="GC11" i="12"/>
  <c r="HZ20" i="12"/>
  <c r="GK25" i="12"/>
  <c r="HZ18" i="12"/>
  <c r="GB9" i="12"/>
  <c r="GN16" i="12"/>
  <c r="HP16" i="12"/>
  <c r="CV43" i="12"/>
  <c r="AI43" i="12"/>
  <c r="EI44" i="12"/>
  <c r="CJ44" i="12"/>
  <c r="J44" i="12"/>
  <c r="W45" i="12"/>
  <c r="GI9" i="12"/>
  <c r="HY29" i="12"/>
  <c r="HI29" i="12"/>
  <c r="HZ33" i="12"/>
  <c r="GF24" i="12"/>
  <c r="CP43" i="12"/>
  <c r="AD43" i="12"/>
  <c r="ED44" i="12"/>
  <c r="CD44" i="12"/>
  <c r="E44" i="12"/>
  <c r="GJ6" i="12"/>
  <c r="GK7" i="12"/>
  <c r="GL8" i="12"/>
  <c r="GC15" i="12"/>
  <c r="GD16" i="12"/>
  <c r="GE17" i="12"/>
  <c r="GF19" i="12"/>
  <c r="GG20" i="12"/>
  <c r="GJ24" i="12"/>
  <c r="GJ25" i="12"/>
  <c r="GK26" i="12"/>
  <c r="GM28" i="12"/>
  <c r="GB29" i="12"/>
  <c r="GE6" i="12"/>
  <c r="GM16" i="12"/>
  <c r="GB17" i="12"/>
  <c r="GJ27" i="12"/>
  <c r="GC28" i="12"/>
  <c r="Y46" i="12"/>
  <c r="GK10" i="12"/>
  <c r="Z47" i="12"/>
  <c r="GL11" i="12"/>
  <c r="HE17" i="12"/>
  <c r="GC17" i="12"/>
  <c r="HW37" i="12"/>
  <c r="DH43" i="12"/>
  <c r="AV43" i="12"/>
  <c r="EV44" i="12"/>
  <c r="BW44" i="12"/>
  <c r="DC43" i="12"/>
  <c r="BC43" i="12"/>
  <c r="DD44" i="12"/>
  <c r="BQ44" i="12"/>
  <c r="AE44" i="12"/>
  <c r="HY33" i="12"/>
  <c r="GG26" i="12"/>
  <c r="GK9" i="12"/>
  <c r="GL10" i="12"/>
  <c r="GM11" i="12"/>
  <c r="GN15" i="12"/>
  <c r="GB15" i="12"/>
  <c r="GC16" i="12"/>
  <c r="GD17" i="12"/>
  <c r="HV18" i="12"/>
  <c r="GE19" i="12"/>
  <c r="GI24" i="12"/>
  <c r="GI25" i="12"/>
  <c r="GJ26" i="12"/>
  <c r="GK27" i="12"/>
  <c r="GL28" i="12"/>
  <c r="GM29" i="12"/>
  <c r="HH10" i="12"/>
  <c r="HZ35" i="12"/>
  <c r="GH10" i="12"/>
  <c r="GL16" i="12"/>
  <c r="GN18" i="12"/>
  <c r="GI27" i="12"/>
  <c r="GL29" i="12"/>
  <c r="HV6" i="12"/>
  <c r="HF6" i="12"/>
  <c r="HG7" i="12"/>
  <c r="HH8" i="12"/>
  <c r="HZ11" i="12"/>
  <c r="IA15" i="12"/>
  <c r="HK15" i="12"/>
  <c r="HL16" i="12"/>
  <c r="IC17" i="12"/>
  <c r="HM17" i="12"/>
  <c r="IC18" i="12"/>
  <c r="HM18" i="12"/>
  <c r="HF24" i="12"/>
  <c r="HV25" i="12"/>
  <c r="HF25" i="12"/>
  <c r="HJ26" i="12"/>
  <c r="HI28" i="12"/>
  <c r="HZ29" i="12"/>
  <c r="HJ29" i="12"/>
  <c r="IA33" i="12"/>
  <c r="IC35" i="12"/>
  <c r="IC36" i="12"/>
  <c r="HS37" i="12"/>
  <c r="HT38" i="12"/>
  <c r="GK18" i="12"/>
  <c r="GD25" i="12"/>
  <c r="GG28" i="12"/>
  <c r="GH29" i="12"/>
  <c r="HS6" i="12"/>
  <c r="HO6" i="12"/>
  <c r="HP7" i="12"/>
  <c r="HD7" i="12"/>
  <c r="HU8" i="12"/>
  <c r="HE9" i="12"/>
  <c r="HF10" i="12"/>
  <c r="HW11" i="12"/>
  <c r="HX15" i="12"/>
  <c r="HH15" i="12"/>
  <c r="HZ17" i="12"/>
  <c r="HJ18" i="12"/>
  <c r="IB20" i="12"/>
  <c r="HL20" i="12"/>
  <c r="HS24" i="12"/>
  <c r="HO25" i="12"/>
  <c r="HP26" i="12"/>
  <c r="HD26" i="12"/>
  <c r="HU27" i="12"/>
  <c r="HE27" i="12"/>
  <c r="HF28" i="12"/>
  <c r="HG29" i="12"/>
  <c r="ID9" i="12"/>
  <c r="GH18" i="12"/>
  <c r="GJ20" i="12"/>
  <c r="GM25" i="12"/>
  <c r="GN26" i="12"/>
  <c r="GB26" i="12"/>
  <c r="GC27" i="12"/>
  <c r="GD28" i="12"/>
  <c r="GE29" i="12"/>
  <c r="IC6" i="12"/>
  <c r="HN7" i="12"/>
  <c r="HS8" i="12"/>
  <c r="HO8" i="12"/>
  <c r="HV15" i="12"/>
  <c r="HF15" i="12"/>
  <c r="HG16" i="12"/>
  <c r="HX17" i="12"/>
  <c r="HH17" i="12"/>
  <c r="HX18" i="12"/>
  <c r="HL18" i="12"/>
  <c r="HH18" i="12"/>
  <c r="HY19" i="12"/>
  <c r="HI19" i="12"/>
  <c r="HN20" i="12"/>
  <c r="HJ20" i="12"/>
  <c r="IC24" i="12"/>
  <c r="HG24" i="12"/>
  <c r="IC25" i="12"/>
  <c r="HP25" i="12"/>
  <c r="HN26" i="12"/>
  <c r="HS27" i="12"/>
  <c r="HO27" i="12"/>
  <c r="HT28" i="12"/>
  <c r="HP28" i="12"/>
  <c r="HD28" i="12"/>
  <c r="HU29" i="12"/>
  <c r="HE29" i="12"/>
  <c r="HV33" i="12"/>
  <c r="HX35" i="12"/>
  <c r="HZ37" i="12"/>
  <c r="IA38" i="12"/>
  <c r="GF18" i="12"/>
  <c r="GG19" i="12"/>
  <c r="GH20" i="12"/>
  <c r="GL26" i="12"/>
  <c r="GM27" i="12"/>
  <c r="GN28" i="12"/>
  <c r="GB28" i="12"/>
  <c r="GC29" i="12"/>
  <c r="FJ42" i="12"/>
  <c r="EW42" i="12"/>
  <c r="EJ42" i="12"/>
  <c r="DX42" i="12"/>
  <c r="CK42" i="12"/>
  <c r="BX42" i="12"/>
  <c r="BK42" i="12"/>
  <c r="AX42" i="12"/>
  <c r="AK42" i="12"/>
  <c r="FX43" i="12"/>
  <c r="EX43" i="12"/>
  <c r="EL43" i="12"/>
  <c r="DY43" i="12"/>
  <c r="CY43" i="12"/>
  <c r="CL43" i="12"/>
  <c r="BY43" i="12"/>
  <c r="BL43" i="12"/>
  <c r="AY43" i="12"/>
  <c r="AL43" i="12"/>
  <c r="L43" i="12"/>
  <c r="FY44" i="12"/>
  <c r="EM44" i="12"/>
  <c r="DZ44" i="12"/>
  <c r="CZ44" i="12"/>
  <c r="CM44" i="12"/>
  <c r="BZ44" i="12"/>
  <c r="BM44" i="12"/>
  <c r="AZ44" i="12"/>
  <c r="AM44" i="12"/>
  <c r="M44" i="12"/>
  <c r="FZ45" i="12"/>
  <c r="HT11" i="12"/>
  <c r="HJ11" i="12"/>
  <c r="C47" i="12"/>
  <c r="HU15" i="12"/>
  <c r="HW17" i="12"/>
  <c r="HK17" i="12"/>
  <c r="HW18" i="12"/>
  <c r="HK18" i="12"/>
  <c r="HG18" i="12"/>
  <c r="HY20" i="12"/>
  <c r="IB24" i="12"/>
  <c r="IB25" i="12"/>
  <c r="HN27" i="12"/>
  <c r="HT29" i="12"/>
  <c r="HP29" i="12"/>
  <c r="HU33" i="12"/>
  <c r="HW35" i="12"/>
  <c r="HY37" i="12"/>
  <c r="HZ38" i="12"/>
  <c r="GE18" i="12"/>
  <c r="GL27" i="12"/>
  <c r="GN29" i="12"/>
  <c r="IA6" i="12"/>
  <c r="HT15" i="12"/>
  <c r="HP15" i="12"/>
  <c r="HD15" i="12"/>
  <c r="HE16" i="12"/>
  <c r="HV17" i="12"/>
  <c r="HF18" i="12"/>
  <c r="HX20" i="12"/>
  <c r="HH20" i="12"/>
  <c r="IA24" i="12"/>
  <c r="IA25" i="12"/>
  <c r="HH27" i="12"/>
  <c r="HY28" i="12"/>
  <c r="HS29" i="12"/>
  <c r="HT33" i="12"/>
  <c r="HV35" i="12"/>
  <c r="HX37" i="12"/>
  <c r="HY38" i="12"/>
  <c r="GD18" i="12"/>
  <c r="GF20" i="12"/>
  <c r="HP19" i="12"/>
  <c r="IC16" i="12"/>
  <c r="HO19" i="12"/>
  <c r="IC34" i="12"/>
  <c r="FF45" i="12"/>
  <c r="HX9" i="12"/>
  <c r="T45" i="12"/>
  <c r="HH9" i="12"/>
  <c r="U46" i="12"/>
  <c r="HI10" i="12"/>
  <c r="IB16" i="12"/>
  <c r="IB34" i="12"/>
  <c r="HH24" i="12"/>
  <c r="HE6" i="12"/>
  <c r="FD43" i="12"/>
  <c r="HV7" i="12"/>
  <c r="R43" i="12"/>
  <c r="HF7" i="12"/>
  <c r="FE44" i="12"/>
  <c r="HW8" i="12"/>
  <c r="S44" i="12"/>
  <c r="HG8" i="12"/>
  <c r="FE45" i="12"/>
  <c r="HW9" i="12"/>
  <c r="EE45" i="12"/>
  <c r="HK9" i="12"/>
  <c r="FF46" i="12"/>
  <c r="HX10" i="12"/>
  <c r="EF46" i="12"/>
  <c r="HL10" i="12"/>
  <c r="DG47" i="12"/>
  <c r="CT47" i="12"/>
  <c r="CH47" i="12"/>
  <c r="BU47" i="12"/>
  <c r="BH47" i="12"/>
  <c r="AU47" i="12"/>
  <c r="AH47" i="12"/>
  <c r="U47" i="12"/>
  <c r="HI11" i="12"/>
  <c r="IA16" i="12"/>
  <c r="HK16" i="12"/>
  <c r="HL17" i="12"/>
  <c r="HE24" i="12"/>
  <c r="HH28" i="12"/>
  <c r="IA34" i="12"/>
  <c r="HJ8" i="12"/>
  <c r="HO11" i="12"/>
  <c r="W46" i="12"/>
  <c r="HK10" i="12"/>
  <c r="FJ47" i="12"/>
  <c r="IB11" i="12"/>
  <c r="FF30" i="12"/>
  <c r="HX24" i="12"/>
  <c r="HR34" i="12"/>
  <c r="HS34" i="12"/>
  <c r="HT34" i="12"/>
  <c r="HX34" i="12"/>
  <c r="HY34" i="12"/>
  <c r="HK11" i="12"/>
  <c r="FG46" i="12"/>
  <c r="HY10" i="12"/>
  <c r="HP6" i="12"/>
  <c r="HD6" i="12"/>
  <c r="Q43" i="12"/>
  <c r="HE7" i="12"/>
  <c r="FD44" i="12"/>
  <c r="HV8" i="12"/>
  <c r="EQ44" i="12"/>
  <c r="HI8" i="12"/>
  <c r="HV9" i="12"/>
  <c r="HF9" i="12"/>
  <c r="HG10" i="12"/>
  <c r="HX11" i="12"/>
  <c r="HH11" i="12"/>
  <c r="HI15" i="12"/>
  <c r="HZ16" i="12"/>
  <c r="HJ16" i="12"/>
  <c r="HL19" i="12"/>
  <c r="HM20" i="12"/>
  <c r="HP24" i="12"/>
  <c r="HD24" i="12"/>
  <c r="HE26" i="12"/>
  <c r="HV27" i="12"/>
  <c r="HF27" i="12"/>
  <c r="HG28" i="12"/>
  <c r="HH29" i="12"/>
  <c r="HZ34" i="12"/>
  <c r="HE8" i="12"/>
  <c r="U43" i="12"/>
  <c r="HI7" i="12"/>
  <c r="V45" i="12"/>
  <c r="HJ9" i="12"/>
  <c r="HL11" i="12"/>
  <c r="HF11" i="12"/>
  <c r="FA45" i="12"/>
  <c r="HS9" i="12"/>
  <c r="EN45" i="12"/>
  <c r="EA45" i="12"/>
  <c r="DA45" i="12"/>
  <c r="CN45" i="12"/>
  <c r="CA45" i="12"/>
  <c r="BN45" i="12"/>
  <c r="BA45" i="12"/>
  <c r="AN45" i="12"/>
  <c r="AA45" i="12"/>
  <c r="HO9" i="12"/>
  <c r="N45" i="12"/>
  <c r="B45" i="12"/>
  <c r="FO46" i="12"/>
  <c r="FB46" i="12"/>
  <c r="HT10" i="12"/>
  <c r="EO46" i="12"/>
  <c r="EB46" i="12"/>
  <c r="DB46" i="12"/>
  <c r="CO46" i="12"/>
  <c r="CB46" i="12"/>
  <c r="BO46" i="12"/>
  <c r="BB46" i="12"/>
  <c r="AO46" i="12"/>
  <c r="AB46" i="12"/>
  <c r="HP10" i="12"/>
  <c r="P46" i="12"/>
  <c r="HD10" i="12"/>
  <c r="C46" i="12"/>
  <c r="FP47" i="12"/>
  <c r="FC47" i="12"/>
  <c r="HU11" i="12"/>
  <c r="EP47" i="12"/>
  <c r="EC47" i="12"/>
  <c r="DC47" i="12"/>
  <c r="CP47" i="12"/>
  <c r="CC47" i="12"/>
  <c r="BP47" i="12"/>
  <c r="BC47" i="12"/>
  <c r="AP47" i="12"/>
  <c r="AD47" i="12"/>
  <c r="Q47" i="12"/>
  <c r="HE11" i="12"/>
  <c r="D47" i="12"/>
  <c r="HW16" i="12"/>
  <c r="HM19" i="12"/>
  <c r="HM24" i="12"/>
  <c r="HD25" i="12"/>
  <c r="HI25" i="12"/>
  <c r="HJ25" i="12"/>
  <c r="HM25" i="12"/>
  <c r="HR26" i="12"/>
  <c r="HU26" i="12"/>
  <c r="HV26" i="12"/>
  <c r="HZ26" i="12"/>
  <c r="IA26" i="12"/>
  <c r="HW34" i="12"/>
  <c r="HL9" i="12"/>
  <c r="HE25" i="12"/>
  <c r="FI46" i="12"/>
  <c r="IA10" i="12"/>
  <c r="X42" i="12"/>
  <c r="HL6" i="12"/>
  <c r="FK43" i="12"/>
  <c r="IC7" i="12"/>
  <c r="Y43" i="12"/>
  <c r="HM7" i="12"/>
  <c r="FL44" i="12"/>
  <c r="ID8" i="12"/>
  <c r="EZ44" i="12"/>
  <c r="HR8" i="12"/>
  <c r="Z44" i="12"/>
  <c r="HN8" i="12"/>
  <c r="FN45" i="12"/>
  <c r="HR9" i="12"/>
  <c r="HY9" i="12"/>
  <c r="HN9" i="12"/>
  <c r="HO10" i="12"/>
  <c r="HP11" i="12"/>
  <c r="P47" i="12"/>
  <c r="HD11" i="12"/>
  <c r="HN11" i="12"/>
  <c r="HE15" i="12"/>
  <c r="HV16" i="12"/>
  <c r="HF16" i="12"/>
  <c r="HG17" i="12"/>
  <c r="HH19" i="12"/>
  <c r="HI20" i="12"/>
  <c r="HL24" i="12"/>
  <c r="HL25" i="12"/>
  <c r="IC26" i="12"/>
  <c r="HF26" i="12"/>
  <c r="HK26" i="12"/>
  <c r="HM26" i="12"/>
  <c r="HR27" i="12"/>
  <c r="HW27" i="12"/>
  <c r="HX27" i="12"/>
  <c r="IA27" i="12"/>
  <c r="IB27" i="12"/>
  <c r="IC27" i="12"/>
  <c r="HO28" i="12"/>
  <c r="HM29" i="12"/>
  <c r="HD29" i="12"/>
  <c r="HF29" i="12"/>
  <c r="HV34" i="12"/>
  <c r="IB6" i="12"/>
  <c r="HG9" i="12"/>
  <c r="HX16" i="12"/>
  <c r="HN19" i="12"/>
  <c r="ID16" i="12"/>
  <c r="HG11" i="12"/>
  <c r="HK19" i="12"/>
  <c r="HK6" i="12"/>
  <c r="IB7" i="12"/>
  <c r="HL7" i="12"/>
  <c r="IC8" i="12"/>
  <c r="HM8" i="12"/>
  <c r="IC9" i="12"/>
  <c r="HM9" i="12"/>
  <c r="HN10" i="12"/>
  <c r="HS11" i="12"/>
  <c r="HU16" i="12"/>
  <c r="HG19" i="12"/>
  <c r="HN24" i="12"/>
  <c r="HK24" i="12"/>
  <c r="HK25" i="12"/>
  <c r="IB26" i="12"/>
  <c r="HN28" i="12"/>
  <c r="HO29" i="12"/>
  <c r="HU34" i="12"/>
  <c r="HZ9" i="12"/>
  <c r="HS16" i="12"/>
  <c r="HY16" i="12"/>
  <c r="HJ19" i="12"/>
  <c r="HJ6" i="12"/>
  <c r="IA7" i="12"/>
  <c r="HK7" i="12"/>
  <c r="IB8" i="12"/>
  <c r="HL8" i="12"/>
  <c r="FJ45" i="12"/>
  <c r="IB9" i="12"/>
  <c r="FK46" i="12"/>
  <c r="IC10" i="12"/>
  <c r="EZ47" i="12"/>
  <c r="IC11" i="12"/>
  <c r="HT16" i="12"/>
  <c r="HF19" i="12"/>
  <c r="HJ24" i="12"/>
  <c r="HM28" i="12"/>
  <c r="FN39" i="12"/>
  <c r="HU9" i="12"/>
  <c r="FG43" i="12"/>
  <c r="HY7" i="12"/>
  <c r="FH44" i="12"/>
  <c r="HZ8" i="12"/>
  <c r="HI6" i="12"/>
  <c r="FH43" i="12"/>
  <c r="HZ7" i="12"/>
  <c r="V43" i="12"/>
  <c r="HJ7" i="12"/>
  <c r="FI44" i="12"/>
  <c r="IA8" i="12"/>
  <c r="W44" i="12"/>
  <c r="HK8" i="12"/>
  <c r="HM11" i="12"/>
  <c r="HE19" i="12"/>
  <c r="HI24" i="12"/>
  <c r="HL28" i="12"/>
  <c r="CZ39" i="12"/>
  <c r="HH7" i="12"/>
  <c r="HM10" i="12"/>
  <c r="HG26" i="12"/>
  <c r="FD21" i="12"/>
  <c r="ED21" i="12"/>
  <c r="BD21" i="12"/>
  <c r="FZ21" i="12"/>
  <c r="FN21" i="12"/>
  <c r="FA21" i="12"/>
  <c r="EN21" i="12"/>
  <c r="EA21" i="12"/>
  <c r="DA21" i="12"/>
  <c r="CN21" i="12"/>
  <c r="CA21" i="12"/>
  <c r="BN21" i="12"/>
  <c r="BA21" i="12"/>
  <c r="AN21" i="12"/>
  <c r="AA21" i="12"/>
  <c r="N21" i="12"/>
  <c r="B21" i="12"/>
  <c r="FO21" i="12"/>
  <c r="FZ39" i="12"/>
  <c r="FA39" i="12"/>
  <c r="EN39" i="12"/>
  <c r="EA39" i="12"/>
  <c r="DA39" i="12"/>
  <c r="CN39" i="12"/>
  <c r="CA39" i="12"/>
  <c r="BN39" i="12"/>
  <c r="BA39" i="12"/>
  <c r="AN39" i="12"/>
  <c r="AA39" i="12"/>
  <c r="N39" i="12"/>
  <c r="B39" i="12"/>
  <c r="HS15" i="12"/>
  <c r="DD47" i="12"/>
  <c r="E47" i="12"/>
  <c r="FL39" i="12"/>
  <c r="EM39" i="12"/>
  <c r="DZ39" i="12"/>
  <c r="BZ39" i="12"/>
  <c r="BM39" i="12"/>
  <c r="AZ39" i="12"/>
  <c r="AM39" i="12"/>
  <c r="M39" i="12"/>
  <c r="HF8" i="12"/>
  <c r="HO15" i="12"/>
  <c r="FF43" i="12"/>
  <c r="ES43" i="12"/>
  <c r="EF43" i="12"/>
  <c r="DF43" i="12"/>
  <c r="CS43" i="12"/>
  <c r="CF43" i="12"/>
  <c r="BT43" i="12"/>
  <c r="BG43" i="12"/>
  <c r="AT43" i="12"/>
  <c r="AG43" i="12"/>
  <c r="T43" i="12"/>
  <c r="G43" i="12"/>
  <c r="FT44" i="12"/>
  <c r="FG44" i="12"/>
  <c r="ET44" i="12"/>
  <c r="EG44" i="12"/>
  <c r="DG44" i="12"/>
  <c r="CT44" i="12"/>
  <c r="CH44" i="12"/>
  <c r="BU44" i="12"/>
  <c r="BH44" i="12"/>
  <c r="AU44" i="12"/>
  <c r="AH44" i="12"/>
  <c r="U44" i="12"/>
  <c r="H44" i="12"/>
  <c r="FU45" i="12"/>
  <c r="AY39" i="12"/>
  <c r="Y39" i="12"/>
  <c r="HT35" i="12"/>
  <c r="FU47" i="12"/>
  <c r="FH47" i="12"/>
  <c r="EU47" i="12"/>
  <c r="EH47" i="12"/>
  <c r="DH47" i="12"/>
  <c r="CV47" i="12"/>
  <c r="CI47" i="12"/>
  <c r="BV47" i="12"/>
  <c r="BI47" i="12"/>
  <c r="AV47" i="12"/>
  <c r="AI47" i="12"/>
  <c r="V47" i="12"/>
  <c r="I47" i="12"/>
  <c r="CK21" i="12"/>
  <c r="H47" i="12"/>
  <c r="FU21" i="12"/>
  <c r="FH21" i="12"/>
  <c r="EU21" i="12"/>
  <c r="EH21" i="12"/>
  <c r="DH21" i="12"/>
  <c r="CV21" i="12"/>
  <c r="CI21" i="12"/>
  <c r="BV21" i="12"/>
  <c r="BI21" i="12"/>
  <c r="AV21" i="12"/>
  <c r="AI21" i="12"/>
  <c r="V21" i="12"/>
  <c r="I21" i="12"/>
  <c r="CI39" i="12"/>
  <c r="BV39" i="12"/>
  <c r="V39" i="12"/>
  <c r="HZ15" i="12"/>
  <c r="FT21" i="12"/>
  <c r="HJ15" i="12"/>
  <c r="HR36" i="12"/>
  <c r="FE30" i="12"/>
  <c r="AF30" i="12"/>
  <c r="F30" i="12"/>
  <c r="EL39" i="12"/>
  <c r="HW29" i="12"/>
  <c r="CZ30" i="12"/>
  <c r="AM30" i="12"/>
  <c r="EA30" i="12"/>
  <c r="HX7" i="12"/>
  <c r="IA9" i="12"/>
  <c r="BV15" i="2"/>
  <c r="CI15" i="2" s="1"/>
  <c r="CV15" i="2" s="1"/>
  <c r="EZ12" i="2"/>
  <c r="J15" i="2"/>
  <c r="W15" i="2" s="1"/>
  <c r="AJ15" i="2" s="1"/>
  <c r="AW15" i="2" s="1"/>
  <c r="FY21" i="12"/>
  <c r="FL21" i="12"/>
  <c r="EZ21" i="12"/>
  <c r="HR21" i="12" s="1"/>
  <c r="EM21" i="12"/>
  <c r="DZ21" i="12"/>
  <c r="CZ21" i="12"/>
  <c r="CM21" i="12"/>
  <c r="BZ21" i="12"/>
  <c r="BM21" i="12"/>
  <c r="AZ21" i="12"/>
  <c r="AM21" i="12"/>
  <c r="Z21" i="12"/>
  <c r="AN30" i="12"/>
  <c r="AA30" i="12"/>
  <c r="ED30" i="12"/>
  <c r="BQ30" i="12"/>
  <c r="FN42" i="12"/>
  <c r="EN42" i="12"/>
  <c r="DA42" i="12"/>
  <c r="BN42" i="12"/>
  <c r="AN42" i="12"/>
  <c r="N42" i="12"/>
  <c r="FO43" i="12"/>
  <c r="EO43" i="12"/>
  <c r="CO43" i="12"/>
  <c r="CB43" i="12"/>
  <c r="BB43" i="12"/>
  <c r="AB43" i="12"/>
  <c r="C43" i="12"/>
  <c r="CM30" i="12"/>
  <c r="D46" i="12"/>
  <c r="FA42" i="12"/>
  <c r="EA42" i="12"/>
  <c r="CN42" i="12"/>
  <c r="BA42" i="12"/>
  <c r="AA42" i="12"/>
  <c r="B42" i="12"/>
  <c r="FB43" i="12"/>
  <c r="EB43" i="12"/>
  <c r="DB43" i="12"/>
  <c r="BO43" i="12"/>
  <c r="AO43" i="12"/>
  <c r="P43" i="12"/>
  <c r="AE45" i="12"/>
  <c r="FZ42" i="12"/>
  <c r="FL12" i="12"/>
  <c r="EZ42" i="12"/>
  <c r="EM42" i="12"/>
  <c r="DZ42" i="12"/>
  <c r="CZ42" i="12"/>
  <c r="CM42" i="12"/>
  <c r="BZ42" i="12"/>
  <c r="BM42" i="12"/>
  <c r="AZ42" i="12"/>
  <c r="AM42" i="12"/>
  <c r="BX21" i="12"/>
  <c r="X21" i="12"/>
  <c r="K21" i="12"/>
  <c r="CA42" i="12"/>
  <c r="FY42" i="12"/>
  <c r="EN44" i="12"/>
  <c r="AO45" i="12"/>
  <c r="FV21" i="12"/>
  <c r="FI21" i="12"/>
  <c r="EV21" i="12"/>
  <c r="EI21" i="12"/>
  <c r="HA21" i="12" s="1"/>
  <c r="CW21" i="12"/>
  <c r="CJ21" i="12"/>
  <c r="BW21" i="12"/>
  <c r="BJ21" i="12"/>
  <c r="AW21" i="12"/>
  <c r="AJ21" i="12"/>
  <c r="W21" i="12"/>
  <c r="J21" i="12"/>
  <c r="M21" i="12"/>
  <c r="FX30" i="12"/>
  <c r="CX42" i="12"/>
  <c r="CX12" i="12"/>
  <c r="K42" i="12"/>
  <c r="K12" i="12"/>
  <c r="FW42" i="12"/>
  <c r="FI42" i="12"/>
  <c r="EV42" i="12"/>
  <c r="EI42" i="12"/>
  <c r="CW42" i="12"/>
  <c r="CJ42" i="12"/>
  <c r="BW42" i="12"/>
  <c r="BW12" i="12"/>
  <c r="BJ42" i="12"/>
  <c r="AW42" i="12"/>
  <c r="AJ42" i="12"/>
  <c r="W42" i="12"/>
  <c r="J42" i="12"/>
  <c r="J12" i="12"/>
  <c r="FW43" i="12"/>
  <c r="FJ43" i="12"/>
  <c r="EW43" i="12"/>
  <c r="EJ43" i="12"/>
  <c r="DX43" i="12"/>
  <c r="CX43" i="12"/>
  <c r="CK43" i="12"/>
  <c r="BX43" i="12"/>
  <c r="BK43" i="12"/>
  <c r="AX43" i="12"/>
  <c r="AK43" i="12"/>
  <c r="X43" i="12"/>
  <c r="K43" i="12"/>
  <c r="FX44" i="12"/>
  <c r="FK44" i="12"/>
  <c r="EX44" i="12"/>
  <c r="EL44" i="12"/>
  <c r="DY44" i="12"/>
  <c r="CY44" i="12"/>
  <c r="CL44" i="12"/>
  <c r="BY44" i="12"/>
  <c r="BL44" i="12"/>
  <c r="AY44" i="12"/>
  <c r="AL44" i="12"/>
  <c r="Y44" i="12"/>
  <c r="L44" i="12"/>
  <c r="FY45" i="12"/>
  <c r="FL45" i="12"/>
  <c r="EZ45" i="12"/>
  <c r="EM45" i="12"/>
  <c r="DZ45" i="12"/>
  <c r="CZ45" i="12"/>
  <c r="CM45" i="12"/>
  <c r="BZ45" i="12"/>
  <c r="BM45" i="12"/>
  <c r="AZ45" i="12"/>
  <c r="AM45" i="12"/>
  <c r="Z45" i="12"/>
  <c r="M45" i="12"/>
  <c r="FZ46" i="12"/>
  <c r="FN46" i="12"/>
  <c r="FA46" i="12"/>
  <c r="EN46" i="12"/>
  <c r="EA46" i="12"/>
  <c r="DA46" i="12"/>
  <c r="CN46" i="12"/>
  <c r="CA46" i="12"/>
  <c r="BN46" i="12"/>
  <c r="BA46" i="12"/>
  <c r="N46" i="12"/>
  <c r="FH42" i="12"/>
  <c r="EU42" i="12"/>
  <c r="EH42" i="12"/>
  <c r="DH42" i="12"/>
  <c r="CV42" i="12"/>
  <c r="CI42" i="12"/>
  <c r="BV42" i="12"/>
  <c r="BI42" i="12"/>
  <c r="AV42" i="12"/>
  <c r="AI42" i="12"/>
  <c r="V42" i="12"/>
  <c r="I42" i="12"/>
  <c r="FV43" i="12"/>
  <c r="FI43" i="12"/>
  <c r="EV43" i="12"/>
  <c r="EI43" i="12"/>
  <c r="CW43" i="12"/>
  <c r="CJ43" i="12"/>
  <c r="BW43" i="12"/>
  <c r="BJ43" i="12"/>
  <c r="AW43" i="12"/>
  <c r="AJ43" i="12"/>
  <c r="W43" i="12"/>
  <c r="J43" i="12"/>
  <c r="FW44" i="12"/>
  <c r="FJ44" i="12"/>
  <c r="EW44" i="12"/>
  <c r="EJ44" i="12"/>
  <c r="DX44" i="12"/>
  <c r="CX44" i="12"/>
  <c r="CK44" i="12"/>
  <c r="BX44" i="12"/>
  <c r="BK44" i="12"/>
  <c r="AX44" i="12"/>
  <c r="AK44" i="12"/>
  <c r="X44" i="12"/>
  <c r="K44" i="12"/>
  <c r="FX45" i="12"/>
  <c r="FK45" i="12"/>
  <c r="EX45" i="12"/>
  <c r="EL45" i="12"/>
  <c r="DY45" i="12"/>
  <c r="CY45" i="12"/>
  <c r="CL45" i="12"/>
  <c r="BY45" i="12"/>
  <c r="BL45" i="12"/>
  <c r="AY45" i="12"/>
  <c r="AL45" i="12"/>
  <c r="Y45" i="12"/>
  <c r="L45" i="12"/>
  <c r="FY46" i="12"/>
  <c r="FL46" i="12"/>
  <c r="EZ46" i="12"/>
  <c r="EM46" i="12"/>
  <c r="DZ46" i="12"/>
  <c r="CZ46" i="12"/>
  <c r="CM46" i="12"/>
  <c r="BZ46" i="12"/>
  <c r="BM46" i="12"/>
  <c r="AZ46" i="12"/>
  <c r="AM46" i="12"/>
  <c r="Z46" i="12"/>
  <c r="M46" i="12"/>
  <c r="FZ47" i="12"/>
  <c r="FN47" i="12"/>
  <c r="FA47" i="12"/>
  <c r="EN47" i="12"/>
  <c r="EA47" i="12"/>
  <c r="DA47" i="12"/>
  <c r="CN47" i="12"/>
  <c r="CA47" i="12"/>
  <c r="BN47" i="12"/>
  <c r="BA47" i="12"/>
  <c r="AN47" i="12"/>
  <c r="AA47" i="12"/>
  <c r="N47" i="12"/>
  <c r="B47" i="12"/>
  <c r="FU42" i="12"/>
  <c r="FJ12" i="12"/>
  <c r="FR21" i="12"/>
  <c r="FT30" i="12"/>
  <c r="CX46" i="12"/>
  <c r="CK46" i="12"/>
  <c r="BX46" i="12"/>
  <c r="BK46" i="12"/>
  <c r="AX46" i="12"/>
  <c r="AK46" i="12"/>
  <c r="X46" i="12"/>
  <c r="K46" i="12"/>
  <c r="FX47" i="12"/>
  <c r="FK47" i="12"/>
  <c r="EX47" i="12"/>
  <c r="EL47" i="12"/>
  <c r="DY47" i="12"/>
  <c r="CY47" i="12"/>
  <c r="CL47" i="12"/>
  <c r="BY47" i="12"/>
  <c r="BL47" i="12"/>
  <c r="AY47" i="12"/>
  <c r="AL47" i="12"/>
  <c r="Y47" i="12"/>
  <c r="L47" i="12"/>
  <c r="FI12" i="12"/>
  <c r="FQ21" i="12"/>
  <c r="EQ21" i="12"/>
  <c r="DD21" i="12"/>
  <c r="CQ21" i="12"/>
  <c r="CD21" i="12"/>
  <c r="BQ21" i="12"/>
  <c r="AR21" i="12"/>
  <c r="R21" i="12"/>
  <c r="E21" i="12"/>
  <c r="BR30" i="12"/>
  <c r="BF30" i="12"/>
  <c r="FX39" i="12"/>
  <c r="FK39" i="12"/>
  <c r="DY39" i="12"/>
  <c r="CY39" i="12"/>
  <c r="FE12" i="12"/>
  <c r="BR12" i="12"/>
  <c r="S12" i="12"/>
  <c r="EH12" i="12"/>
  <c r="L39" i="12"/>
  <c r="ED42" i="12"/>
  <c r="BV12" i="12"/>
  <c r="FP44" i="12"/>
  <c r="FC44" i="12"/>
  <c r="EP44" i="12"/>
  <c r="EC44" i="12"/>
  <c r="DC44" i="12"/>
  <c r="CP44" i="12"/>
  <c r="CC44" i="12"/>
  <c r="BP44" i="12"/>
  <c r="BC44" i="12"/>
  <c r="AP44" i="12"/>
  <c r="AD44" i="12"/>
  <c r="Q44" i="12"/>
  <c r="D44" i="12"/>
  <c r="FQ45" i="12"/>
  <c r="FD45" i="12"/>
  <c r="EQ45" i="12"/>
  <c r="ED45" i="12"/>
  <c r="DD45" i="12"/>
  <c r="CQ45" i="12"/>
  <c r="CD45" i="12"/>
  <c r="BQ45" i="12"/>
  <c r="BD45" i="12"/>
  <c r="AR45" i="12"/>
  <c r="R45" i="12"/>
  <c r="E45" i="12"/>
  <c r="FR46" i="12"/>
  <c r="FE46" i="12"/>
  <c r="ER46" i="12"/>
  <c r="EE46" i="12"/>
  <c r="DE46" i="12"/>
  <c r="CR46" i="12"/>
  <c r="CE46" i="12"/>
  <c r="BR46" i="12"/>
  <c r="BF46" i="12"/>
  <c r="AS46" i="12"/>
  <c r="AF46" i="12"/>
  <c r="S46" i="12"/>
  <c r="F46" i="12"/>
  <c r="FS47" i="12"/>
  <c r="FF47" i="12"/>
  <c r="ES47" i="12"/>
  <c r="EF47" i="12"/>
  <c r="DF47" i="12"/>
  <c r="CS47" i="12"/>
  <c r="CF47" i="12"/>
  <c r="BT47" i="12"/>
  <c r="BG47" i="12"/>
  <c r="AT47" i="12"/>
  <c r="AG47" i="12"/>
  <c r="FR39" i="12"/>
  <c r="FE39" i="12"/>
  <c r="ER39" i="12"/>
  <c r="EE39" i="12"/>
  <c r="DE39" i="12"/>
  <c r="CR39" i="12"/>
  <c r="CE39" i="12"/>
  <c r="BR39" i="12"/>
  <c r="BF39" i="12"/>
  <c r="AS39" i="12"/>
  <c r="AF39" i="12"/>
  <c r="S39" i="12"/>
  <c r="F39" i="12"/>
  <c r="ET39" i="12"/>
  <c r="EG39" i="12"/>
  <c r="DG39" i="12"/>
  <c r="CT39" i="12"/>
  <c r="CH39" i="12"/>
  <c r="FU39" i="12"/>
  <c r="EH39" i="12"/>
  <c r="DH39" i="12"/>
  <c r="AV39" i="12"/>
  <c r="AI39" i="12"/>
  <c r="Z42" i="12"/>
  <c r="M42" i="12"/>
  <c r="FZ43" i="12"/>
  <c r="FN43" i="12"/>
  <c r="FA43" i="12"/>
  <c r="EN43" i="12"/>
  <c r="EA43" i="12"/>
  <c r="DA43" i="12"/>
  <c r="CN43" i="12"/>
  <c r="CA43" i="12"/>
  <c r="BN43" i="12"/>
  <c r="BA43" i="12"/>
  <c r="AN43" i="12"/>
  <c r="AA43" i="12"/>
  <c r="N43" i="12"/>
  <c r="B43" i="12"/>
  <c r="FO44" i="12"/>
  <c r="FB44" i="12"/>
  <c r="EO44" i="12"/>
  <c r="EB44" i="12"/>
  <c r="DB44" i="12"/>
  <c r="CO44" i="12"/>
  <c r="CB44" i="12"/>
  <c r="BO44" i="12"/>
  <c r="BB44" i="12"/>
  <c r="AO44" i="12"/>
  <c r="AB44" i="12"/>
  <c r="P44" i="12"/>
  <c r="C44" i="12"/>
  <c r="FP45" i="12"/>
  <c r="FC45" i="12"/>
  <c r="EP45" i="12"/>
  <c r="EC45" i="12"/>
  <c r="DC45" i="12"/>
  <c r="CP45" i="12"/>
  <c r="CC45" i="12"/>
  <c r="BP45" i="12"/>
  <c r="BC45" i="12"/>
  <c r="AP45" i="12"/>
  <c r="AD45" i="12"/>
  <c r="Q45" i="12"/>
  <c r="D45" i="12"/>
  <c r="FQ46" i="12"/>
  <c r="FD46" i="12"/>
  <c r="EQ46" i="12"/>
  <c r="ED46" i="12"/>
  <c r="DD46" i="12"/>
  <c r="CQ46" i="12"/>
  <c r="CD46" i="12"/>
  <c r="BQ46" i="12"/>
  <c r="E46" i="12"/>
  <c r="FE47" i="12"/>
  <c r="CE47" i="12"/>
  <c r="EO21" i="12"/>
  <c r="DB21" i="12"/>
  <c r="P21" i="12"/>
  <c r="AE21" i="12"/>
  <c r="ER21" i="12"/>
  <c r="EE21" i="12"/>
  <c r="AF21" i="12"/>
  <c r="FF21" i="12"/>
  <c r="ES21" i="12"/>
  <c r="BG21" i="12"/>
  <c r="FG21" i="12"/>
  <c r="AU21" i="12"/>
  <c r="FQ39" i="12"/>
  <c r="FD39" i="12"/>
  <c r="EQ39" i="12"/>
  <c r="ED39" i="12"/>
  <c r="DD39" i="12"/>
  <c r="CQ39" i="12"/>
  <c r="CD39" i="12"/>
  <c r="BQ39" i="12"/>
  <c r="BD39" i="12"/>
  <c r="AR39" i="12"/>
  <c r="AE39" i="12"/>
  <c r="R39" i="12"/>
  <c r="E39" i="12"/>
  <c r="BT21" i="12"/>
  <c r="AT21" i="12"/>
  <c r="FO39" i="12"/>
  <c r="FB39" i="12"/>
  <c r="EO39" i="12"/>
  <c r="EB39" i="12"/>
  <c r="DB39" i="12"/>
  <c r="CO39" i="12"/>
  <c r="CB39" i="12"/>
  <c r="BO39" i="12"/>
  <c r="BB39" i="12"/>
  <c r="AO39" i="12"/>
  <c r="AB39" i="12"/>
  <c r="P39" i="12"/>
  <c r="C39" i="12"/>
  <c r="EO47" i="12"/>
  <c r="FK30" i="12"/>
  <c r="EX30" i="12"/>
  <c r="HB30" i="12" s="1"/>
  <c r="EL30" i="12"/>
  <c r="DY30" i="12"/>
  <c r="CY30" i="12"/>
  <c r="CL30" i="12"/>
  <c r="BY30" i="12"/>
  <c r="BL30" i="12"/>
  <c r="AY30" i="12"/>
  <c r="AL30" i="12"/>
  <c r="Y30" i="12"/>
  <c r="L30" i="12"/>
  <c r="FR43" i="12"/>
  <c r="FE43" i="12"/>
  <c r="ER43" i="12"/>
  <c r="EE43" i="12"/>
  <c r="DE43" i="12"/>
  <c r="CR43" i="12"/>
  <c r="CE43" i="12"/>
  <c r="BR43" i="12"/>
  <c r="BF43" i="12"/>
  <c r="AS43" i="12"/>
  <c r="AF43" i="12"/>
  <c r="S43" i="12"/>
  <c r="F43" i="12"/>
  <c r="FS44" i="12"/>
  <c r="FF44" i="12"/>
  <c r="ES44" i="12"/>
  <c r="EF44" i="12"/>
  <c r="DF44" i="12"/>
  <c r="CS44" i="12"/>
  <c r="CF44" i="12"/>
  <c r="BT44" i="12"/>
  <c r="BG44" i="12"/>
  <c r="AT44" i="12"/>
  <c r="AG44" i="12"/>
  <c r="T44" i="12"/>
  <c r="G44" i="12"/>
  <c r="FT45" i="12"/>
  <c r="FG45" i="12"/>
  <c r="ET45" i="12"/>
  <c r="EG45" i="12"/>
  <c r="DG45" i="12"/>
  <c r="CT45" i="12"/>
  <c r="CH45" i="12"/>
  <c r="BU45" i="12"/>
  <c r="BH45" i="12"/>
  <c r="AU45" i="12"/>
  <c r="AH45" i="12"/>
  <c r="U45" i="12"/>
  <c r="H45" i="12"/>
  <c r="FU46" i="12"/>
  <c r="FH46" i="12"/>
  <c r="EU46" i="12"/>
  <c r="EH46" i="12"/>
  <c r="DH46" i="12"/>
  <c r="CV46" i="12"/>
  <c r="CI46" i="12"/>
  <c r="BV46" i="12"/>
  <c r="BI46" i="12"/>
  <c r="AV46" i="12"/>
  <c r="AI46" i="12"/>
  <c r="V46" i="12"/>
  <c r="I46" i="12"/>
  <c r="FV47" i="12"/>
  <c r="FI47" i="12"/>
  <c r="EV47" i="12"/>
  <c r="EI47" i="12"/>
  <c r="CW47" i="12"/>
  <c r="CJ47" i="12"/>
  <c r="BW47" i="12"/>
  <c r="BJ47" i="12"/>
  <c r="AW47" i="12"/>
  <c r="AJ47" i="12"/>
  <c r="W47" i="12"/>
  <c r="J47" i="12"/>
  <c r="FE21" i="12"/>
  <c r="DE21" i="12"/>
  <c r="CR21" i="12"/>
  <c r="CE21" i="12"/>
  <c r="BR21" i="12"/>
  <c r="BF21" i="12"/>
  <c r="AS21" i="12"/>
  <c r="S21" i="12"/>
  <c r="F21" i="12"/>
  <c r="FG30" i="12"/>
  <c r="ET30" i="12"/>
  <c r="EG30" i="12"/>
  <c r="DG30" i="12"/>
  <c r="CT30" i="12"/>
  <c r="CH30" i="12"/>
  <c r="BU30" i="12"/>
  <c r="BH30" i="12"/>
  <c r="AU30" i="12"/>
  <c r="AH30" i="12"/>
  <c r="U30" i="12"/>
  <c r="H30" i="12"/>
  <c r="FT39" i="12"/>
  <c r="FG39" i="12"/>
  <c r="BU39" i="12"/>
  <c r="BH39" i="12"/>
  <c r="AU39" i="12"/>
  <c r="AH39" i="12"/>
  <c r="U39" i="12"/>
  <c r="H39" i="12"/>
  <c r="FH39" i="12"/>
  <c r="EU39" i="12"/>
  <c r="CV39" i="12"/>
  <c r="BI39" i="12"/>
  <c r="EX39" i="12"/>
  <c r="CL39" i="12"/>
  <c r="BL39" i="12"/>
  <c r="AL39" i="12"/>
  <c r="FY39" i="12"/>
  <c r="EZ39" i="12"/>
  <c r="HR39" i="12" s="1"/>
  <c r="CM39" i="12"/>
  <c r="Z39" i="12"/>
  <c r="FZ30" i="12"/>
  <c r="EX42" i="12"/>
  <c r="EX12" i="12"/>
  <c r="AY42" i="12"/>
  <c r="AY12" i="12"/>
  <c r="EZ43" i="12"/>
  <c r="BZ43" i="12"/>
  <c r="AM43" i="12"/>
  <c r="FZ44" i="12"/>
  <c r="EA44" i="12"/>
  <c r="CN44" i="12"/>
  <c r="BA44" i="12"/>
  <c r="N44" i="12"/>
  <c r="FB45" i="12"/>
  <c r="CO45" i="12"/>
  <c r="BB45" i="12"/>
  <c r="C45" i="12"/>
  <c r="AD46" i="12"/>
  <c r="FH12" i="12"/>
  <c r="HZ12" i="12" s="1"/>
  <c r="DZ12" i="12"/>
  <c r="CW12" i="12"/>
  <c r="BN12" i="12"/>
  <c r="AK12" i="12"/>
  <c r="I12" i="12"/>
  <c r="FV30" i="12"/>
  <c r="FI30" i="12"/>
  <c r="EV30" i="12"/>
  <c r="EI30" i="12"/>
  <c r="FL42" i="12"/>
  <c r="CJ48" i="12"/>
  <c r="FA12" i="12"/>
  <c r="DX12" i="12"/>
  <c r="CV12" i="12"/>
  <c r="BM12" i="12"/>
  <c r="AJ12" i="12"/>
  <c r="B12" i="12"/>
  <c r="FB21" i="12"/>
  <c r="EB21" i="12"/>
  <c r="CO21" i="12"/>
  <c r="CB21" i="12"/>
  <c r="BO21" i="12"/>
  <c r="BB21" i="12"/>
  <c r="AO21" i="12"/>
  <c r="AB21" i="12"/>
  <c r="C21" i="12"/>
  <c r="FE42" i="12"/>
  <c r="CZ43" i="12"/>
  <c r="EZ12" i="12"/>
  <c r="HR12" i="12" s="1"/>
  <c r="CN12" i="12"/>
  <c r="BK12" i="12"/>
  <c r="AI12" i="12"/>
  <c r="FP46" i="12"/>
  <c r="EQ47" i="12"/>
  <c r="EA12" i="12"/>
  <c r="AM12" i="12"/>
  <c r="FT42" i="12"/>
  <c r="FT12" i="12"/>
  <c r="FG42" i="12"/>
  <c r="FG12" i="12"/>
  <c r="ET42" i="12"/>
  <c r="ET12" i="12"/>
  <c r="EG42" i="12"/>
  <c r="EG12" i="12"/>
  <c r="DG12" i="12"/>
  <c r="DG42" i="12"/>
  <c r="CT42" i="12"/>
  <c r="CT12" i="12"/>
  <c r="CH42" i="12"/>
  <c r="CH12" i="12"/>
  <c r="BU42" i="12"/>
  <c r="BU12" i="12"/>
  <c r="BH42" i="12"/>
  <c r="BH12" i="12"/>
  <c r="AU42" i="12"/>
  <c r="AU12" i="12"/>
  <c r="AH42" i="12"/>
  <c r="AH12" i="12"/>
  <c r="U42" i="12"/>
  <c r="U12" i="12"/>
  <c r="H12" i="12"/>
  <c r="H42" i="12"/>
  <c r="FZ12" i="12"/>
  <c r="EW12" i="12"/>
  <c r="CM12" i="12"/>
  <c r="BJ12" i="12"/>
  <c r="AA12" i="12"/>
  <c r="EL42" i="12"/>
  <c r="EL12" i="12"/>
  <c r="BY42" i="12"/>
  <c r="BY12" i="12"/>
  <c r="FL43" i="12"/>
  <c r="DZ43" i="12"/>
  <c r="BM43" i="12"/>
  <c r="Z43" i="12"/>
  <c r="FA44" i="12"/>
  <c r="DA44" i="12"/>
  <c r="CA44" i="12"/>
  <c r="AN44" i="12"/>
  <c r="B44" i="12"/>
  <c r="EO45" i="12"/>
  <c r="DB45" i="12"/>
  <c r="CB45" i="12"/>
  <c r="AB45" i="12"/>
  <c r="EP46" i="12"/>
  <c r="FD47" i="12"/>
  <c r="FS12" i="12"/>
  <c r="FF12" i="12"/>
  <c r="FF42" i="12"/>
  <c r="ES42" i="12"/>
  <c r="ES12" i="12"/>
  <c r="EF42" i="12"/>
  <c r="EF12" i="12"/>
  <c r="DF42" i="12"/>
  <c r="DF12" i="12"/>
  <c r="CS42" i="12"/>
  <c r="CS12" i="12"/>
  <c r="CF42" i="12"/>
  <c r="CF12" i="12"/>
  <c r="BT12" i="12"/>
  <c r="BG42" i="12"/>
  <c r="BG12" i="12"/>
  <c r="AT42" i="12"/>
  <c r="AT12" i="12"/>
  <c r="AG42" i="12"/>
  <c r="AG12" i="12"/>
  <c r="T42" i="12"/>
  <c r="T12" i="12"/>
  <c r="G42" i="12"/>
  <c r="G12" i="12"/>
  <c r="FY12" i="12"/>
  <c r="EV12" i="12"/>
  <c r="CK12" i="12"/>
  <c r="BI12" i="12"/>
  <c r="Z12" i="12"/>
  <c r="FX21" i="12"/>
  <c r="FK21" i="12"/>
  <c r="IC21" i="12" s="1"/>
  <c r="EX21" i="12"/>
  <c r="EL21" i="12"/>
  <c r="CL21" i="12"/>
  <c r="BL21" i="12"/>
  <c r="AY21" i="12"/>
  <c r="AL21" i="12"/>
  <c r="Y21" i="12"/>
  <c r="L21" i="12"/>
  <c r="FR30" i="12"/>
  <c r="ER30" i="12"/>
  <c r="GV30" i="12" s="1"/>
  <c r="EE30" i="12"/>
  <c r="DE30" i="12"/>
  <c r="CR30" i="12"/>
  <c r="DT30" i="12" s="1"/>
  <c r="CE30" i="12"/>
  <c r="AS30" i="12"/>
  <c r="S30" i="12"/>
  <c r="G39" i="12"/>
  <c r="CZ12" i="12"/>
  <c r="AN12" i="12"/>
  <c r="FX42" i="12"/>
  <c r="FX12" i="12"/>
  <c r="DY42" i="12"/>
  <c r="DY12" i="12"/>
  <c r="CY42" i="12"/>
  <c r="CY12" i="12"/>
  <c r="CL42" i="12"/>
  <c r="CL12" i="12"/>
  <c r="AL42" i="12"/>
  <c r="AL12" i="12"/>
  <c r="Y42" i="12"/>
  <c r="Y12" i="12"/>
  <c r="L42" i="12"/>
  <c r="L12" i="12"/>
  <c r="EM43" i="12"/>
  <c r="AZ43" i="12"/>
  <c r="M43" i="12"/>
  <c r="FN44" i="12"/>
  <c r="BN44" i="12"/>
  <c r="AA44" i="12"/>
  <c r="FO45" i="12"/>
  <c r="EB45" i="12"/>
  <c r="BO45" i="12"/>
  <c r="P45" i="12"/>
  <c r="FQ47" i="12"/>
  <c r="FR42" i="12"/>
  <c r="FR12" i="12"/>
  <c r="ER42" i="12"/>
  <c r="ER12" i="12"/>
  <c r="EE42" i="12"/>
  <c r="EE12" i="12"/>
  <c r="DE42" i="12"/>
  <c r="DE12" i="12"/>
  <c r="CR42" i="12"/>
  <c r="CR12" i="12"/>
  <c r="CE42" i="12"/>
  <c r="CE12" i="12"/>
  <c r="BF12" i="12"/>
  <c r="BF42" i="12"/>
  <c r="AS42" i="12"/>
  <c r="AS12" i="12"/>
  <c r="AF42" i="12"/>
  <c r="AF12" i="12"/>
  <c r="F42" i="12"/>
  <c r="F12" i="12"/>
  <c r="FW12" i="12"/>
  <c r="EU12" i="12"/>
  <c r="CJ12" i="12"/>
  <c r="BA12" i="12"/>
  <c r="X12" i="12"/>
  <c r="FW21" i="12"/>
  <c r="FJ21" i="12"/>
  <c r="IB21" i="12" s="1"/>
  <c r="EW21" i="12"/>
  <c r="EJ21" i="12"/>
  <c r="HB21" i="12" s="1"/>
  <c r="DX21" i="12"/>
  <c r="CX21" i="12"/>
  <c r="BK21" i="12"/>
  <c r="AX21" i="12"/>
  <c r="AK21" i="12"/>
  <c r="BT42" i="12"/>
  <c r="F47" i="12"/>
  <c r="FY43" i="12"/>
  <c r="FQ42" i="12"/>
  <c r="FQ12" i="12"/>
  <c r="FD42" i="12"/>
  <c r="FD12" i="12"/>
  <c r="EQ42" i="12"/>
  <c r="EQ12" i="12"/>
  <c r="ED12" i="12"/>
  <c r="DD42" i="12"/>
  <c r="DD12" i="12"/>
  <c r="CQ42" i="12"/>
  <c r="CQ12" i="12"/>
  <c r="CD42" i="12"/>
  <c r="CD12" i="12"/>
  <c r="BQ42" i="12"/>
  <c r="BQ12" i="12"/>
  <c r="BD12" i="12"/>
  <c r="BD42" i="12"/>
  <c r="AR42" i="12"/>
  <c r="AR12" i="12"/>
  <c r="AE42" i="12"/>
  <c r="AE12" i="12"/>
  <c r="R42" i="12"/>
  <c r="R12" i="12"/>
  <c r="E42" i="12"/>
  <c r="E12" i="12"/>
  <c r="FV12" i="12"/>
  <c r="EN12" i="12"/>
  <c r="CI12" i="12"/>
  <c r="AZ12" i="12"/>
  <c r="W12" i="12"/>
  <c r="FQ30" i="12"/>
  <c r="EQ30" i="12"/>
  <c r="GU30" i="12" s="1"/>
  <c r="R30" i="12"/>
  <c r="BR42" i="12"/>
  <c r="CM43" i="12"/>
  <c r="FP42" i="12"/>
  <c r="FP12" i="12"/>
  <c r="FC42" i="12"/>
  <c r="EP12" i="12"/>
  <c r="EP42" i="12"/>
  <c r="EC12" i="12"/>
  <c r="DC42" i="12"/>
  <c r="DC12" i="12"/>
  <c r="CP12" i="12"/>
  <c r="CP42" i="12"/>
  <c r="CC12" i="12"/>
  <c r="CC42" i="12"/>
  <c r="BP42" i="12"/>
  <c r="BP12" i="12"/>
  <c r="BC42" i="12"/>
  <c r="BC12" i="12"/>
  <c r="AP42" i="12"/>
  <c r="AP12" i="12"/>
  <c r="AD42" i="12"/>
  <c r="AD12" i="12"/>
  <c r="Q42" i="12"/>
  <c r="Q12" i="12"/>
  <c r="D42" i="12"/>
  <c r="D12" i="12"/>
  <c r="FU12" i="12"/>
  <c r="EM12" i="12"/>
  <c r="CA12" i="12"/>
  <c r="AX12" i="12"/>
  <c r="V12" i="12"/>
  <c r="FK42" i="12"/>
  <c r="FK12" i="12"/>
  <c r="FO42" i="12"/>
  <c r="FO12" i="12"/>
  <c r="FB42" i="12"/>
  <c r="FB12" i="12"/>
  <c r="EO12" i="12"/>
  <c r="EO42" i="12"/>
  <c r="EB42" i="12"/>
  <c r="EB12" i="12"/>
  <c r="DB42" i="12"/>
  <c r="DB12" i="12"/>
  <c r="CO12" i="12"/>
  <c r="CO42" i="12"/>
  <c r="CB12" i="12"/>
  <c r="CB42" i="12"/>
  <c r="BO42" i="12"/>
  <c r="BO12" i="12"/>
  <c r="BB42" i="12"/>
  <c r="BB12" i="12"/>
  <c r="AO42" i="12"/>
  <c r="AO12" i="12"/>
  <c r="AB42" i="12"/>
  <c r="AB12" i="12"/>
  <c r="P12" i="12"/>
  <c r="C42" i="12"/>
  <c r="C12" i="12"/>
  <c r="FN12" i="12"/>
  <c r="EJ12" i="12"/>
  <c r="HB12" i="12" s="1"/>
  <c r="DH12" i="12"/>
  <c r="BZ12" i="12"/>
  <c r="AW12" i="12"/>
  <c r="N12" i="12"/>
  <c r="ET21" i="12"/>
  <c r="EG21" i="12"/>
  <c r="GY21" i="12" s="1"/>
  <c r="DG21" i="12"/>
  <c r="CT21" i="12"/>
  <c r="CH21" i="12"/>
  <c r="BU21" i="12"/>
  <c r="BH21" i="12"/>
  <c r="AH21" i="12"/>
  <c r="U21" i="12"/>
  <c r="H21" i="12"/>
  <c r="FN30" i="12"/>
  <c r="DA30" i="12"/>
  <c r="CA30" i="12"/>
  <c r="BA30" i="12"/>
  <c r="N30" i="12"/>
  <c r="S42" i="12"/>
  <c r="BL42" i="12"/>
  <c r="BL12" i="12"/>
  <c r="EI12" i="12"/>
  <c r="DA12" i="12"/>
  <c r="BX12" i="12"/>
  <c r="AV12" i="12"/>
  <c r="M12" i="12"/>
  <c r="FS21" i="12"/>
  <c r="EF21" i="12"/>
  <c r="DF21" i="12"/>
  <c r="CS21" i="12"/>
  <c r="CF21" i="12"/>
  <c r="AG21" i="12"/>
  <c r="T21" i="12"/>
  <c r="GF21" i="12" s="1"/>
  <c r="G21" i="12"/>
  <c r="FY30" i="12"/>
  <c r="FL30" i="12"/>
  <c r="EZ30" i="12"/>
  <c r="HR30" i="12" s="1"/>
  <c r="EM30" i="12"/>
  <c r="DZ30" i="12"/>
  <c r="BZ30" i="12"/>
  <c r="BM30" i="12"/>
  <c r="AZ30" i="12"/>
  <c r="Z30" i="12"/>
  <c r="M30" i="12"/>
  <c r="FA30" i="12"/>
  <c r="EN30" i="12"/>
  <c r="CN30" i="12"/>
  <c r="BN30" i="12"/>
  <c r="B30" i="12"/>
  <c r="FD30" i="12"/>
  <c r="DD30" i="12"/>
  <c r="CQ30" i="12"/>
  <c r="CD30" i="12"/>
  <c r="BD30" i="12"/>
  <c r="AR30" i="12"/>
  <c r="AE30" i="12"/>
  <c r="E30" i="12"/>
  <c r="P42" i="12"/>
  <c r="CX47" i="12"/>
  <c r="CK47" i="12"/>
  <c r="BX47" i="12"/>
  <c r="BK47" i="12"/>
  <c r="AX47" i="12"/>
  <c r="AK47" i="12"/>
  <c r="X47" i="12"/>
  <c r="K47" i="12"/>
  <c r="FW30" i="12"/>
  <c r="FJ30" i="12"/>
  <c r="EW30" i="12"/>
  <c r="HA30" i="12" s="1"/>
  <c r="EJ30" i="12"/>
  <c r="DX30" i="12"/>
  <c r="CX30" i="12"/>
  <c r="CK30" i="12"/>
  <c r="BX30" i="12"/>
  <c r="BK30" i="12"/>
  <c r="AX30" i="12"/>
  <c r="AK30" i="12"/>
  <c r="X30" i="12"/>
  <c r="K30" i="12"/>
  <c r="FP39" i="12"/>
  <c r="FC39" i="12"/>
  <c r="EP39" i="12"/>
  <c r="EC39" i="12"/>
  <c r="DC39" i="12"/>
  <c r="CP39" i="12"/>
  <c r="CC39" i="12"/>
  <c r="BP39" i="12"/>
  <c r="BC39" i="12"/>
  <c r="AP39" i="12"/>
  <c r="AD39" i="12"/>
  <c r="Q39" i="12"/>
  <c r="D39" i="12"/>
  <c r="CW30" i="12"/>
  <c r="CJ30" i="12"/>
  <c r="BW30" i="12"/>
  <c r="BJ30" i="12"/>
  <c r="AW30" i="12"/>
  <c r="AJ30" i="12"/>
  <c r="W30" i="12"/>
  <c r="GI30" i="12" s="1"/>
  <c r="J30" i="12"/>
  <c r="FU30" i="12"/>
  <c r="FH30" i="12"/>
  <c r="EU30" i="12"/>
  <c r="GY30" i="12" s="1"/>
  <c r="EH30" i="12"/>
  <c r="DH30" i="12"/>
  <c r="CV30" i="12"/>
  <c r="CI30" i="12"/>
  <c r="BV30" i="12"/>
  <c r="BI30" i="12"/>
  <c r="AV30" i="12"/>
  <c r="AI30" i="12"/>
  <c r="V30" i="12"/>
  <c r="GH30" i="12" s="1"/>
  <c r="I30" i="12"/>
  <c r="T47" i="12"/>
  <c r="G47" i="12"/>
  <c r="BD46" i="12"/>
  <c r="AR46" i="12"/>
  <c r="AE46" i="12"/>
  <c r="R46" i="12"/>
  <c r="FR47" i="12"/>
  <c r="ER47" i="12"/>
  <c r="EE47" i="12"/>
  <c r="DE47" i="12"/>
  <c r="CR47" i="12"/>
  <c r="BR47" i="12"/>
  <c r="BF47" i="12"/>
  <c r="AS47" i="12"/>
  <c r="AF47" i="12"/>
  <c r="S47" i="12"/>
  <c r="FW39" i="12"/>
  <c r="FJ39" i="12"/>
  <c r="EW39" i="12"/>
  <c r="EJ39" i="12"/>
  <c r="DX39" i="12"/>
  <c r="CX39" i="12"/>
  <c r="CK39" i="12"/>
  <c r="BX39" i="12"/>
  <c r="BK39" i="12"/>
  <c r="AX39" i="12"/>
  <c r="AK39" i="12"/>
  <c r="X39" i="12"/>
  <c r="K39" i="12"/>
  <c r="FC46" i="12"/>
  <c r="EC46" i="12"/>
  <c r="DC46" i="12"/>
  <c r="CP46" i="12"/>
  <c r="CC46" i="12"/>
  <c r="BP46" i="12"/>
  <c r="BC46" i="12"/>
  <c r="AP46" i="12"/>
  <c r="Q46" i="12"/>
  <c r="ED47" i="12"/>
  <c r="CQ47" i="12"/>
  <c r="CD47" i="12"/>
  <c r="BQ47" i="12"/>
  <c r="BD47" i="12"/>
  <c r="AR47" i="12"/>
  <c r="AE47" i="12"/>
  <c r="R47" i="12"/>
  <c r="FP30" i="12"/>
  <c r="FC30" i="12"/>
  <c r="EP30" i="12"/>
  <c r="GT30" i="12" s="1"/>
  <c r="EC30" i="12"/>
  <c r="DC30" i="12"/>
  <c r="CP30" i="12"/>
  <c r="CC30" i="12"/>
  <c r="BP30" i="12"/>
  <c r="BC30" i="12"/>
  <c r="AP30" i="12"/>
  <c r="AD30" i="12"/>
  <c r="Q30" i="12"/>
  <c r="GC30" i="12" s="1"/>
  <c r="D30" i="12"/>
  <c r="AN46" i="12"/>
  <c r="AA46" i="12"/>
  <c r="B46" i="12"/>
  <c r="FO47" i="12"/>
  <c r="FB47" i="12"/>
  <c r="EB47" i="12"/>
  <c r="DB47" i="12"/>
  <c r="CO47" i="12"/>
  <c r="CB47" i="12"/>
  <c r="BO47" i="12"/>
  <c r="BB47" i="12"/>
  <c r="AO47" i="12"/>
  <c r="AB47" i="12"/>
  <c r="FO30" i="12"/>
  <c r="FB30" i="12"/>
  <c r="EO30" i="12"/>
  <c r="GS30" i="12" s="1"/>
  <c r="EB30" i="12"/>
  <c r="DB30" i="12"/>
  <c r="CO30" i="12"/>
  <c r="CB30" i="12"/>
  <c r="BO30" i="12"/>
  <c r="BB30" i="12"/>
  <c r="AO30" i="12"/>
  <c r="AB30" i="12"/>
  <c r="P30" i="12"/>
  <c r="C30" i="12"/>
  <c r="I39" i="12"/>
  <c r="FV39" i="12"/>
  <c r="FI39" i="12"/>
  <c r="EV39" i="12"/>
  <c r="EI39" i="12"/>
  <c r="CW39" i="12"/>
  <c r="CJ39" i="12"/>
  <c r="BW39" i="12"/>
  <c r="BJ39" i="12"/>
  <c r="AW39" i="12"/>
  <c r="AJ39" i="12"/>
  <c r="W39" i="12"/>
  <c r="FP21" i="12"/>
  <c r="FC21" i="12"/>
  <c r="EP21" i="12"/>
  <c r="EC21" i="12"/>
  <c r="DC21" i="12"/>
  <c r="CP21" i="12"/>
  <c r="CC21" i="12"/>
  <c r="BP21" i="12"/>
  <c r="BC21" i="12"/>
  <c r="AP21" i="12"/>
  <c r="AD21" i="12"/>
  <c r="Q21" i="12"/>
  <c r="GC21" i="12" s="1"/>
  <c r="D21" i="12"/>
  <c r="FS39" i="12"/>
  <c r="FF39" i="12"/>
  <c r="ES39" i="12"/>
  <c r="EF39" i="12"/>
  <c r="DF39" i="12"/>
  <c r="CS39" i="12"/>
  <c r="CF39" i="12"/>
  <c r="BT39" i="12"/>
  <c r="BG39" i="12"/>
  <c r="AT39" i="12"/>
  <c r="AG39" i="12"/>
  <c r="T39" i="12"/>
  <c r="J39" i="12"/>
  <c r="H15" i="2"/>
  <c r="U15" i="2" s="1"/>
  <c r="AH15" i="2" s="1"/>
  <c r="BP15" i="2"/>
  <c r="CC15" i="2" s="1"/>
  <c r="CP15" i="2" s="1"/>
  <c r="G15" i="2"/>
  <c r="T15" i="2" s="1"/>
  <c r="AG15" i="2" s="1"/>
  <c r="AT15" i="2" s="1"/>
  <c r="V12" i="2"/>
  <c r="B12" i="2"/>
  <c r="BQ15" i="2"/>
  <c r="CD15" i="2" s="1"/>
  <c r="CQ15" i="2" s="1"/>
  <c r="BT12" i="2"/>
  <c r="AL12" i="2"/>
  <c r="FL12" i="2"/>
  <c r="FJ12" i="2"/>
  <c r="K15" i="2"/>
  <c r="X15" i="2" s="1"/>
  <c r="AK15" i="2" s="1"/>
  <c r="EA12" i="2"/>
  <c r="FK12" i="2"/>
  <c r="EN12" i="2"/>
  <c r="EN26" i="2" s="1"/>
  <c r="DO12" i="2"/>
  <c r="DV12" i="2"/>
  <c r="EH12" i="2"/>
  <c r="EH26" i="2" s="1"/>
  <c r="FF12" i="2"/>
  <c r="DY12" i="2"/>
  <c r="BB12" i="2"/>
  <c r="EM12" i="2"/>
  <c r="EM26" i="2" s="1"/>
  <c r="EK12" i="2"/>
  <c r="EK26" i="2" s="1"/>
  <c r="FI12" i="2"/>
  <c r="BN12" i="2"/>
  <c r="BZ12" i="2"/>
  <c r="DT12" i="2"/>
  <c r="EF12" i="2"/>
  <c r="EF26" i="2" s="1"/>
  <c r="FD12" i="2"/>
  <c r="J12" i="2"/>
  <c r="AP12" i="2"/>
  <c r="BE12" i="2"/>
  <c r="DZ12" i="2"/>
  <c r="EL12" i="2"/>
  <c r="EL26" i="2" s="1"/>
  <c r="FB12" i="2"/>
  <c r="U12" i="2"/>
  <c r="BU12" i="2"/>
  <c r="BF12" i="2"/>
  <c r="AU15" i="2"/>
  <c r="E15" i="2"/>
  <c r="R15" i="2" s="1"/>
  <c r="AE15" i="2" s="1"/>
  <c r="AR15" i="2" s="1"/>
  <c r="BR15" i="2"/>
  <c r="AS12" i="2"/>
  <c r="DQ12" i="2"/>
  <c r="EC12" i="2"/>
  <c r="EC26" i="2" s="1"/>
  <c r="FM12" i="2"/>
  <c r="DR12" i="2"/>
  <c r="ED12" i="2"/>
  <c r="ED26" i="2" s="1"/>
  <c r="R12" i="2"/>
  <c r="DS12" i="2"/>
  <c r="EE12" i="2"/>
  <c r="EE26" i="2" s="1"/>
  <c r="S78" i="3"/>
  <c r="S6" i="3"/>
  <c r="AE78" i="3"/>
  <c r="AE6" i="3"/>
  <c r="I78" i="3"/>
  <c r="I6" i="3"/>
  <c r="E6" i="2" s="1"/>
  <c r="U78" i="3"/>
  <c r="U6" i="3"/>
  <c r="Q6" i="2" s="1"/>
  <c r="AM6" i="3"/>
  <c r="AM78" i="3"/>
  <c r="AY78" i="3"/>
  <c r="AY6" i="3"/>
  <c r="AU6" i="2" s="1"/>
  <c r="AO12" i="2"/>
  <c r="BA12" i="2"/>
  <c r="BM12" i="2"/>
  <c r="BY12" i="2"/>
  <c r="DU12" i="2"/>
  <c r="EG12" i="2"/>
  <c r="EG26" i="2" s="1"/>
  <c r="FE12" i="2"/>
  <c r="DP12" i="2"/>
  <c r="FC12" i="2"/>
  <c r="BK6" i="3"/>
  <c r="BH12" i="2"/>
  <c r="BO15" i="2"/>
  <c r="CB15" i="2" s="1"/>
  <c r="CO15" i="2" s="1"/>
  <c r="B15" i="2"/>
  <c r="CL6" i="3"/>
  <c r="AQ12" i="2"/>
  <c r="BC12" i="2"/>
  <c r="BO12" i="2"/>
  <c r="CA12" i="2"/>
  <c r="DW12" i="2"/>
  <c r="EI12" i="2"/>
  <c r="EI26" i="2" s="1"/>
  <c r="FG12" i="2"/>
  <c r="BS15" i="2"/>
  <c r="CF15" i="2" s="1"/>
  <c r="CS15" i="2" s="1"/>
  <c r="AR12" i="2"/>
  <c r="BD12" i="2"/>
  <c r="DX12" i="2"/>
  <c r="EJ12" i="2"/>
  <c r="EJ26" i="2" s="1"/>
  <c r="FH12" i="2"/>
  <c r="CG6" i="4"/>
  <c r="FN12" i="2"/>
  <c r="BS12" i="2"/>
  <c r="EB12" i="2"/>
  <c r="EB26" i="2" s="1"/>
  <c r="R78" i="3"/>
  <c r="DG6" i="6"/>
  <c r="DC8" i="2" s="1"/>
  <c r="CT6" i="6"/>
  <c r="CP8" i="2" s="1"/>
  <c r="CN6" i="6"/>
  <c r="M78" i="4"/>
  <c r="CF6" i="4"/>
  <c r="L6" i="4"/>
  <c r="H7" i="2" s="1"/>
  <c r="CO6" i="8"/>
  <c r="CK10" i="2" s="1"/>
  <c r="DO31" i="8"/>
  <c r="DD6" i="2"/>
  <c r="CI6" i="4"/>
  <c r="W78" i="4"/>
  <c r="W6" i="4"/>
  <c r="S7" i="2" s="1"/>
  <c r="BN6" i="4"/>
  <c r="BN78" i="4"/>
  <c r="CW6" i="6"/>
  <c r="CS8" i="2" s="1"/>
  <c r="CX41" i="8"/>
  <c r="DK41" i="8"/>
  <c r="U9" i="9"/>
  <c r="CH16" i="9"/>
  <c r="CU16" i="9" s="1"/>
  <c r="CN16" i="9"/>
  <c r="DA16" i="9" s="1"/>
  <c r="AN9" i="9"/>
  <c r="BB78" i="3"/>
  <c r="BB6" i="3"/>
  <c r="AX6" i="2" s="1"/>
  <c r="BN78" i="3"/>
  <c r="BN6" i="3"/>
  <c r="Z78" i="3"/>
  <c r="DF6" i="4"/>
  <c r="DB7" i="2" s="1"/>
  <c r="CJ6" i="4"/>
  <c r="AQ6" i="4"/>
  <c r="AQ78" i="4"/>
  <c r="DL6" i="4"/>
  <c r="DH7" i="2" s="1"/>
  <c r="K78" i="4"/>
  <c r="K6" i="4"/>
  <c r="BO6" i="4"/>
  <c r="BO78" i="4"/>
  <c r="X78" i="4"/>
  <c r="O78" i="6"/>
  <c r="O6" i="6"/>
  <c r="K8" i="2" s="1"/>
  <c r="CX39" i="8"/>
  <c r="CX35" i="8" s="1"/>
  <c r="DK39" i="8"/>
  <c r="CM6" i="3"/>
  <c r="W78" i="3"/>
  <c r="BC78" i="3"/>
  <c r="BC6" i="3"/>
  <c r="AY6" i="2" s="1"/>
  <c r="BO78" i="3"/>
  <c r="BO6" i="3"/>
  <c r="AA78" i="3"/>
  <c r="DG6" i="4"/>
  <c r="DC7" i="2" s="1"/>
  <c r="Y78" i="4"/>
  <c r="S6" i="6"/>
  <c r="O8" i="2" s="1"/>
  <c r="CP6" i="6"/>
  <c r="DP6" i="6" s="1"/>
  <c r="DL8" i="2" s="1"/>
  <c r="P78" i="6"/>
  <c r="P6" i="6"/>
  <c r="L8" i="2" s="1"/>
  <c r="BU78" i="6"/>
  <c r="BU6" i="6"/>
  <c r="BQ8" i="2" s="1"/>
  <c r="DA38" i="8"/>
  <c r="DN38" i="8"/>
  <c r="L78" i="3"/>
  <c r="L6" i="3"/>
  <c r="H6" i="2" s="1"/>
  <c r="X78" i="3"/>
  <c r="X6" i="3"/>
  <c r="T6" i="2" s="1"/>
  <c r="AO78" i="3"/>
  <c r="AO6" i="3"/>
  <c r="BD78" i="3"/>
  <c r="BD6" i="3"/>
  <c r="BP78" i="3"/>
  <c r="BP6" i="3"/>
  <c r="DH6" i="4"/>
  <c r="DD7" i="2" s="1"/>
  <c r="AA6" i="4"/>
  <c r="W7" i="2" s="1"/>
  <c r="W12" i="2" s="1"/>
  <c r="AA78" i="4"/>
  <c r="Z78" i="4"/>
  <c r="CQ6" i="6"/>
  <c r="Q78" i="6"/>
  <c r="Q6" i="6"/>
  <c r="M8" i="2" s="1"/>
  <c r="I78" i="6"/>
  <c r="I6" i="6"/>
  <c r="E8" i="2" s="1"/>
  <c r="U78" i="6"/>
  <c r="U6" i="6"/>
  <c r="Q8" i="2" s="1"/>
  <c r="CR78" i="8"/>
  <c r="CR6" i="8"/>
  <c r="CN10" i="2" s="1"/>
  <c r="AP78" i="3"/>
  <c r="CM6" i="4"/>
  <c r="BB6" i="6"/>
  <c r="AX8" i="2" s="1"/>
  <c r="CR6" i="6"/>
  <c r="J78" i="6"/>
  <c r="V78" i="6"/>
  <c r="AZ6" i="6"/>
  <c r="AV8" i="2" s="1"/>
  <c r="AZ78" i="6"/>
  <c r="CL6" i="6"/>
  <c r="H6" i="9"/>
  <c r="D11" i="2" s="1"/>
  <c r="H78" i="9"/>
  <c r="CH11" i="9"/>
  <c r="CU11" i="9" s="1"/>
  <c r="DH11" i="9"/>
  <c r="AH9" i="9"/>
  <c r="W6" i="3"/>
  <c r="S6" i="2" s="1"/>
  <c r="AQ78" i="3"/>
  <c r="BP6" i="4"/>
  <c r="Y78" i="6"/>
  <c r="W78" i="6"/>
  <c r="BA6" i="6"/>
  <c r="AW8" i="2" s="1"/>
  <c r="BA78" i="6"/>
  <c r="BM6" i="6"/>
  <c r="BM78" i="6"/>
  <c r="G78" i="8"/>
  <c r="G6" i="8"/>
  <c r="C10" i="2" s="1"/>
  <c r="S78" i="8"/>
  <c r="S6" i="8"/>
  <c r="O10" i="2" s="1"/>
  <c r="AE78" i="8"/>
  <c r="AE6" i="8"/>
  <c r="AA10" i="2" s="1"/>
  <c r="DQ9" i="8"/>
  <c r="AQ78" i="8"/>
  <c r="DQ78" i="8" s="1"/>
  <c r="AQ6" i="8"/>
  <c r="BC78" i="8"/>
  <c r="BC6" i="8"/>
  <c r="AY10" i="2" s="1"/>
  <c r="BO78" i="8"/>
  <c r="BO6" i="8"/>
  <c r="BK10" i="2" s="1"/>
  <c r="CA78" i="8"/>
  <c r="CA6" i="8"/>
  <c r="BW10" i="2" s="1"/>
  <c r="DR6" i="8"/>
  <c r="DN10" i="2" s="1"/>
  <c r="T78" i="8"/>
  <c r="T6" i="8"/>
  <c r="P10" i="2" s="1"/>
  <c r="AF78" i="8"/>
  <c r="AF6" i="8"/>
  <c r="DR9" i="8"/>
  <c r="AR78" i="8"/>
  <c r="BP6" i="8"/>
  <c r="BL10" i="2" s="1"/>
  <c r="BP78" i="8"/>
  <c r="CB6" i="8"/>
  <c r="BX10" i="2" s="1"/>
  <c r="CB78" i="8"/>
  <c r="CH6" i="3"/>
  <c r="P78" i="3"/>
  <c r="AB78" i="3"/>
  <c r="CL6" i="4"/>
  <c r="DQ6" i="6"/>
  <c r="DM8" i="2" s="1"/>
  <c r="DO56" i="8"/>
  <c r="AO6" i="8"/>
  <c r="H78" i="8"/>
  <c r="CI6" i="3"/>
  <c r="M78" i="3"/>
  <c r="AR6" i="4"/>
  <c r="DF6" i="6"/>
  <c r="DB8" i="2" s="1"/>
  <c r="CF6" i="6"/>
  <c r="DH44" i="8"/>
  <c r="CV46" i="8"/>
  <c r="DI46" i="8"/>
  <c r="CS47" i="8"/>
  <c r="DF47" i="8"/>
  <c r="O78" i="4"/>
  <c r="AM78" i="4"/>
  <c r="BI78" i="6"/>
  <c r="DG9" i="8"/>
  <c r="DF19" i="8"/>
  <c r="DF23" i="8"/>
  <c r="CJ31" i="8"/>
  <c r="DJ31" i="8" s="1"/>
  <c r="CW32" i="8"/>
  <c r="CW31" i="8" s="1"/>
  <c r="DA36" i="8"/>
  <c r="DA35" i="8" s="1"/>
  <c r="DA6" i="8" s="1"/>
  <c r="CW10" i="2" s="1"/>
  <c r="CN35" i="8"/>
  <c r="CN78" i="8" s="1"/>
  <c r="CY41" i="8"/>
  <c r="DL41" i="8"/>
  <c r="N78" i="8"/>
  <c r="BJ78" i="8"/>
  <c r="CN21" i="9"/>
  <c r="DA21" i="9" s="1"/>
  <c r="CF45" i="9"/>
  <c r="CS45" i="9" s="1"/>
  <c r="DF45" i="9"/>
  <c r="R6" i="3"/>
  <c r="N6" i="2" s="1"/>
  <c r="AD6" i="3"/>
  <c r="Z6" i="2" s="1"/>
  <c r="P78" i="4"/>
  <c r="AN78" i="4"/>
  <c r="CV10" i="8"/>
  <c r="CV9" i="8" s="1"/>
  <c r="CI9" i="8"/>
  <c r="CT11" i="8"/>
  <c r="CT9" i="8" s="1"/>
  <c r="DG11" i="8"/>
  <c r="CG9" i="8"/>
  <c r="DF11" i="8"/>
  <c r="CT19" i="8"/>
  <c r="DG19" i="8"/>
  <c r="DL19" i="8"/>
  <c r="CT23" i="8"/>
  <c r="DG23" i="8"/>
  <c r="DL23" i="8"/>
  <c r="CV35" i="8"/>
  <c r="DH40" i="8"/>
  <c r="CV42" i="8"/>
  <c r="DI42" i="8"/>
  <c r="DN42" i="8"/>
  <c r="CW15" i="9"/>
  <c r="DJ15" i="9"/>
  <c r="DK43" i="9"/>
  <c r="BJ6" i="11"/>
  <c r="BV6" i="8"/>
  <c r="BR10" i="2" s="1"/>
  <c r="DB78" i="8"/>
  <c r="CW10" i="8"/>
  <c r="CW9" i="8" s="1"/>
  <c r="CJ9" i="8"/>
  <c r="DJ10" i="8"/>
  <c r="CU11" i="8"/>
  <c r="CU9" i="8" s="1"/>
  <c r="DH11" i="8"/>
  <c r="CH9" i="8"/>
  <c r="DH9" i="8" s="1"/>
  <c r="DL11" i="8"/>
  <c r="CZ17" i="8"/>
  <c r="DM17" i="8"/>
  <c r="CW18" i="8"/>
  <c r="DJ18" i="8"/>
  <c r="CW22" i="8"/>
  <c r="DJ22" i="8"/>
  <c r="CF35" i="8"/>
  <c r="DF35" i="8" s="1"/>
  <c r="CS43" i="8"/>
  <c r="DF43" i="8"/>
  <c r="BT6" i="9"/>
  <c r="BP11" i="2" s="1"/>
  <c r="CI10" i="9"/>
  <c r="BU6" i="9"/>
  <c r="BQ11" i="2" s="1"/>
  <c r="BU78" i="9"/>
  <c r="H6" i="3"/>
  <c r="D6" i="2" s="1"/>
  <c r="T6" i="3"/>
  <c r="P6" i="2" s="1"/>
  <c r="L6" i="6"/>
  <c r="H8" i="2" s="1"/>
  <c r="BL78" i="6"/>
  <c r="L78" i="8"/>
  <c r="X78" i="8"/>
  <c r="AJ78" i="8"/>
  <c r="AV78" i="8"/>
  <c r="BH78" i="8"/>
  <c r="BT78" i="8"/>
  <c r="CF9" i="8"/>
  <c r="CX10" i="8"/>
  <c r="CX9" i="8" s="1"/>
  <c r="CK9" i="8"/>
  <c r="DK10" i="8"/>
  <c r="DL13" i="8"/>
  <c r="CZ21" i="8"/>
  <c r="DM21" i="8"/>
  <c r="CX37" i="8"/>
  <c r="CK35" i="8"/>
  <c r="DK35" i="8" s="1"/>
  <c r="Z78" i="8"/>
  <c r="CW20" i="9"/>
  <c r="DJ20" i="9"/>
  <c r="G78" i="4"/>
  <c r="S78" i="4"/>
  <c r="BC78" i="4"/>
  <c r="M6" i="6"/>
  <c r="I8" i="2" s="1"/>
  <c r="AJ6" i="8"/>
  <c r="CL9" i="8"/>
  <c r="DD78" i="8"/>
  <c r="DD6" i="8"/>
  <c r="CZ10" i="2" s="1"/>
  <c r="DI16" i="8"/>
  <c r="CZ25" i="8"/>
  <c r="DM25" i="8"/>
  <c r="DI31" i="8"/>
  <c r="CY37" i="8"/>
  <c r="CY35" i="8" s="1"/>
  <c r="DL37" i="8"/>
  <c r="DK43" i="8"/>
  <c r="CQ6" i="8"/>
  <c r="CM10" i="2" s="1"/>
  <c r="DQ56" i="8"/>
  <c r="O6" i="9"/>
  <c r="O78" i="9"/>
  <c r="T6" i="9"/>
  <c r="P11" i="2" s="1"/>
  <c r="T78" i="9"/>
  <c r="CM11" i="9"/>
  <c r="CZ11" i="9" s="1"/>
  <c r="DM11" i="9"/>
  <c r="AM9" i="9"/>
  <c r="DM13" i="9"/>
  <c r="DF14" i="9"/>
  <c r="DH16" i="9"/>
  <c r="CF41" i="9"/>
  <c r="CS41" i="9" s="1"/>
  <c r="CB78" i="4"/>
  <c r="AX6" i="8"/>
  <c r="AT10" i="2" s="1"/>
  <c r="CM78" i="8"/>
  <c r="DM78" i="8" s="1"/>
  <c r="CM6" i="8"/>
  <c r="CI10" i="2" s="1"/>
  <c r="CV38" i="8"/>
  <c r="DI38" i="8"/>
  <c r="CI35" i="8"/>
  <c r="CS39" i="8"/>
  <c r="DF39" i="8"/>
  <c r="AL6" i="8"/>
  <c r="BZ6" i="8"/>
  <c r="BV10" i="2" s="1"/>
  <c r="DI35" i="8"/>
  <c r="CU35" i="8"/>
  <c r="DH36" i="8"/>
  <c r="DK56" i="8"/>
  <c r="DA13" i="9"/>
  <c r="DN13" i="9"/>
  <c r="CZ18" i="9"/>
  <c r="DM18" i="9"/>
  <c r="AB6" i="6"/>
  <c r="X8" i="2" s="1"/>
  <c r="DM6" i="8"/>
  <c r="DI10" i="2" s="1"/>
  <c r="DN9" i="8"/>
  <c r="CO78" i="8"/>
  <c r="CS9" i="8"/>
  <c r="CZ13" i="8"/>
  <c r="CZ9" i="8" s="1"/>
  <c r="DM13" i="8"/>
  <c r="DF25" i="8"/>
  <c r="AC6" i="6"/>
  <c r="Y8" i="2" s="1"/>
  <c r="BN6" i="8"/>
  <c r="BJ10" i="2" s="1"/>
  <c r="Q78" i="8"/>
  <c r="AC78" i="8"/>
  <c r="BA78" i="8"/>
  <c r="BM78" i="8"/>
  <c r="BY78" i="8"/>
  <c r="CP78" i="8"/>
  <c r="DI12" i="8"/>
  <c r="CW14" i="8"/>
  <c r="DJ14" i="8"/>
  <c r="CT15" i="8"/>
  <c r="DG15" i="8"/>
  <c r="DF15" i="8"/>
  <c r="CH35" i="8"/>
  <c r="DH35" i="8" s="1"/>
  <c r="CW35" i="8"/>
  <c r="DH46" i="8"/>
  <c r="J78" i="9"/>
  <c r="J6" i="9"/>
  <c r="F11" i="2" s="1"/>
  <c r="CJ12" i="9"/>
  <c r="CW12" i="9" s="1"/>
  <c r="DJ12" i="9"/>
  <c r="AJ9" i="9"/>
  <c r="CK47" i="9"/>
  <c r="CX47" i="9" s="1"/>
  <c r="DP78" i="8"/>
  <c r="DP9" i="8"/>
  <c r="CY45" i="8"/>
  <c r="DL45" i="8"/>
  <c r="CF37" i="9"/>
  <c r="CS37" i="9" s="1"/>
  <c r="AN78" i="8"/>
  <c r="X9" i="9"/>
  <c r="I6" i="9"/>
  <c r="E11" i="2" s="1"/>
  <c r="I78" i="9"/>
  <c r="CZ14" i="9"/>
  <c r="DM14" i="9"/>
  <c r="CL15" i="9"/>
  <c r="CY15" i="9" s="1"/>
  <c r="DA18" i="9"/>
  <c r="DN18" i="9"/>
  <c r="DF19" i="9"/>
  <c r="CF31" i="8"/>
  <c r="DF31" i="8" s="1"/>
  <c r="CJ35" i="8"/>
  <c r="DJ35" i="8" s="1"/>
  <c r="AO78" i="8"/>
  <c r="AG6" i="9"/>
  <c r="AG78" i="9"/>
  <c r="CT12" i="9"/>
  <c r="DG12" i="9"/>
  <c r="CX16" i="9"/>
  <c r="DK16" i="9"/>
  <c r="CI17" i="9"/>
  <c r="CV17" i="9" s="1"/>
  <c r="AI9" i="9"/>
  <c r="CZ19" i="9"/>
  <c r="DM19" i="9"/>
  <c r="CL20" i="9"/>
  <c r="CY20" i="9" s="1"/>
  <c r="DL20" i="9"/>
  <c r="CX38" i="9"/>
  <c r="DK38" i="9"/>
  <c r="CX42" i="9"/>
  <c r="DK42" i="9"/>
  <c r="CX46" i="9"/>
  <c r="DK46" i="9"/>
  <c r="DG10" i="8"/>
  <c r="DM16" i="8"/>
  <c r="DJ17" i="8"/>
  <c r="DG18" i="8"/>
  <c r="DM20" i="8"/>
  <c r="DJ21" i="8"/>
  <c r="DG22" i="8"/>
  <c r="DM24" i="8"/>
  <c r="DJ25" i="8"/>
  <c r="DN32" i="8"/>
  <c r="DL36" i="8"/>
  <c r="DI37" i="8"/>
  <c r="DF38" i="8"/>
  <c r="DL40" i="8"/>
  <c r="DI41" i="8"/>
  <c r="DF42" i="8"/>
  <c r="DL44" i="8"/>
  <c r="DI45" i="8"/>
  <c r="DF46" i="8"/>
  <c r="DL48" i="8"/>
  <c r="DK12" i="9"/>
  <c r="CS13" i="9"/>
  <c r="DF13" i="9"/>
  <c r="CV14" i="9"/>
  <c r="DI14" i="9"/>
  <c r="DM20" i="9"/>
  <c r="CT32" i="9"/>
  <c r="DG32" i="9"/>
  <c r="CF36" i="9"/>
  <c r="CS36" i="9" s="1"/>
  <c r="CL38" i="9"/>
  <c r="CY38" i="9" s="1"/>
  <c r="DJ38" i="9"/>
  <c r="CF40" i="9"/>
  <c r="CS40" i="9" s="1"/>
  <c r="CL42" i="9"/>
  <c r="CY42" i="9" s="1"/>
  <c r="DJ42" i="9"/>
  <c r="CF44" i="9"/>
  <c r="CS44" i="9" s="1"/>
  <c r="CL46" i="9"/>
  <c r="CY46" i="9" s="1"/>
  <c r="DL46" i="9"/>
  <c r="DJ46" i="9"/>
  <c r="DH10" i="8"/>
  <c r="DN12" i="8"/>
  <c r="DK13" i="8"/>
  <c r="DH14" i="8"/>
  <c r="DN16" i="8"/>
  <c r="DK17" i="8"/>
  <c r="DH18" i="8"/>
  <c r="DN20" i="8"/>
  <c r="DK21" i="8"/>
  <c r="DH22" i="8"/>
  <c r="DN24" i="8"/>
  <c r="DK25" i="8"/>
  <c r="CL35" i="8"/>
  <c r="DL35" i="8" s="1"/>
  <c r="DM36" i="8"/>
  <c r="DJ37" i="8"/>
  <c r="DG38" i="8"/>
  <c r="DM48" i="8"/>
  <c r="AC6" i="9"/>
  <c r="Y11" i="2" s="1"/>
  <c r="CY11" i="9"/>
  <c r="DL11" i="9"/>
  <c r="DM12" i="9"/>
  <c r="CG16" i="9"/>
  <c r="CT16" i="9" s="1"/>
  <c r="DG16" i="9"/>
  <c r="CS18" i="9"/>
  <c r="DF18" i="9"/>
  <c r="CV19" i="9"/>
  <c r="DI19" i="9"/>
  <c r="CV39" i="9"/>
  <c r="DI39" i="9"/>
  <c r="CV43" i="9"/>
  <c r="DI43" i="9"/>
  <c r="CV47" i="9"/>
  <c r="DI47" i="9"/>
  <c r="AA78" i="9"/>
  <c r="DM17" i="9"/>
  <c r="CG21" i="9"/>
  <c r="CT21" i="9" s="1"/>
  <c r="DH36" i="9"/>
  <c r="CK37" i="9"/>
  <c r="AK35" i="9"/>
  <c r="DH40" i="9"/>
  <c r="DH44" i="9"/>
  <c r="DA32" i="8"/>
  <c r="DA31" i="8" s="1"/>
  <c r="DA78" i="8" s="1"/>
  <c r="CS38" i="8"/>
  <c r="CS35" i="8" s="1"/>
  <c r="AG78" i="8"/>
  <c r="CK10" i="9"/>
  <c r="CX10" i="9" s="1"/>
  <c r="AK9" i="9"/>
  <c r="DN11" i="9"/>
  <c r="DF11" i="9"/>
  <c r="S9" i="9"/>
  <c r="CL14" i="9"/>
  <c r="CY14" i="9" s="1"/>
  <c r="DL14" i="9"/>
  <c r="CU15" i="9"/>
  <c r="DH15" i="9"/>
  <c r="DK19" i="9"/>
  <c r="DH21" i="9"/>
  <c r="CF39" i="9"/>
  <c r="CS39" i="9" s="1"/>
  <c r="CF43" i="9"/>
  <c r="CS43" i="9" s="1"/>
  <c r="DF43" i="9"/>
  <c r="CF47" i="9"/>
  <c r="CS47" i="9" s="1"/>
  <c r="DF47" i="9"/>
  <c r="U78" i="11"/>
  <c r="BN6" i="11"/>
  <c r="CF6" i="11" s="1"/>
  <c r="AG78" i="11"/>
  <c r="AG6" i="11"/>
  <c r="BH6" i="11" s="1"/>
  <c r="BQ6" i="11" s="1"/>
  <c r="AS78" i="11"/>
  <c r="AS6" i="11"/>
  <c r="BK6" i="11" s="1"/>
  <c r="DN13" i="8"/>
  <c r="DK14" i="8"/>
  <c r="DH15" i="8"/>
  <c r="DN17" i="8"/>
  <c r="DK18" i="8"/>
  <c r="DH19" i="8"/>
  <c r="DN21" i="8"/>
  <c r="DK22" i="8"/>
  <c r="DH23" i="8"/>
  <c r="DN25" i="8"/>
  <c r="DF32" i="8"/>
  <c r="DM37" i="8"/>
  <c r="DJ38" i="8"/>
  <c r="DG39" i="8"/>
  <c r="DM41" i="8"/>
  <c r="DJ42" i="8"/>
  <c r="DG43" i="8"/>
  <c r="DM45" i="8"/>
  <c r="DJ46" i="8"/>
  <c r="DG47" i="8"/>
  <c r="AH78" i="8"/>
  <c r="K6" i="9"/>
  <c r="G11" i="2" s="1"/>
  <c r="K78" i="9"/>
  <c r="CI13" i="9"/>
  <c r="CV13" i="9" s="1"/>
  <c r="DH14" i="9"/>
  <c r="DF15" i="9"/>
  <c r="CN17" i="9"/>
  <c r="DA17" i="9" s="1"/>
  <c r="DN17" i="9"/>
  <c r="CL19" i="9"/>
  <c r="CY19" i="9" s="1"/>
  <c r="DL19" i="9"/>
  <c r="CU20" i="9"/>
  <c r="DH20" i="9"/>
  <c r="AI78" i="8"/>
  <c r="DO6" i="9"/>
  <c r="DK11" i="2" s="1"/>
  <c r="L78" i="9"/>
  <c r="CA78" i="9"/>
  <c r="CJ13" i="9"/>
  <c r="CW13" i="9" s="1"/>
  <c r="G9" i="9"/>
  <c r="CG15" i="9"/>
  <c r="CT15" i="9" s="1"/>
  <c r="DF20" i="9"/>
  <c r="EW6" i="9"/>
  <c r="DL32" i="9"/>
  <c r="CY32" i="9"/>
  <c r="CK36" i="9"/>
  <c r="DN37" i="9"/>
  <c r="CX40" i="9"/>
  <c r="DK40" i="9"/>
  <c r="DN41" i="9"/>
  <c r="CX44" i="9"/>
  <c r="DK44" i="9"/>
  <c r="DN45" i="9"/>
  <c r="CQ6" i="9"/>
  <c r="DN10" i="9"/>
  <c r="CH12" i="9"/>
  <c r="CU12" i="9" s="1"/>
  <c r="DH12" i="9"/>
  <c r="DK13" i="9"/>
  <c r="CJ18" i="9"/>
  <c r="CW18" i="9" s="1"/>
  <c r="CG20" i="9"/>
  <c r="CT20" i="9" s="1"/>
  <c r="DG20" i="9"/>
  <c r="CX21" i="9"/>
  <c r="DK21" i="9"/>
  <c r="AL35" i="9"/>
  <c r="CL36" i="9"/>
  <c r="CY36" i="9" s="1"/>
  <c r="CL40" i="9"/>
  <c r="CY40" i="9" s="1"/>
  <c r="DL40" i="9"/>
  <c r="CL44" i="9"/>
  <c r="CY44" i="9" s="1"/>
  <c r="DL44" i="9"/>
  <c r="Q6" i="9"/>
  <c r="M11" i="2" s="1"/>
  <c r="DE6" i="9"/>
  <c r="DA11" i="2" s="1"/>
  <c r="DK10" i="9"/>
  <c r="DI12" i="9"/>
  <c r="CX17" i="9"/>
  <c r="DK17" i="9"/>
  <c r="DK18" i="9"/>
  <c r="CV37" i="9"/>
  <c r="DI37" i="9"/>
  <c r="CV41" i="9"/>
  <c r="DI41" i="9"/>
  <c r="CV45" i="9"/>
  <c r="DI45" i="9"/>
  <c r="AQ78" i="9"/>
  <c r="AQ6" i="9"/>
  <c r="BC78" i="9"/>
  <c r="BC6" i="9"/>
  <c r="DG17" i="9"/>
  <c r="DJ14" i="9"/>
  <c r="DL16" i="9"/>
  <c r="DH17" i="9"/>
  <c r="DJ19" i="9"/>
  <c r="DL21" i="9"/>
  <c r="CZ32" i="9"/>
  <c r="DG10" i="9"/>
  <c r="AF35" i="9"/>
  <c r="W78" i="9"/>
  <c r="BO6" i="11"/>
  <c r="CG6" i="11" s="1"/>
  <c r="AH6" i="11"/>
  <c r="BI6" i="11" s="1"/>
  <c r="CA6" i="11" s="1"/>
  <c r="AT6" i="11"/>
  <c r="BL6" i="11" s="1"/>
  <c r="AL9" i="9"/>
  <c r="DH10" i="9"/>
  <c r="DJ17" i="9"/>
  <c r="DN36" i="9"/>
  <c r="DH37" i="9"/>
  <c r="DN38" i="9"/>
  <c r="DH39" i="9"/>
  <c r="DN40" i="9"/>
  <c r="DH41" i="9"/>
  <c r="DN42" i="9"/>
  <c r="DH43" i="9"/>
  <c r="DN44" i="9"/>
  <c r="DH45" i="9"/>
  <c r="DN46" i="9"/>
  <c r="DH47" i="9"/>
  <c r="BP6" i="11"/>
  <c r="CH6" i="11" s="1"/>
  <c r="AI6" i="11"/>
  <c r="AU6" i="11"/>
  <c r="BM6" i="11" s="1"/>
  <c r="Q78" i="11"/>
  <c r="DJ10" i="9"/>
  <c r="DL12" i="9"/>
  <c r="DG13" i="9"/>
  <c r="DN14" i="9"/>
  <c r="DI15" i="9"/>
  <c r="DL17" i="9"/>
  <c r="DG18" i="9"/>
  <c r="DN19" i="9"/>
  <c r="DI20" i="9"/>
  <c r="DH32" i="9"/>
  <c r="DJ37" i="9"/>
  <c r="DJ39" i="9"/>
  <c r="DJ41" i="9"/>
  <c r="DJ43" i="9"/>
  <c r="DJ45" i="9"/>
  <c r="DL10" i="9"/>
  <c r="DG11" i="9"/>
  <c r="DN12" i="9"/>
  <c r="DI13" i="9"/>
  <c r="DK15" i="9"/>
  <c r="DF16" i="9"/>
  <c r="DI18" i="9"/>
  <c r="DK20" i="9"/>
  <c r="DF21" i="9"/>
  <c r="DJ32" i="9"/>
  <c r="DL37" i="9"/>
  <c r="DF38" i="9"/>
  <c r="DL39" i="9"/>
  <c r="DL41" i="9"/>
  <c r="DF42" i="9"/>
  <c r="DL43" i="9"/>
  <c r="DF44" i="9"/>
  <c r="DL45" i="9"/>
  <c r="DF46" i="9"/>
  <c r="DL47" i="9"/>
  <c r="DM10" i="9"/>
  <c r="DG36" i="9"/>
  <c r="DM37" i="9"/>
  <c r="DG38" i="9"/>
  <c r="DM39" i="9"/>
  <c r="DG40" i="9"/>
  <c r="DM41" i="9"/>
  <c r="DG42" i="9"/>
  <c r="DM43" i="9"/>
  <c r="DG44" i="9"/>
  <c r="DM45" i="9"/>
  <c r="DG46" i="9"/>
  <c r="DM47" i="9"/>
  <c r="AF9" i="9"/>
  <c r="FC7" i="12" l="1"/>
  <c r="ER7" i="2"/>
  <c r="GF30" i="12"/>
  <c r="BU6" i="11"/>
  <c r="CD6" i="11"/>
  <c r="BT6" i="11"/>
  <c r="CC6" i="11"/>
  <c r="BS6" i="11"/>
  <c r="CB6" i="11"/>
  <c r="BV6" i="11"/>
  <c r="CE6" i="11"/>
  <c r="HA12" i="12"/>
  <c r="GY12" i="12"/>
  <c r="M48" i="12"/>
  <c r="DO30" i="12"/>
  <c r="DM30" i="12"/>
  <c r="CW48" i="12"/>
  <c r="EA48" i="12"/>
  <c r="DT21" i="12"/>
  <c r="BC48" i="12"/>
  <c r="DL39" i="12"/>
  <c r="HX12" i="12"/>
  <c r="HY12" i="12"/>
  <c r="DS30" i="12"/>
  <c r="J48" i="12"/>
  <c r="GN30" i="12"/>
  <c r="DM21" i="12"/>
  <c r="BY48" i="12"/>
  <c r="FV48" i="12"/>
  <c r="I48" i="12"/>
  <c r="EB48" i="12"/>
  <c r="GL12" i="12"/>
  <c r="GM12" i="12"/>
  <c r="DV21" i="12"/>
  <c r="GG21" i="12"/>
  <c r="HT39" i="12"/>
  <c r="IB39" i="12"/>
  <c r="DN21" i="12"/>
  <c r="DN30" i="12"/>
  <c r="DK21" i="12"/>
  <c r="DT39" i="12"/>
  <c r="DU12" i="12"/>
  <c r="DU30" i="12"/>
  <c r="DL30" i="12"/>
  <c r="GB21" i="12"/>
  <c r="GI21" i="12"/>
  <c r="FS48" i="12"/>
  <c r="GJ12" i="12"/>
  <c r="DS39" i="12"/>
  <c r="BN48" i="12"/>
  <c r="DH48" i="12"/>
  <c r="IA21" i="12"/>
  <c r="HZ21" i="12"/>
  <c r="HS21" i="12"/>
  <c r="FH48" i="12"/>
  <c r="GD12" i="12"/>
  <c r="HG21" i="12"/>
  <c r="GE21" i="12"/>
  <c r="HF21" i="12"/>
  <c r="GD21" i="12"/>
  <c r="DX48" i="12"/>
  <c r="HM30" i="12"/>
  <c r="GK30" i="12"/>
  <c r="HF30" i="12"/>
  <c r="GD30" i="12"/>
  <c r="DA48" i="12"/>
  <c r="GE12" i="12"/>
  <c r="EW48" i="12"/>
  <c r="GM21" i="12"/>
  <c r="BJ48" i="12"/>
  <c r="HM21" i="12"/>
  <c r="GK21" i="12"/>
  <c r="FJ48" i="12"/>
  <c r="HN30" i="12"/>
  <c r="GL30" i="12"/>
  <c r="GE30" i="12"/>
  <c r="DZ48" i="12"/>
  <c r="CH48" i="12"/>
  <c r="DO39" i="12"/>
  <c r="HW12" i="12"/>
  <c r="V48" i="12"/>
  <c r="ET48" i="12"/>
  <c r="BW48" i="12"/>
  <c r="GK12" i="12"/>
  <c r="BV48" i="12"/>
  <c r="HO30" i="12"/>
  <c r="GM30" i="12"/>
  <c r="HJ21" i="12"/>
  <c r="GH21" i="12"/>
  <c r="DK30" i="12"/>
  <c r="GL21" i="12"/>
  <c r="DJ39" i="12"/>
  <c r="GJ30" i="12"/>
  <c r="GB12" i="12"/>
  <c r="GI12" i="12"/>
  <c r="GF12" i="12"/>
  <c r="GG12" i="12"/>
  <c r="HP21" i="12"/>
  <c r="GN21" i="12"/>
  <c r="DN39" i="12"/>
  <c r="AJ48" i="12"/>
  <c r="HI30" i="12"/>
  <c r="GG30" i="12"/>
  <c r="GC12" i="12"/>
  <c r="DQ39" i="12"/>
  <c r="HD30" i="12"/>
  <c r="GB30" i="12"/>
  <c r="GN12" i="12"/>
  <c r="GH12" i="12"/>
  <c r="CL48" i="12"/>
  <c r="U48" i="12"/>
  <c r="HS12" i="12"/>
  <c r="GJ21" i="12"/>
  <c r="ID21" i="12"/>
  <c r="P48" i="12"/>
  <c r="HL12" i="12"/>
  <c r="HN12" i="12"/>
  <c r="AT48" i="12"/>
  <c r="HO12" i="12"/>
  <c r="AU48" i="12"/>
  <c r="EG48" i="12"/>
  <c r="HZ39" i="12"/>
  <c r="HD21" i="12"/>
  <c r="HG12" i="12"/>
  <c r="HK21" i="12"/>
  <c r="HO21" i="12"/>
  <c r="IC30" i="12"/>
  <c r="HX39" i="12"/>
  <c r="IA39" i="12"/>
  <c r="DR30" i="12"/>
  <c r="HU39" i="12"/>
  <c r="HS30" i="12"/>
  <c r="HH21" i="12"/>
  <c r="HI21" i="12"/>
  <c r="HT12" i="12"/>
  <c r="CM48" i="12"/>
  <c r="HF12" i="12"/>
  <c r="HV39" i="12"/>
  <c r="DP21" i="12"/>
  <c r="EM48" i="12"/>
  <c r="HN21" i="12"/>
  <c r="EC48" i="12"/>
  <c r="HE12" i="12"/>
  <c r="BH48" i="12"/>
  <c r="AI48" i="12"/>
  <c r="X48" i="12"/>
  <c r="FI48" i="12"/>
  <c r="ID12" i="12"/>
  <c r="CN48" i="12"/>
  <c r="N48" i="12"/>
  <c r="HH30" i="12"/>
  <c r="HE21" i="12"/>
  <c r="HZ30" i="12"/>
  <c r="HL30" i="12"/>
  <c r="DR12" i="12"/>
  <c r="BU48" i="12"/>
  <c r="FG48" i="12"/>
  <c r="HT21" i="12"/>
  <c r="AM48" i="12"/>
  <c r="DK39" i="12"/>
  <c r="HY21" i="12"/>
  <c r="BM48" i="12"/>
  <c r="HL21" i="12"/>
  <c r="ID39" i="12"/>
  <c r="EV48" i="12"/>
  <c r="HT30" i="12"/>
  <c r="DP39" i="12"/>
  <c r="HU30" i="12"/>
  <c r="DV39" i="12"/>
  <c r="DQ30" i="12"/>
  <c r="IC12" i="12"/>
  <c r="AL48" i="12"/>
  <c r="H48" i="12"/>
  <c r="BZ48" i="12"/>
  <c r="DR39" i="12"/>
  <c r="HW21" i="12"/>
  <c r="HW39" i="12"/>
  <c r="IC39" i="12"/>
  <c r="HX30" i="12"/>
  <c r="W48" i="12"/>
  <c r="EH48" i="12"/>
  <c r="HP30" i="12"/>
  <c r="HJ30" i="12"/>
  <c r="HD12" i="12"/>
  <c r="FK48" i="12"/>
  <c r="HK12" i="12"/>
  <c r="F48" i="12"/>
  <c r="HG30" i="12"/>
  <c r="CZ48" i="12"/>
  <c r="DP12" i="12"/>
  <c r="IA12" i="12"/>
  <c r="IB12" i="12"/>
  <c r="DO21" i="12"/>
  <c r="ID30" i="12"/>
  <c r="IB30" i="12"/>
  <c r="BT48" i="12"/>
  <c r="FA48" i="12"/>
  <c r="HE30" i="12"/>
  <c r="HK30" i="12"/>
  <c r="HP12" i="12"/>
  <c r="HJ12" i="12"/>
  <c r="DL12" i="12"/>
  <c r="HH12" i="12"/>
  <c r="HI12" i="12"/>
  <c r="IA30" i="12"/>
  <c r="HY39" i="12"/>
  <c r="HX21" i="12"/>
  <c r="Z48" i="12"/>
  <c r="CI48" i="12"/>
  <c r="AW48" i="12"/>
  <c r="HS39" i="12"/>
  <c r="HU21" i="12"/>
  <c r="HM12" i="12"/>
  <c r="AK48" i="12"/>
  <c r="BA48" i="12"/>
  <c r="DS21" i="12"/>
  <c r="HW30" i="12"/>
  <c r="HV21" i="12"/>
  <c r="DQ21" i="12"/>
  <c r="AX48" i="12"/>
  <c r="HV30" i="12"/>
  <c r="HV12" i="12"/>
  <c r="HY30" i="12"/>
  <c r="EJ48" i="12"/>
  <c r="EI48" i="12"/>
  <c r="EN48" i="12"/>
  <c r="FW48" i="12"/>
  <c r="FN48" i="12"/>
  <c r="FU48" i="12"/>
  <c r="DJ30" i="12"/>
  <c r="CF48" i="12"/>
  <c r="EZ48" i="12"/>
  <c r="AV48" i="12"/>
  <c r="DU39" i="12"/>
  <c r="DV30" i="12"/>
  <c r="BK48" i="12"/>
  <c r="FE48" i="12"/>
  <c r="BI48" i="12"/>
  <c r="AO48" i="12"/>
  <c r="BX48" i="12"/>
  <c r="D48" i="12"/>
  <c r="CY48" i="12"/>
  <c r="CS48" i="12"/>
  <c r="AY48" i="12"/>
  <c r="CK48" i="12"/>
  <c r="CX48" i="12"/>
  <c r="BL48" i="12"/>
  <c r="E48" i="12"/>
  <c r="FY48" i="12"/>
  <c r="DY48" i="12"/>
  <c r="DF48" i="12"/>
  <c r="FT48" i="12"/>
  <c r="EX48" i="12"/>
  <c r="DL21" i="12"/>
  <c r="CV48" i="12"/>
  <c r="EO48" i="12"/>
  <c r="AG48" i="12"/>
  <c r="FL48" i="12"/>
  <c r="ED48" i="12"/>
  <c r="L48" i="12"/>
  <c r="FX48" i="12"/>
  <c r="EF48" i="12"/>
  <c r="CT48" i="12"/>
  <c r="DV12" i="12"/>
  <c r="CE48" i="12"/>
  <c r="B48" i="12"/>
  <c r="EL48" i="12"/>
  <c r="DN12" i="12"/>
  <c r="DG48" i="12"/>
  <c r="EU48" i="12"/>
  <c r="DM39" i="12"/>
  <c r="AA48" i="12"/>
  <c r="EP48" i="12"/>
  <c r="DD48" i="12"/>
  <c r="Y48" i="12"/>
  <c r="ES48" i="12"/>
  <c r="AN48" i="12"/>
  <c r="AH48" i="12"/>
  <c r="AZ48" i="12"/>
  <c r="DJ12" i="12"/>
  <c r="DJ21" i="12"/>
  <c r="K48" i="12"/>
  <c r="CR48" i="12"/>
  <c r="BG48" i="12"/>
  <c r="FF48" i="12"/>
  <c r="CA48" i="12"/>
  <c r="FZ48" i="12"/>
  <c r="FQ48" i="12"/>
  <c r="BB48" i="12"/>
  <c r="BP48" i="12"/>
  <c r="DE48" i="12"/>
  <c r="EQ48" i="12"/>
  <c r="CC48" i="12"/>
  <c r="FP48" i="12"/>
  <c r="FD48" i="12"/>
  <c r="DR21" i="12"/>
  <c r="AR48" i="12"/>
  <c r="BO48" i="12"/>
  <c r="FB48" i="12"/>
  <c r="BQ48" i="12"/>
  <c r="AF48" i="12"/>
  <c r="EE48" i="12"/>
  <c r="DO12" i="12"/>
  <c r="CB48" i="12"/>
  <c r="CP48" i="12"/>
  <c r="G48" i="12"/>
  <c r="DQ12" i="12"/>
  <c r="FO48" i="12"/>
  <c r="Q48" i="12"/>
  <c r="BR48" i="12"/>
  <c r="CD48" i="12"/>
  <c r="AS48" i="12"/>
  <c r="ER48" i="12"/>
  <c r="BD48" i="12"/>
  <c r="DP30" i="12"/>
  <c r="S48" i="12"/>
  <c r="C48" i="12"/>
  <c r="CO48" i="12"/>
  <c r="BF48" i="12"/>
  <c r="T48" i="12"/>
  <c r="DT12" i="12"/>
  <c r="AD48" i="12"/>
  <c r="DC48" i="12"/>
  <c r="R48" i="12"/>
  <c r="CQ48" i="12"/>
  <c r="FR48" i="12"/>
  <c r="DM12" i="12"/>
  <c r="DK12" i="12"/>
  <c r="DU21" i="12"/>
  <c r="AB48" i="12"/>
  <c r="DB48" i="12"/>
  <c r="AP48" i="12"/>
  <c r="AE48" i="12"/>
  <c r="DS12" i="12"/>
  <c r="AX15" i="2"/>
  <c r="BQ12" i="2"/>
  <c r="Y12" i="2"/>
  <c r="BP12" i="2"/>
  <c r="BR6" i="11"/>
  <c r="BX6" i="11"/>
  <c r="CY6" i="8"/>
  <c r="CU10" i="2" s="1"/>
  <c r="CY78" i="8"/>
  <c r="CZ6" i="8"/>
  <c r="CV10" i="2" s="1"/>
  <c r="CZ78" i="8"/>
  <c r="BW6" i="11"/>
  <c r="CU6" i="8"/>
  <c r="CQ10" i="2" s="1"/>
  <c r="CU78" i="8"/>
  <c r="BY6" i="11"/>
  <c r="CT78" i="8"/>
  <c r="CT6" i="8"/>
  <c r="CP10" i="2" s="1"/>
  <c r="DL36" i="9"/>
  <c r="DL42" i="9"/>
  <c r="AM6" i="9"/>
  <c r="AM78" i="9"/>
  <c r="CK78" i="8"/>
  <c r="DK78" i="8" s="1"/>
  <c r="DK9" i="8"/>
  <c r="CK6" i="8"/>
  <c r="CJ78" i="8"/>
  <c r="DJ9" i="8"/>
  <c r="CJ6" i="8"/>
  <c r="CF10" i="2" s="1"/>
  <c r="CO6" i="3"/>
  <c r="BK6" i="2"/>
  <c r="CS6" i="4"/>
  <c r="CO7" i="2" s="1"/>
  <c r="CB7" i="2"/>
  <c r="CR6" i="3"/>
  <c r="AA6" i="2"/>
  <c r="AT12" i="2"/>
  <c r="AC11" i="2"/>
  <c r="DD6" i="9"/>
  <c r="CZ11" i="2" s="1"/>
  <c r="CM11" i="2"/>
  <c r="CX78" i="8"/>
  <c r="CX6" i="8"/>
  <c r="CT10" i="2" s="1"/>
  <c r="P12" i="2"/>
  <c r="CW78" i="8"/>
  <c r="CW6" i="8"/>
  <c r="CS10" i="2" s="1"/>
  <c r="AN7" i="2"/>
  <c r="CU6" i="3"/>
  <c r="CQ6" i="2" s="1"/>
  <c r="CD6" i="2"/>
  <c r="DQ6" i="8"/>
  <c r="DM10" i="2" s="1"/>
  <c r="AM10" i="2"/>
  <c r="CY6" i="6"/>
  <c r="CU8" i="2" s="1"/>
  <c r="DL6" i="6"/>
  <c r="DH8" i="2" s="1"/>
  <c r="CH8" i="2"/>
  <c r="CP6" i="3"/>
  <c r="BL6" i="2"/>
  <c r="AX12" i="2"/>
  <c r="CT6" i="4"/>
  <c r="CP7" i="2" s="1"/>
  <c r="CC7" i="2"/>
  <c r="BV12" i="2"/>
  <c r="CP6" i="4"/>
  <c r="BL7" i="2"/>
  <c r="AF6" i="9"/>
  <c r="AF78" i="9"/>
  <c r="DF36" i="9"/>
  <c r="CP6" i="9"/>
  <c r="AY11" i="2"/>
  <c r="CX37" i="9"/>
  <c r="DK37" i="9"/>
  <c r="DL15" i="9"/>
  <c r="CF78" i="8"/>
  <c r="DF78" i="8" s="1"/>
  <c r="CF6" i="8"/>
  <c r="CB10" i="2" s="1"/>
  <c r="D12" i="2"/>
  <c r="CI78" i="8"/>
  <c r="DI78" i="8" s="1"/>
  <c r="CI6" i="8"/>
  <c r="CO6" i="4"/>
  <c r="BK7" i="2"/>
  <c r="CN6" i="4"/>
  <c r="BJ7" i="2"/>
  <c r="CY6" i="3"/>
  <c r="CU6" i="2" s="1"/>
  <c r="DH6" i="2"/>
  <c r="CH6" i="2"/>
  <c r="CF6" i="3"/>
  <c r="O6" i="2"/>
  <c r="CE15" i="2"/>
  <c r="DN35" i="8"/>
  <c r="S78" i="9"/>
  <c r="S6" i="9"/>
  <c r="O11" i="2" s="1"/>
  <c r="CS78" i="8"/>
  <c r="CS6" i="8"/>
  <c r="CO10" i="2" s="1"/>
  <c r="DI9" i="8"/>
  <c r="CV78" i="8"/>
  <c r="CV6" i="8"/>
  <c r="CR10" i="2" s="1"/>
  <c r="CV6" i="3"/>
  <c r="CR6" i="2" s="1"/>
  <c r="CE6" i="2"/>
  <c r="AV12" i="2"/>
  <c r="CQ6" i="3"/>
  <c r="AZ6" i="2"/>
  <c r="CX6" i="4"/>
  <c r="CT7" i="2" s="1"/>
  <c r="G7" i="2"/>
  <c r="DE6" i="2"/>
  <c r="DO6" i="8"/>
  <c r="DK10" i="2" s="1"/>
  <c r="AK10" i="2"/>
  <c r="DQ6" i="9"/>
  <c r="DM11" i="2" s="1"/>
  <c r="AM11" i="2"/>
  <c r="DG15" i="9"/>
  <c r="DG21" i="9"/>
  <c r="DL38" i="9"/>
  <c r="CG6" i="9"/>
  <c r="L12" i="2"/>
  <c r="DN16" i="9"/>
  <c r="AU12" i="2"/>
  <c r="BW12" i="2"/>
  <c r="AW12" i="2"/>
  <c r="AH10" i="2"/>
  <c r="AN6" i="9"/>
  <c r="AN78" i="9"/>
  <c r="DI6" i="4"/>
  <c r="DE7" i="2" s="1"/>
  <c r="CV6" i="4"/>
  <c r="CR7" i="2" s="1"/>
  <c r="CE7" i="2"/>
  <c r="DB6" i="9"/>
  <c r="CX11" i="2" s="1"/>
  <c r="K11" i="2"/>
  <c r="DJ78" i="8"/>
  <c r="DE6" i="6"/>
  <c r="DA8" i="2" s="1"/>
  <c r="CN8" i="2"/>
  <c r="DK6" i="2"/>
  <c r="AK6" i="2"/>
  <c r="DC6" i="6"/>
  <c r="CY8" i="2" s="1"/>
  <c r="CL8" i="2"/>
  <c r="DA6" i="6"/>
  <c r="CW8" i="2" s="1"/>
  <c r="CJ8" i="2"/>
  <c r="O15" i="2"/>
  <c r="CK6" i="3"/>
  <c r="BG6" i="2"/>
  <c r="DJ18" i="9"/>
  <c r="DJ13" i="9"/>
  <c r="DF39" i="9"/>
  <c r="DO78" i="8"/>
  <c r="DK47" i="9"/>
  <c r="DF41" i="9"/>
  <c r="CL78" i="8"/>
  <c r="DL78" i="8" s="1"/>
  <c r="CL6" i="8"/>
  <c r="CH10" i="2" s="1"/>
  <c r="DL9" i="8"/>
  <c r="CV10" i="9"/>
  <c r="DI10" i="9"/>
  <c r="Z12" i="2"/>
  <c r="DR78" i="8"/>
  <c r="S12" i="2"/>
  <c r="DQ6" i="4"/>
  <c r="DM7" i="2" s="1"/>
  <c r="CQ6" i="4"/>
  <c r="AM7" i="2"/>
  <c r="CJ6" i="3"/>
  <c r="CG6" i="3"/>
  <c r="DI6" i="2"/>
  <c r="AI6" i="2"/>
  <c r="X78" i="9"/>
  <c r="X6" i="9"/>
  <c r="T11" i="2" s="1"/>
  <c r="T12" i="2" s="1"/>
  <c r="CH78" i="8"/>
  <c r="DH78" i="8" s="1"/>
  <c r="CH6" i="8"/>
  <c r="N12" i="2"/>
  <c r="AH78" i="9"/>
  <c r="AH6" i="9"/>
  <c r="DN6" i="6"/>
  <c r="DJ8" i="2" s="1"/>
  <c r="DD6" i="6"/>
  <c r="CZ8" i="2" s="1"/>
  <c r="CM8" i="2"/>
  <c r="DJ6" i="4"/>
  <c r="DF7" i="2" s="1"/>
  <c r="CW6" i="4"/>
  <c r="CS7" i="2" s="1"/>
  <c r="CF7" i="2"/>
  <c r="U6" i="9"/>
  <c r="Q11" i="2" s="1"/>
  <c r="U78" i="9"/>
  <c r="AJ78" i="9"/>
  <c r="AJ6" i="9"/>
  <c r="DJ6" i="8"/>
  <c r="DF10" i="2" s="1"/>
  <c r="AF10" i="2"/>
  <c r="CN6" i="8"/>
  <c r="CY6" i="4"/>
  <c r="CU7" i="2" s="1"/>
  <c r="CH7" i="2"/>
  <c r="DF6" i="8"/>
  <c r="DB10" i="2" s="1"/>
  <c r="AB10" i="2"/>
  <c r="CZ6" i="4"/>
  <c r="CV7" i="2" s="1"/>
  <c r="CI7" i="2"/>
  <c r="DI6" i="6"/>
  <c r="DE8" i="2" s="1"/>
  <c r="CV6" i="6"/>
  <c r="CR8" i="2" s="1"/>
  <c r="CE8" i="2"/>
  <c r="X12" i="2"/>
  <c r="AI6" i="9"/>
  <c r="AI78" i="9"/>
  <c r="DN78" i="8"/>
  <c r="CS6" i="6"/>
  <c r="CO8" i="2" s="1"/>
  <c r="CR6" i="4"/>
  <c r="H12" i="2"/>
  <c r="CO6" i="6"/>
  <c r="E12" i="2"/>
  <c r="BX12" i="2"/>
  <c r="BR12" i="2"/>
  <c r="CZ6" i="3"/>
  <c r="CV6" i="2" s="1"/>
  <c r="CI6" i="2"/>
  <c r="G78" i="9"/>
  <c r="G6" i="9"/>
  <c r="C11" i="2" s="1"/>
  <c r="AK6" i="9"/>
  <c r="AK78" i="9"/>
  <c r="DF40" i="9"/>
  <c r="AL6" i="9"/>
  <c r="AL78" i="9"/>
  <c r="CX36" i="9"/>
  <c r="DK36" i="9"/>
  <c r="DI17" i="9"/>
  <c r="DF37" i="9"/>
  <c r="CG78" i="8"/>
  <c r="DG78" i="8" s="1"/>
  <c r="CG6" i="8"/>
  <c r="DN21" i="9"/>
  <c r="DR6" i="6"/>
  <c r="DN8" i="2" s="1"/>
  <c r="DF9" i="8"/>
  <c r="CM6" i="6"/>
  <c r="BI8" i="2"/>
  <c r="CN6" i="3"/>
  <c r="BJ6" i="2"/>
  <c r="CH6" i="6"/>
  <c r="DM6" i="4"/>
  <c r="DI7" i="2" s="1"/>
  <c r="M12" i="2"/>
  <c r="I12" i="2"/>
  <c r="F12" i="2"/>
  <c r="ER12" i="2" l="1"/>
  <c r="ER26" i="2" s="1"/>
  <c r="ER21" i="2"/>
  <c r="FC43" i="12"/>
  <c r="FC48" i="12" s="1"/>
  <c r="FC12" i="12"/>
  <c r="HU12" i="12" s="1"/>
  <c r="HU7" i="12"/>
  <c r="AY12" i="2"/>
  <c r="I28" i="2"/>
  <c r="CR15" i="2"/>
  <c r="DC6" i="3"/>
  <c r="CY6" i="2" s="1"/>
  <c r="CL6" i="2"/>
  <c r="DL6" i="2"/>
  <c r="BK12" i="2"/>
  <c r="CT6" i="3"/>
  <c r="CP6" i="2" s="1"/>
  <c r="CC6" i="2"/>
  <c r="DC6" i="2"/>
  <c r="DG6" i="2"/>
  <c r="CX6" i="3"/>
  <c r="CT6" i="2" s="1"/>
  <c r="CG6" i="2"/>
  <c r="AJ11" i="2"/>
  <c r="CN6" i="9"/>
  <c r="DN6" i="9" s="1"/>
  <c r="DJ11" i="2" s="1"/>
  <c r="DG6" i="8"/>
  <c r="DC10" i="2" s="1"/>
  <c r="CC10" i="2"/>
  <c r="DI6" i="9"/>
  <c r="DE11" i="2" s="1"/>
  <c r="AE11" i="2"/>
  <c r="CI6" i="9"/>
  <c r="CW6" i="3"/>
  <c r="CS6" i="2" s="1"/>
  <c r="CF6" i="2"/>
  <c r="DF6" i="2"/>
  <c r="O12" i="2"/>
  <c r="DB6" i="3"/>
  <c r="CX6" i="2" s="1"/>
  <c r="CK6" i="2"/>
  <c r="DB6" i="6"/>
  <c r="CX8" i="2" s="1"/>
  <c r="CK8" i="2"/>
  <c r="DO6" i="6"/>
  <c r="DK8" i="2" s="1"/>
  <c r="DH6" i="9"/>
  <c r="DD11" i="2" s="1"/>
  <c r="AD11" i="2"/>
  <c r="CH6" i="9"/>
  <c r="AB15" i="2"/>
  <c r="DL6" i="8"/>
  <c r="DH10" i="2" s="1"/>
  <c r="CS6" i="3"/>
  <c r="CO6" i="2" s="1"/>
  <c r="CB6" i="2"/>
  <c r="DB6" i="2"/>
  <c r="DC6" i="9"/>
  <c r="CY11" i="2" s="1"/>
  <c r="CL11" i="2"/>
  <c r="DP6" i="9"/>
  <c r="DL11" i="2" s="1"/>
  <c r="AM12" i="2"/>
  <c r="DH6" i="6"/>
  <c r="DD8" i="2" s="1"/>
  <c r="CU6" i="6"/>
  <c r="CQ8" i="2" s="1"/>
  <c r="CD8" i="2"/>
  <c r="DD6" i="4"/>
  <c r="CZ7" i="2" s="1"/>
  <c r="CM7" i="2"/>
  <c r="K12" i="2"/>
  <c r="G12" i="2"/>
  <c r="C12" i="2"/>
  <c r="AA12" i="2"/>
  <c r="BJ12" i="2"/>
  <c r="CE10" i="2"/>
  <c r="DI6" i="8"/>
  <c r="DE10" i="2" s="1"/>
  <c r="DE6" i="3"/>
  <c r="DA6" i="2" s="1"/>
  <c r="CN6" i="2"/>
  <c r="DN6" i="2"/>
  <c r="DA6" i="3"/>
  <c r="CW6" i="2" s="1"/>
  <c r="CJ6" i="2"/>
  <c r="DJ6" i="2"/>
  <c r="DH6" i="8"/>
  <c r="DD10" i="2" s="1"/>
  <c r="CD10" i="2"/>
  <c r="CT6" i="9"/>
  <c r="CP11" i="2" s="1"/>
  <c r="CC11" i="2"/>
  <c r="AC12" i="2"/>
  <c r="CG10" i="2"/>
  <c r="DK6" i="8"/>
  <c r="DG10" i="2" s="1"/>
  <c r="DD6" i="3"/>
  <c r="CZ6" i="2" s="1"/>
  <c r="CM6" i="2"/>
  <c r="DM6" i="2"/>
  <c r="BI12" i="2"/>
  <c r="AH11" i="2"/>
  <c r="CL6" i="9"/>
  <c r="DE6" i="4"/>
  <c r="DA7" i="2" s="1"/>
  <c r="CN7" i="2"/>
  <c r="Q12" i="2"/>
  <c r="AK12" i="2"/>
  <c r="DC6" i="4"/>
  <c r="CY7" i="2" s="1"/>
  <c r="CL7" i="2"/>
  <c r="DP6" i="4"/>
  <c r="DL7" i="2" s="1"/>
  <c r="AN12" i="2"/>
  <c r="DG6" i="9"/>
  <c r="DC11" i="2" s="1"/>
  <c r="CZ6" i="6"/>
  <c r="CV8" i="2" s="1"/>
  <c r="DM6" i="6"/>
  <c r="DI8" i="2" s="1"/>
  <c r="CI8" i="2"/>
  <c r="DA6" i="4"/>
  <c r="CW7" i="2" s="1"/>
  <c r="CJ7" i="2"/>
  <c r="DN6" i="4"/>
  <c r="DJ7" i="2" s="1"/>
  <c r="DR6" i="4"/>
  <c r="DN7" i="2" s="1"/>
  <c r="AZ12" i="2"/>
  <c r="AB11" i="2"/>
  <c r="CF6" i="9"/>
  <c r="CJ6" i="9"/>
  <c r="DJ6" i="9" s="1"/>
  <c r="DF11" i="2" s="1"/>
  <c r="AF11" i="2"/>
  <c r="CJ10" i="2"/>
  <c r="DN6" i="8"/>
  <c r="DJ10" i="2" s="1"/>
  <c r="AG11" i="2"/>
  <c r="CK6" i="9"/>
  <c r="BG12" i="2"/>
  <c r="DB6" i="4"/>
  <c r="CX7" i="2" s="1"/>
  <c r="CK7" i="2"/>
  <c r="DO6" i="4"/>
  <c r="DK7" i="2" s="1"/>
  <c r="BL12" i="2"/>
  <c r="CL12" i="2" s="1"/>
  <c r="DL12" i="2" s="1"/>
  <c r="AI11" i="2"/>
  <c r="CM6" i="9"/>
  <c r="AF12" i="2" l="1"/>
  <c r="AH12" i="2"/>
  <c r="CM12" i="2"/>
  <c r="DM12" i="2" s="1"/>
  <c r="CV6" i="9"/>
  <c r="CR11" i="2" s="1"/>
  <c r="CE11" i="2"/>
  <c r="CZ12" i="2"/>
  <c r="V28" i="2"/>
  <c r="AE12" i="2"/>
  <c r="CZ6" i="9"/>
  <c r="CV11" i="2" s="1"/>
  <c r="CI11" i="2"/>
  <c r="CN12" i="2"/>
  <c r="DN12" i="2" s="1"/>
  <c r="CP12" i="2"/>
  <c r="CK12" i="2"/>
  <c r="DK12" i="2" s="1"/>
  <c r="DM6" i="9"/>
  <c r="DI11" i="2" s="1"/>
  <c r="AG12" i="2"/>
  <c r="CY6" i="9"/>
  <c r="CU11" i="2" s="1"/>
  <c r="CH11" i="2"/>
  <c r="CC12" i="2"/>
  <c r="DC12" i="2" s="1"/>
  <c r="CS6" i="9"/>
  <c r="CO11" i="2" s="1"/>
  <c r="CB11" i="2"/>
  <c r="DL6" i="9"/>
  <c r="DH11" i="2" s="1"/>
  <c r="AJ12" i="2"/>
  <c r="CJ12" i="2" s="1"/>
  <c r="AI12" i="2"/>
  <c r="CI12" i="2" s="1"/>
  <c r="CY12" i="2"/>
  <c r="CX12" i="2"/>
  <c r="DF6" i="9"/>
  <c r="DB11" i="2" s="1"/>
  <c r="CW6" i="9"/>
  <c r="CS11" i="2" s="1"/>
  <c r="CF11" i="2"/>
  <c r="DA6" i="9"/>
  <c r="CW11" i="2" s="1"/>
  <c r="CJ11" i="2"/>
  <c r="AO15" i="2"/>
  <c r="CU6" i="9"/>
  <c r="CQ11" i="2" s="1"/>
  <c r="CD11" i="2"/>
  <c r="AB12" i="2"/>
  <c r="CX6" i="9"/>
  <c r="CT11" i="2" s="1"/>
  <c r="CG11" i="2"/>
  <c r="CF12" i="2"/>
  <c r="DF12" i="2" s="1"/>
  <c r="DK6" i="9"/>
  <c r="DG11" i="2" s="1"/>
  <c r="DA12" i="2"/>
  <c r="AD12" i="2"/>
  <c r="CH12" i="2"/>
  <c r="DH12" i="2" s="1"/>
  <c r="CI28" i="2" l="1"/>
  <c r="CQ12" i="2"/>
  <c r="CS12" i="2"/>
  <c r="CW12" i="2"/>
  <c r="CE12" i="2"/>
  <c r="DE12" i="2" s="1"/>
  <c r="CT12" i="2"/>
  <c r="CU12" i="2"/>
  <c r="CD12" i="2"/>
  <c r="DD12" i="2" s="1"/>
  <c r="DI12" i="2"/>
  <c r="CO12" i="2"/>
  <c r="CV28" i="2"/>
  <c r="CV12" i="2"/>
  <c r="CV29" i="2"/>
  <c r="DJ12" i="2"/>
  <c r="CR12" i="2"/>
  <c r="CB12" i="2"/>
  <c r="DB12" i="2" s="1"/>
  <c r="CG12" i="2"/>
  <c r="DG12" i="2" s="1"/>
  <c r="CI29" i="2" l="1"/>
  <c r="AI2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Christian Emil Vindstrup</author>
  </authors>
  <commentList>
    <comment ref="C10" authorId="0" shapeId="0" xr:uid="{8DADAB90-8C95-4975-AD15-22490F0D9075}">
      <text>
        <r>
          <rPr>
            <b/>
            <sz val="9"/>
            <color indexed="81"/>
            <rFont val="Tahoma"/>
            <family val="2"/>
          </rPr>
          <t>Christian Emil Vindstrup:</t>
        </r>
        <r>
          <rPr>
            <sz val="9"/>
            <color indexed="81"/>
            <rFont val="Tahoma"/>
            <family val="2"/>
          </rPr>
          <t xml:space="preserve">
Årstal var ikke angivet i den oprindelige tekst ("9. juni"). Antaget 2026 ud fra de omkringstående opdateringer - bekræft venligst.</t>
        </r>
      </text>
    </comment>
  </commentList>
</comments>
</file>

<file path=xl/sharedStrings.xml><?xml version="1.0" encoding="utf-8"?>
<sst xmlns="http://schemas.openxmlformats.org/spreadsheetml/2006/main" count="2394" uniqueCount="322">
  <si>
    <t>Selskab</t>
  </si>
  <si>
    <t>Seneste opdateringsdato</t>
  </si>
  <si>
    <t>Opdateret af</t>
  </si>
  <si>
    <t>Hvad er opdateret</t>
  </si>
  <si>
    <t>BAT</t>
  </si>
  <si>
    <t>Gitte</t>
  </si>
  <si>
    <t>FC2025. Der er faldende udgifter grundet nedjustering i køreplantimer, men der er især fald i indtægter og passagertal siden seneste prognose.</t>
  </si>
  <si>
    <t>FynBus</t>
  </si>
  <si>
    <t>Julia</t>
  </si>
  <si>
    <t>Midttrafik</t>
  </si>
  <si>
    <t>Christian</t>
  </si>
  <si>
    <t xml:space="preserve">Tilføjet køreplantimer + passagerer og udfyldt med data fra anden rapport - Se gerne jeres egen igennem og tjek op </t>
  </si>
  <si>
    <t>Movia</t>
  </si>
  <si>
    <t>Frank</t>
  </si>
  <si>
    <t>NT</t>
  </si>
  <si>
    <t>Lars</t>
  </si>
  <si>
    <t>R2019, R2020, R2021, R2022, R2023, R2024, R2025, B2026 og FC2026 på ejerniveau</t>
  </si>
  <si>
    <t>Sydtrafik</t>
  </si>
  <si>
    <t>Jannie</t>
  </si>
  <si>
    <t>Opdateret med kommunefordeling, køreplantimer, passagertal samt FC2026</t>
  </si>
  <si>
    <t xml:space="preserve">R2025 - Der er ikke udfyldt for Estimat 1 2026 og B2027, da de først bestyrelsesbehandles 23. juni 2026 - </t>
  </si>
  <si>
    <t>Opdateret med køreplantimer og passagerer for busserne for perioden 2024 - FC2026</t>
  </si>
  <si>
    <t>Thomas</t>
  </si>
  <si>
    <t>Opdateret med køreplantimer, Tog KM og påstigere</t>
  </si>
  <si>
    <t>Shafeeq</t>
  </si>
  <si>
    <t>ØKONOMISKE NØGLETAL FOR TRAFIKSELSKABERNE - TRAFIKSELSKABERNE SAMLET (LØBENDE PRISER)</t>
  </si>
  <si>
    <t>Passagerindtægter (mDKK)</t>
  </si>
  <si>
    <t>Operatørudgifter (mDKK)</t>
  </si>
  <si>
    <t>Supportudgifter/fællesudgifter (mDKK)</t>
  </si>
  <si>
    <t>Pensioner (mDKK)</t>
  </si>
  <si>
    <t>Finansielle poster (mDKK)</t>
  </si>
  <si>
    <t>Statskompensation (mDKK)</t>
  </si>
  <si>
    <t>Samlede udgifter (mDKK)</t>
  </si>
  <si>
    <t>Tilskudsbehov (mDKK)</t>
  </si>
  <si>
    <t>Supportudgifter/fællesudgifters andel af samlede udgifter</t>
  </si>
  <si>
    <t>Køreplantimer BUS</t>
  </si>
  <si>
    <t>Køreplantimer til baner</t>
  </si>
  <si>
    <t>FC2026</t>
  </si>
  <si>
    <t>R2026</t>
  </si>
  <si>
    <t>B2027</t>
  </si>
  <si>
    <t>FC2027</t>
  </si>
  <si>
    <t>R2027</t>
  </si>
  <si>
    <t>R2025</t>
  </si>
  <si>
    <t>B2026</t>
  </si>
  <si>
    <t>Total</t>
  </si>
  <si>
    <t>Note: Ud over de opgjorte udgifter afholder trafikselskaberne udgifter til investering i nyt rejsekort. Trafikvirksomhederne som ejer Rejsekort (dvs. incl. DSB og Metroselskabet) har i 2022 fået en låneramme på 550 mio. kr. til dette. Trafikselskabernes andel af lånerammen udgør 263 mio. kr.</t>
  </si>
  <si>
    <t>Pris og lønstigning fra KL akkumuleret</t>
  </si>
  <si>
    <t>Note: Der er herunder brugt pris og lønstigning fra KL til at omregne til faste priser. I trafikselskabernes indeksregulering af operatørbetalingerne har brændstof (diesel, el, gas mv.) højere vægt end i den generelle PL for kommuner og regioner - I fx 2022 hvor priserne på brændstof steg meget, er trafikselskabernes indeks derfor steget mere end PL. Modsat i 2020, hvor brændstofpriserne var lave, steg PL mere end trafikselskabernes indeks.</t>
  </si>
  <si>
    <t>ØKONOMISKE NØGLETAL FOR TRAFIKSELSKABERNE - HERUNDER TRAFIKSELSKABERNE SAMLET (I FASTE 2019-PRISER)</t>
  </si>
  <si>
    <t>Antal passagerer</t>
  </si>
  <si>
    <t>Antal km (til baner)</t>
  </si>
  <si>
    <t xml:space="preserve">Flextrafik </t>
  </si>
  <si>
    <t>Baner inkl investeringstilskud</t>
  </si>
  <si>
    <t>Bus</t>
  </si>
  <si>
    <t>Bornholms Regionskommune</t>
  </si>
  <si>
    <t>Andet inkl kontrolafgifter</t>
  </si>
  <si>
    <t>I alt</t>
  </si>
  <si>
    <t>Supportudgifter/fællesudgifter (mDKK), inkl projekter og anlægsprojekter</t>
  </si>
  <si>
    <t>Assens</t>
  </si>
  <si>
    <t>Faaborg-Midtfyn</t>
  </si>
  <si>
    <t>Kerteminde</t>
  </si>
  <si>
    <t>Langeland</t>
  </si>
  <si>
    <t>Middelfart</t>
  </si>
  <si>
    <t>Nordfyns</t>
  </si>
  <si>
    <t>Nyborg</t>
  </si>
  <si>
    <t>Odense</t>
  </si>
  <si>
    <t>Svendborg</t>
  </si>
  <si>
    <t xml:space="preserve">Region Syddanmark </t>
  </si>
  <si>
    <t>Ærø</t>
  </si>
  <si>
    <t>Region Syddanmark SPB - udgifter er opgjort ved ST</t>
  </si>
  <si>
    <t>Region Syddanmark</t>
  </si>
  <si>
    <t>Rejsekort investering i 2025 er taget ud</t>
  </si>
  <si>
    <t>201</t>
  </si>
  <si>
    <t>Favrskov</t>
  </si>
  <si>
    <t>202</t>
  </si>
  <si>
    <t>Hedensted</t>
  </si>
  <si>
    <t>203</t>
  </si>
  <si>
    <t>Herning</t>
  </si>
  <si>
    <t>204</t>
  </si>
  <si>
    <t>Holstebro</t>
  </si>
  <si>
    <t>205</t>
  </si>
  <si>
    <t>Horsens</t>
  </si>
  <si>
    <t>206</t>
  </si>
  <si>
    <t>Ikast-Brande</t>
  </si>
  <si>
    <t>207</t>
  </si>
  <si>
    <t>Lemvig</t>
  </si>
  <si>
    <t>208</t>
  </si>
  <si>
    <t>Norddjurs</t>
  </si>
  <si>
    <t>209</t>
  </si>
  <si>
    <t xml:space="preserve">Odder </t>
  </si>
  <si>
    <t>210</t>
  </si>
  <si>
    <t>Randers</t>
  </si>
  <si>
    <t>211</t>
  </si>
  <si>
    <t>Ringkøbing-Skjern</t>
  </si>
  <si>
    <t>213</t>
  </si>
  <si>
    <t>Silkeborg</t>
  </si>
  <si>
    <t>214</t>
  </si>
  <si>
    <t>Skanderborg</t>
  </si>
  <si>
    <t>215</t>
  </si>
  <si>
    <t>Skive</t>
  </si>
  <si>
    <t>216</t>
  </si>
  <si>
    <t>Struer</t>
  </si>
  <si>
    <t>217</t>
  </si>
  <si>
    <t>Syddjurs</t>
  </si>
  <si>
    <t>218</t>
  </si>
  <si>
    <t>Viborg</t>
  </si>
  <si>
    <t>219</t>
  </si>
  <si>
    <t>Aarhus</t>
  </si>
  <si>
    <t>220</t>
  </si>
  <si>
    <t>Region Midtjylland</t>
  </si>
  <si>
    <t>212, 221..299</t>
  </si>
  <si>
    <t>Andre Trafikselskaber</t>
  </si>
  <si>
    <t>Andet</t>
  </si>
  <si>
    <t>95925271</t>
  </si>
  <si>
    <t>*-FAV</t>
  </si>
  <si>
    <t>95925272</t>
  </si>
  <si>
    <t>*-HED</t>
  </si>
  <si>
    <t>95925273</t>
  </si>
  <si>
    <t>*-HER</t>
  </si>
  <si>
    <t>95925274</t>
  </si>
  <si>
    <t>*-HOL</t>
  </si>
  <si>
    <t>95925275</t>
  </si>
  <si>
    <t>*-HOR</t>
  </si>
  <si>
    <t>95925276</t>
  </si>
  <si>
    <t>*-IKB</t>
  </si>
  <si>
    <t>95925277</t>
  </si>
  <si>
    <t>*-LEM</t>
  </si>
  <si>
    <t>95925278</t>
  </si>
  <si>
    <t>*-NOR</t>
  </si>
  <si>
    <t>95925279</t>
  </si>
  <si>
    <t>*-ODD</t>
  </si>
  <si>
    <t>95925280</t>
  </si>
  <si>
    <t>*-RAN</t>
  </si>
  <si>
    <t>95925281</t>
  </si>
  <si>
    <t>*-RKS</t>
  </si>
  <si>
    <t>95925283</t>
  </si>
  <si>
    <t>*-SIL</t>
  </si>
  <si>
    <t>95925284</t>
  </si>
  <si>
    <t>*-SKA</t>
  </si>
  <si>
    <t>95925285</t>
  </si>
  <si>
    <t>*-SKI</t>
  </si>
  <si>
    <t>95925286</t>
  </si>
  <si>
    <t>*-STR</t>
  </si>
  <si>
    <t>95925287</t>
  </si>
  <si>
    <t>*-SYD</t>
  </si>
  <si>
    <t>95925288</t>
  </si>
  <si>
    <t>*-VIB</t>
  </si>
  <si>
    <t>95925289</t>
  </si>
  <si>
    <t>*-AAR</t>
  </si>
  <si>
    <t>95925290</t>
  </si>
  <si>
    <t>*-REG</t>
  </si>
  <si>
    <t>212, 241..249</t>
  </si>
  <si>
    <t>Total byrdefordeling</t>
  </si>
  <si>
    <t>København</t>
  </si>
  <si>
    <t>Frederiksberg</t>
  </si>
  <si>
    <t>Albertslund</t>
  </si>
  <si>
    <t>Ballerup</t>
  </si>
  <si>
    <t>Brøndby</t>
  </si>
  <si>
    <t>Dragør</t>
  </si>
  <si>
    <t>Gentofte</t>
  </si>
  <si>
    <t>Gladsaxe</t>
  </si>
  <si>
    <t>Glostrup</t>
  </si>
  <si>
    <t>Herlev</t>
  </si>
  <si>
    <t>Hvidovre</t>
  </si>
  <si>
    <t>Høje-Taastrup</t>
  </si>
  <si>
    <t>Ishøj</t>
  </si>
  <si>
    <t>Egedal</t>
  </si>
  <si>
    <t>Lyngby-Taarbæk</t>
  </si>
  <si>
    <t>Rødovre</t>
  </si>
  <si>
    <t>Rudersdal</t>
  </si>
  <si>
    <t>Tårnby</t>
  </si>
  <si>
    <t>Vallensbæk</t>
  </si>
  <si>
    <t>Furesø</t>
  </si>
  <si>
    <t>Allerød</t>
  </si>
  <si>
    <t>Fredensborg</t>
  </si>
  <si>
    <t>Frederikssund</t>
  </si>
  <si>
    <t>Halsnæs</t>
  </si>
  <si>
    <t>Gribskov</t>
  </si>
  <si>
    <t>Helsingør</t>
  </si>
  <si>
    <t>Hillerød</t>
  </si>
  <si>
    <t>Hørsholm</t>
  </si>
  <si>
    <t>Ingen kommune</t>
  </si>
  <si>
    <t>REGION HOVEDSTADEN</t>
  </si>
  <si>
    <t>REGION SJÆLLAND</t>
  </si>
  <si>
    <t>Lejre</t>
  </si>
  <si>
    <t>Greve</t>
  </si>
  <si>
    <t>Køge</t>
  </si>
  <si>
    <t>Roskilde</t>
  </si>
  <si>
    <t>Solrød</t>
  </si>
  <si>
    <t>Stevns</t>
  </si>
  <si>
    <t>Kalundborg</t>
  </si>
  <si>
    <t>Sorø</t>
  </si>
  <si>
    <t>Odsherred</t>
  </si>
  <si>
    <t>Næstved</t>
  </si>
  <si>
    <t>Slagelse</t>
  </si>
  <si>
    <t>Faxe</t>
  </si>
  <si>
    <t>Holbæk</t>
  </si>
  <si>
    <t>Ringsted</t>
  </si>
  <si>
    <t>Lolland</t>
  </si>
  <si>
    <t>Vordingborg</t>
  </si>
  <si>
    <t>Guldborgsund</t>
  </si>
  <si>
    <t>Flexkøbing</t>
  </si>
  <si>
    <t>Spec VFB001</t>
  </si>
  <si>
    <t>Spec VFB002</t>
  </si>
  <si>
    <t>Spec VFB003</t>
  </si>
  <si>
    <t>Spec VFB004</t>
  </si>
  <si>
    <t xml:space="preserve">Bus </t>
  </si>
  <si>
    <t>Andet - Hovedsageligt Regionernes faste andele af supportudg</t>
  </si>
  <si>
    <t>Brønderslev</t>
  </si>
  <si>
    <t>Frederikshavn</t>
  </si>
  <si>
    <t>Hjørring</t>
  </si>
  <si>
    <t>Jammerbugt</t>
  </si>
  <si>
    <t>Læsø</t>
  </si>
  <si>
    <t>Mariagerfjord</t>
  </si>
  <si>
    <t>Morsø</t>
  </si>
  <si>
    <t>Rebild</t>
  </si>
  <si>
    <t>Region Nordjylland</t>
  </si>
  <si>
    <t>Thisted</t>
  </si>
  <si>
    <t>Vesthimmerland</t>
  </si>
  <si>
    <t>Aalborg</t>
  </si>
  <si>
    <t>FlexDanmark</t>
  </si>
  <si>
    <t xml:space="preserve">Brønderslev </t>
  </si>
  <si>
    <t xml:space="preserve">Hjørring </t>
  </si>
  <si>
    <t xml:space="preserve">Mariagerfjord </t>
  </si>
  <si>
    <t>Skabelon</t>
  </si>
  <si>
    <t>Region</t>
  </si>
  <si>
    <t>Billund</t>
  </si>
  <si>
    <t>Esbjerg</t>
  </si>
  <si>
    <t>Fredericia</t>
  </si>
  <si>
    <t>Haderslev</t>
  </si>
  <si>
    <t>Kolding</t>
  </si>
  <si>
    <t>Varde</t>
  </si>
  <si>
    <t>Vejen</t>
  </si>
  <si>
    <t>Vejle</t>
  </si>
  <si>
    <t>Sønderborg</t>
  </si>
  <si>
    <t>Tønder</t>
  </si>
  <si>
    <t>Aabenraa</t>
  </si>
  <si>
    <t>Kommuner</t>
  </si>
  <si>
    <t>Regioner / amter</t>
  </si>
  <si>
    <t>(ny pl)</t>
  </si>
  <si>
    <t>inkl. overførsler</t>
  </si>
  <si>
    <t>ekskl. overførsler</t>
  </si>
  <si>
    <t>service ekskl. overførsler</t>
  </si>
  <si>
    <t>anlæg</t>
  </si>
  <si>
    <t>inkl. medicin</t>
  </si>
  <si>
    <t>ekskl. medicin</t>
  </si>
  <si>
    <t>sundhed ekskl. medicin</t>
  </si>
  <si>
    <t>regional udvikling</t>
  </si>
  <si>
    <t>regional anlæg</t>
  </si>
  <si>
    <t>1989-1990</t>
  </si>
  <si>
    <t>1990-1991</t>
  </si>
  <si>
    <t>1991-1992</t>
  </si>
  <si>
    <t>1992-1993</t>
  </si>
  <si>
    <t>1993-1994</t>
  </si>
  <si>
    <t>1994-1995</t>
  </si>
  <si>
    <t>1995-1996</t>
  </si>
  <si>
    <t>1996-1997</t>
  </si>
  <si>
    <t>1997-1998</t>
  </si>
  <si>
    <t>1998-1999</t>
  </si>
  <si>
    <t>1999-2000</t>
  </si>
  <si>
    <t>2000-2001</t>
  </si>
  <si>
    <t>2001-2002</t>
  </si>
  <si>
    <t>2002-2003</t>
  </si>
  <si>
    <t>2003-2004</t>
  </si>
  <si>
    <t>2004-2005</t>
  </si>
  <si>
    <t>2005-2006</t>
  </si>
  <si>
    <t>2006-2007</t>
  </si>
  <si>
    <t xml:space="preserve">2006-2007 </t>
  </si>
  <si>
    <t>2007-2008</t>
  </si>
  <si>
    <t xml:space="preserve">2008-2009 </t>
  </si>
  <si>
    <t xml:space="preserve">2009-2010 </t>
  </si>
  <si>
    <t>2010-2011</t>
  </si>
  <si>
    <t>2011-2012</t>
  </si>
  <si>
    <t>2012-2013</t>
  </si>
  <si>
    <t>2013-2014</t>
  </si>
  <si>
    <t>2014-2015</t>
  </si>
  <si>
    <t>2015-2016</t>
  </si>
  <si>
    <t>2016-2017</t>
  </si>
  <si>
    <t>2017-2018</t>
  </si>
  <si>
    <t>Akkumuleret PL</t>
  </si>
  <si>
    <t>2018-2019</t>
  </si>
  <si>
    <t>2019-2020</t>
  </si>
  <si>
    <t>2020-2021</t>
  </si>
  <si>
    <t>2021-2022</t>
  </si>
  <si>
    <t>2022-2023</t>
  </si>
  <si>
    <t>2023-2024</t>
  </si>
  <si>
    <t>2024-2025*</t>
  </si>
  <si>
    <t>2024-2025**</t>
  </si>
  <si>
    <t>2025-2026*</t>
  </si>
  <si>
    <t>2025-2026**</t>
  </si>
  <si>
    <t>Note: I trafikselskabernes indeksregulering af operatørbetalingerne har brændstof (diesel, el, gas mv.) højere vægt end i den generelle PL for kommuner og regioner - I fx 2022 hvor priserne på brændstof steg meget, er trafikselskabernes indeks derfor steget mere end PL. Modsat i 2020, hvor brændstofpriserne var lave, steg PL mere end trafikselskabernes indeks</t>
  </si>
  <si>
    <t>* Skøn fra kommende skrivelse G.1-3, Budgetvejledning 2025</t>
  </si>
  <si>
    <t>** Skøn fra ØA25</t>
  </si>
  <si>
    <t>Det er kun fra 1997 og frem, der er opgørelser af pl ekskl. overførsler og medicin, før er det inkl. disse</t>
  </si>
  <si>
    <t>Fra og med 2009-2010 indførtes der nye pl, fx på hhv. service og anlæg</t>
  </si>
  <si>
    <t>ØKONOMISKE NØGLETAL FOR TRAFIKSELSKABERNE PR. TRANSPORTTYPE (LØBENDE PRISER)</t>
  </si>
  <si>
    <t>SAMLET (ALLE TRANSPORTTYPER)</t>
  </si>
  <si>
    <t>BUS</t>
  </si>
  <si>
    <t>BANER (LOKALBANER/LETBANE MV.)</t>
  </si>
  <si>
    <t>FLEXTRAFIK</t>
  </si>
  <si>
    <t>Note: Alle tal hentes direkte fra selskabsarkene (Total = række 6, Flextrafik = række 9, Baner = række 31 (Movia 63), Bus = række 35 (Movia 67)). Blokken ANDET/AFSTEMNING viser SAMLET minus BUS, BANER og FLEXTRAFIK. Afvigelsen på operatørudgifter hos Midttrafik skyldes posten "Andre Trafikselskaber" (295,4 mDKK i R2019), som indgår i flextrafik-delsummen, men er trukket ud af selskabets totalrække. Kolonnen "Supportudgifter/fællesudgifters andel af samlede udgifter" er et forholdstal; totalrækken er beregnet som support / samlede udgifter, og afstemningsblokken er derfor tom for dette emne.</t>
  </si>
  <si>
    <t>ANDET / KONTROLAFGIFT (SAMLET - BUS - BANER - FLEXTRAFIK)</t>
  </si>
  <si>
    <t>OPERATØRUDGIFTER PR. KØREPLANTIME - INDEKS (R2019 = 100)</t>
  </si>
  <si>
    <t>PASSAGERTAL - INDEKS (R2019 = 100)</t>
  </si>
  <si>
    <t>Note: Antal passagerer er selskabernes samlede passagertal (bus, baner og flextrafik). Opdelingen på transporttype findes på arket "Samlet pr. transporttype", som også indeholder indeks for operatørudgifter pr. køreplantime og for passagertal.</t>
  </si>
  <si>
    <t>OPERATØRUDGIFTER PR. KØREPLANTIME (DKK)</t>
  </si>
  <si>
    <t>Note: Indeksblokkene (R2019 = 100) er flyttet hertil fra "Trafikselskaber Samlet". Operatørudgifter pr. køreplantime er vist både i kroner og som indeks; nævneren er køreplantimer bus + baner i SAMLET-blokken, køreplantimer bus i BUS-blokken og køreplantimer baner i BANER-blokken. Flextrafik og afstemningsblokken har ingen køreplantimer og er derfor tomme. Passagertalsindekset er passagertal i året divideret med R2019.</t>
  </si>
  <si>
    <t>Transporttype / trafikselskab</t>
  </si>
  <si>
    <t>KØREPLANTIMER - INDEKS (R2019 = 100)</t>
  </si>
  <si>
    <t>Note: SAMLET-blokken indekserer bus- + banetimer, BUS-blokken bustimer og BANER-blokken banetimer. Flextrafik og Andet har ingen køreplantimer og står derfor blanke.</t>
  </si>
  <si>
    <t>R2019</t>
  </si>
  <si>
    <t>R2020</t>
  </si>
  <si>
    <t>R2021</t>
  </si>
  <si>
    <t>R2022</t>
  </si>
  <si>
    <t>R2023</t>
  </si>
  <si>
    <t>R2024</t>
  </si>
  <si>
    <t>B2025</t>
  </si>
  <si>
    <t>FC2025</t>
  </si>
  <si>
    <t>16.1.2026: FC2025 (efter 3. kvartal) og B2026. Odense Letbane er taget ud, da Odense Letbane ikke er en del af FBs regnskab. Ved SPB for RSD mangler afklaring om FB skal tage fællesudgifterne med eller ej. 20.1.2026: Korrigeret med fællesudgifter ved regionens SPB, disse er udgået, da de er opgjort ved ST</t>
  </si>
  <si>
    <t>R2025 og FC2026 efter 1. kvartal</t>
  </si>
  <si>
    <t>Opdateret fra R2019-B2027 med fordeling på kommune/region niveau. Køreplantimer og passagerer mangler at blive fordelt på kommune niveau.</t>
  </si>
  <si>
    <t>Køreplantimer og passagerer opdateret. Dvs. alt som er muligt fra R2019 til B2027 er opdateret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</si>
</sst>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00_);_(* \(#,##0.00\);_(* \-??_);_(@_)"/>
    <numFmt numFmtId="165" formatCode="#,##0_);\-#,##0_);\-_);@"/>
    <numFmt numFmtId="166" formatCode="0.0%"/>
    <numFmt numFmtId="167" formatCode="_(* #,##0_);_(* \(#,##0\);_(* \-??_);_(@_)"/>
    <numFmt numFmtId="168" formatCode="0.0"/>
    <numFmt numFmtId="169" formatCode="#,##0.0_);\-#,##0.0_);\-_);@"/>
    <numFmt numFmtId="170" formatCode="_-* #,##0_-;\-* #,##0_-;_-* \-??_-;_-@_-"/>
    <numFmt numFmtId="171" formatCode="_-* #,##0.000_-;\-* #,##0.000_-;_-* \-??_-;_-@_-"/>
    <numFmt numFmtId="172" formatCode="#,##0.0_ ;\-#,##0.0\ "/>
    <numFmt numFmtId="173" formatCode="#,##0.0"/>
    <numFmt numFmtId="174" formatCode="_-* #,##0.0_-;\-* #,##0.0_-;_-* \-??_-;_-@_-"/>
    <numFmt numFmtId="175" formatCode="0.000"/>
    <numFmt numFmtId="176" formatCode="#,##0.000"/>
    <numFmt numFmtId="177" formatCode="d\.\ mmmm\ yyyy"/>
  </numFmts>
  <fonts count="37" x14ac:knownFonts="1">
    <font>
      <sz val="11"/>
      <color theme="1"/>
      <name val="Arial"/>
      <family val="2"/>
      <charset val="1"/>
    </font>
    <font>
      <b/>
      <sz val="10.5"/>
      <color rgb="FF165D81"/>
      <name val="Calibri"/>
      <family val="2"/>
      <charset val="1"/>
    </font>
    <font>
      <b/>
      <sz val="10.5"/>
      <color theme="1" tint="0.24979400006103702"/>
      <name val="Calibri"/>
      <family val="2"/>
      <charset val="1"/>
    </font>
    <font>
      <b/>
      <sz val="10.5"/>
      <color theme="1" tint="0.34977263710440382"/>
      <name val="Calibri"/>
      <family val="2"/>
      <charset val="1"/>
    </font>
    <font>
      <b/>
      <sz val="10.5"/>
      <color theme="4"/>
      <name val="Calibri"/>
      <family val="2"/>
      <charset val="1"/>
    </font>
    <font>
      <b/>
      <sz val="10.5"/>
      <color theme="7"/>
      <name val="Calibri"/>
      <family val="2"/>
      <charset val="1"/>
    </font>
    <font>
      <b/>
      <sz val="10.5"/>
      <color theme="5" tint="0.39979247413556324"/>
      <name val="Calibri"/>
      <family val="2"/>
      <charset val="1"/>
    </font>
    <font>
      <sz val="10"/>
      <name val="Arial"/>
      <family val="2"/>
      <charset val="1"/>
    </font>
    <font>
      <b/>
      <sz val="10.5"/>
      <color rgb="FF336577"/>
      <name val="Calibri"/>
      <family val="2"/>
      <charset val="1"/>
    </font>
    <font>
      <b/>
      <sz val="10.5"/>
      <color theme="6" tint="-0.249977111117893"/>
      <name val="Calibri"/>
      <family val="2"/>
      <charset val="1"/>
    </font>
    <font>
      <b/>
      <sz val="10.5"/>
      <color theme="3" tint="0.39979247413556324"/>
      <name val="Calibri"/>
      <family val="2"/>
      <charset val="1"/>
    </font>
    <font>
      <b/>
      <sz val="11"/>
      <color theme="1"/>
      <name val="Arial"/>
      <family val="2"/>
      <charset val="1"/>
    </font>
    <font>
      <sz val="12"/>
      <name val="Calibri"/>
      <family val="2"/>
      <charset val="1"/>
    </font>
    <font>
      <b/>
      <sz val="12"/>
      <color theme="1"/>
      <name val="Calibri"/>
      <family val="2"/>
      <charset val="1"/>
    </font>
    <font>
      <b/>
      <sz val="12"/>
      <name val="Calibri"/>
      <family val="2"/>
      <charset val="1"/>
    </font>
    <font>
      <sz val="12"/>
      <color theme="1"/>
      <name val="Calibri"/>
      <family val="2"/>
      <charset val="1"/>
    </font>
    <font>
      <sz val="11"/>
      <color theme="1"/>
      <name val="Aptos"/>
      <family val="2"/>
      <charset val="1"/>
    </font>
    <font>
      <i/>
      <sz val="11"/>
      <name val="Aptos"/>
      <family val="2"/>
      <charset val="1"/>
    </font>
    <font>
      <sz val="12"/>
      <color theme="0"/>
      <name val="Calibri"/>
      <family val="2"/>
      <charset val="1"/>
    </font>
    <font>
      <sz val="11"/>
      <name val="Aptos"/>
      <family val="2"/>
      <charset val="1"/>
    </font>
    <font>
      <b/>
      <sz val="14"/>
      <name val="Calibri"/>
      <family val="2"/>
      <charset val="1"/>
    </font>
    <font>
      <b/>
      <u/>
      <sz val="10"/>
      <name val="Arial"/>
      <family val="2"/>
      <charset val="1"/>
    </font>
    <font>
      <sz val="10"/>
      <color rgb="FF000000"/>
      <name val="Arial"/>
      <family val="2"/>
      <charset val="1"/>
    </font>
    <font>
      <sz val="12"/>
      <color rgb="FF000000"/>
      <name val="Calibri"/>
      <family val="2"/>
      <charset val="1"/>
    </font>
    <font>
      <sz val="11"/>
      <color rgb="FF000000"/>
      <name val="Arial"/>
      <family val="2"/>
      <charset val="1"/>
    </font>
    <font>
      <sz val="11"/>
      <color rgb="FF000000"/>
      <name val="Calibri"/>
      <family val="2"/>
      <charset val="1"/>
    </font>
    <font>
      <sz val="12"/>
      <color rgb="FFFF0000"/>
      <name val="Calibri"/>
      <family val="2"/>
      <charset val="1"/>
    </font>
    <font>
      <b/>
      <sz val="10"/>
      <name val="Arial"/>
      <family val="2"/>
      <charset val="1"/>
    </font>
    <font>
      <sz val="11"/>
      <color theme="1"/>
      <name val="Arial"/>
      <family val="2"/>
      <charset val="1"/>
    </font>
    <font>
      <b/>
      <sz val="14"/>
      <color theme="1"/>
      <name val="Arial"/>
      <family val="2"/>
      <charset val="1"/>
    </font>
    <font>
      <i/>
      <sz val="11"/>
      <color theme="1"/>
      <name val="Arial"/>
      <family val="2"/>
      <charset val="1"/>
    </font>
    <font>
      <i/>
      <sz val="11"/>
      <name val="Calibri"/>
      <family val="2"/>
      <charset val="1"/>
    </font>
    <font>
      <b/>
      <sz val="11"/>
      <color rgb="FFFFFFFF"/>
      <name val="Arial"/>
      <family val="2"/>
      <charset val="1"/>
    </font>
    <font>
      <b/>
      <sz val="10"/>
      <color rgb="FFFFFFFF"/>
      <name val="Arial"/>
      <family val="2"/>
      <charset val="1"/>
    </font>
    <font>
      <i/>
      <sz val="9"/>
      <color theme="1"/>
      <name val="Arial"/>
      <family val="2"/>
      <charset val="1"/>
    </font>
    <font>
      <sz val="9"/>
      <color indexed="81"/>
      <name val="Tahoma"/>
      <family val="2"/>
    </font>
    <font>
      <b/>
      <sz val="9"/>
      <color indexed="81"/>
      <name val="Tahoma"/>
      <family val="2"/>
    </font>
  </fonts>
  <fills count="14">
    <fill>
      <patternFill patternType="none"/>
    </fill>
    <fill>
      <patternFill patternType="gray125"/>
    </fill>
    <fill>
      <patternFill patternType="solid">
        <fgColor rgb="FFBED7A5"/>
        <bgColor rgb="FFBFC3C6"/>
      </patternFill>
    </fill>
    <fill>
      <patternFill patternType="solid">
        <fgColor theme="8" tint="0.79979857783745845"/>
        <bgColor rgb="FFDEFBE6"/>
      </patternFill>
    </fill>
    <fill>
      <patternFill patternType="solid">
        <fgColor rgb="FFF4F4F4"/>
        <bgColor rgb="FFFFFFFF"/>
      </patternFill>
    </fill>
    <fill>
      <patternFill patternType="solid">
        <fgColor rgb="FFDEFBE6"/>
        <bgColor rgb="FFDDF1DA"/>
      </patternFill>
    </fill>
    <fill>
      <patternFill patternType="solid">
        <fgColor theme="0" tint="-0.14999847407452621"/>
        <bgColor rgb="FFD9DBDD"/>
      </patternFill>
    </fill>
    <fill>
      <patternFill patternType="solid">
        <fgColor theme="6" tint="0.89989928891872917"/>
        <bgColor rgb="FFD9DBDD"/>
      </patternFill>
    </fill>
    <fill>
      <patternFill patternType="solid">
        <fgColor theme="0"/>
        <bgColor rgb="FFF4F4F4"/>
      </patternFill>
    </fill>
    <fill>
      <patternFill patternType="solid">
        <fgColor rgb="FFC0C0C0"/>
        <bgColor rgb="FFBFBFBF"/>
      </patternFill>
    </fill>
    <fill>
      <patternFill patternType="solid">
        <fgColor rgb="FFD9D9D9"/>
        <bgColor indexed="64"/>
      </patternFill>
    </fill>
    <fill>
      <patternFill patternType="solid">
        <fgColor rgb="FF1F4E79"/>
        <bgColor indexed="64"/>
      </patternFill>
    </fill>
    <fill>
      <patternFill patternType="solid">
        <fgColor rgb="FF404040"/>
        <bgColor indexed="64"/>
      </patternFill>
    </fill>
    <fill>
      <patternFill patternType="solid">
        <fgColor rgb="FFFFFFFF"/>
        <bgColor indexed="64"/>
      </patternFill>
    </fill>
  </fills>
  <borders count="35">
    <border>
      <left/>
      <right/>
      <top/>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thin">
        <color theme="0" tint="-0.249977111117893"/>
      </left>
      <right style="thin">
        <color theme="0" tint="-0.249977111117893"/>
      </right>
      <top/>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tted">
        <color rgb="FFA8A8A8"/>
      </left>
      <right style="dotted">
        <color rgb="FFA8A8A8"/>
      </right>
      <top style="dotted">
        <color rgb="FFA8A8A8"/>
      </top>
      <bottom style="dotted">
        <color rgb="FFA8A8A8"/>
      </bottom>
      <diagonal/>
    </border>
    <border>
      <left style="dotted">
        <color rgb="FF3BAB5A"/>
      </left>
      <right style="dotted">
        <color rgb="FF3BAB5A"/>
      </right>
      <top style="dotted">
        <color rgb="FF3BAB5A"/>
      </top>
      <bottom style="dotted">
        <color rgb="FF3BAB5A"/>
      </bottom>
      <diagonal/>
    </border>
    <border>
      <left style="thin">
        <color theme="0"/>
      </left>
      <right style="thin">
        <color theme="0"/>
      </right>
      <top style="thin">
        <color theme="0"/>
      </top>
      <bottom style="thin">
        <color theme="0"/>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uble">
        <color auto="1"/>
      </bottom>
      <diagonal/>
    </border>
    <border>
      <left/>
      <right style="thin">
        <color auto="1"/>
      </right>
      <top/>
      <bottom style="double">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double">
        <color auto="1"/>
      </bottom>
      <diagonal/>
    </border>
    <border>
      <left style="thick">
        <color rgb="FF404040"/>
      </left>
      <right/>
      <top/>
      <bottom/>
      <diagonal/>
    </border>
    <border>
      <left style="thick">
        <color rgb="FF404040"/>
      </left>
      <right/>
      <top/>
      <bottom style="thin">
        <color auto="1"/>
      </bottom>
      <diagonal/>
    </border>
    <border>
      <left style="thick">
        <color rgb="FF404040"/>
      </left>
      <right/>
      <top style="thin">
        <color auto="1"/>
      </top>
      <bottom style="double">
        <color auto="1"/>
      </bottom>
      <diagonal/>
    </border>
    <border>
      <left/>
      <right style="thick">
        <color rgb="FF404040"/>
      </right>
      <top/>
      <bottom/>
      <diagonal/>
    </border>
    <border>
      <left/>
      <right style="thick">
        <color rgb="FF404040"/>
      </right>
      <top/>
      <bottom style="thin">
        <color auto="1"/>
      </bottom>
      <diagonal/>
    </border>
    <border>
      <left/>
      <right style="thick">
        <color rgb="FF404040"/>
      </right>
      <top style="thin">
        <color auto="1"/>
      </top>
      <bottom style="double">
        <color auto="1"/>
      </bottom>
      <diagonal/>
    </border>
  </borders>
  <cellStyleXfs count="109">
    <xf numFmtId="0" fontId="0" fillId="0" borderId="0"/>
    <xf numFmtId="164" fontId="28" fillId="0" borderId="0"/>
    <xf numFmtId="9" fontId="28" fillId="0" borderId="0"/>
    <xf numFmtId="0" fontId="1" fillId="0" borderId="1">
      <alignment horizontal="center" vertical="center"/>
    </xf>
    <xf numFmtId="3" fontId="2" fillId="0" borderId="2"/>
    <xf numFmtId="3" fontId="2" fillId="0" borderId="2"/>
    <xf numFmtId="3" fontId="2" fillId="0" borderId="2"/>
    <xf numFmtId="3" fontId="2" fillId="0" borderId="2"/>
    <xf numFmtId="3" fontId="2" fillId="0" borderId="2"/>
    <xf numFmtId="3" fontId="2" fillId="0" borderId="2"/>
    <xf numFmtId="3" fontId="2" fillId="0" borderId="2"/>
    <xf numFmtId="3" fontId="2" fillId="0" borderId="2"/>
    <xf numFmtId="3" fontId="1" fillId="0" borderId="1"/>
    <xf numFmtId="0" fontId="1" fillId="0" borderId="1"/>
    <xf numFmtId="3" fontId="1" fillId="0" borderId="1"/>
    <xf numFmtId="0" fontId="1" fillId="0" borderId="1"/>
    <xf numFmtId="0" fontId="1" fillId="0" borderId="1"/>
    <xf numFmtId="0" fontId="1" fillId="0" borderId="1"/>
    <xf numFmtId="0" fontId="1" fillId="0" borderId="1"/>
    <xf numFmtId="0" fontId="1" fillId="0" borderId="1"/>
    <xf numFmtId="3" fontId="2" fillId="0" borderId="0"/>
    <xf numFmtId="3" fontId="2" fillId="0" borderId="0"/>
    <xf numFmtId="3" fontId="2" fillId="0" borderId="0"/>
    <xf numFmtId="3" fontId="2" fillId="0" borderId="0"/>
    <xf numFmtId="3" fontId="2" fillId="0" borderId="0"/>
    <xf numFmtId="3" fontId="2" fillId="0" borderId="2"/>
    <xf numFmtId="3" fontId="2" fillId="0" borderId="2"/>
    <xf numFmtId="3" fontId="2" fillId="0" borderId="2"/>
    <xf numFmtId="0" fontId="2" fillId="0" borderId="2"/>
    <xf numFmtId="0" fontId="2" fillId="0" borderId="2"/>
    <xf numFmtId="0" fontId="2" fillId="0" borderId="2">
      <alignment horizontal="right" vertical="center"/>
    </xf>
    <xf numFmtId="3" fontId="2" fillId="2" borderId="2">
      <alignment horizontal="center" vertical="center"/>
    </xf>
    <xf numFmtId="0" fontId="2" fillId="2" borderId="2">
      <alignment horizontal="right" vertical="center"/>
    </xf>
    <xf numFmtId="0" fontId="1" fillId="0" borderId="3">
      <alignment horizontal="left" vertical="center"/>
    </xf>
    <xf numFmtId="0" fontId="1" fillId="0" borderId="4">
      <alignment horizontal="center" vertical="center"/>
    </xf>
    <xf numFmtId="0" fontId="3" fillId="0" borderId="5">
      <alignment horizontal="center" vertical="center"/>
    </xf>
    <xf numFmtId="0" fontId="2" fillId="3" borderId="2"/>
    <xf numFmtId="3" fontId="1" fillId="0" borderId="1"/>
    <xf numFmtId="3" fontId="1" fillId="0" borderId="1"/>
    <xf numFmtId="3" fontId="1" fillId="0" borderId="1"/>
    <xf numFmtId="3" fontId="1" fillId="0" borderId="1"/>
    <xf numFmtId="0" fontId="1" fillId="0" borderId="1"/>
    <xf numFmtId="3" fontId="1" fillId="0" borderId="1"/>
    <xf numFmtId="0" fontId="1" fillId="0" borderId="4">
      <alignment horizontal="center" vertical="center"/>
    </xf>
    <xf numFmtId="0" fontId="1" fillId="0" borderId="4">
      <alignment horizontal="center" vertical="center"/>
    </xf>
    <xf numFmtId="3" fontId="2" fillId="0" borderId="2"/>
    <xf numFmtId="0" fontId="2" fillId="0" borderId="2"/>
    <xf numFmtId="0" fontId="28" fillId="4" borderId="6"/>
    <xf numFmtId="3" fontId="1" fillId="5" borderId="7"/>
    <xf numFmtId="0" fontId="1" fillId="0" borderId="1"/>
    <xf numFmtId="3" fontId="1" fillId="0" borderId="1"/>
    <xf numFmtId="0" fontId="1" fillId="0" borderId="1"/>
    <xf numFmtId="0" fontId="1" fillId="0" borderId="1"/>
    <xf numFmtId="0" fontId="1" fillId="0" borderId="1"/>
    <xf numFmtId="0" fontId="1" fillId="0" borderId="1"/>
    <xf numFmtId="0" fontId="1" fillId="0" borderId="3">
      <alignment horizontal="left" vertical="center"/>
    </xf>
    <xf numFmtId="3" fontId="1" fillId="0" borderId="1"/>
    <xf numFmtId="3" fontId="4" fillId="0" borderId="2"/>
    <xf numFmtId="3" fontId="5" fillId="0" borderId="2"/>
    <xf numFmtId="0" fontId="1" fillId="0" borderId="4">
      <alignment horizontal="left" vertical="top"/>
    </xf>
    <xf numFmtId="0" fontId="6" fillId="0" borderId="2"/>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28"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28" fillId="0" borderId="0"/>
    <xf numFmtId="0" fontId="1" fillId="0" borderId="4">
      <alignment horizontal="left" vertical="center"/>
    </xf>
    <xf numFmtId="0" fontId="2" fillId="2" borderId="8"/>
    <xf numFmtId="3" fontId="2" fillId="0" borderId="2">
      <alignment horizontal="right" vertical="center"/>
    </xf>
    <xf numFmtId="0" fontId="1" fillId="0" borderId="4">
      <alignment horizontal="right" vertical="center"/>
    </xf>
    <xf numFmtId="0" fontId="2" fillId="0" borderId="5">
      <alignment horizontal="center" vertical="center"/>
    </xf>
    <xf numFmtId="3" fontId="2" fillId="0" borderId="2"/>
    <xf numFmtId="3" fontId="2" fillId="0" borderId="2"/>
    <xf numFmtId="0" fontId="2" fillId="0" borderId="5">
      <alignment horizontal="center" vertical="center" wrapText="1"/>
    </xf>
    <xf numFmtId="0" fontId="8" fillId="0" borderId="5">
      <alignment horizontal="left" vertical="center" indent="1"/>
    </xf>
    <xf numFmtId="0" fontId="9" fillId="0" borderId="2"/>
    <xf numFmtId="0" fontId="1" fillId="0" borderId="3">
      <alignment horizontal="left" vertical="center"/>
    </xf>
    <xf numFmtId="3" fontId="2" fillId="0" borderId="2">
      <alignment horizontal="center" vertical="center"/>
    </xf>
    <xf numFmtId="0" fontId="1" fillId="0" borderId="4">
      <alignment horizontal="center" vertical="center"/>
    </xf>
    <xf numFmtId="0" fontId="1" fillId="0" borderId="4">
      <alignment horizontal="center" vertical="center"/>
    </xf>
    <xf numFmtId="0" fontId="1" fillId="0" borderId="3">
      <alignment horizontal="left" vertical="center"/>
    </xf>
    <xf numFmtId="0" fontId="1" fillId="0" borderId="3">
      <alignment horizontal="left" vertical="center"/>
    </xf>
    <xf numFmtId="0" fontId="10" fillId="0" borderId="2"/>
  </cellStyleXfs>
  <cellXfs count="326">
    <xf numFmtId="0" fontId="0" fillId="0" borderId="0" xfId="0"/>
    <xf numFmtId="0" fontId="11" fillId="0" borderId="0" xfId="0" applyFont="1"/>
    <xf numFmtId="0" fontId="12" fillId="0" borderId="0" xfId="0" applyFont="1"/>
    <xf numFmtId="0" fontId="13" fillId="0" borderId="0" xfId="0" applyFont="1"/>
    <xf numFmtId="0" fontId="14" fillId="0" borderId="0" xfId="0" applyFont="1"/>
    <xf numFmtId="0" fontId="13" fillId="0" borderId="9" xfId="0" applyFont="1" applyBorder="1" applyAlignment="1">
      <alignment wrapText="1"/>
    </xf>
    <xf numFmtId="0" fontId="15" fillId="0" borderId="0" xfId="0" applyFont="1" applyAlignment="1">
      <alignment wrapText="1"/>
    </xf>
    <xf numFmtId="0" fontId="14" fillId="0" borderId="12" xfId="0" applyFont="1" applyBorder="1" applyAlignment="1">
      <alignment horizontal="center"/>
    </xf>
    <xf numFmtId="0" fontId="14" fillId="0" borderId="13" xfId="0" applyFont="1" applyBorder="1" applyAlignment="1">
      <alignment horizontal="center"/>
    </xf>
    <xf numFmtId="0" fontId="14" fillId="0" borderId="14" xfId="0" applyFont="1" applyBorder="1" applyAlignment="1">
      <alignment horizontal="center"/>
    </xf>
    <xf numFmtId="0" fontId="13" fillId="0" borderId="14" xfId="0" applyFont="1" applyBorder="1" applyAlignment="1">
      <alignment horizontal="center"/>
    </xf>
    <xf numFmtId="0" fontId="13" fillId="0" borderId="12" xfId="0" applyFont="1" applyBorder="1" applyAlignment="1">
      <alignment horizontal="center"/>
    </xf>
    <xf numFmtId="0" fontId="12" fillId="0" borderId="0" xfId="0" applyFont="1" applyAlignment="1">
      <alignment horizontal="center"/>
    </xf>
    <xf numFmtId="0" fontId="12" fillId="0" borderId="9" xfId="0" applyFont="1" applyBorder="1"/>
    <xf numFmtId="165" fontId="12" fillId="0" borderId="11" xfId="0" applyNumberFormat="1" applyFont="1" applyBorder="1"/>
    <xf numFmtId="165" fontId="12" fillId="0" borderId="0" xfId="0" applyNumberFormat="1" applyFont="1"/>
    <xf numFmtId="165" fontId="12" fillId="0" borderId="15" xfId="0" applyNumberFormat="1" applyFont="1" applyBorder="1"/>
    <xf numFmtId="166" fontId="12" fillId="0" borderId="11" xfId="0" applyNumberFormat="1" applyFont="1" applyBorder="1"/>
    <xf numFmtId="166" fontId="12" fillId="0" borderId="0" xfId="0" applyNumberFormat="1" applyFont="1"/>
    <xf numFmtId="166" fontId="12" fillId="0" borderId="15" xfId="0" applyNumberFormat="1" applyFont="1" applyBorder="1"/>
    <xf numFmtId="167" fontId="12" fillId="0" borderId="11" xfId="1" applyNumberFormat="1" applyFont="1" applyBorder="1"/>
    <xf numFmtId="167" fontId="12" fillId="0" borderId="0" xfId="1" applyNumberFormat="1" applyFont="1"/>
    <xf numFmtId="167" fontId="12" fillId="0" borderId="15" xfId="1" applyNumberFormat="1" applyFont="1" applyBorder="1"/>
    <xf numFmtId="168" fontId="0" fillId="0" borderId="0" xfId="0" applyNumberFormat="1"/>
    <xf numFmtId="167" fontId="12" fillId="0" borderId="9" xfId="1" applyNumberFormat="1" applyFont="1" applyBorder="1"/>
    <xf numFmtId="0" fontId="14" fillId="0" borderId="16" xfId="0" applyFont="1" applyBorder="1"/>
    <xf numFmtId="165" fontId="14" fillId="0" borderId="17" xfId="0" applyNumberFormat="1" applyFont="1" applyBorder="1"/>
    <xf numFmtId="165" fontId="14" fillId="0" borderId="18" xfId="0" applyNumberFormat="1" applyFont="1" applyBorder="1"/>
    <xf numFmtId="169" fontId="14" fillId="0" borderId="17" xfId="0" applyNumberFormat="1" applyFont="1" applyBorder="1"/>
    <xf numFmtId="169" fontId="14" fillId="0" borderId="18" xfId="0" applyNumberFormat="1" applyFont="1" applyBorder="1"/>
    <xf numFmtId="170" fontId="15" fillId="0" borderId="17" xfId="1" applyNumberFormat="1" applyFont="1" applyBorder="1"/>
    <xf numFmtId="170" fontId="15" fillId="0" borderId="18" xfId="1" applyNumberFormat="1" applyFont="1" applyBorder="1"/>
    <xf numFmtId="166" fontId="15" fillId="0" borderId="17" xfId="2" applyNumberFormat="1" applyFont="1" applyBorder="1"/>
    <xf numFmtId="166" fontId="15" fillId="0" borderId="18" xfId="2" applyNumberFormat="1" applyFont="1" applyBorder="1"/>
    <xf numFmtId="166" fontId="15" fillId="0" borderId="16" xfId="2" applyNumberFormat="1" applyFont="1" applyBorder="1"/>
    <xf numFmtId="167" fontId="15" fillId="0" borderId="18" xfId="1" applyNumberFormat="1" applyFont="1" applyBorder="1"/>
    <xf numFmtId="0" fontId="16" fillId="0" borderId="0" xfId="0" applyFont="1" applyAlignment="1">
      <alignment vertical="center"/>
    </xf>
    <xf numFmtId="9" fontId="12" fillId="0" borderId="0" xfId="2" applyFont="1"/>
    <xf numFmtId="0" fontId="17" fillId="0" borderId="0" xfId="0" applyFont="1"/>
    <xf numFmtId="171" fontId="12" fillId="0" borderId="0" xfId="0" applyNumberFormat="1" applyFont="1"/>
    <xf numFmtId="171" fontId="12" fillId="0" borderId="0" xfId="1" applyNumberFormat="1" applyFont="1"/>
    <xf numFmtId="170" fontId="18" fillId="0" borderId="0" xfId="0" applyNumberFormat="1" applyFont="1"/>
    <xf numFmtId="0" fontId="18" fillId="0" borderId="0" xfId="0" applyFont="1"/>
    <xf numFmtId="0" fontId="13" fillId="6" borderId="0" xfId="0" applyFont="1" applyFill="1"/>
    <xf numFmtId="0" fontId="12" fillId="6" borderId="0" xfId="0" applyFont="1" applyFill="1"/>
    <xf numFmtId="0" fontId="12" fillId="6" borderId="9" xfId="0" applyFont="1" applyFill="1" applyBorder="1"/>
    <xf numFmtId="0" fontId="13" fillId="6" borderId="9" xfId="0" applyFont="1" applyFill="1" applyBorder="1" applyAlignment="1">
      <alignment wrapText="1"/>
    </xf>
    <xf numFmtId="0" fontId="14" fillId="6" borderId="12" xfId="0" applyFont="1" applyFill="1" applyBorder="1" applyAlignment="1">
      <alignment horizontal="center"/>
    </xf>
    <xf numFmtId="0" fontId="14" fillId="6" borderId="13" xfId="0" applyFont="1" applyFill="1" applyBorder="1" applyAlignment="1">
      <alignment horizontal="center"/>
    </xf>
    <xf numFmtId="0" fontId="14" fillId="6" borderId="14" xfId="0" applyFont="1" applyFill="1" applyBorder="1" applyAlignment="1">
      <alignment horizontal="center"/>
    </xf>
    <xf numFmtId="0" fontId="13" fillId="6" borderId="14" xfId="0" applyFont="1" applyFill="1" applyBorder="1" applyAlignment="1">
      <alignment horizontal="center"/>
    </xf>
    <xf numFmtId="0" fontId="13" fillId="6" borderId="12" xfId="0" applyFont="1" applyFill="1" applyBorder="1" applyAlignment="1">
      <alignment horizontal="center"/>
    </xf>
    <xf numFmtId="0" fontId="14" fillId="6" borderId="0" xfId="0" applyFont="1" applyFill="1" applyAlignment="1">
      <alignment horizontal="center"/>
    </xf>
    <xf numFmtId="0" fontId="13" fillId="6" borderId="0" xfId="0" applyFont="1" applyFill="1" applyAlignment="1">
      <alignment horizontal="center"/>
    </xf>
    <xf numFmtId="165" fontId="12" fillId="6" borderId="11" xfId="0" applyNumberFormat="1" applyFont="1" applyFill="1" applyBorder="1"/>
    <xf numFmtId="165" fontId="12" fillId="6" borderId="0" xfId="0" applyNumberFormat="1" applyFont="1" applyFill="1"/>
    <xf numFmtId="169" fontId="12" fillId="6" borderId="19" xfId="0" applyNumberFormat="1" applyFont="1" applyFill="1" applyBorder="1"/>
    <xf numFmtId="169" fontId="12" fillId="6" borderId="15" xfId="0" applyNumberFormat="1" applyFont="1" applyFill="1" applyBorder="1"/>
    <xf numFmtId="169" fontId="12" fillId="6" borderId="0" xfId="0" applyNumberFormat="1" applyFont="1" applyFill="1"/>
    <xf numFmtId="166" fontId="12" fillId="6" borderId="15" xfId="2" applyNumberFormat="1" applyFont="1" applyFill="1" applyBorder="1"/>
    <xf numFmtId="167" fontId="12" fillId="6" borderId="0" xfId="1" applyNumberFormat="1" applyFont="1" applyFill="1"/>
    <xf numFmtId="169" fontId="12" fillId="6" borderId="11" xfId="0" applyNumberFormat="1" applyFont="1" applyFill="1" applyBorder="1"/>
    <xf numFmtId="166" fontId="12" fillId="6" borderId="0" xfId="2" applyNumberFormat="1" applyFont="1" applyFill="1"/>
    <xf numFmtId="169" fontId="12" fillId="6" borderId="13" xfId="0" applyNumberFormat="1" applyFont="1" applyFill="1" applyBorder="1"/>
    <xf numFmtId="169" fontId="12" fillId="6" borderId="14" xfId="0" applyNumberFormat="1" applyFont="1" applyFill="1" applyBorder="1"/>
    <xf numFmtId="166" fontId="12" fillId="6" borderId="14" xfId="2" applyNumberFormat="1" applyFont="1" applyFill="1" applyBorder="1"/>
    <xf numFmtId="0" fontId="14" fillId="6" borderId="16" xfId="0" applyFont="1" applyFill="1" applyBorder="1"/>
    <xf numFmtId="165" fontId="14" fillId="6" borderId="17" xfId="0" applyNumberFormat="1" applyFont="1" applyFill="1" applyBorder="1"/>
    <xf numFmtId="165" fontId="14" fillId="6" borderId="18" xfId="0" applyNumberFormat="1" applyFont="1" applyFill="1" applyBorder="1"/>
    <xf numFmtId="169" fontId="14" fillId="6" borderId="17" xfId="0" applyNumberFormat="1" applyFont="1" applyFill="1" applyBorder="1"/>
    <xf numFmtId="169" fontId="14" fillId="6" borderId="18" xfId="0" applyNumberFormat="1" applyFont="1" applyFill="1" applyBorder="1"/>
    <xf numFmtId="166" fontId="14" fillId="6" borderId="18" xfId="2" applyNumberFormat="1" applyFont="1" applyFill="1" applyBorder="1"/>
    <xf numFmtId="167" fontId="12" fillId="6" borderId="18" xfId="1" applyNumberFormat="1" applyFont="1" applyFill="1" applyBorder="1"/>
    <xf numFmtId="166" fontId="12" fillId="0" borderId="0" xfId="2" applyNumberFormat="1" applyFont="1"/>
    <xf numFmtId="0" fontId="19" fillId="0" borderId="0" xfId="0" applyFont="1"/>
    <xf numFmtId="49" fontId="12" fillId="0" borderId="0" xfId="0" applyNumberFormat="1" applyFont="1"/>
    <xf numFmtId="0" fontId="15" fillId="0" borderId="0" xfId="0" applyFont="1"/>
    <xf numFmtId="0" fontId="12" fillId="0" borderId="0" xfId="0" applyFont="1" applyAlignment="1">
      <alignment vertical="center" wrapText="1"/>
    </xf>
    <xf numFmtId="49" fontId="12" fillId="0" borderId="0" xfId="0" applyNumberFormat="1" applyFont="1" applyAlignment="1">
      <alignment vertical="center" wrapText="1"/>
    </xf>
    <xf numFmtId="0" fontId="14" fillId="7" borderId="20" xfId="0" applyFont="1" applyFill="1" applyBorder="1" applyAlignment="1">
      <alignment vertical="center"/>
    </xf>
    <xf numFmtId="0" fontId="13" fillId="0" borderId="14" xfId="0" applyFont="1" applyBorder="1"/>
    <xf numFmtId="0" fontId="13" fillId="0" borderId="13" xfId="0" applyFont="1" applyBorder="1" applyAlignment="1">
      <alignment horizontal="center"/>
    </xf>
    <xf numFmtId="0" fontId="13" fillId="0" borderId="0" xfId="0" applyFont="1" applyAlignment="1">
      <alignment horizontal="center"/>
    </xf>
    <xf numFmtId="0" fontId="13" fillId="0" borderId="11" xfId="0" applyFont="1" applyBorder="1" applyAlignment="1">
      <alignment horizontal="center"/>
    </xf>
    <xf numFmtId="0" fontId="15" fillId="0" borderId="18" xfId="0" applyFont="1" applyBorder="1"/>
    <xf numFmtId="3" fontId="15" fillId="0" borderId="17" xfId="0" applyNumberFormat="1" applyFont="1" applyBorder="1"/>
    <xf numFmtId="3" fontId="15" fillId="0" borderId="18" xfId="0" applyNumberFormat="1" applyFont="1" applyBorder="1"/>
    <xf numFmtId="3" fontId="15" fillId="0" borderId="16" xfId="0" applyNumberFormat="1" applyFont="1" applyBorder="1"/>
    <xf numFmtId="170" fontId="15" fillId="0" borderId="16" xfId="1" applyNumberFormat="1" applyFont="1" applyBorder="1"/>
    <xf numFmtId="166" fontId="15" fillId="0" borderId="23" xfId="2" applyNumberFormat="1" applyFont="1" applyBorder="1"/>
    <xf numFmtId="166" fontId="15" fillId="0" borderId="24" xfId="2" applyNumberFormat="1" applyFont="1" applyBorder="1"/>
    <xf numFmtId="0" fontId="12" fillId="0" borderId="11" xfId="0" applyFont="1" applyBorder="1"/>
    <xf numFmtId="49" fontId="14" fillId="0" borderId="0" xfId="0" applyNumberFormat="1" applyFont="1"/>
    <xf numFmtId="0" fontId="20" fillId="0" borderId="25" xfId="0" applyFont="1" applyBorder="1" applyAlignment="1">
      <alignment horizontal="left"/>
    </xf>
    <xf numFmtId="168" fontId="14" fillId="0" borderId="20" xfId="0" applyNumberFormat="1" applyFont="1" applyBorder="1"/>
    <xf numFmtId="168" fontId="14" fillId="0" borderId="25" xfId="0" applyNumberFormat="1" applyFont="1" applyBorder="1"/>
    <xf numFmtId="168" fontId="14" fillId="0" borderId="26" xfId="0" applyNumberFormat="1" applyFont="1" applyBorder="1"/>
    <xf numFmtId="0" fontId="14" fillId="0" borderId="25" xfId="0" applyFont="1" applyBorder="1"/>
    <xf numFmtId="165" fontId="14" fillId="0" borderId="25" xfId="0" applyNumberFormat="1" applyFont="1" applyBorder="1"/>
    <xf numFmtId="0" fontId="14" fillId="0" borderId="20" xfId="0" applyFont="1" applyBorder="1"/>
    <xf numFmtId="0" fontId="14" fillId="0" borderId="26" xfId="0" applyFont="1" applyBorder="1"/>
    <xf numFmtId="0" fontId="14" fillId="0" borderId="11" xfId="0" applyFont="1" applyBorder="1"/>
    <xf numFmtId="0" fontId="14" fillId="0" borderId="9" xfId="0" applyFont="1" applyBorder="1"/>
    <xf numFmtId="168" fontId="12" fillId="0" borderId="0" xfId="0" applyNumberFormat="1" applyFont="1"/>
    <xf numFmtId="168" fontId="12" fillId="0" borderId="9" xfId="0" applyNumberFormat="1" applyFont="1" applyBorder="1"/>
    <xf numFmtId="0" fontId="20" fillId="0" borderId="25" xfId="0" applyFont="1" applyBorder="1"/>
    <xf numFmtId="172" fontId="14" fillId="0" borderId="0" xfId="0" applyNumberFormat="1" applyFont="1"/>
    <xf numFmtId="172" fontId="12" fillId="0" borderId="0" xfId="0" applyNumberFormat="1" applyFont="1"/>
    <xf numFmtId="167" fontId="14" fillId="0" borderId="25" xfId="0" applyNumberFormat="1" applyFont="1" applyBorder="1"/>
    <xf numFmtId="0" fontId="21" fillId="0" borderId="0" xfId="0" applyFont="1" applyProtection="1">
      <protection locked="0"/>
    </xf>
    <xf numFmtId="173" fontId="14" fillId="0" borderId="20" xfId="0" applyNumberFormat="1" applyFont="1" applyBorder="1"/>
    <xf numFmtId="173" fontId="14" fillId="0" borderId="25" xfId="0" applyNumberFormat="1" applyFont="1" applyBorder="1"/>
    <xf numFmtId="173" fontId="14" fillId="0" borderId="26" xfId="0" applyNumberFormat="1" applyFont="1" applyBorder="1"/>
    <xf numFmtId="49" fontId="7" fillId="0" borderId="0" xfId="0" applyNumberFormat="1" applyFont="1" applyProtection="1">
      <protection locked="0"/>
    </xf>
    <xf numFmtId="49" fontId="0" fillId="0" borderId="0" xfId="0" applyNumberFormat="1" applyProtection="1">
      <protection locked="0"/>
    </xf>
    <xf numFmtId="0" fontId="12" fillId="0" borderId="27" xfId="0" applyFont="1" applyBorder="1"/>
    <xf numFmtId="174" fontId="12" fillId="0" borderId="14" xfId="1" applyNumberFormat="1" applyFont="1" applyBorder="1"/>
    <xf numFmtId="174" fontId="12" fillId="0" borderId="0" xfId="1" applyNumberFormat="1" applyFont="1"/>
    <xf numFmtId="174" fontId="12" fillId="0" borderId="9" xfId="1" applyNumberFormat="1" applyFont="1" applyBorder="1"/>
    <xf numFmtId="0" fontId="12" fillId="0" borderId="25" xfId="0" applyFont="1" applyBorder="1"/>
    <xf numFmtId="168" fontId="12" fillId="0" borderId="20" xfId="0" applyNumberFormat="1" applyFont="1" applyBorder="1"/>
    <xf numFmtId="168" fontId="12" fillId="0" borderId="25" xfId="0" applyNumberFormat="1" applyFont="1" applyBorder="1"/>
    <xf numFmtId="168" fontId="12" fillId="0" borderId="26" xfId="0" applyNumberFormat="1" applyFont="1" applyBorder="1"/>
    <xf numFmtId="0" fontId="12" fillId="0" borderId="14" xfId="0" applyFont="1" applyBorder="1"/>
    <xf numFmtId="170" fontId="15" fillId="0" borderId="14" xfId="1" applyNumberFormat="1" applyFont="1" applyBorder="1"/>
    <xf numFmtId="0" fontId="12" fillId="0" borderId="13" xfId="0" applyFont="1" applyBorder="1"/>
    <xf numFmtId="0" fontId="12" fillId="0" borderId="12" xfId="0" applyFont="1" applyBorder="1"/>
    <xf numFmtId="0" fontId="14" fillId="7" borderId="21" xfId="0" applyFont="1" applyFill="1" applyBorder="1" applyAlignment="1">
      <alignment vertical="center"/>
    </xf>
    <xf numFmtId="0" fontId="13" fillId="0" borderId="12" xfId="0" applyFont="1" applyBorder="1"/>
    <xf numFmtId="0" fontId="13" fillId="0" borderId="20" xfId="0" applyFont="1" applyBorder="1" applyAlignment="1">
      <alignment horizontal="center"/>
    </xf>
    <xf numFmtId="0" fontId="13" fillId="0" borderId="25" xfId="0" applyFont="1" applyBorder="1"/>
    <xf numFmtId="0" fontId="13" fillId="0" borderId="25" xfId="0" applyFont="1" applyBorder="1" applyAlignment="1">
      <alignment horizontal="center"/>
    </xf>
    <xf numFmtId="0" fontId="15" fillId="0" borderId="16" xfId="0" applyFont="1" applyBorder="1"/>
    <xf numFmtId="3" fontId="15" fillId="0" borderId="28" xfId="0" applyNumberFormat="1" applyFont="1" applyBorder="1"/>
    <xf numFmtId="3" fontId="15" fillId="0" borderId="23" xfId="0" applyNumberFormat="1" applyFont="1" applyBorder="1"/>
    <xf numFmtId="3" fontId="15" fillId="0" borderId="24" xfId="0" applyNumberFormat="1" applyFont="1" applyBorder="1"/>
    <xf numFmtId="173" fontId="15" fillId="0" borderId="28" xfId="0" applyNumberFormat="1" applyFont="1" applyBorder="1"/>
    <xf numFmtId="173" fontId="15" fillId="0" borderId="23" xfId="0" applyNumberFormat="1" applyFont="1" applyBorder="1"/>
    <xf numFmtId="173" fontId="15" fillId="0" borderId="24" xfId="0" applyNumberFormat="1" applyFont="1" applyBorder="1"/>
    <xf numFmtId="167" fontId="15" fillId="0" borderId="17" xfId="1" applyNumberFormat="1" applyFont="1" applyBorder="1"/>
    <xf numFmtId="170" fontId="15" fillId="8" borderId="18" xfId="2" applyNumberFormat="1" applyFont="1" applyFill="1" applyBorder="1"/>
    <xf numFmtId="169" fontId="14" fillId="0" borderId="25" xfId="0" applyNumberFormat="1" applyFont="1" applyBorder="1"/>
    <xf numFmtId="169" fontId="14" fillId="0" borderId="26" xfId="0" applyNumberFormat="1" applyFont="1" applyBorder="1"/>
    <xf numFmtId="169" fontId="12" fillId="0" borderId="0" xfId="0" applyNumberFormat="1" applyFont="1"/>
    <xf numFmtId="169" fontId="12" fillId="0" borderId="9" xfId="0" applyNumberFormat="1" applyFont="1" applyBorder="1"/>
    <xf numFmtId="165" fontId="12" fillId="0" borderId="9" xfId="0" applyNumberFormat="1" applyFont="1" applyBorder="1"/>
    <xf numFmtId="167" fontId="14" fillId="0" borderId="25" xfId="1" applyNumberFormat="1" applyFont="1" applyBorder="1"/>
    <xf numFmtId="167" fontId="14" fillId="0" borderId="20" xfId="1" applyNumberFormat="1" applyFont="1" applyBorder="1"/>
    <xf numFmtId="170" fontId="15" fillId="0" borderId="11" xfId="66" applyNumberFormat="1" applyFont="1" applyBorder="1"/>
    <xf numFmtId="170" fontId="15" fillId="0" borderId="0" xfId="66" applyNumberFormat="1" applyFont="1"/>
    <xf numFmtId="3" fontId="15" fillId="0" borderId="0" xfId="0" applyNumberFormat="1" applyFont="1"/>
    <xf numFmtId="3" fontId="15" fillId="0" borderId="11" xfId="66" applyNumberFormat="1" applyFont="1" applyBorder="1"/>
    <xf numFmtId="3" fontId="15" fillId="0" borderId="0" xfId="66" applyNumberFormat="1" applyFont="1"/>
    <xf numFmtId="0" fontId="22" fillId="0" borderId="0" xfId="0" applyFont="1"/>
    <xf numFmtId="175" fontId="14" fillId="0" borderId="20" xfId="0" applyNumberFormat="1" applyFont="1" applyBorder="1"/>
    <xf numFmtId="175" fontId="14" fillId="0" borderId="25" xfId="0" applyNumberFormat="1" applyFont="1" applyBorder="1"/>
    <xf numFmtId="175" fontId="14" fillId="0" borderId="26" xfId="0" applyNumberFormat="1" applyFont="1" applyBorder="1"/>
    <xf numFmtId="0" fontId="13" fillId="0" borderId="26" xfId="0" applyFont="1" applyBorder="1" applyAlignment="1">
      <alignment horizontal="center"/>
    </xf>
    <xf numFmtId="167" fontId="13" fillId="0" borderId="11" xfId="1" applyNumberFormat="1" applyFont="1" applyBorder="1" applyAlignment="1">
      <alignment horizontal="center"/>
    </xf>
    <xf numFmtId="170" fontId="15" fillId="0" borderId="23" xfId="1" applyNumberFormat="1" applyFont="1" applyBorder="1"/>
    <xf numFmtId="170" fontId="15" fillId="0" borderId="24" xfId="1" applyNumberFormat="1" applyFont="1" applyBorder="1"/>
    <xf numFmtId="167" fontId="15" fillId="0" borderId="16" xfId="1" applyNumberFormat="1" applyFont="1" applyBorder="1"/>
    <xf numFmtId="174" fontId="12" fillId="0" borderId="0" xfId="0" applyNumberFormat="1" applyFont="1"/>
    <xf numFmtId="167" fontId="14" fillId="0" borderId="26" xfId="0" applyNumberFormat="1" applyFont="1" applyBorder="1"/>
    <xf numFmtId="170" fontId="12" fillId="0" borderId="0" xfId="0" applyNumberFormat="1" applyFont="1"/>
    <xf numFmtId="3" fontId="12" fillId="0" borderId="0" xfId="0" applyNumberFormat="1" applyFont="1"/>
    <xf numFmtId="170" fontId="15" fillId="0" borderId="25" xfId="1" applyNumberFormat="1" applyFont="1" applyBorder="1"/>
    <xf numFmtId="0" fontId="12" fillId="0" borderId="20" xfId="0" applyFont="1" applyBorder="1"/>
    <xf numFmtId="0" fontId="12" fillId="0" borderId="26" xfId="0" applyFont="1" applyBorder="1"/>
    <xf numFmtId="0" fontId="13" fillId="0" borderId="0" xfId="0" applyFont="1" applyAlignment="1">
      <alignment vertical="center" wrapText="1"/>
    </xf>
    <xf numFmtId="10" fontId="13" fillId="0" borderId="13" xfId="0" applyNumberFormat="1" applyFont="1" applyBorder="1" applyAlignment="1">
      <alignment horizontal="center"/>
    </xf>
    <xf numFmtId="10" fontId="13" fillId="0" borderId="14" xfId="0" applyNumberFormat="1" applyFont="1" applyBorder="1"/>
    <xf numFmtId="10" fontId="13" fillId="0" borderId="14" xfId="0" applyNumberFormat="1" applyFont="1" applyBorder="1" applyAlignment="1">
      <alignment horizontal="center"/>
    </xf>
    <xf numFmtId="10" fontId="13" fillId="0" borderId="0" xfId="0" applyNumberFormat="1" applyFont="1" applyAlignment="1">
      <alignment horizontal="center"/>
    </xf>
    <xf numFmtId="4" fontId="23" fillId="0" borderId="20" xfId="0" applyNumberFormat="1" applyFont="1" applyBorder="1"/>
    <xf numFmtId="4" fontId="23" fillId="0" borderId="25" xfId="0" applyNumberFormat="1" applyFont="1" applyBorder="1"/>
    <xf numFmtId="4" fontId="23" fillId="0" borderId="26" xfId="0" applyNumberFormat="1" applyFont="1" applyBorder="1"/>
    <xf numFmtId="10" fontId="23" fillId="0" borderId="25" xfId="0" applyNumberFormat="1" applyFont="1" applyBorder="1"/>
    <xf numFmtId="10" fontId="23" fillId="0" borderId="26" xfId="0" applyNumberFormat="1" applyFont="1" applyBorder="1"/>
    <xf numFmtId="4" fontId="12" fillId="0" borderId="11" xfId="0" applyNumberFormat="1" applyFont="1" applyBorder="1"/>
    <xf numFmtId="4" fontId="12" fillId="0" borderId="0" xfId="0" applyNumberFormat="1" applyFont="1"/>
    <xf numFmtId="4" fontId="12" fillId="0" borderId="9" xfId="0" applyNumberFormat="1" applyFont="1" applyBorder="1"/>
    <xf numFmtId="10" fontId="12" fillId="0" borderId="0" xfId="0" applyNumberFormat="1" applyFont="1"/>
    <xf numFmtId="10" fontId="12" fillId="0" borderId="9" xfId="0" applyNumberFormat="1" applyFont="1" applyBorder="1"/>
    <xf numFmtId="4" fontId="24" fillId="0" borderId="11" xfId="0" applyNumberFormat="1" applyFont="1" applyBorder="1"/>
    <xf numFmtId="4" fontId="24" fillId="0" borderId="0" xfId="0" applyNumberFormat="1" applyFont="1"/>
    <xf numFmtId="4" fontId="24" fillId="0" borderId="12" xfId="0" applyNumberFormat="1" applyFont="1" applyBorder="1"/>
    <xf numFmtId="10" fontId="24" fillId="0" borderId="0" xfId="0" applyNumberFormat="1" applyFont="1"/>
    <xf numFmtId="10" fontId="24" fillId="0" borderId="12" xfId="0" applyNumberFormat="1" applyFont="1" applyBorder="1"/>
    <xf numFmtId="4" fontId="14" fillId="0" borderId="20" xfId="0" applyNumberFormat="1" applyFont="1" applyBorder="1"/>
    <xf numFmtId="4" fontId="14" fillId="0" borderId="25" xfId="0" applyNumberFormat="1" applyFont="1" applyBorder="1"/>
    <xf numFmtId="4" fontId="14" fillId="0" borderId="12" xfId="0" applyNumberFormat="1" applyFont="1" applyBorder="1"/>
    <xf numFmtId="10" fontId="14" fillId="0" borderId="25" xfId="0" applyNumberFormat="1" applyFont="1" applyBorder="1"/>
    <xf numFmtId="10" fontId="14" fillId="0" borderId="12" xfId="0" applyNumberFormat="1" applyFont="1" applyBorder="1"/>
    <xf numFmtId="4" fontId="24" fillId="0" borderId="9" xfId="0" applyNumberFormat="1" applyFont="1" applyBorder="1"/>
    <xf numFmtId="10" fontId="24" fillId="0" borderId="9" xfId="0" applyNumberFormat="1" applyFont="1" applyBorder="1"/>
    <xf numFmtId="4" fontId="14" fillId="0" borderId="26" xfId="0" applyNumberFormat="1" applyFont="1" applyBorder="1"/>
    <xf numFmtId="10" fontId="14" fillId="0" borderId="26" xfId="0" applyNumberFormat="1" applyFont="1" applyBorder="1"/>
    <xf numFmtId="2" fontId="12" fillId="0" borderId="0" xfId="0" applyNumberFormat="1" applyFont="1"/>
    <xf numFmtId="3" fontId="13" fillId="0" borderId="0" xfId="0" applyNumberFormat="1" applyFont="1"/>
    <xf numFmtId="0" fontId="13" fillId="0" borderId="16" xfId="0" applyFont="1" applyBorder="1"/>
    <xf numFmtId="3" fontId="13" fillId="0" borderId="18" xfId="0" applyNumberFormat="1" applyFont="1" applyBorder="1"/>
    <xf numFmtId="3" fontId="13" fillId="0" borderId="17" xfId="0" applyNumberFormat="1" applyFont="1" applyBorder="1"/>
    <xf numFmtId="3" fontId="13" fillId="0" borderId="16" xfId="0" applyNumberFormat="1" applyFont="1" applyBorder="1"/>
    <xf numFmtId="3" fontId="13" fillId="0" borderId="18" xfId="1" applyNumberFormat="1" applyFont="1" applyBorder="1"/>
    <xf numFmtId="3" fontId="13" fillId="0" borderId="17" xfId="1" applyNumberFormat="1" applyFont="1" applyBorder="1"/>
    <xf numFmtId="3" fontId="13" fillId="0" borderId="16" xfId="1" applyNumberFormat="1" applyFont="1" applyBorder="1"/>
    <xf numFmtId="176" fontId="13" fillId="0" borderId="17" xfId="1" applyNumberFormat="1" applyFont="1" applyBorder="1"/>
    <xf numFmtId="176" fontId="13" fillId="0" borderId="18" xfId="1" applyNumberFormat="1" applyFont="1" applyBorder="1"/>
    <xf numFmtId="166" fontId="13" fillId="0" borderId="17" xfId="2" applyNumberFormat="1" applyFont="1" applyBorder="1"/>
    <xf numFmtId="166" fontId="13" fillId="0" borderId="18" xfId="2" applyNumberFormat="1" applyFont="1" applyBorder="1"/>
    <xf numFmtId="166" fontId="13" fillId="0" borderId="16" xfId="2" applyNumberFormat="1" applyFont="1" applyBorder="1"/>
    <xf numFmtId="170" fontId="15" fillId="0" borderId="17" xfId="2" applyNumberFormat="1" applyFont="1" applyBorder="1"/>
    <xf numFmtId="170" fontId="15" fillId="0" borderId="18" xfId="2" applyNumberFormat="1" applyFont="1" applyBorder="1"/>
    <xf numFmtId="170" fontId="15" fillId="0" borderId="23" xfId="2" applyNumberFormat="1" applyFont="1" applyBorder="1"/>
    <xf numFmtId="3" fontId="12" fillId="0" borderId="11" xfId="0" applyNumberFormat="1" applyFont="1" applyBorder="1"/>
    <xf numFmtId="3" fontId="12" fillId="0" borderId="9" xfId="0" applyNumberFormat="1" applyFont="1" applyBorder="1"/>
    <xf numFmtId="166" fontId="12" fillId="0" borderId="9" xfId="0" applyNumberFormat="1" applyFont="1" applyBorder="1"/>
    <xf numFmtId="0" fontId="14" fillId="0" borderId="25" xfId="0" applyFont="1" applyBorder="1" applyAlignment="1">
      <alignment horizontal="left"/>
    </xf>
    <xf numFmtId="3" fontId="14" fillId="0" borderId="20" xfId="0" applyNumberFormat="1" applyFont="1" applyBorder="1"/>
    <xf numFmtId="3" fontId="14" fillId="0" borderId="25" xfId="0" applyNumberFormat="1" applyFont="1" applyBorder="1"/>
    <xf numFmtId="166" fontId="12" fillId="0" borderId="20" xfId="0" applyNumberFormat="1" applyFont="1" applyBorder="1"/>
    <xf numFmtId="166" fontId="12" fillId="0" borderId="25" xfId="0" applyNumberFormat="1" applyFont="1" applyBorder="1"/>
    <xf numFmtId="166" fontId="12" fillId="0" borderId="26" xfId="0" applyNumberFormat="1" applyFont="1" applyBorder="1"/>
    <xf numFmtId="3" fontId="14" fillId="0" borderId="26" xfId="0" applyNumberFormat="1" applyFont="1" applyBorder="1"/>
    <xf numFmtId="9" fontId="12" fillId="0" borderId="0" xfId="0" applyNumberFormat="1" applyFont="1"/>
    <xf numFmtId="9" fontId="12" fillId="0" borderId="9" xfId="0" applyNumberFormat="1" applyFont="1" applyBorder="1"/>
    <xf numFmtId="3" fontId="25" fillId="0" borderId="0" xfId="0" applyNumberFormat="1" applyFont="1"/>
    <xf numFmtId="3" fontId="15" fillId="0" borderId="15" xfId="0" applyNumberFormat="1" applyFont="1" applyBorder="1"/>
    <xf numFmtId="167" fontId="14" fillId="0" borderId="11" xfId="1" applyNumberFormat="1" applyFont="1" applyBorder="1"/>
    <xf numFmtId="167" fontId="14" fillId="0" borderId="0" xfId="1" applyNumberFormat="1" applyFont="1"/>
    <xf numFmtId="173" fontId="12" fillId="0" borderId="0" xfId="0" applyNumberFormat="1" applyFont="1"/>
    <xf numFmtId="3" fontId="12" fillId="0" borderId="14" xfId="1" applyNumberFormat="1" applyFont="1" applyBorder="1"/>
    <xf numFmtId="3" fontId="12" fillId="0" borderId="0" xfId="1" applyNumberFormat="1" applyFont="1"/>
    <xf numFmtId="3" fontId="12" fillId="0" borderId="9" xfId="1" applyNumberFormat="1" applyFont="1" applyBorder="1"/>
    <xf numFmtId="3" fontId="12" fillId="0" borderId="20" xfId="0" applyNumberFormat="1" applyFont="1" applyBorder="1"/>
    <xf numFmtId="3" fontId="12" fillId="0" borderId="25" xfId="0" applyNumberFormat="1" applyFont="1" applyBorder="1"/>
    <xf numFmtId="3" fontId="12" fillId="0" borderId="26" xfId="0" applyNumberFormat="1" applyFont="1" applyBorder="1"/>
    <xf numFmtId="1" fontId="12" fillId="0" borderId="0" xfId="0" applyNumberFormat="1" applyFont="1"/>
    <xf numFmtId="165" fontId="14" fillId="0" borderId="26" xfId="0" applyNumberFormat="1" applyFont="1" applyBorder="1"/>
    <xf numFmtId="168" fontId="14" fillId="0" borderId="27" xfId="0" applyNumberFormat="1" applyFont="1" applyBorder="1"/>
    <xf numFmtId="167" fontId="26" fillId="0" borderId="0" xfId="1" applyNumberFormat="1" applyFont="1"/>
    <xf numFmtId="3" fontId="15" fillId="0" borderId="11" xfId="0" applyNumberFormat="1" applyFont="1" applyBorder="1"/>
    <xf numFmtId="168" fontId="12" fillId="0" borderId="11" xfId="0" applyNumberFormat="1" applyFont="1" applyBorder="1"/>
    <xf numFmtId="170" fontId="15" fillId="0" borderId="26" xfId="1" applyNumberFormat="1" applyFont="1" applyBorder="1"/>
    <xf numFmtId="0" fontId="27" fillId="0" borderId="0" xfId="0" applyFont="1"/>
    <xf numFmtId="0" fontId="7" fillId="0" borderId="0" xfId="0" applyFont="1"/>
    <xf numFmtId="168" fontId="0" fillId="0" borderId="0" xfId="0" applyNumberFormat="1" applyAlignment="1">
      <alignment horizontal="center"/>
    </xf>
    <xf numFmtId="168" fontId="0" fillId="9" borderId="0" xfId="0" applyNumberFormat="1" applyFill="1" applyAlignment="1">
      <alignment horizontal="center"/>
    </xf>
    <xf numFmtId="0" fontId="0" fillId="0" borderId="0" xfId="0" applyAlignment="1">
      <alignment horizontal="center"/>
    </xf>
    <xf numFmtId="0" fontId="0" fillId="9" borderId="0" xfId="0" applyFill="1" applyAlignment="1">
      <alignment horizontal="center"/>
    </xf>
    <xf numFmtId="0" fontId="0" fillId="9" borderId="0" xfId="0" applyFill="1"/>
    <xf numFmtId="171" fontId="28" fillId="0" borderId="0" xfId="1" applyNumberFormat="1"/>
    <xf numFmtId="168" fontId="7" fillId="0" borderId="0" xfId="0" applyNumberFormat="1"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169" fontId="14" fillId="0" borderId="0" xfId="0" applyNumberFormat="1" applyFont="1"/>
    <xf numFmtId="174" fontId="12" fillId="0" borderId="12" xfId="1" applyNumberFormat="1" applyFont="1" applyBorder="1"/>
    <xf numFmtId="3" fontId="0" fillId="0" borderId="0" xfId="0" applyNumberFormat="1"/>
    <xf numFmtId="170" fontId="0" fillId="0" borderId="0" xfId="0" applyNumberFormat="1"/>
    <xf numFmtId="166" fontId="0" fillId="0" borderId="0" xfId="0" applyNumberFormat="1"/>
    <xf numFmtId="167" fontId="0" fillId="0" borderId="0" xfId="0" applyNumberFormat="1"/>
    <xf numFmtId="0" fontId="29" fillId="0" borderId="0" xfId="0" applyFont="1"/>
    <xf numFmtId="0" fontId="11" fillId="0" borderId="14" xfId="0" applyFont="1" applyBorder="1" applyAlignment="1">
      <alignment horizontal="center"/>
    </xf>
    <xf numFmtId="0" fontId="11" fillId="10" borderId="0" xfId="0" applyFont="1" applyFill="1"/>
    <xf numFmtId="3" fontId="11" fillId="0" borderId="18" xfId="0" applyNumberFormat="1" applyFont="1" applyBorder="1"/>
    <xf numFmtId="170" fontId="11" fillId="0" borderId="18" xfId="0" applyNumberFormat="1" applyFont="1" applyBorder="1"/>
    <xf numFmtId="166" fontId="11" fillId="0" borderId="18" xfId="0" applyNumberFormat="1" applyFont="1" applyBorder="1"/>
    <xf numFmtId="167" fontId="11" fillId="0" borderId="18" xfId="0" applyNumberFormat="1" applyFont="1" applyBorder="1"/>
    <xf numFmtId="0" fontId="30" fillId="0" borderId="0" xfId="0" applyFont="1"/>
    <xf numFmtId="165" fontId="0" fillId="0" borderId="0" xfId="0" applyNumberFormat="1"/>
    <xf numFmtId="165" fontId="11" fillId="0" borderId="18" xfId="0" applyNumberFormat="1" applyFont="1" applyBorder="1"/>
    <xf numFmtId="0" fontId="31" fillId="0" borderId="0" xfId="0" applyFont="1"/>
    <xf numFmtId="0" fontId="11" fillId="0" borderId="30" xfId="0" applyFont="1" applyBorder="1" applyAlignment="1">
      <alignment horizontal="center"/>
    </xf>
    <xf numFmtId="0" fontId="11" fillId="10" borderId="29" xfId="0" applyFont="1" applyFill="1" applyBorder="1"/>
    <xf numFmtId="3" fontId="0" fillId="0" borderId="29" xfId="0" applyNumberFormat="1" applyBorder="1"/>
    <xf numFmtId="3" fontId="11" fillId="0" borderId="31" xfId="0" applyNumberFormat="1" applyFont="1" applyBorder="1"/>
    <xf numFmtId="0" fontId="0" fillId="0" borderId="29" xfId="0" applyBorder="1"/>
    <xf numFmtId="170" fontId="0" fillId="0" borderId="29" xfId="0" applyNumberFormat="1" applyBorder="1"/>
    <xf numFmtId="170" fontId="11" fillId="0" borderId="31" xfId="0" applyNumberFormat="1" applyFont="1" applyBorder="1"/>
    <xf numFmtId="166" fontId="0" fillId="0" borderId="29" xfId="0" applyNumberFormat="1" applyBorder="1"/>
    <xf numFmtId="166" fontId="11" fillId="0" borderId="31" xfId="0" applyNumberFormat="1" applyFont="1" applyBorder="1"/>
    <xf numFmtId="167" fontId="0" fillId="0" borderId="29" xfId="0" applyNumberFormat="1" applyBorder="1"/>
    <xf numFmtId="167" fontId="11" fillId="0" borderId="31" xfId="0" applyNumberFormat="1" applyFont="1" applyBorder="1"/>
    <xf numFmtId="165" fontId="0" fillId="0" borderId="29" xfId="0" applyNumberFormat="1" applyBorder="1"/>
    <xf numFmtId="165" fontId="11" fillId="0" borderId="31" xfId="0" applyNumberFormat="1" applyFont="1" applyBorder="1"/>
    <xf numFmtId="0" fontId="11" fillId="0" borderId="33" xfId="0" applyFont="1" applyBorder="1" applyAlignment="1">
      <alignment horizontal="center"/>
    </xf>
    <xf numFmtId="0" fontId="11" fillId="10" borderId="32" xfId="0" applyFont="1" applyFill="1" applyBorder="1"/>
    <xf numFmtId="165" fontId="0" fillId="0" borderId="32" xfId="0" applyNumberFormat="1" applyBorder="1"/>
    <xf numFmtId="165" fontId="11" fillId="0" borderId="34" xfId="0" applyNumberFormat="1" applyFont="1" applyBorder="1"/>
    <xf numFmtId="0" fontId="0" fillId="0" borderId="32" xfId="0" applyBorder="1"/>
    <xf numFmtId="0" fontId="0" fillId="12" borderId="0" xfId="0" applyFill="1"/>
    <xf numFmtId="0" fontId="32" fillId="12" borderId="0" xfId="0" applyFont="1" applyFill="1" applyAlignment="1">
      <alignment horizontal="center" vertical="center" wrapText="1"/>
    </xf>
    <xf numFmtId="0" fontId="11" fillId="12" borderId="14" xfId="0" applyFont="1" applyFill="1" applyBorder="1" applyAlignment="1">
      <alignment horizontal="center"/>
    </xf>
    <xf numFmtId="0" fontId="11" fillId="12" borderId="0" xfId="0" applyFont="1" applyFill="1"/>
    <xf numFmtId="3" fontId="0" fillId="12" borderId="0" xfId="0" applyNumberFormat="1" applyFill="1"/>
    <xf numFmtId="3" fontId="11" fillId="12" borderId="18" xfId="0" applyNumberFormat="1" applyFont="1" applyFill="1" applyBorder="1"/>
    <xf numFmtId="170" fontId="0" fillId="12" borderId="0" xfId="0" applyNumberFormat="1" applyFill="1"/>
    <xf numFmtId="170" fontId="11" fillId="12" borderId="18" xfId="0" applyNumberFormat="1" applyFont="1" applyFill="1" applyBorder="1"/>
    <xf numFmtId="166" fontId="0" fillId="12" borderId="0" xfId="0" applyNumberFormat="1" applyFill="1"/>
    <xf numFmtId="166" fontId="11" fillId="12" borderId="18" xfId="0" applyNumberFormat="1" applyFont="1" applyFill="1" applyBorder="1"/>
    <xf numFmtId="167" fontId="0" fillId="12" borderId="0" xfId="0" applyNumberFormat="1" applyFill="1"/>
    <xf numFmtId="167" fontId="11" fillId="12" borderId="18" xfId="0" applyNumberFormat="1" applyFont="1" applyFill="1" applyBorder="1"/>
    <xf numFmtId="165" fontId="0" fillId="12" borderId="0" xfId="0" applyNumberFormat="1" applyFill="1"/>
    <xf numFmtId="165" fontId="11" fillId="12" borderId="18" xfId="0" applyNumberFormat="1" applyFont="1" applyFill="1" applyBorder="1"/>
    <xf numFmtId="0" fontId="0" fillId="13" borderId="32" xfId="0" applyFill="1" applyBorder="1" applyAlignment="1">
      <alignment horizontal="left" indent="1"/>
    </xf>
    <xf numFmtId="0" fontId="11" fillId="13" borderId="34" xfId="0" applyFont="1" applyFill="1" applyBorder="1" applyAlignment="1">
      <alignment horizontal="left" indent="1"/>
    </xf>
    <xf numFmtId="0" fontId="0" fillId="0" borderId="0" xfId="0" applyAlignment="1">
      <alignment horizontal="left" indent="1"/>
    </xf>
    <xf numFmtId="0" fontId="11" fillId="0" borderId="18" xfId="0" applyFont="1" applyBorder="1" applyAlignment="1">
      <alignment horizontal="left" indent="1"/>
    </xf>
    <xf numFmtId="0" fontId="33" fillId="11" borderId="0" xfId="0" applyFont="1" applyFill="1" applyAlignment="1">
      <alignment vertical="center" wrapText="1"/>
    </xf>
    <xf numFmtId="0" fontId="34" fillId="0" borderId="0" xfId="0" applyFont="1"/>
    <xf numFmtId="177" fontId="0" fillId="0" borderId="0" xfId="0" applyNumberFormat="1"/>
    <xf numFmtId="0" fontId="13" fillId="0" borderId="10" xfId="0" applyFont="1" applyBorder="1" applyAlignment="1">
      <alignment horizontal="center" wrapText="1"/>
    </xf>
    <xf numFmtId="0" fontId="13" fillId="0" borderId="11" xfId="0" applyFont="1" applyBorder="1" applyAlignment="1">
      <alignment horizontal="center" wrapText="1"/>
    </xf>
    <xf numFmtId="0" fontId="13" fillId="0" borderId="9" xfId="0" applyFont="1" applyBorder="1" applyAlignment="1">
      <alignment horizontal="center" wrapText="1"/>
    </xf>
    <xf numFmtId="0" fontId="13" fillId="6" borderId="11" xfId="0" applyFont="1" applyFill="1" applyBorder="1" applyAlignment="1">
      <alignment horizontal="center" wrapText="1"/>
    </xf>
    <xf numFmtId="0" fontId="13" fillId="6" borderId="9" xfId="0" applyFont="1" applyFill="1" applyBorder="1" applyAlignment="1">
      <alignment horizontal="center" wrapText="1"/>
    </xf>
    <xf numFmtId="0" fontId="13" fillId="6" borderId="10" xfId="0" applyFont="1" applyFill="1" applyBorder="1" applyAlignment="1">
      <alignment horizontal="center" wrapText="1"/>
    </xf>
    <xf numFmtId="0" fontId="32" fillId="11" borderId="29" xfId="0" applyFont="1" applyFill="1" applyBorder="1" applyAlignment="1">
      <alignment horizontal="center" vertical="center" wrapText="1"/>
    </xf>
    <xf numFmtId="0" fontId="32" fillId="11" borderId="0" xfId="0" applyFont="1" applyFill="1" applyAlignment="1">
      <alignment horizontal="center" vertical="center" wrapText="1"/>
    </xf>
    <xf numFmtId="0" fontId="32" fillId="11" borderId="32" xfId="0" applyFont="1" applyFill="1" applyBorder="1" applyAlignment="1">
      <alignment horizontal="center" vertical="center" wrapText="1"/>
    </xf>
    <xf numFmtId="0" fontId="13" fillId="0" borderId="21"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5" xfId="0" applyFont="1" applyBorder="1" applyAlignment="1">
      <alignment horizontal="center" vertical="center" wrapText="1"/>
    </xf>
  </cellXfs>
  <cellStyles count="109">
    <cellStyle name="AF Column - IBM Cognos" xfId="3" xr:uid="{00000000-0005-0000-0000-000006000000}"/>
    <cellStyle name="AF Data - IBM Cognos" xfId="4" xr:uid="{00000000-0005-0000-0000-000007000000}"/>
    <cellStyle name="AF Data 0 - IBM Cognos" xfId="5" xr:uid="{00000000-0005-0000-0000-000008000000}"/>
    <cellStyle name="AF Data 1 - IBM Cognos" xfId="6" xr:uid="{00000000-0005-0000-0000-000009000000}"/>
    <cellStyle name="AF Data 2 - IBM Cognos" xfId="7" xr:uid="{00000000-0005-0000-0000-00000A000000}"/>
    <cellStyle name="AF Data 3 - IBM Cognos" xfId="8" xr:uid="{00000000-0005-0000-0000-00000B000000}"/>
    <cellStyle name="AF Data 4 - IBM Cognos" xfId="9" xr:uid="{00000000-0005-0000-0000-00000C000000}"/>
    <cellStyle name="AF Data 5 - IBM Cognos" xfId="10" xr:uid="{00000000-0005-0000-0000-00000D000000}"/>
    <cellStyle name="AF Data Leaf - IBM Cognos" xfId="11" xr:uid="{00000000-0005-0000-0000-00000E000000}"/>
    <cellStyle name="AF Header - IBM Cognos" xfId="12" xr:uid="{00000000-0005-0000-0000-00000F000000}"/>
    <cellStyle name="AF Header 0 - IBM Cognos" xfId="13" xr:uid="{00000000-0005-0000-0000-000010000000}"/>
    <cellStyle name="AF Header 1 - IBM Cognos" xfId="14" xr:uid="{00000000-0005-0000-0000-000011000000}"/>
    <cellStyle name="AF Header 2 - IBM Cognos" xfId="15" xr:uid="{00000000-0005-0000-0000-000012000000}"/>
    <cellStyle name="AF Header 3 - IBM Cognos" xfId="16" xr:uid="{00000000-0005-0000-0000-000013000000}"/>
    <cellStyle name="AF Header 4 - IBM Cognos" xfId="17" xr:uid="{00000000-0005-0000-0000-000014000000}"/>
    <cellStyle name="AF Header 5 - IBM Cognos" xfId="18" xr:uid="{00000000-0005-0000-0000-000015000000}"/>
    <cellStyle name="AF Header Leaf - IBM Cognos" xfId="19" xr:uid="{00000000-0005-0000-0000-000016000000}"/>
    <cellStyle name="AF Row - IBM Cognos" xfId="20" xr:uid="{00000000-0005-0000-0000-000017000000}"/>
    <cellStyle name="AF Row 0 - IBM Cognos" xfId="21" xr:uid="{00000000-0005-0000-0000-000018000000}"/>
    <cellStyle name="AF Row 1 - IBM Cognos" xfId="22" xr:uid="{00000000-0005-0000-0000-000019000000}"/>
    <cellStyle name="AF Row 2 - IBM Cognos" xfId="23" xr:uid="{00000000-0005-0000-0000-00001A000000}"/>
    <cellStyle name="AF Row 3 - IBM Cognos" xfId="24" xr:uid="{00000000-0005-0000-0000-00001B000000}"/>
    <cellStyle name="AF Row 4 - IBM Cognos" xfId="25" xr:uid="{00000000-0005-0000-0000-00001C000000}"/>
    <cellStyle name="AF Row 5 - IBM Cognos" xfId="26" xr:uid="{00000000-0005-0000-0000-00001D000000}"/>
    <cellStyle name="AF Row Leaf - IBM Cognos" xfId="27" xr:uid="{00000000-0005-0000-0000-00001E000000}"/>
    <cellStyle name="AF Subnm - IBM Cognos" xfId="28" xr:uid="{00000000-0005-0000-0000-00001F000000}"/>
    <cellStyle name="AF Title - IBM Cognos" xfId="29" xr:uid="{00000000-0005-0000-0000-000020000000}"/>
    <cellStyle name="Calculated Column - IBM Cognos" xfId="30" xr:uid="{00000000-0005-0000-0000-000021000000}"/>
    <cellStyle name="Calculated Column Name - IBM Cognos" xfId="31" xr:uid="{00000000-0005-0000-0000-000022000000}"/>
    <cellStyle name="Calculated Row - IBM Cognos" xfId="32" xr:uid="{00000000-0005-0000-0000-000023000000}"/>
    <cellStyle name="Calculated Row Name - IBM Cognos" xfId="33" xr:uid="{00000000-0005-0000-0000-000024000000}"/>
    <cellStyle name="Column Name - IBM Cognos" xfId="34" xr:uid="{00000000-0005-0000-0000-000025000000}"/>
    <cellStyle name="Column Template - IBM Cognos" xfId="35" xr:uid="{00000000-0005-0000-0000-000026000000}"/>
    <cellStyle name="Differs From Base - IBM Cognos" xfId="36" xr:uid="{00000000-0005-0000-0000-000027000000}"/>
    <cellStyle name="DQR Column 0 - IBM Cognos" xfId="37" xr:uid="{00000000-0005-0000-0000-000028000000}"/>
    <cellStyle name="DQR Column 1 - IBM Cognos" xfId="38" xr:uid="{00000000-0005-0000-0000-000029000000}"/>
    <cellStyle name="DQR Column 2 - IBM Cognos" xfId="39" xr:uid="{00000000-0005-0000-0000-00002A000000}"/>
    <cellStyle name="DQR Column 3 - IBM Cognos" xfId="40" xr:uid="{00000000-0005-0000-0000-00002B000000}"/>
    <cellStyle name="DQR Column 4 - IBM Cognos" xfId="41" xr:uid="{00000000-0005-0000-0000-00002C000000}"/>
    <cellStyle name="DQR Column 5 - IBM Cognos" xfId="42" xr:uid="{00000000-0005-0000-0000-00002D000000}"/>
    <cellStyle name="DQR Column Default - IBM Cognos" xfId="43" xr:uid="{00000000-0005-0000-0000-00002E000000}"/>
    <cellStyle name="DQR Column Leaf - IBM Cognos" xfId="44" xr:uid="{00000000-0005-0000-0000-00002F000000}"/>
    <cellStyle name="DQR Data Default - IBM Cognos" xfId="45" xr:uid="{00000000-0005-0000-0000-000030000000}"/>
    <cellStyle name="DQR Default - IBM Cognos" xfId="46" xr:uid="{00000000-0005-0000-0000-000031000000}"/>
    <cellStyle name="DQR Gutter Default - IBM Cognos" xfId="48" xr:uid="{00000000-0005-0000-0000-000033000000}"/>
    <cellStyle name="DQR Gutter Default (OFF) - IBM Cognos" xfId="47" xr:uid="{00000000-0005-0000-0000-000032000000}"/>
    <cellStyle name="DQR Row 0 - IBM Cognos" xfId="49" xr:uid="{00000000-0005-0000-0000-000034000000}"/>
    <cellStyle name="DQR Row 1 - IBM Cognos" xfId="50" xr:uid="{00000000-0005-0000-0000-000035000000}"/>
    <cellStyle name="DQR Row 2 - IBM Cognos" xfId="51" xr:uid="{00000000-0005-0000-0000-000036000000}"/>
    <cellStyle name="DQR Row 3 - IBM Cognos" xfId="52" xr:uid="{00000000-0005-0000-0000-000037000000}"/>
    <cellStyle name="DQR Row 4 - IBM Cognos" xfId="53" xr:uid="{00000000-0005-0000-0000-000038000000}"/>
    <cellStyle name="DQR Row 5 - IBM Cognos" xfId="54" xr:uid="{00000000-0005-0000-0000-000039000000}"/>
    <cellStyle name="DQR Row Default - IBM Cognos" xfId="55" xr:uid="{00000000-0005-0000-0000-00003A000000}"/>
    <cellStyle name="DQR Row Leaf - IBM Cognos" xfId="56" xr:uid="{00000000-0005-0000-0000-00003B000000}"/>
    <cellStyle name="Edit - IBM Cognos" xfId="57" xr:uid="{00000000-0005-0000-0000-00003C000000}"/>
    <cellStyle name="Formula - IBM Cognos" xfId="58" xr:uid="{00000000-0005-0000-0000-00003D000000}"/>
    <cellStyle name="Group Name - IBM Cognos" xfId="59" xr:uid="{00000000-0005-0000-0000-00003E000000}"/>
    <cellStyle name="Hold Values - IBM Cognos" xfId="60" xr:uid="{00000000-0005-0000-0000-00003F000000}"/>
    <cellStyle name="Komma" xfId="1" builtinId="3"/>
    <cellStyle name="Komma 2" xfId="61" xr:uid="{00000000-0005-0000-0000-000040000000}"/>
    <cellStyle name="Komma 2 2" xfId="62" xr:uid="{00000000-0005-0000-0000-000041000000}"/>
    <cellStyle name="Komma 2 2 2" xfId="63" xr:uid="{00000000-0005-0000-0000-000042000000}"/>
    <cellStyle name="Komma 2 2 2 2" xfId="64" xr:uid="{00000000-0005-0000-0000-000043000000}"/>
    <cellStyle name="Komma 2 2 3" xfId="65" xr:uid="{00000000-0005-0000-0000-000044000000}"/>
    <cellStyle name="Komma 2 2 4" xfId="66" xr:uid="{00000000-0005-0000-0000-000045000000}"/>
    <cellStyle name="Komma 2 2 5" xfId="67" xr:uid="{00000000-0005-0000-0000-000046000000}"/>
    <cellStyle name="Komma 2 3" xfId="68" xr:uid="{00000000-0005-0000-0000-000047000000}"/>
    <cellStyle name="Komma 2 3 2" xfId="69" xr:uid="{00000000-0005-0000-0000-000048000000}"/>
    <cellStyle name="Komma 2 4" xfId="70" xr:uid="{00000000-0005-0000-0000-000049000000}"/>
    <cellStyle name="Komma 2 5" xfId="71" xr:uid="{00000000-0005-0000-0000-00004A000000}"/>
    <cellStyle name="Komma 2 6" xfId="72" xr:uid="{00000000-0005-0000-0000-00004B000000}"/>
    <cellStyle name="Komma 3" xfId="73" xr:uid="{00000000-0005-0000-0000-00004C000000}"/>
    <cellStyle name="Komma 3 2" xfId="74" xr:uid="{00000000-0005-0000-0000-00004D000000}"/>
    <cellStyle name="Komma 3 2 2" xfId="75" xr:uid="{00000000-0005-0000-0000-00004E000000}"/>
    <cellStyle name="Komma 3 3" xfId="76" xr:uid="{00000000-0005-0000-0000-00004F000000}"/>
    <cellStyle name="Komma 3 4" xfId="77" xr:uid="{00000000-0005-0000-0000-000050000000}"/>
    <cellStyle name="Komma 3 5" xfId="78" xr:uid="{00000000-0005-0000-0000-000051000000}"/>
    <cellStyle name="Komma 4" xfId="79" xr:uid="{00000000-0005-0000-0000-000052000000}"/>
    <cellStyle name="Komma 4 2" xfId="80" xr:uid="{00000000-0005-0000-0000-000053000000}"/>
    <cellStyle name="Komma 5" xfId="81" xr:uid="{00000000-0005-0000-0000-000054000000}"/>
    <cellStyle name="Komma 6" xfId="82" xr:uid="{00000000-0005-0000-0000-000055000000}"/>
    <cellStyle name="Komma 64" xfId="83" xr:uid="{00000000-0005-0000-0000-000056000000}"/>
    <cellStyle name="Komma 64 2" xfId="84" xr:uid="{00000000-0005-0000-0000-000057000000}"/>
    <cellStyle name="Komma 64 2 2" xfId="85" xr:uid="{00000000-0005-0000-0000-000058000000}"/>
    <cellStyle name="Komma 64 2 2 2" xfId="86" xr:uid="{00000000-0005-0000-0000-000059000000}"/>
    <cellStyle name="Komma 64 2 3" xfId="87" xr:uid="{00000000-0005-0000-0000-00005A000000}"/>
    <cellStyle name="Komma 64 3" xfId="88" xr:uid="{00000000-0005-0000-0000-00005B000000}"/>
    <cellStyle name="Komma 64 3 2" xfId="89" xr:uid="{00000000-0005-0000-0000-00005C000000}"/>
    <cellStyle name="Komma 64 4" xfId="90" xr:uid="{00000000-0005-0000-0000-00005D000000}"/>
    <cellStyle name="Komma 7" xfId="91" xr:uid="{00000000-0005-0000-0000-00005E000000}"/>
    <cellStyle name="List Name - IBM Cognos" xfId="92" xr:uid="{00000000-0005-0000-0000-00005F000000}"/>
    <cellStyle name="Locked - IBM Cognos" xfId="93" xr:uid="{00000000-0005-0000-0000-000060000000}"/>
    <cellStyle name="Measure - IBM Cognos" xfId="94" xr:uid="{00000000-0005-0000-0000-000061000000}"/>
    <cellStyle name="Measure Header - IBM Cognos" xfId="95" xr:uid="{00000000-0005-0000-0000-000062000000}"/>
    <cellStyle name="Measure Name - IBM Cognos" xfId="96" xr:uid="{00000000-0005-0000-0000-000063000000}"/>
    <cellStyle name="Measure Summary - IBM Cognos" xfId="97" xr:uid="{00000000-0005-0000-0000-000064000000}"/>
    <cellStyle name="Measure Summary TM1 - IBM Cognos" xfId="98" xr:uid="{00000000-0005-0000-0000-000065000000}"/>
    <cellStyle name="Measure Template - IBM Cognos" xfId="99" xr:uid="{00000000-0005-0000-0000-000066000000}"/>
    <cellStyle name="More - IBM Cognos" xfId="100" xr:uid="{00000000-0005-0000-0000-000067000000}"/>
    <cellStyle name="Normal" xfId="0" builtinId="0"/>
    <cellStyle name="Pending Change - IBM Cognos" xfId="101" xr:uid="{00000000-0005-0000-0000-000068000000}"/>
    <cellStyle name="Procent" xfId="2" builtinId="5"/>
    <cellStyle name="Row Name - IBM Cognos" xfId="102" xr:uid="{00000000-0005-0000-0000-000069000000}"/>
    <cellStyle name="Row Template - IBM Cognos" xfId="103" xr:uid="{00000000-0005-0000-0000-00006A000000}"/>
    <cellStyle name="Summary Column Name - IBM Cognos" xfId="104" xr:uid="{00000000-0005-0000-0000-00006B000000}"/>
    <cellStyle name="Summary Column Name TM1 - IBM Cognos" xfId="105" xr:uid="{00000000-0005-0000-0000-00006C000000}"/>
    <cellStyle name="Summary Row Name - IBM Cognos" xfId="106" xr:uid="{00000000-0005-0000-0000-00006D000000}"/>
    <cellStyle name="Summary Row Name TM1 - IBM Cognos" xfId="107" xr:uid="{00000000-0005-0000-0000-00006E000000}"/>
    <cellStyle name="Unsaved Change - IBM Cognos" xfId="108" xr:uid="{00000000-0005-0000-0000-00006F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142E"/>
      <rgbColor rgb="FFA47100"/>
      <rgbColor rgb="FF800080"/>
      <rgbColor rgb="FF336577"/>
      <rgbColor rgb="FFC0C0C0"/>
      <rgbColor rgb="FF6E767B"/>
      <rgbColor rgb="FFBFC3C6"/>
      <rgbColor rgb="FF993366"/>
      <rgbColor rgb="FFF4F4F4"/>
      <rgbColor rgb="FFDEFBE6"/>
      <rgbColor rgb="FF660066"/>
      <rgbColor rgb="FFFF8080"/>
      <rgbColor rgb="FF165D81"/>
      <rgbColor rgb="FFD9D9D9"/>
      <rgbColor rgb="FF000080"/>
      <rgbColor rgb="FFFF00FF"/>
      <rgbColor rgb="FFFFFF00"/>
      <rgbColor rgb="FF00FFFF"/>
      <rgbColor rgb="FF800080"/>
      <rgbColor rgb="FF800000"/>
      <rgbColor rgb="FF00B050"/>
      <rgbColor rgb="FF0000FF"/>
      <rgbColor rgb="FF00A5CC"/>
      <rgbColor rgb="FFD4E6FF"/>
      <rgbColor rgb="FFDDF1DA"/>
      <rgbColor rgb="FFBED7A5"/>
      <rgbColor rgb="FFB8C3D7"/>
      <rgbColor rgb="FFBCB295"/>
      <rgbColor rgb="FFBFBFBF"/>
      <rgbColor rgb="FFD9DBDD"/>
      <rgbColor rgb="FF3366FF"/>
      <rgbColor rgb="FF33CCCC"/>
      <rgbColor rgb="FF54B948"/>
      <rgbColor rgb="FFFFB612"/>
      <rgbColor rgb="FFFF9900"/>
      <rgbColor rgb="FFFF6600"/>
      <rgbColor rgb="FF595959"/>
      <rgbColor rgb="FFA8A8A8"/>
      <rgbColor rgb="FF00214D"/>
      <rgbColor rgb="FF3BAB5A"/>
      <rgbColor rgb="FF00193A"/>
      <rgbColor rgb="FF404040"/>
      <rgbColor rgb="FF993300"/>
      <rgbColor rgb="FF993366"/>
      <rgbColor rgb="FF333399"/>
      <rgbColor rgb="FF3A3A3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595959"/>
                </a:solidFill>
                <a:latin typeface="Arial"/>
              </a:defRPr>
            </a:pPr>
            <a:r>
              <a:rPr lang="da-DK" sz="1400" b="0" strike="noStrike" spc="-1">
                <a:solidFill>
                  <a:srgbClr val="595959"/>
                </a:solidFill>
                <a:latin typeface="Arial"/>
              </a:rPr>
              <a:t>Passagerindtægter (mDKK)</a:t>
            </a:r>
          </a:p>
        </c:rich>
      </c:tx>
      <c:overlay val="0"/>
      <c:spPr>
        <a:noFill/>
        <a:ln w="0">
          <a:noFill/>
        </a:ln>
      </c:spPr>
    </c:title>
    <c:autoTitleDeleted val="0"/>
    <c:plotArea>
      <c:layout/>
      <c:barChart>
        <c:barDir val="col"/>
        <c:grouping val="clustered"/>
        <c:varyColors val="0"/>
        <c:ser>
          <c:idx val="0"/>
          <c:order val="0"/>
          <c:tx>
            <c:strRef>
              <c:f>'Trafikselskaber Samlet'!$B$5</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Samlet'!$B$6:$B$12</c:f>
              <c:numCache>
                <c:formatCode>#,##0_);\-#,##0_);\-_);@</c:formatCode>
                <c:ptCount val="7"/>
                <c:pt idx="0">
                  <c:v>29.4</c:v>
                </c:pt>
                <c:pt idx="1">
                  <c:v>202.614</c:v>
                </c:pt>
                <c:pt idx="2">
                  <c:v>785.5</c:v>
                </c:pt>
                <c:pt idx="3">
                  <c:v>1930.1836000000001</c:v>
                </c:pt>
                <c:pt idx="4">
                  <c:v>382.59399579999996</c:v>
                </c:pt>
                <c:pt idx="5">
                  <c:v>264.49999999999994</c:v>
                </c:pt>
                <c:pt idx="6">
                  <c:v>3594.7915957999999</c:v>
                </c:pt>
              </c:numCache>
            </c:numRef>
          </c:val>
          <c:extLst>
            <c:ext xmlns:c16="http://schemas.microsoft.com/office/drawing/2014/chart" uri="{C3380CC4-5D6E-409C-BE32-E72D297353CC}">
              <c16:uniqueId val="{00000000-717A-4D23-93CA-51B851BBD2A5}"/>
            </c:ext>
          </c:extLst>
        </c:ser>
        <c:ser>
          <c:idx val="1"/>
          <c:order val="1"/>
          <c:tx>
            <c:strRef>
              <c:f>'Trafikselskaber Samlet'!$C$5</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Samlet'!$C$6:$C$12</c:f>
              <c:numCache>
                <c:formatCode>#,##0_);\-#,##0_);\-_);@</c:formatCode>
                <c:ptCount val="7"/>
                <c:pt idx="0">
                  <c:v>22.4</c:v>
                </c:pt>
                <c:pt idx="1">
                  <c:v>139.02199999999999</c:v>
                </c:pt>
                <c:pt idx="2">
                  <c:v>559.29999999999995</c:v>
                </c:pt>
                <c:pt idx="3">
                  <c:v>1296.42174</c:v>
                </c:pt>
                <c:pt idx="4">
                  <c:v>265.2834987</c:v>
                </c:pt>
                <c:pt idx="5">
                  <c:v>200.70000000000002</c:v>
                </c:pt>
                <c:pt idx="6">
                  <c:v>2483.1272386999999</c:v>
                </c:pt>
              </c:numCache>
            </c:numRef>
          </c:val>
          <c:extLst>
            <c:ext xmlns:c16="http://schemas.microsoft.com/office/drawing/2014/chart" uri="{C3380CC4-5D6E-409C-BE32-E72D297353CC}">
              <c16:uniqueId val="{00000001-717A-4D23-93CA-51B851BBD2A5}"/>
            </c:ext>
          </c:extLst>
        </c:ser>
        <c:ser>
          <c:idx val="2"/>
          <c:order val="2"/>
          <c:tx>
            <c:strRef>
              <c:f>'Trafikselskaber Samlet'!$D$5</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Samlet'!$D$6:$D$12</c:f>
              <c:numCache>
                <c:formatCode>#,##0_);\-#,##0_);\-_);@</c:formatCode>
                <c:ptCount val="7"/>
                <c:pt idx="0">
                  <c:v>22.1</c:v>
                </c:pt>
                <c:pt idx="1">
                  <c:v>158.54300000000001</c:v>
                </c:pt>
                <c:pt idx="2">
                  <c:v>570</c:v>
                </c:pt>
                <c:pt idx="3">
                  <c:v>1417.6207899999999</c:v>
                </c:pt>
                <c:pt idx="4">
                  <c:v>276.69426269999997</c:v>
                </c:pt>
                <c:pt idx="5">
                  <c:v>177.30000000000004</c:v>
                </c:pt>
                <c:pt idx="6">
                  <c:v>2622.2580527</c:v>
                </c:pt>
              </c:numCache>
            </c:numRef>
          </c:val>
          <c:extLst>
            <c:ext xmlns:c16="http://schemas.microsoft.com/office/drawing/2014/chart" uri="{C3380CC4-5D6E-409C-BE32-E72D297353CC}">
              <c16:uniqueId val="{00000002-717A-4D23-93CA-51B851BBD2A5}"/>
            </c:ext>
          </c:extLst>
        </c:ser>
        <c:ser>
          <c:idx val="3"/>
          <c:order val="3"/>
          <c:tx>
            <c:strRef>
              <c:f>'Trafikselskaber Samlet'!$E$5</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Samlet'!$E$6:$E$12</c:f>
              <c:numCache>
                <c:formatCode>#,##0_);\-#,##0_);\-_);@</c:formatCode>
                <c:ptCount val="7"/>
                <c:pt idx="0">
                  <c:v>24.44</c:v>
                </c:pt>
                <c:pt idx="1">
                  <c:v>165.102</c:v>
                </c:pt>
                <c:pt idx="2">
                  <c:v>770.9</c:v>
                </c:pt>
                <c:pt idx="3">
                  <c:v>1696.1998599999999</c:v>
                </c:pt>
                <c:pt idx="4">
                  <c:v>351.11101689999998</c:v>
                </c:pt>
                <c:pt idx="5">
                  <c:v>246.3</c:v>
                </c:pt>
                <c:pt idx="6">
                  <c:v>3254.0528768999998</c:v>
                </c:pt>
              </c:numCache>
            </c:numRef>
          </c:val>
          <c:extLst>
            <c:ext xmlns:c16="http://schemas.microsoft.com/office/drawing/2014/chart" uri="{C3380CC4-5D6E-409C-BE32-E72D297353CC}">
              <c16:uniqueId val="{00000003-717A-4D23-93CA-51B851BBD2A5}"/>
            </c:ext>
          </c:extLst>
        </c:ser>
        <c:ser>
          <c:idx val="4"/>
          <c:order val="4"/>
          <c:tx>
            <c:strRef>
              <c:f>'Trafikselskaber Samlet'!$F$5</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Samlet'!$F$6:$F$12</c:f>
              <c:numCache>
                <c:formatCode>#,##0_);\-#,##0_);\-_);@</c:formatCode>
                <c:ptCount val="7"/>
                <c:pt idx="0">
                  <c:v>26.638999999999999</c:v>
                </c:pt>
                <c:pt idx="1">
                  <c:v>170.738</c:v>
                </c:pt>
                <c:pt idx="2">
                  <c:v>842.90000000000009</c:v>
                </c:pt>
                <c:pt idx="3">
                  <c:v>1934.6117899999999</c:v>
                </c:pt>
                <c:pt idx="4">
                  <c:v>395.21592520000002</c:v>
                </c:pt>
                <c:pt idx="5">
                  <c:v>259.60000000000002</c:v>
                </c:pt>
                <c:pt idx="6">
                  <c:v>3629.7047152</c:v>
                </c:pt>
              </c:numCache>
            </c:numRef>
          </c:val>
          <c:extLst>
            <c:ext xmlns:c16="http://schemas.microsoft.com/office/drawing/2014/chart" uri="{C3380CC4-5D6E-409C-BE32-E72D297353CC}">
              <c16:uniqueId val="{00000004-717A-4D23-93CA-51B851BBD2A5}"/>
            </c:ext>
          </c:extLst>
        </c:ser>
        <c:ser>
          <c:idx val="5"/>
          <c:order val="5"/>
          <c:tx>
            <c:strRef>
              <c:f>'Trafikselskaber Samlet'!$G$5</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Samlet'!$G$6:$G$12</c:f>
              <c:numCache>
                <c:formatCode>#,##0_);\-#,##0_);\-_);@</c:formatCode>
                <c:ptCount val="7"/>
                <c:pt idx="0">
                  <c:v>26.69</c:v>
                </c:pt>
                <c:pt idx="1">
                  <c:v>169.56800000000001</c:v>
                </c:pt>
                <c:pt idx="2">
                  <c:v>907.2</c:v>
                </c:pt>
                <c:pt idx="3">
                  <c:v>2142.7691799999998</c:v>
                </c:pt>
                <c:pt idx="4">
                  <c:v>411.49739269999998</c:v>
                </c:pt>
                <c:pt idx="5">
                  <c:v>272.59999999999997</c:v>
                </c:pt>
                <c:pt idx="6">
                  <c:v>3930.3245726999999</c:v>
                </c:pt>
              </c:numCache>
            </c:numRef>
          </c:val>
          <c:extLst>
            <c:ext xmlns:c16="http://schemas.microsoft.com/office/drawing/2014/chart" uri="{C3380CC4-5D6E-409C-BE32-E72D297353CC}">
              <c16:uniqueId val="{00000005-717A-4D23-93CA-51B851BBD2A5}"/>
            </c:ext>
          </c:extLst>
        </c:ser>
        <c:ser>
          <c:idx val="6"/>
          <c:order val="6"/>
          <c:tx>
            <c:strRef>
              <c:f>'Trafikselskaber Samlet'!$H$5</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Samlet'!$H$6:$H$12</c:f>
              <c:numCache>
                <c:formatCode>#,##0_);\-#,##0_);\-_);@</c:formatCode>
                <c:ptCount val="7"/>
                <c:pt idx="0">
                  <c:v>26.4</c:v>
                </c:pt>
                <c:pt idx="1">
                  <c:v>180.78399999999999</c:v>
                </c:pt>
                <c:pt idx="2">
                  <c:v>872.02988610000011</c:v>
                </c:pt>
                <c:pt idx="3">
                  <c:v>2119.2034899999999</c:v>
                </c:pt>
                <c:pt idx="4">
                  <c:v>423.43723040000003</c:v>
                </c:pt>
                <c:pt idx="5">
                  <c:v>262.60000000000002</c:v>
                </c:pt>
                <c:pt idx="6">
                  <c:v>3884.4546065</c:v>
                </c:pt>
              </c:numCache>
            </c:numRef>
          </c:val>
          <c:extLst>
            <c:ext xmlns:c16="http://schemas.microsoft.com/office/drawing/2014/chart" uri="{C3380CC4-5D6E-409C-BE32-E72D297353CC}">
              <c16:uniqueId val="{00000006-717A-4D23-93CA-51B851BBD2A5}"/>
            </c:ext>
          </c:extLst>
        </c:ser>
        <c:ser>
          <c:idx val="7"/>
          <c:order val="7"/>
          <c:tx>
            <c:strRef>
              <c:f>'Trafikselskaber Samlet'!$I$5</c:f>
              <c:strCache>
                <c:ptCount val="1"/>
                <c:pt idx="0">
                  <c:v>B2026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Samlet'!$I$6:$I$12</c:f>
              <c:numCache>
                <c:formatCode>#,##0_);\-#,##0_);\-_);@</c:formatCode>
                <c:ptCount val="7"/>
                <c:pt idx="0">
                  <c:v>29</c:v>
                </c:pt>
                <c:pt idx="1">
                  <c:v>199.32547618334866</c:v>
                </c:pt>
                <c:pt idx="2">
                  <c:v>889.21600000000001</c:v>
                </c:pt>
                <c:pt idx="3">
                  <c:v>2058.20075</c:v>
                </c:pt>
                <c:pt idx="4">
                  <c:v>454.69167009999995</c:v>
                </c:pt>
                <c:pt idx="5">
                  <c:v>260.10000000000002</c:v>
                </c:pt>
                <c:pt idx="6">
                  <c:v>3890.5338962833484</c:v>
                </c:pt>
              </c:numCache>
            </c:numRef>
          </c:val>
          <c:extLst>
            <c:ext xmlns:c16="http://schemas.microsoft.com/office/drawing/2014/chart" uri="{C3380CC4-5D6E-409C-BE32-E72D297353CC}">
              <c16:uniqueId val="{00000007-717A-4D23-93CA-51B851BBD2A5}"/>
            </c:ext>
          </c:extLst>
        </c:ser>
        <c:ser>
          <c:idx val="8"/>
          <c:order val="8"/>
          <c:tx>
            <c:strRef>
              <c:f>'Trafikselskaber Samlet'!$J$5</c:f>
              <c:strCache>
                <c:ptCount val="1"/>
                <c:pt idx="0">
                  <c:v>FC2026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Samlet'!$J$6:$J$12</c:f>
              <c:numCache>
                <c:formatCode>#,##0_);\-#,##0_);\-_);@</c:formatCode>
                <c:ptCount val="7"/>
                <c:pt idx="0">
                  <c:v>24</c:v>
                </c:pt>
                <c:pt idx="1">
                  <c:v>184.3373</c:v>
                </c:pt>
                <c:pt idx="2">
                  <c:v>871.42190000000005</c:v>
                </c:pt>
                <c:pt idx="3">
                  <c:v>2058.6657799999998</c:v>
                </c:pt>
                <c:pt idx="4">
                  <c:v>424.88807270000001</c:v>
                </c:pt>
                <c:pt idx="5">
                  <c:v>259.2</c:v>
                </c:pt>
                <c:pt idx="6">
                  <c:v>3822.5130526999997</c:v>
                </c:pt>
              </c:numCache>
            </c:numRef>
          </c:val>
          <c:extLst>
            <c:ext xmlns:c16="http://schemas.microsoft.com/office/drawing/2014/chart" uri="{C3380CC4-5D6E-409C-BE32-E72D297353CC}">
              <c16:uniqueId val="{00000008-717A-4D23-93CA-51B851BBD2A5}"/>
            </c:ext>
          </c:extLst>
        </c:ser>
        <c:dLbls>
          <c:showLegendKey val="0"/>
          <c:showVal val="0"/>
          <c:showCatName val="0"/>
          <c:showSerName val="0"/>
          <c:showPercent val="0"/>
          <c:showBubbleSize val="0"/>
        </c:dLbls>
        <c:gapWidth val="219"/>
        <c:overlap val="-27"/>
        <c:axId val="29892760"/>
        <c:axId val="44439564"/>
      </c:barChart>
      <c:catAx>
        <c:axId val="29892760"/>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44439564"/>
        <c:crosses val="autoZero"/>
        <c:auto val="1"/>
        <c:lblAlgn val="ctr"/>
        <c:lblOffset val="100"/>
        <c:noMultiLvlLbl val="0"/>
      </c:catAx>
      <c:valAx>
        <c:axId val="44439564"/>
        <c:scaling>
          <c:orientation val="minMax"/>
        </c:scaling>
        <c:delete val="0"/>
        <c:axPos val="l"/>
        <c:majorGridlines>
          <c:spPr>
            <a:ln w="9360">
              <a:solidFill>
                <a:srgbClr val="D9D9D9"/>
              </a:solidFill>
              <a:round/>
            </a:ln>
          </c:spPr>
        </c:majorGridlines>
        <c:numFmt formatCode="#,##0_);\-#,##0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29892760"/>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3A3A3A"/>
                </a:solidFill>
                <a:latin typeface="Arial"/>
              </a:defRPr>
            </a:pPr>
            <a:r>
              <a:rPr lang="da-DK" sz="1400" b="0" strike="noStrike" spc="-1">
                <a:solidFill>
                  <a:srgbClr val="3A3A3A"/>
                </a:solidFill>
                <a:latin typeface="Arial"/>
              </a:rPr>
              <a:t>Passagerindtægter (mDKK) i faste priser
</a:t>
            </a:r>
          </a:p>
        </c:rich>
      </c:tx>
      <c:overlay val="0"/>
      <c:spPr>
        <a:noFill/>
        <a:ln w="0">
          <a:noFill/>
        </a:ln>
      </c:spPr>
    </c:title>
    <c:autoTitleDeleted val="0"/>
    <c:plotArea>
      <c:layout/>
      <c:barChart>
        <c:barDir val="col"/>
        <c:grouping val="clustered"/>
        <c:varyColors val="0"/>
        <c:ser>
          <c:idx val="0"/>
          <c:order val="0"/>
          <c:tx>
            <c:strRef>
              <c:f>'Trafikselskaber Samlet'!$B$19</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Samlet'!$B$20:$B$26</c:f>
              <c:numCache>
                <c:formatCode>#,##0_);\-#,##0_);\-_);@</c:formatCode>
                <c:ptCount val="7"/>
                <c:pt idx="0">
                  <c:v>29.4</c:v>
                </c:pt>
                <c:pt idx="1">
                  <c:v>202.614</c:v>
                </c:pt>
                <c:pt idx="2">
                  <c:v>785.5</c:v>
                </c:pt>
                <c:pt idx="3">
                  <c:v>1930.1836000000001</c:v>
                </c:pt>
                <c:pt idx="4">
                  <c:v>382.59399579999996</c:v>
                </c:pt>
                <c:pt idx="5">
                  <c:v>264.49999999999994</c:v>
                </c:pt>
                <c:pt idx="6">
                  <c:v>3594.7915957999999</c:v>
                </c:pt>
              </c:numCache>
            </c:numRef>
          </c:val>
          <c:extLst>
            <c:ext xmlns:c16="http://schemas.microsoft.com/office/drawing/2014/chart" uri="{C3380CC4-5D6E-409C-BE32-E72D297353CC}">
              <c16:uniqueId val="{00000000-4734-4666-A5CA-0F41EB69CE6D}"/>
            </c:ext>
          </c:extLst>
        </c:ser>
        <c:ser>
          <c:idx val="1"/>
          <c:order val="1"/>
          <c:tx>
            <c:strRef>
              <c:f>'Trafikselskaber Samlet'!$C$19</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Samlet'!$C$20:$C$26</c:f>
              <c:numCache>
                <c:formatCode>#,##0_);\-#,##0_);\-_);@</c:formatCode>
                <c:ptCount val="7"/>
                <c:pt idx="0">
                  <c:v>21.939275220372185</c:v>
                </c:pt>
                <c:pt idx="1">
                  <c:v>136.16258570029385</c:v>
                </c:pt>
                <c:pt idx="2">
                  <c:v>547.79627815866797</c:v>
                </c:pt>
                <c:pt idx="3">
                  <c:v>1269.7568462291872</c:v>
                </c:pt>
                <c:pt idx="4">
                  <c:v>259.82712899118513</c:v>
                </c:pt>
                <c:pt idx="5">
                  <c:v>196.57198824681689</c:v>
                </c:pt>
                <c:pt idx="6">
                  <c:v>2432.0541025465232</c:v>
                </c:pt>
              </c:numCache>
            </c:numRef>
          </c:val>
          <c:extLst>
            <c:ext xmlns:c16="http://schemas.microsoft.com/office/drawing/2014/chart" uri="{C3380CC4-5D6E-409C-BE32-E72D297353CC}">
              <c16:uniqueId val="{00000001-4734-4666-A5CA-0F41EB69CE6D}"/>
            </c:ext>
          </c:extLst>
        </c:ser>
        <c:ser>
          <c:idx val="2"/>
          <c:order val="2"/>
          <c:tx>
            <c:strRef>
              <c:f>'Trafikselskaber Samlet'!$D$19</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Samlet'!$D$20:$D$26</c:f>
              <c:numCache>
                <c:formatCode>#,##0_);\-#,##0_);\-_);@</c:formatCode>
                <c:ptCount val="7"/>
                <c:pt idx="0">
                  <c:v>21.283624032967474</c:v>
                </c:pt>
                <c:pt idx="1">
                  <c:v>152.68640746872225</c:v>
                </c:pt>
                <c:pt idx="2">
                  <c:v>548.9441492665818</c:v>
                </c:pt>
                <c:pt idx="3">
                  <c:v>1365.2537518406484</c:v>
                </c:pt>
                <c:pt idx="4">
                  <c:v>266.47315200841331</c:v>
                </c:pt>
                <c:pt idx="5">
                  <c:v>170.75052221923681</c:v>
                </c:pt>
                <c:pt idx="6">
                  <c:v>2525.3916068365697</c:v>
                </c:pt>
              </c:numCache>
            </c:numRef>
          </c:val>
          <c:extLst>
            <c:ext xmlns:c16="http://schemas.microsoft.com/office/drawing/2014/chart" uri="{C3380CC4-5D6E-409C-BE32-E72D297353CC}">
              <c16:uniqueId val="{00000002-4734-4666-A5CA-0F41EB69CE6D}"/>
            </c:ext>
          </c:extLst>
        </c:ser>
        <c:ser>
          <c:idx val="3"/>
          <c:order val="3"/>
          <c:tx>
            <c:strRef>
              <c:f>'Trafikselskaber Samlet'!$E$19</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Samlet'!$E$20:$E$26</c:f>
              <c:numCache>
                <c:formatCode>#,##0_);\-#,##0_);\-_);@</c:formatCode>
                <c:ptCount val="7"/>
                <c:pt idx="0">
                  <c:v>22.697381123137358</c:v>
                </c:pt>
                <c:pt idx="1">
                  <c:v>153.32991072799609</c:v>
                </c:pt>
                <c:pt idx="2">
                  <c:v>715.93335138406667</c:v>
                </c:pt>
                <c:pt idx="3">
                  <c:v>1575.2575566052467</c:v>
                </c:pt>
                <c:pt idx="4">
                  <c:v>326.07612795055735</c:v>
                </c:pt>
                <c:pt idx="5">
                  <c:v>228.73833758710032</c:v>
                </c:pt>
                <c:pt idx="6">
                  <c:v>3022.0326653781044</c:v>
                </c:pt>
              </c:numCache>
            </c:numRef>
          </c:val>
          <c:extLst>
            <c:ext xmlns:c16="http://schemas.microsoft.com/office/drawing/2014/chart" uri="{C3380CC4-5D6E-409C-BE32-E72D297353CC}">
              <c16:uniqueId val="{00000003-4734-4666-A5CA-0F41EB69CE6D}"/>
            </c:ext>
          </c:extLst>
        </c:ser>
        <c:ser>
          <c:idx val="4"/>
          <c:order val="4"/>
          <c:tx>
            <c:strRef>
              <c:f>'Trafikselskaber Samlet'!$F$19</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Samlet'!$F$20:$F$26</c:f>
              <c:numCache>
                <c:formatCode>#,##0_);\-#,##0_);\-_);@</c:formatCode>
                <c:ptCount val="7"/>
                <c:pt idx="0">
                  <c:v>24.065747281488854</c:v>
                </c:pt>
                <c:pt idx="1">
                  <c:v>154.24518785790923</c:v>
                </c:pt>
                <c:pt idx="2">
                  <c:v>761.47822304016506</c:v>
                </c:pt>
                <c:pt idx="3">
                  <c:v>1747.733714701332</c:v>
                </c:pt>
                <c:pt idx="4">
                  <c:v>357.03917479946705</c:v>
                </c:pt>
                <c:pt idx="5">
                  <c:v>234.52336777936512</c:v>
                </c:pt>
                <c:pt idx="6">
                  <c:v>3279.0854154597273</c:v>
                </c:pt>
              </c:numCache>
            </c:numRef>
          </c:val>
          <c:extLst>
            <c:ext xmlns:c16="http://schemas.microsoft.com/office/drawing/2014/chart" uri="{C3380CC4-5D6E-409C-BE32-E72D297353CC}">
              <c16:uniqueId val="{00000004-4734-4666-A5CA-0F41EB69CE6D}"/>
            </c:ext>
          </c:extLst>
        </c:ser>
        <c:ser>
          <c:idx val="5"/>
          <c:order val="5"/>
          <c:tx>
            <c:strRef>
              <c:f>'Trafikselskaber Samlet'!$G$19</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Samlet'!$G$20:$G$26</c:f>
              <c:numCache>
                <c:formatCode>#,##0_);\-#,##0_);\-_);@</c:formatCode>
                <c:ptCount val="7"/>
                <c:pt idx="0">
                  <c:v>23.184443100447638</c:v>
                </c:pt>
                <c:pt idx="1">
                  <c:v>147.29635247870758</c:v>
                </c:pt>
                <c:pt idx="2">
                  <c:v>788.04521471435351</c:v>
                </c:pt>
                <c:pt idx="3">
                  <c:v>1861.3304657588171</c:v>
                </c:pt>
                <c:pt idx="4">
                  <c:v>357.44990209950191</c:v>
                </c:pt>
                <c:pt idx="5">
                  <c:v>236.7957732926948</c:v>
                </c:pt>
                <c:pt idx="6">
                  <c:v>3414.1021514445224</c:v>
                </c:pt>
              </c:numCache>
            </c:numRef>
          </c:val>
          <c:extLst>
            <c:ext xmlns:c16="http://schemas.microsoft.com/office/drawing/2014/chart" uri="{C3380CC4-5D6E-409C-BE32-E72D297353CC}">
              <c16:uniqueId val="{00000005-4734-4666-A5CA-0F41EB69CE6D}"/>
            </c:ext>
          </c:extLst>
        </c:ser>
        <c:ser>
          <c:idx val="6"/>
          <c:order val="6"/>
          <c:tx>
            <c:strRef>
              <c:f>'Trafikselskaber Samlet'!$H$19</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Samlet'!$H$20:$H$26</c:f>
              <c:numCache>
                <c:formatCode>#,##0_);\-#,##0_);\-_);@</c:formatCode>
                <c:ptCount val="7"/>
                <c:pt idx="0">
                  <c:v>22.11430347476157</c:v>
                </c:pt>
                <c:pt idx="1">
                  <c:v>151.43606967353392</c:v>
                </c:pt>
                <c:pt idx="2">
                  <c:v>730.46717955595341</c:v>
                </c:pt>
                <c:pt idx="3">
                  <c:v>1775.1783750997668</c:v>
                </c:pt>
                <c:pt idx="4">
                  <c:v>354.6977051355355</c:v>
                </c:pt>
                <c:pt idx="5">
                  <c:v>219.97030653304503</c:v>
                </c:pt>
                <c:pt idx="6">
                  <c:v>3253.8639394725965</c:v>
                </c:pt>
              </c:numCache>
            </c:numRef>
          </c:val>
          <c:extLst>
            <c:ext xmlns:c16="http://schemas.microsoft.com/office/drawing/2014/chart" uri="{C3380CC4-5D6E-409C-BE32-E72D297353CC}">
              <c16:uniqueId val="{00000006-4734-4666-A5CA-0F41EB69CE6D}"/>
            </c:ext>
          </c:extLst>
        </c:ser>
        <c:ser>
          <c:idx val="7"/>
          <c:order val="7"/>
          <c:tx>
            <c:strRef>
              <c:f>'Trafikselskaber Samlet'!$I$19</c:f>
              <c:strCache>
                <c:ptCount val="1"/>
                <c:pt idx="0">
                  <c:v>B2026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Samlet'!$I$20:$I$26</c:f>
              <c:numCache>
                <c:formatCode>#,##0_);\-#,##0_);\-_);@</c:formatCode>
                <c:ptCount val="7"/>
                <c:pt idx="0">
                  <c:v>23.561811155985861</c:v>
                </c:pt>
                <c:pt idx="1">
                  <c:v>161.94721477272478</c:v>
                </c:pt>
                <c:pt idx="2">
                  <c:v>722.46687823728018</c:v>
                </c:pt>
                <c:pt idx="3">
                  <c:v>1672.2392204347748</c:v>
                </c:pt>
                <c:pt idx="4">
                  <c:v>369.42618155503527</c:v>
                </c:pt>
                <c:pt idx="5">
                  <c:v>211.32507178179046</c:v>
                </c:pt>
                <c:pt idx="6">
                  <c:v>3160.9663779375915</c:v>
                </c:pt>
              </c:numCache>
            </c:numRef>
          </c:val>
          <c:extLst>
            <c:ext xmlns:c16="http://schemas.microsoft.com/office/drawing/2014/chart" uri="{C3380CC4-5D6E-409C-BE32-E72D297353CC}">
              <c16:uniqueId val="{00000007-4734-4666-A5CA-0F41EB69CE6D}"/>
            </c:ext>
          </c:extLst>
        </c:ser>
        <c:ser>
          <c:idx val="8"/>
          <c:order val="8"/>
          <c:tx>
            <c:strRef>
              <c:f>'Trafikselskaber Samlet'!$J$19</c:f>
              <c:strCache>
                <c:ptCount val="1"/>
                <c:pt idx="0">
                  <c:v>FC2026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Samlet'!$J$20:$J$26</c:f>
              <c:numCache>
                <c:formatCode>#,##0_);\-#,##0_);\-_);@</c:formatCode>
                <c:ptCount val="7"/>
                <c:pt idx="0">
                  <c:v>19.499429922195198</c:v>
                </c:pt>
                <c:pt idx="1">
                  <c:v>149.76967764152803</c:v>
                </c:pt>
                <c:pt idx="2">
                  <c:v>708.00959465484129</c:v>
                </c:pt>
                <c:pt idx="3">
                  <c:v>1672.6170462638045</c:v>
                </c:pt>
                <c:pt idx="4">
                  <c:v>345.21146659959282</c:v>
                </c:pt>
                <c:pt idx="5">
                  <c:v>210.59384315970811</c:v>
                </c:pt>
                <c:pt idx="6">
                  <c:v>3105.7010582416701</c:v>
                </c:pt>
              </c:numCache>
            </c:numRef>
          </c:val>
          <c:extLst>
            <c:ext xmlns:c16="http://schemas.microsoft.com/office/drawing/2014/chart" uri="{C3380CC4-5D6E-409C-BE32-E72D297353CC}">
              <c16:uniqueId val="{00000008-4734-4666-A5CA-0F41EB69CE6D}"/>
            </c:ext>
          </c:extLst>
        </c:ser>
        <c:dLbls>
          <c:showLegendKey val="0"/>
          <c:showVal val="0"/>
          <c:showCatName val="0"/>
          <c:showSerName val="0"/>
          <c:showPercent val="0"/>
          <c:showBubbleSize val="0"/>
        </c:dLbls>
        <c:gapWidth val="219"/>
        <c:overlap val="-27"/>
        <c:axId val="20568421"/>
        <c:axId val="85183813"/>
      </c:barChart>
      <c:catAx>
        <c:axId val="20568421"/>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85183813"/>
        <c:crosses val="autoZero"/>
        <c:auto val="1"/>
        <c:lblAlgn val="ctr"/>
        <c:lblOffset val="100"/>
        <c:noMultiLvlLbl val="0"/>
      </c:catAx>
      <c:valAx>
        <c:axId val="85183813"/>
        <c:scaling>
          <c:orientation val="minMax"/>
        </c:scaling>
        <c:delete val="0"/>
        <c:axPos val="l"/>
        <c:majorGridlines>
          <c:spPr>
            <a:ln w="9360">
              <a:solidFill>
                <a:srgbClr val="D9D9D9"/>
              </a:solidFill>
              <a:round/>
            </a:ln>
          </c:spPr>
        </c:majorGridlines>
        <c:numFmt formatCode="#,##0_);\-#,##0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20568421"/>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1" strike="noStrike" spc="-1">
                <a:solidFill>
                  <a:srgbClr val="595959"/>
                </a:solidFill>
                <a:latin typeface="Arial"/>
              </a:defRPr>
            </a:pPr>
            <a:r>
              <a:rPr lang="da-DK" sz="1400" b="1" strike="noStrike" spc="-1">
                <a:solidFill>
                  <a:srgbClr val="595959"/>
                </a:solidFill>
                <a:latin typeface="Arial"/>
              </a:rPr>
              <a:t>Operatørudgifter (mDKK) </a:t>
            </a:r>
          </a:p>
        </c:rich>
      </c:tx>
      <c:overlay val="0"/>
      <c:spPr>
        <a:noFill/>
        <a:ln w="0">
          <a:noFill/>
        </a:ln>
      </c:spPr>
    </c:title>
    <c:autoTitleDeleted val="0"/>
    <c:plotArea>
      <c:layout/>
      <c:barChart>
        <c:barDir val="col"/>
        <c:grouping val="clustered"/>
        <c:varyColors val="0"/>
        <c:ser>
          <c:idx val="0"/>
          <c:order val="0"/>
          <c:tx>
            <c:strRef>
              <c:f>'Trafikselskaber Samlet'!$O$5</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Samlet'!$O$6:$O$12</c:f>
              <c:numCache>
                <c:formatCode>#,##0_);\-#,##0_);\-_);@</c:formatCode>
                <c:ptCount val="7"/>
                <c:pt idx="0">
                  <c:v>53.6</c:v>
                </c:pt>
                <c:pt idx="1">
                  <c:v>567.88300000000004</c:v>
                </c:pt>
                <c:pt idx="2">
                  <c:v>1887.2999999999997</c:v>
                </c:pt>
                <c:pt idx="3">
                  <c:v>4249.8941100000002</c:v>
                </c:pt>
                <c:pt idx="4">
                  <c:v>1136.2315403000002</c:v>
                </c:pt>
                <c:pt idx="5">
                  <c:v>892.5</c:v>
                </c:pt>
                <c:pt idx="6">
                  <c:v>8787.4086502999999</c:v>
                </c:pt>
              </c:numCache>
            </c:numRef>
          </c:val>
          <c:extLst>
            <c:ext xmlns:c16="http://schemas.microsoft.com/office/drawing/2014/chart" uri="{C3380CC4-5D6E-409C-BE32-E72D297353CC}">
              <c16:uniqueId val="{00000000-410D-4051-9CCA-A7296878D03E}"/>
            </c:ext>
          </c:extLst>
        </c:ser>
        <c:ser>
          <c:idx val="1"/>
          <c:order val="1"/>
          <c:tx>
            <c:strRef>
              <c:f>'Trafikselskaber Samlet'!$P$5</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Samlet'!$P$6:$P$12</c:f>
              <c:numCache>
                <c:formatCode>#,##0_);\-#,##0_);\-_);@</c:formatCode>
                <c:ptCount val="7"/>
                <c:pt idx="0">
                  <c:v>48.65</c:v>
                </c:pt>
                <c:pt idx="1">
                  <c:v>546.596</c:v>
                </c:pt>
                <c:pt idx="2">
                  <c:v>1892.5</c:v>
                </c:pt>
                <c:pt idx="3">
                  <c:v>4154.2948200000001</c:v>
                </c:pt>
                <c:pt idx="4">
                  <c:v>1129.1949061999999</c:v>
                </c:pt>
                <c:pt idx="5">
                  <c:v>863</c:v>
                </c:pt>
                <c:pt idx="6">
                  <c:v>8634.2357262000005</c:v>
                </c:pt>
              </c:numCache>
            </c:numRef>
          </c:val>
          <c:extLst>
            <c:ext xmlns:c16="http://schemas.microsoft.com/office/drawing/2014/chart" uri="{C3380CC4-5D6E-409C-BE32-E72D297353CC}">
              <c16:uniqueId val="{00000001-410D-4051-9CCA-A7296878D03E}"/>
            </c:ext>
          </c:extLst>
        </c:ser>
        <c:ser>
          <c:idx val="2"/>
          <c:order val="2"/>
          <c:tx>
            <c:strRef>
              <c:f>'Trafikselskaber Samlet'!$Q$5</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Samlet'!$Q$6:$Q$12</c:f>
              <c:numCache>
                <c:formatCode>#,##0_);\-#,##0_);\-_);@</c:formatCode>
                <c:ptCount val="7"/>
                <c:pt idx="0">
                  <c:v>50.9</c:v>
                </c:pt>
                <c:pt idx="1">
                  <c:v>581.34100000000001</c:v>
                </c:pt>
                <c:pt idx="2">
                  <c:v>1996.2</c:v>
                </c:pt>
                <c:pt idx="3">
                  <c:v>4344.1483699999999</c:v>
                </c:pt>
                <c:pt idx="4">
                  <c:v>1208.8469077</c:v>
                </c:pt>
                <c:pt idx="5">
                  <c:v>860.4</c:v>
                </c:pt>
                <c:pt idx="6">
                  <c:v>9041.8362777000002</c:v>
                </c:pt>
              </c:numCache>
            </c:numRef>
          </c:val>
          <c:extLst>
            <c:ext xmlns:c16="http://schemas.microsoft.com/office/drawing/2014/chart" uri="{C3380CC4-5D6E-409C-BE32-E72D297353CC}">
              <c16:uniqueId val="{00000002-410D-4051-9CCA-A7296878D03E}"/>
            </c:ext>
          </c:extLst>
        </c:ser>
        <c:ser>
          <c:idx val="3"/>
          <c:order val="3"/>
          <c:tx>
            <c:strRef>
              <c:f>'Trafikselskaber Samlet'!$R$5</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Samlet'!$R$6:$R$12</c:f>
              <c:numCache>
                <c:formatCode>#,##0_);\-#,##0_);\-_);@</c:formatCode>
                <c:ptCount val="7"/>
                <c:pt idx="0">
                  <c:v>56.6</c:v>
                </c:pt>
                <c:pt idx="1">
                  <c:v>629.61300000000006</c:v>
                </c:pt>
                <c:pt idx="2">
                  <c:v>2163.6</c:v>
                </c:pt>
                <c:pt idx="3">
                  <c:v>4825.1193499999999</c:v>
                </c:pt>
                <c:pt idx="4">
                  <c:v>1330.3607861</c:v>
                </c:pt>
                <c:pt idx="5">
                  <c:v>933.5</c:v>
                </c:pt>
                <c:pt idx="6">
                  <c:v>9938.793136100001</c:v>
                </c:pt>
              </c:numCache>
            </c:numRef>
          </c:val>
          <c:extLst>
            <c:ext xmlns:c16="http://schemas.microsoft.com/office/drawing/2014/chart" uri="{C3380CC4-5D6E-409C-BE32-E72D297353CC}">
              <c16:uniqueId val="{00000003-410D-4051-9CCA-A7296878D03E}"/>
            </c:ext>
          </c:extLst>
        </c:ser>
        <c:ser>
          <c:idx val="4"/>
          <c:order val="4"/>
          <c:tx>
            <c:strRef>
              <c:f>'Trafikselskaber Samlet'!$S$5</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Samlet'!$S$6:$S$12</c:f>
              <c:numCache>
                <c:formatCode>#,##0_);\-#,##0_);\-_);@</c:formatCode>
                <c:ptCount val="7"/>
                <c:pt idx="0">
                  <c:v>56</c:v>
                </c:pt>
                <c:pt idx="1">
                  <c:v>624.45699999999999</c:v>
                </c:pt>
                <c:pt idx="2">
                  <c:v>2171.7999999999997</c:v>
                </c:pt>
                <c:pt idx="3">
                  <c:v>4898.9099100000003</c:v>
                </c:pt>
                <c:pt idx="4">
                  <c:v>1352.8327611</c:v>
                </c:pt>
                <c:pt idx="5">
                  <c:v>971.8</c:v>
                </c:pt>
                <c:pt idx="6">
                  <c:v>10075.7996711</c:v>
                </c:pt>
              </c:numCache>
            </c:numRef>
          </c:val>
          <c:extLst>
            <c:ext xmlns:c16="http://schemas.microsoft.com/office/drawing/2014/chart" uri="{C3380CC4-5D6E-409C-BE32-E72D297353CC}">
              <c16:uniqueId val="{00000004-410D-4051-9CCA-A7296878D03E}"/>
            </c:ext>
          </c:extLst>
        </c:ser>
        <c:ser>
          <c:idx val="5"/>
          <c:order val="5"/>
          <c:tx>
            <c:strRef>
              <c:f>'Trafikselskaber Samlet'!$T$5</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Samlet'!$T$6:$T$12</c:f>
              <c:numCache>
                <c:formatCode>#,##0_);\-#,##0_);\-_);@</c:formatCode>
                <c:ptCount val="7"/>
                <c:pt idx="0">
                  <c:v>64.8</c:v>
                </c:pt>
                <c:pt idx="1">
                  <c:v>626.66200000000003</c:v>
                </c:pt>
                <c:pt idx="2">
                  <c:v>2250.1</c:v>
                </c:pt>
                <c:pt idx="3">
                  <c:v>4794.7202900000002</c:v>
                </c:pt>
                <c:pt idx="4">
                  <c:v>1382.4130862</c:v>
                </c:pt>
                <c:pt idx="5">
                  <c:v>990.69999999999982</c:v>
                </c:pt>
                <c:pt idx="6">
                  <c:v>10109.395376199998</c:v>
                </c:pt>
              </c:numCache>
            </c:numRef>
          </c:val>
          <c:extLst>
            <c:ext xmlns:c16="http://schemas.microsoft.com/office/drawing/2014/chart" uri="{C3380CC4-5D6E-409C-BE32-E72D297353CC}">
              <c16:uniqueId val="{00000005-410D-4051-9CCA-A7296878D03E}"/>
            </c:ext>
          </c:extLst>
        </c:ser>
        <c:ser>
          <c:idx val="6"/>
          <c:order val="6"/>
          <c:tx>
            <c:strRef>
              <c:f>'Trafikselskaber Samlet'!$U$5</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Samlet'!$U$6:$U$12</c:f>
              <c:numCache>
                <c:formatCode>#,##0_);\-#,##0_);\-_);@</c:formatCode>
                <c:ptCount val="7"/>
                <c:pt idx="0">
                  <c:v>61</c:v>
                </c:pt>
                <c:pt idx="1">
                  <c:v>616.68399999999997</c:v>
                </c:pt>
                <c:pt idx="2">
                  <c:v>2245.6007770000006</c:v>
                </c:pt>
                <c:pt idx="3">
                  <c:v>4865.2266900000004</c:v>
                </c:pt>
                <c:pt idx="4">
                  <c:v>1433.4751739000001</c:v>
                </c:pt>
                <c:pt idx="5">
                  <c:v>967.8</c:v>
                </c:pt>
                <c:pt idx="6">
                  <c:v>10189.7866409</c:v>
                </c:pt>
              </c:numCache>
            </c:numRef>
          </c:val>
          <c:extLst>
            <c:ext xmlns:c16="http://schemas.microsoft.com/office/drawing/2014/chart" uri="{C3380CC4-5D6E-409C-BE32-E72D297353CC}">
              <c16:uniqueId val="{00000006-410D-4051-9CCA-A7296878D03E}"/>
            </c:ext>
          </c:extLst>
        </c:ser>
        <c:ser>
          <c:idx val="7"/>
          <c:order val="7"/>
          <c:tx>
            <c:strRef>
              <c:f>'Trafikselskaber Samlet'!$V$5</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Samlet'!$V$6:$V$12</c:f>
              <c:numCache>
                <c:formatCode>#,##0_);\-#,##0_);\-_);@</c:formatCode>
                <c:ptCount val="7"/>
                <c:pt idx="0">
                  <c:v>59</c:v>
                </c:pt>
                <c:pt idx="1">
                  <c:v>638.54084743649332</c:v>
                </c:pt>
                <c:pt idx="2">
                  <c:v>2318.1306</c:v>
                </c:pt>
                <c:pt idx="3">
                  <c:v>4852.9756900000002</c:v>
                </c:pt>
                <c:pt idx="4">
                  <c:v>1501.9012839000002</c:v>
                </c:pt>
                <c:pt idx="5">
                  <c:v>997.5</c:v>
                </c:pt>
                <c:pt idx="6">
                  <c:v>10368.048421336494</c:v>
                </c:pt>
              </c:numCache>
            </c:numRef>
          </c:val>
          <c:extLst>
            <c:ext xmlns:c16="http://schemas.microsoft.com/office/drawing/2014/chart" uri="{C3380CC4-5D6E-409C-BE32-E72D297353CC}">
              <c16:uniqueId val="{00000007-410D-4051-9CCA-A7296878D03E}"/>
            </c:ext>
          </c:extLst>
        </c:ser>
        <c:ser>
          <c:idx val="8"/>
          <c:order val="8"/>
          <c:tx>
            <c:strRef>
              <c:f>'Trafikselskaber Samlet'!$W$5</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Samlet'!$W$6:$W$12</c:f>
              <c:numCache>
                <c:formatCode>#,##0_);\-#,##0_);\-_);@</c:formatCode>
                <c:ptCount val="7"/>
                <c:pt idx="0">
                  <c:v>61</c:v>
                </c:pt>
                <c:pt idx="1">
                  <c:v>635.71100000000001</c:v>
                </c:pt>
                <c:pt idx="2">
                  <c:v>2320.7080000000001</c:v>
                </c:pt>
                <c:pt idx="3">
                  <c:v>5020.1899299999995</c:v>
                </c:pt>
                <c:pt idx="4">
                  <c:v>1512.2329056000001</c:v>
                </c:pt>
                <c:pt idx="5">
                  <c:v>1007.5999999999999</c:v>
                </c:pt>
                <c:pt idx="6">
                  <c:v>10557.441835600001</c:v>
                </c:pt>
              </c:numCache>
            </c:numRef>
          </c:val>
          <c:extLst>
            <c:ext xmlns:c16="http://schemas.microsoft.com/office/drawing/2014/chart" uri="{C3380CC4-5D6E-409C-BE32-E72D297353CC}">
              <c16:uniqueId val="{00000008-410D-4051-9CCA-A7296878D03E}"/>
            </c:ext>
          </c:extLst>
        </c:ser>
        <c:dLbls>
          <c:showLegendKey val="0"/>
          <c:showVal val="0"/>
          <c:showCatName val="0"/>
          <c:showSerName val="0"/>
          <c:showPercent val="0"/>
          <c:showBubbleSize val="0"/>
        </c:dLbls>
        <c:gapWidth val="219"/>
        <c:overlap val="-27"/>
        <c:axId val="56260276"/>
        <c:axId val="91093094"/>
      </c:barChart>
      <c:catAx>
        <c:axId val="56260276"/>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91093094"/>
        <c:crosses val="autoZero"/>
        <c:auto val="1"/>
        <c:lblAlgn val="ctr"/>
        <c:lblOffset val="100"/>
        <c:noMultiLvlLbl val="0"/>
      </c:catAx>
      <c:valAx>
        <c:axId val="91093094"/>
        <c:scaling>
          <c:orientation val="minMax"/>
        </c:scaling>
        <c:delete val="0"/>
        <c:axPos val="l"/>
        <c:majorGridlines>
          <c:spPr>
            <a:ln w="9360">
              <a:solidFill>
                <a:srgbClr val="D9D9D9"/>
              </a:solidFill>
              <a:round/>
            </a:ln>
          </c:spPr>
        </c:majorGridlines>
        <c:numFmt formatCode="#,##0_);\-#,##0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56260276"/>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1" strike="noStrike" spc="-1">
                <a:solidFill>
                  <a:srgbClr val="3A3A3A"/>
                </a:solidFill>
                <a:latin typeface="Arial"/>
              </a:defRPr>
            </a:pPr>
            <a:r>
              <a:rPr lang="da-DK" sz="1400" b="1" strike="noStrike" spc="-1">
                <a:solidFill>
                  <a:srgbClr val="3A3A3A"/>
                </a:solidFill>
                <a:latin typeface="Arial"/>
              </a:rPr>
              <a:t>Operatørudgifter (mDKK) i faste priser</a:t>
            </a:r>
          </a:p>
        </c:rich>
      </c:tx>
      <c:layout>
        <c:manualLayout>
          <c:xMode val="edge"/>
          <c:yMode val="edge"/>
          <c:x val="0.23733844536515999"/>
          <c:y val="8.4875633620181499E-3"/>
        </c:manualLayout>
      </c:layout>
      <c:overlay val="0"/>
      <c:spPr>
        <a:noFill/>
        <a:ln w="0">
          <a:noFill/>
        </a:ln>
      </c:spPr>
    </c:title>
    <c:autoTitleDeleted val="0"/>
    <c:plotArea>
      <c:layout/>
      <c:barChart>
        <c:barDir val="col"/>
        <c:grouping val="clustered"/>
        <c:varyColors val="0"/>
        <c:ser>
          <c:idx val="0"/>
          <c:order val="0"/>
          <c:tx>
            <c:strRef>
              <c:f>'Trafikselskaber Samlet'!$O$19</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Samlet'!$O$20:$O$26</c:f>
              <c:numCache>
                <c:formatCode>#,##0_);\-#,##0_);\-_);@</c:formatCode>
                <c:ptCount val="7"/>
                <c:pt idx="0">
                  <c:v>53.6</c:v>
                </c:pt>
                <c:pt idx="1">
                  <c:v>567.88300000000004</c:v>
                </c:pt>
                <c:pt idx="2">
                  <c:v>1887.2999999999997</c:v>
                </c:pt>
                <c:pt idx="3">
                  <c:v>4249.8941100000002</c:v>
                </c:pt>
                <c:pt idx="4">
                  <c:v>1136.2315403000002</c:v>
                </c:pt>
                <c:pt idx="5">
                  <c:v>892.5</c:v>
                </c:pt>
                <c:pt idx="6">
                  <c:v>8787.4086502999999</c:v>
                </c:pt>
              </c:numCache>
            </c:numRef>
          </c:val>
          <c:extLst>
            <c:ext xmlns:c16="http://schemas.microsoft.com/office/drawing/2014/chart" uri="{C3380CC4-5D6E-409C-BE32-E72D297353CC}">
              <c16:uniqueId val="{00000000-8D4D-4EA5-8F3D-CF7C36ADA041}"/>
            </c:ext>
          </c:extLst>
        </c:ser>
        <c:ser>
          <c:idx val="1"/>
          <c:order val="1"/>
          <c:tx>
            <c:strRef>
              <c:f>'Trafikselskaber Samlet'!$P$19</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Samlet'!$P$20:$P$26</c:f>
              <c:numCache>
                <c:formatCode>#,##0_);\-#,##0_);\-_);@</c:formatCode>
                <c:ptCount val="7"/>
                <c:pt idx="0">
                  <c:v>47.64936336924584</c:v>
                </c:pt>
                <c:pt idx="1">
                  <c:v>535.35357492654271</c:v>
                </c:pt>
                <c:pt idx="2">
                  <c:v>1853.5749265426055</c:v>
                </c:pt>
                <c:pt idx="3">
                  <c:v>4068.8489911851129</c:v>
                </c:pt>
                <c:pt idx="4">
                  <c:v>1105.9695457394712</c:v>
                </c:pt>
                <c:pt idx="5">
                  <c:v>845.24975514201776</c:v>
                </c:pt>
                <c:pt idx="6">
                  <c:v>8456.6461569049952</c:v>
                </c:pt>
              </c:numCache>
            </c:numRef>
          </c:val>
          <c:extLst>
            <c:ext xmlns:c16="http://schemas.microsoft.com/office/drawing/2014/chart" uri="{C3380CC4-5D6E-409C-BE32-E72D297353CC}">
              <c16:uniqueId val="{00000001-8D4D-4EA5-8F3D-CF7C36ADA041}"/>
            </c:ext>
          </c:extLst>
        </c:ser>
        <c:ser>
          <c:idx val="2"/>
          <c:order val="2"/>
          <c:tx>
            <c:strRef>
              <c:f>'Trafikselskaber Samlet'!$Q$19</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Samlet'!$Q$20:$Q$26</c:f>
              <c:numCache>
                <c:formatCode>#,##0_);\-#,##0_);\-_);@</c:formatCode>
                <c:ptCount val="7"/>
                <c:pt idx="0">
                  <c:v>49.019749469594764</c:v>
                </c:pt>
                <c:pt idx="1">
                  <c:v>559.8662117171649</c:v>
                </c:pt>
                <c:pt idx="2">
                  <c:v>1922.4601943262294</c:v>
                </c:pt>
                <c:pt idx="3">
                  <c:v>4183.6751425569446</c:v>
                </c:pt>
                <c:pt idx="4">
                  <c:v>1164.1919953349382</c:v>
                </c:pt>
                <c:pt idx="5">
                  <c:v>828.61674741924037</c:v>
                </c:pt>
                <c:pt idx="6">
                  <c:v>8707.8300408241121</c:v>
                </c:pt>
              </c:numCache>
            </c:numRef>
          </c:val>
          <c:extLst>
            <c:ext xmlns:c16="http://schemas.microsoft.com/office/drawing/2014/chart" uri="{C3380CC4-5D6E-409C-BE32-E72D297353CC}">
              <c16:uniqueId val="{00000002-8D4D-4EA5-8F3D-CF7C36ADA041}"/>
            </c:ext>
          </c:extLst>
        </c:ser>
        <c:ser>
          <c:idx val="3"/>
          <c:order val="3"/>
          <c:tx>
            <c:strRef>
              <c:f>'Trafikselskaber Samlet'!$R$19</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Samlet'!$R$20:$R$26</c:f>
              <c:numCache>
                <c:formatCode>#,##0_);\-#,##0_);\-_);@</c:formatCode>
                <c:ptCount val="7"/>
                <c:pt idx="0">
                  <c:v>52.564311439016961</c:v>
                </c:pt>
                <c:pt idx="1">
                  <c:v>584.72038547798206</c:v>
                </c:pt>
                <c:pt idx="2">
                  <c:v>2009.3311701317507</c:v>
                </c:pt>
                <c:pt idx="3">
                  <c:v>4481.0790855799833</c:v>
                </c:pt>
                <c:pt idx="4">
                  <c:v>1235.5035103677708</c:v>
                </c:pt>
                <c:pt idx="5">
                  <c:v>866.93965951099528</c:v>
                </c:pt>
                <c:pt idx="6">
                  <c:v>9230.1381225075002</c:v>
                </c:pt>
              </c:numCache>
            </c:numRef>
          </c:val>
          <c:extLst>
            <c:ext xmlns:c16="http://schemas.microsoft.com/office/drawing/2014/chart" uri="{C3380CC4-5D6E-409C-BE32-E72D297353CC}">
              <c16:uniqueId val="{00000003-8D4D-4EA5-8F3D-CF7C36ADA041}"/>
            </c:ext>
          </c:extLst>
        </c:ser>
        <c:ser>
          <c:idx val="4"/>
          <c:order val="4"/>
          <c:tx>
            <c:strRef>
              <c:f>'Trafikselskaber Samlet'!$S$19</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Samlet'!$S$20:$S$26</c:f>
              <c:numCache>
                <c:formatCode>#,##0_);\-#,##0_);\-_);@</c:formatCode>
                <c:ptCount val="7"/>
                <c:pt idx="0">
                  <c:v>50.590556994007876</c:v>
                </c:pt>
                <c:pt idx="1">
                  <c:v>564.13620444298533</c:v>
                </c:pt>
                <c:pt idx="2">
                  <c:v>1962.010208564041</c:v>
                </c:pt>
                <c:pt idx="3">
                  <c:v>4425.6889466136608</c:v>
                </c:pt>
                <c:pt idx="4">
                  <c:v>1222.1529089962605</c:v>
                </c:pt>
                <c:pt idx="5">
                  <c:v>877.92684440672951</c:v>
                </c:pt>
                <c:pt idx="6">
                  <c:v>9102.5056700176847</c:v>
                </c:pt>
              </c:numCache>
            </c:numRef>
          </c:val>
          <c:extLst>
            <c:ext xmlns:c16="http://schemas.microsoft.com/office/drawing/2014/chart" uri="{C3380CC4-5D6E-409C-BE32-E72D297353CC}">
              <c16:uniqueId val="{00000004-8D4D-4EA5-8F3D-CF7C36ADA041}"/>
            </c:ext>
          </c:extLst>
        </c:ser>
        <c:ser>
          <c:idx val="5"/>
          <c:order val="5"/>
          <c:tx>
            <c:strRef>
              <c:f>'Trafikselskaber Samlet'!$T$19</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Samlet'!$T$20:$T$26</c:f>
              <c:numCache>
                <c:formatCode>#,##0_);\-#,##0_);\-_);@</c:formatCode>
                <c:ptCount val="7"/>
                <c:pt idx="0">
                  <c:v>56.2889439081681</c:v>
                </c:pt>
                <c:pt idx="1">
                  <c:v>544.3540457929081</c:v>
                </c:pt>
                <c:pt idx="2">
                  <c:v>1954.5640846877941</c:v>
                </c:pt>
                <c:pt idx="3">
                  <c:v>4164.9651459747765</c:v>
                </c:pt>
                <c:pt idx="4">
                  <c:v>1200.8421707874902</c:v>
                </c:pt>
                <c:pt idx="5">
                  <c:v>860.57803595404528</c:v>
                </c:pt>
                <c:pt idx="6">
                  <c:v>8781.5924271051827</c:v>
                </c:pt>
              </c:numCache>
            </c:numRef>
          </c:val>
          <c:extLst>
            <c:ext xmlns:c16="http://schemas.microsoft.com/office/drawing/2014/chart" uri="{C3380CC4-5D6E-409C-BE32-E72D297353CC}">
              <c16:uniqueId val="{00000005-8D4D-4EA5-8F3D-CF7C36ADA041}"/>
            </c:ext>
          </c:extLst>
        </c:ser>
        <c:ser>
          <c:idx val="6"/>
          <c:order val="6"/>
          <c:tx>
            <c:strRef>
              <c:f>'Trafikselskaber Samlet'!$U$19</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Samlet'!$U$20:$U$26</c:f>
              <c:numCache>
                <c:formatCode>#,##0_);\-#,##0_);\-_);@</c:formatCode>
                <c:ptCount val="7"/>
                <c:pt idx="0">
                  <c:v>51.097443634865748</c:v>
                </c:pt>
                <c:pt idx="1">
                  <c:v>516.57337591022213</c:v>
                </c:pt>
                <c:pt idx="2">
                  <c:v>1881.0567070355453</c:v>
                </c:pt>
                <c:pt idx="3">
                  <c:v>4075.4204354609751</c:v>
                </c:pt>
                <c:pt idx="4">
                  <c:v>1200.7691295136826</c:v>
                </c:pt>
                <c:pt idx="5">
                  <c:v>810.69026147250941</c:v>
                </c:pt>
                <c:pt idx="6">
                  <c:v>8535.6073530278009</c:v>
                </c:pt>
              </c:numCache>
            </c:numRef>
          </c:val>
          <c:extLst>
            <c:ext xmlns:c16="http://schemas.microsoft.com/office/drawing/2014/chart" uri="{C3380CC4-5D6E-409C-BE32-E72D297353CC}">
              <c16:uniqueId val="{00000006-8D4D-4EA5-8F3D-CF7C36ADA041}"/>
            </c:ext>
          </c:extLst>
        </c:ser>
        <c:ser>
          <c:idx val="7"/>
          <c:order val="7"/>
          <c:tx>
            <c:strRef>
              <c:f>'Trafikselskaber Samlet'!$V$19</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Samlet'!$V$20:$V$26</c:f>
              <c:numCache>
                <c:formatCode>#,##0_);\-#,##0_);\-_);@</c:formatCode>
                <c:ptCount val="7"/>
                <c:pt idx="0">
                  <c:v>47.93609855872986</c:v>
                </c:pt>
                <c:pt idx="1">
                  <c:v>518.79927112695987</c:v>
                </c:pt>
                <c:pt idx="2">
                  <c:v>1883.4260493831794</c:v>
                </c:pt>
                <c:pt idx="3">
                  <c:v>3942.9274742196617</c:v>
                </c:pt>
                <c:pt idx="4">
                  <c:v>1220.2591181442936</c:v>
                </c:pt>
                <c:pt idx="5">
                  <c:v>810.44505614123784</c:v>
                </c:pt>
                <c:pt idx="6">
                  <c:v>8423.7930675740627</c:v>
                </c:pt>
              </c:numCache>
            </c:numRef>
          </c:val>
          <c:extLst>
            <c:ext xmlns:c16="http://schemas.microsoft.com/office/drawing/2014/chart" uri="{C3380CC4-5D6E-409C-BE32-E72D297353CC}">
              <c16:uniqueId val="{00000007-8D4D-4EA5-8F3D-CF7C36ADA041}"/>
            </c:ext>
          </c:extLst>
        </c:ser>
        <c:ser>
          <c:idx val="8"/>
          <c:order val="8"/>
          <c:tx>
            <c:strRef>
              <c:f>'Trafikselskaber Samlet'!$W$19</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Samlet'!$W$20:$W$26</c:f>
              <c:numCache>
                <c:formatCode>#,##0_);\-#,##0_);\-_);@</c:formatCode>
                <c:ptCount val="7"/>
                <c:pt idx="0">
                  <c:v>49.561051052246121</c:v>
                </c:pt>
                <c:pt idx="1">
                  <c:v>516.50008730285958</c:v>
                </c:pt>
                <c:pt idx="2">
                  <c:v>1885.5201256615737</c:v>
                </c:pt>
                <c:pt idx="3">
                  <c:v>4078.7850723393749</c:v>
                </c:pt>
                <c:pt idx="4">
                  <c:v>1228.6533153660343</c:v>
                </c:pt>
                <c:pt idx="5">
                  <c:v>818.65106623349493</c:v>
                </c:pt>
                <c:pt idx="6">
                  <c:v>8577.6707179555833</c:v>
                </c:pt>
              </c:numCache>
            </c:numRef>
          </c:val>
          <c:extLst>
            <c:ext xmlns:c16="http://schemas.microsoft.com/office/drawing/2014/chart" uri="{C3380CC4-5D6E-409C-BE32-E72D297353CC}">
              <c16:uniqueId val="{00000008-8D4D-4EA5-8F3D-CF7C36ADA041}"/>
            </c:ext>
          </c:extLst>
        </c:ser>
        <c:dLbls>
          <c:showLegendKey val="0"/>
          <c:showVal val="0"/>
          <c:showCatName val="0"/>
          <c:showSerName val="0"/>
          <c:showPercent val="0"/>
          <c:showBubbleSize val="0"/>
        </c:dLbls>
        <c:gapWidth val="219"/>
        <c:overlap val="-27"/>
        <c:axId val="36504118"/>
        <c:axId val="60613900"/>
      </c:barChart>
      <c:catAx>
        <c:axId val="36504118"/>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60613900"/>
        <c:crosses val="autoZero"/>
        <c:auto val="1"/>
        <c:lblAlgn val="ctr"/>
        <c:lblOffset val="100"/>
        <c:noMultiLvlLbl val="0"/>
      </c:catAx>
      <c:valAx>
        <c:axId val="60613900"/>
        <c:scaling>
          <c:orientation val="minMax"/>
        </c:scaling>
        <c:delete val="0"/>
        <c:axPos val="l"/>
        <c:majorGridlines>
          <c:spPr>
            <a:ln w="9360">
              <a:solidFill>
                <a:srgbClr val="D9D9D9"/>
              </a:solidFill>
              <a:round/>
            </a:ln>
          </c:spPr>
        </c:majorGridlines>
        <c:numFmt formatCode="#,##0_);\-#,##0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36504118"/>
        <c:crosses val="autoZero"/>
        <c:crossBetween val="between"/>
      </c:valAx>
      <c:spPr>
        <a:noFill/>
        <a:ln w="0">
          <a:noFill/>
        </a:ln>
      </c:spPr>
    </c:plotArea>
    <c:legend>
      <c:legendPos val="b"/>
      <c:layout>
        <c:manualLayout>
          <c:xMode val="edge"/>
          <c:yMode val="edge"/>
          <c:x val="0.101730971128609"/>
          <c:y val="0.92615959463400399"/>
          <c:w val="0.47490738299157997"/>
          <c:h val="6.7679141283243802E-2"/>
        </c:manualLayout>
      </c:layout>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595959"/>
                </a:solidFill>
                <a:latin typeface="Arial"/>
              </a:defRPr>
            </a:pPr>
            <a:r>
              <a:rPr lang="da-DK" sz="1400" b="0" strike="noStrike" spc="-1">
                <a:solidFill>
                  <a:srgbClr val="595959"/>
                </a:solidFill>
                <a:latin typeface="Arial"/>
              </a:rPr>
              <a:t>Supportudgifter/fællesudgifter (mDKK)</a:t>
            </a:r>
          </a:p>
        </c:rich>
      </c:tx>
      <c:overlay val="0"/>
      <c:spPr>
        <a:noFill/>
        <a:ln w="0">
          <a:noFill/>
        </a:ln>
      </c:spPr>
    </c:title>
    <c:autoTitleDeleted val="0"/>
    <c:plotArea>
      <c:layout/>
      <c:barChart>
        <c:barDir val="col"/>
        <c:grouping val="clustered"/>
        <c:varyColors val="0"/>
        <c:ser>
          <c:idx val="0"/>
          <c:order val="0"/>
          <c:tx>
            <c:strRef>
              <c:f>'Trafikselskaber Samlet'!$AB$5</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Samlet'!$AB$6:$AB$12</c:f>
              <c:numCache>
                <c:formatCode>#,##0_);\-#,##0_);\-_);@</c:formatCode>
                <c:ptCount val="7"/>
                <c:pt idx="0">
                  <c:v>7.6</c:v>
                </c:pt>
                <c:pt idx="1">
                  <c:v>102.44199999999999</c:v>
                </c:pt>
                <c:pt idx="2">
                  <c:v>253.9</c:v>
                </c:pt>
                <c:pt idx="3">
                  <c:v>566.78859</c:v>
                </c:pt>
                <c:pt idx="4">
                  <c:v>137.13015569999999</c:v>
                </c:pt>
                <c:pt idx="5">
                  <c:v>114.59999999999998</c:v>
                </c:pt>
                <c:pt idx="6">
                  <c:v>1182.4607457</c:v>
                </c:pt>
              </c:numCache>
            </c:numRef>
          </c:val>
          <c:extLst>
            <c:ext xmlns:c16="http://schemas.microsoft.com/office/drawing/2014/chart" uri="{C3380CC4-5D6E-409C-BE32-E72D297353CC}">
              <c16:uniqueId val="{00000000-5D7C-423E-BAE2-64352B44EE6D}"/>
            </c:ext>
          </c:extLst>
        </c:ser>
        <c:ser>
          <c:idx val="1"/>
          <c:order val="1"/>
          <c:tx>
            <c:strRef>
              <c:f>'Trafikselskaber Samlet'!$AC$5</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Samlet'!$AC$6:$AC$12</c:f>
              <c:numCache>
                <c:formatCode>#,##0_);\-#,##0_);\-_);@</c:formatCode>
                <c:ptCount val="7"/>
                <c:pt idx="0">
                  <c:v>7.3</c:v>
                </c:pt>
                <c:pt idx="1">
                  <c:v>104.43</c:v>
                </c:pt>
                <c:pt idx="2">
                  <c:v>226.6</c:v>
                </c:pt>
                <c:pt idx="3">
                  <c:v>575.43634999999995</c:v>
                </c:pt>
                <c:pt idx="4">
                  <c:v>148.50274489999998</c:v>
                </c:pt>
                <c:pt idx="5">
                  <c:v>113.10000000000002</c:v>
                </c:pt>
                <c:pt idx="6">
                  <c:v>1175.3690948999997</c:v>
                </c:pt>
              </c:numCache>
            </c:numRef>
          </c:val>
          <c:extLst>
            <c:ext xmlns:c16="http://schemas.microsoft.com/office/drawing/2014/chart" uri="{C3380CC4-5D6E-409C-BE32-E72D297353CC}">
              <c16:uniqueId val="{00000001-5D7C-423E-BAE2-64352B44EE6D}"/>
            </c:ext>
          </c:extLst>
        </c:ser>
        <c:ser>
          <c:idx val="2"/>
          <c:order val="2"/>
          <c:tx>
            <c:strRef>
              <c:f>'Trafikselskaber Samlet'!$AD$5</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Samlet'!$AD$6:$AD$12</c:f>
              <c:numCache>
                <c:formatCode>#,##0_);\-#,##0_);\-_);@</c:formatCode>
                <c:ptCount val="7"/>
                <c:pt idx="0">
                  <c:v>9.1999999999999993</c:v>
                </c:pt>
                <c:pt idx="1">
                  <c:v>106.005</c:v>
                </c:pt>
                <c:pt idx="2">
                  <c:v>269.7</c:v>
                </c:pt>
                <c:pt idx="3">
                  <c:v>613.56113000000005</c:v>
                </c:pt>
                <c:pt idx="4">
                  <c:v>139.05922329999999</c:v>
                </c:pt>
                <c:pt idx="5">
                  <c:v>117</c:v>
                </c:pt>
                <c:pt idx="6">
                  <c:v>1254.5253533</c:v>
                </c:pt>
              </c:numCache>
            </c:numRef>
          </c:val>
          <c:extLst>
            <c:ext xmlns:c16="http://schemas.microsoft.com/office/drawing/2014/chart" uri="{C3380CC4-5D6E-409C-BE32-E72D297353CC}">
              <c16:uniqueId val="{00000002-5D7C-423E-BAE2-64352B44EE6D}"/>
            </c:ext>
          </c:extLst>
        </c:ser>
        <c:ser>
          <c:idx val="3"/>
          <c:order val="3"/>
          <c:tx>
            <c:strRef>
              <c:f>'Trafikselskaber Samlet'!$AE$5</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Samlet'!$AE$6:$AE$12</c:f>
              <c:numCache>
                <c:formatCode>#,##0_);\-#,##0_);\-_);@</c:formatCode>
                <c:ptCount val="7"/>
                <c:pt idx="0">
                  <c:v>5.9</c:v>
                </c:pt>
                <c:pt idx="1">
                  <c:v>112.62100000000001</c:v>
                </c:pt>
                <c:pt idx="2">
                  <c:v>263.5</c:v>
                </c:pt>
                <c:pt idx="3">
                  <c:v>578.72373000000005</c:v>
                </c:pt>
                <c:pt idx="4">
                  <c:v>135.8396607</c:v>
                </c:pt>
                <c:pt idx="5">
                  <c:v>120.6</c:v>
                </c:pt>
                <c:pt idx="6">
                  <c:v>1217.1843907</c:v>
                </c:pt>
              </c:numCache>
            </c:numRef>
          </c:val>
          <c:extLst>
            <c:ext xmlns:c16="http://schemas.microsoft.com/office/drawing/2014/chart" uri="{C3380CC4-5D6E-409C-BE32-E72D297353CC}">
              <c16:uniqueId val="{00000003-5D7C-423E-BAE2-64352B44EE6D}"/>
            </c:ext>
          </c:extLst>
        </c:ser>
        <c:ser>
          <c:idx val="4"/>
          <c:order val="4"/>
          <c:tx>
            <c:strRef>
              <c:f>'Trafikselskaber Samlet'!$AF$5</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Samlet'!$AF$6:$AF$12</c:f>
              <c:numCache>
                <c:formatCode>#,##0_);\-#,##0_);\-_);@</c:formatCode>
                <c:ptCount val="7"/>
                <c:pt idx="0">
                  <c:v>7.1</c:v>
                </c:pt>
                <c:pt idx="1">
                  <c:v>113.134</c:v>
                </c:pt>
                <c:pt idx="2">
                  <c:v>275.60000000000002</c:v>
                </c:pt>
                <c:pt idx="3">
                  <c:v>607.64706000000001</c:v>
                </c:pt>
                <c:pt idx="4">
                  <c:v>146.8299446</c:v>
                </c:pt>
                <c:pt idx="5">
                  <c:v>116.3</c:v>
                </c:pt>
                <c:pt idx="6">
                  <c:v>1266.6110046000001</c:v>
                </c:pt>
              </c:numCache>
            </c:numRef>
          </c:val>
          <c:extLst>
            <c:ext xmlns:c16="http://schemas.microsoft.com/office/drawing/2014/chart" uri="{C3380CC4-5D6E-409C-BE32-E72D297353CC}">
              <c16:uniqueId val="{00000004-5D7C-423E-BAE2-64352B44EE6D}"/>
            </c:ext>
          </c:extLst>
        </c:ser>
        <c:ser>
          <c:idx val="5"/>
          <c:order val="5"/>
          <c:tx>
            <c:strRef>
              <c:f>'Trafikselskaber Samlet'!$AG$5</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Samlet'!$AG$6:$AG$12</c:f>
              <c:numCache>
                <c:formatCode>#,##0_);\-#,##0_);\-_);@</c:formatCode>
                <c:ptCount val="7"/>
                <c:pt idx="0">
                  <c:v>7.2</c:v>
                </c:pt>
                <c:pt idx="1">
                  <c:v>113.73699999999999</c:v>
                </c:pt>
                <c:pt idx="2">
                  <c:v>279.10000000000002</c:v>
                </c:pt>
                <c:pt idx="3">
                  <c:v>657.84379999999999</c:v>
                </c:pt>
                <c:pt idx="4">
                  <c:v>152.58874119999999</c:v>
                </c:pt>
                <c:pt idx="5">
                  <c:v>115.6</c:v>
                </c:pt>
                <c:pt idx="6">
                  <c:v>1326.0695411999998</c:v>
                </c:pt>
              </c:numCache>
            </c:numRef>
          </c:val>
          <c:extLst>
            <c:ext xmlns:c16="http://schemas.microsoft.com/office/drawing/2014/chart" uri="{C3380CC4-5D6E-409C-BE32-E72D297353CC}">
              <c16:uniqueId val="{00000005-5D7C-423E-BAE2-64352B44EE6D}"/>
            </c:ext>
          </c:extLst>
        </c:ser>
        <c:ser>
          <c:idx val="6"/>
          <c:order val="6"/>
          <c:tx>
            <c:strRef>
              <c:f>'Trafikselskaber Samlet'!$AH$5</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Samlet'!$AH$6:$AH$12</c:f>
              <c:numCache>
                <c:formatCode>#,##0_);\-#,##0_);\-_);@</c:formatCode>
                <c:ptCount val="7"/>
                <c:pt idx="0">
                  <c:v>5.24</c:v>
                </c:pt>
                <c:pt idx="1">
                  <c:v>121.202</c:v>
                </c:pt>
                <c:pt idx="2">
                  <c:v>296.49469000000005</c:v>
                </c:pt>
                <c:pt idx="3">
                  <c:v>664.93849</c:v>
                </c:pt>
                <c:pt idx="4">
                  <c:v>154.17390410000002</c:v>
                </c:pt>
                <c:pt idx="5">
                  <c:v>120</c:v>
                </c:pt>
                <c:pt idx="6">
                  <c:v>1362.0490841000001</c:v>
                </c:pt>
              </c:numCache>
            </c:numRef>
          </c:val>
          <c:extLst>
            <c:ext xmlns:c16="http://schemas.microsoft.com/office/drawing/2014/chart" uri="{C3380CC4-5D6E-409C-BE32-E72D297353CC}">
              <c16:uniqueId val="{00000006-5D7C-423E-BAE2-64352B44EE6D}"/>
            </c:ext>
          </c:extLst>
        </c:ser>
        <c:ser>
          <c:idx val="7"/>
          <c:order val="7"/>
          <c:tx>
            <c:strRef>
              <c:f>'Trafikselskaber Samlet'!$AI$5</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Samlet'!$AI$6:$AI$12</c:f>
              <c:numCache>
                <c:formatCode>#,##0_);\-#,##0_);\-_);@</c:formatCode>
                <c:ptCount val="7"/>
                <c:pt idx="0">
                  <c:v>5.8</c:v>
                </c:pt>
                <c:pt idx="1">
                  <c:v>140.49736527803773</c:v>
                </c:pt>
                <c:pt idx="2">
                  <c:v>321.66146000000003</c:v>
                </c:pt>
                <c:pt idx="3">
                  <c:v>690.29998999999998</c:v>
                </c:pt>
                <c:pt idx="4">
                  <c:v>174.59156680000001</c:v>
                </c:pt>
                <c:pt idx="5">
                  <c:v>136.19999999999999</c:v>
                </c:pt>
                <c:pt idx="6">
                  <c:v>1469.0503820780377</c:v>
                </c:pt>
              </c:numCache>
            </c:numRef>
          </c:val>
          <c:extLst>
            <c:ext xmlns:c16="http://schemas.microsoft.com/office/drawing/2014/chart" uri="{C3380CC4-5D6E-409C-BE32-E72D297353CC}">
              <c16:uniqueId val="{00000007-5D7C-423E-BAE2-64352B44EE6D}"/>
            </c:ext>
          </c:extLst>
        </c:ser>
        <c:ser>
          <c:idx val="8"/>
          <c:order val="8"/>
          <c:tx>
            <c:strRef>
              <c:f>'Trafikselskaber Samlet'!$AJ$5</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Samlet'!$AJ$6:$AJ$12</c:f>
              <c:numCache>
                <c:formatCode>#,##0_);\-#,##0_);\-_);@</c:formatCode>
                <c:ptCount val="7"/>
                <c:pt idx="0">
                  <c:v>6</c:v>
                </c:pt>
                <c:pt idx="1">
                  <c:v>139.76399999999998</c:v>
                </c:pt>
                <c:pt idx="2">
                  <c:v>324.90446000000003</c:v>
                </c:pt>
                <c:pt idx="3">
                  <c:v>688.28536999999994</c:v>
                </c:pt>
                <c:pt idx="4">
                  <c:v>170.05830399999999</c:v>
                </c:pt>
                <c:pt idx="5">
                  <c:v>137.19999999999999</c:v>
                </c:pt>
                <c:pt idx="6">
                  <c:v>1466.2121339999999</c:v>
                </c:pt>
              </c:numCache>
            </c:numRef>
          </c:val>
          <c:extLst>
            <c:ext xmlns:c16="http://schemas.microsoft.com/office/drawing/2014/chart" uri="{C3380CC4-5D6E-409C-BE32-E72D297353CC}">
              <c16:uniqueId val="{00000008-5D7C-423E-BAE2-64352B44EE6D}"/>
            </c:ext>
          </c:extLst>
        </c:ser>
        <c:dLbls>
          <c:showLegendKey val="0"/>
          <c:showVal val="0"/>
          <c:showCatName val="0"/>
          <c:showSerName val="0"/>
          <c:showPercent val="0"/>
          <c:showBubbleSize val="0"/>
        </c:dLbls>
        <c:gapWidth val="219"/>
        <c:overlap val="-27"/>
        <c:axId val="52239368"/>
        <c:axId val="58738614"/>
      </c:barChart>
      <c:catAx>
        <c:axId val="52239368"/>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58738614"/>
        <c:crosses val="autoZero"/>
        <c:auto val="1"/>
        <c:lblAlgn val="ctr"/>
        <c:lblOffset val="100"/>
        <c:noMultiLvlLbl val="0"/>
      </c:catAx>
      <c:valAx>
        <c:axId val="58738614"/>
        <c:scaling>
          <c:orientation val="minMax"/>
        </c:scaling>
        <c:delete val="0"/>
        <c:axPos val="l"/>
        <c:majorGridlines>
          <c:spPr>
            <a:ln w="9360">
              <a:solidFill>
                <a:srgbClr val="D9D9D9"/>
              </a:solidFill>
              <a:round/>
            </a:ln>
          </c:spPr>
        </c:majorGridlines>
        <c:numFmt formatCode="#,##0_);\-#,##0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52239368"/>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3A3A3A"/>
                </a:solidFill>
                <a:latin typeface="Arial"/>
              </a:defRPr>
            </a:pPr>
            <a:r>
              <a:rPr lang="da-DK" sz="1400" b="0" strike="noStrike" spc="-1">
                <a:solidFill>
                  <a:srgbClr val="3A3A3A"/>
                </a:solidFill>
                <a:latin typeface="Arial"/>
              </a:rPr>
              <a:t>Supportudgifter/fællesudgifter (mDKK) i faste priser</a:t>
            </a:r>
          </a:p>
        </c:rich>
      </c:tx>
      <c:overlay val="0"/>
      <c:spPr>
        <a:noFill/>
        <a:ln w="0">
          <a:noFill/>
        </a:ln>
      </c:spPr>
    </c:title>
    <c:autoTitleDeleted val="0"/>
    <c:plotArea>
      <c:layout/>
      <c:barChart>
        <c:barDir val="col"/>
        <c:grouping val="clustered"/>
        <c:varyColors val="0"/>
        <c:ser>
          <c:idx val="0"/>
          <c:order val="0"/>
          <c:tx>
            <c:strRef>
              <c:f>'Trafikselskaber Samlet'!$AB$19</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Samlet'!$AB$20:$AB$26</c:f>
              <c:numCache>
                <c:formatCode>#,##0_);\-#,##0_);\-_);@</c:formatCode>
                <c:ptCount val="7"/>
                <c:pt idx="0">
                  <c:v>7.6</c:v>
                </c:pt>
                <c:pt idx="1">
                  <c:v>102.44199999999999</c:v>
                </c:pt>
                <c:pt idx="2">
                  <c:v>253.9</c:v>
                </c:pt>
                <c:pt idx="3">
                  <c:v>566.78859</c:v>
                </c:pt>
                <c:pt idx="4">
                  <c:v>137.13015569999999</c:v>
                </c:pt>
                <c:pt idx="5">
                  <c:v>114.59999999999998</c:v>
                </c:pt>
                <c:pt idx="6">
                  <c:v>1182.4607457</c:v>
                </c:pt>
              </c:numCache>
            </c:numRef>
          </c:val>
          <c:extLst>
            <c:ext xmlns:c16="http://schemas.microsoft.com/office/drawing/2014/chart" uri="{C3380CC4-5D6E-409C-BE32-E72D297353CC}">
              <c16:uniqueId val="{00000000-9BB2-499C-B5C0-5E91DCD9FCB1}"/>
            </c:ext>
          </c:extLst>
        </c:ser>
        <c:ser>
          <c:idx val="1"/>
          <c:order val="1"/>
          <c:tx>
            <c:strRef>
              <c:f>'Trafikselskaber Samlet'!$AC$19</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Samlet'!$AC$20:$AC$26</c:f>
              <c:numCache>
                <c:formatCode>#,##0_);\-#,##0_);\-_);@</c:formatCode>
                <c:ptCount val="7"/>
                <c:pt idx="0">
                  <c:v>7.1498530852105784</c:v>
                </c:pt>
                <c:pt idx="1">
                  <c:v>102.28207639569051</c:v>
                </c:pt>
                <c:pt idx="2">
                  <c:v>221.9392752203722</c:v>
                </c:pt>
                <c:pt idx="3">
                  <c:v>563.60073457394708</c:v>
                </c:pt>
                <c:pt idx="4">
                  <c:v>145.44832997061704</c:v>
                </c:pt>
                <c:pt idx="5">
                  <c:v>110.77375122428994</c:v>
                </c:pt>
                <c:pt idx="6">
                  <c:v>1151.1940204701275</c:v>
                </c:pt>
              </c:numCache>
            </c:numRef>
          </c:val>
          <c:extLst>
            <c:ext xmlns:c16="http://schemas.microsoft.com/office/drawing/2014/chart" uri="{C3380CC4-5D6E-409C-BE32-E72D297353CC}">
              <c16:uniqueId val="{00000001-9BB2-499C-B5C0-5E91DCD9FCB1}"/>
            </c:ext>
          </c:extLst>
        </c:ser>
        <c:ser>
          <c:idx val="2"/>
          <c:order val="2"/>
          <c:tx>
            <c:strRef>
              <c:f>'Trafikselskaber Samlet'!$AD$19</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Samlet'!$AD$20:$AD$26</c:f>
              <c:numCache>
                <c:formatCode>#,##0_);\-#,##0_);\-_);@</c:formatCode>
                <c:ptCount val="7"/>
                <c:pt idx="0">
                  <c:v>8.860151181144829</c:v>
                </c:pt>
                <c:pt idx="1">
                  <c:v>102.08916586491931</c:v>
                </c:pt>
                <c:pt idx="2">
                  <c:v>259.73725799508264</c:v>
                </c:pt>
                <c:pt idx="3">
                  <c:v>590.89612724718006</c:v>
                </c:pt>
                <c:pt idx="4">
                  <c:v>133.92236321419321</c:v>
                </c:pt>
                <c:pt idx="5">
                  <c:v>112.67800958629839</c:v>
                </c:pt>
                <c:pt idx="6">
                  <c:v>1208.1830750888184</c:v>
                </c:pt>
              </c:numCache>
            </c:numRef>
          </c:val>
          <c:extLst>
            <c:ext xmlns:c16="http://schemas.microsoft.com/office/drawing/2014/chart" uri="{C3380CC4-5D6E-409C-BE32-E72D297353CC}">
              <c16:uniqueId val="{00000002-9BB2-499C-B5C0-5E91DCD9FCB1}"/>
            </c:ext>
          </c:extLst>
        </c:ser>
        <c:ser>
          <c:idx val="3"/>
          <c:order val="3"/>
          <c:tx>
            <c:strRef>
              <c:f>'Trafikselskaber Samlet'!$AE$19</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Samlet'!$AE$20:$AE$26</c:f>
              <c:numCache>
                <c:formatCode>#,##0_);\-#,##0_);\-_);@</c:formatCode>
                <c:ptCount val="7"/>
                <c:pt idx="0">
                  <c:v>5.4793186835724397</c:v>
                </c:pt>
                <c:pt idx="1">
                  <c:v>104.59090668857826</c:v>
                </c:pt>
                <c:pt idx="2">
                  <c:v>244.7119445968369</c:v>
                </c:pt>
                <c:pt idx="3">
                  <c:v>537.45961803656473</c:v>
                </c:pt>
                <c:pt idx="4">
                  <c:v>126.15403234638148</c:v>
                </c:pt>
                <c:pt idx="5">
                  <c:v>112.0009886845485</c:v>
                </c:pt>
                <c:pt idx="6">
                  <c:v>1130.3968090364822</c:v>
                </c:pt>
              </c:numCache>
            </c:numRef>
          </c:val>
          <c:extLst>
            <c:ext xmlns:c16="http://schemas.microsoft.com/office/drawing/2014/chart" uri="{C3380CC4-5D6E-409C-BE32-E72D297353CC}">
              <c16:uniqueId val="{00000003-9BB2-499C-B5C0-5E91DCD9FCB1}"/>
            </c:ext>
          </c:extLst>
        </c:ser>
        <c:ser>
          <c:idx val="4"/>
          <c:order val="4"/>
          <c:tx>
            <c:strRef>
              <c:f>'Trafikselskaber Samlet'!$AF$19</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Samlet'!$AF$20:$AF$26</c:f>
              <c:numCache>
                <c:formatCode>#,##0_);\-#,##0_);\-_);@</c:formatCode>
                <c:ptCount val="7"/>
                <c:pt idx="0">
                  <c:v>6.4141599045974269</c:v>
                </c:pt>
                <c:pt idx="1">
                  <c:v>102.20557276714442</c:v>
                </c:pt>
                <c:pt idx="2">
                  <c:v>248.97781263479592</c:v>
                </c:pt>
                <c:pt idx="3">
                  <c:v>548.95005752091652</c:v>
                </c:pt>
                <c:pt idx="4">
                  <c:v>132.64658358416642</c:v>
                </c:pt>
                <c:pt idx="5">
                  <c:v>105.06574604291279</c:v>
                </c:pt>
                <c:pt idx="6">
                  <c:v>1144.2599324545336</c:v>
                </c:pt>
              </c:numCache>
            </c:numRef>
          </c:val>
          <c:extLst>
            <c:ext xmlns:c16="http://schemas.microsoft.com/office/drawing/2014/chart" uri="{C3380CC4-5D6E-409C-BE32-E72D297353CC}">
              <c16:uniqueId val="{00000004-9BB2-499C-B5C0-5E91DCD9FCB1}"/>
            </c:ext>
          </c:extLst>
        </c:ser>
        <c:ser>
          <c:idx val="5"/>
          <c:order val="5"/>
          <c:tx>
            <c:strRef>
              <c:f>'Trafikselskaber Samlet'!$AG$19</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Samlet'!$AG$20:$AG$26</c:f>
              <c:numCache>
                <c:formatCode>#,##0_);\-#,##0_);\-_);@</c:formatCode>
                <c:ptCount val="7"/>
                <c:pt idx="0">
                  <c:v>6.2543271009075676</c:v>
                </c:pt>
                <c:pt idx="1">
                  <c:v>98.798389093878328</c:v>
                </c:pt>
                <c:pt idx="2">
                  <c:v>242.44204081434754</c:v>
                </c:pt>
                <c:pt idx="3">
                  <c:v>571.44032034778024</c:v>
                </c:pt>
                <c:pt idx="4">
                  <c:v>132.54720824729597</c:v>
                </c:pt>
                <c:pt idx="5">
                  <c:v>100.41669623123816</c:v>
                </c:pt>
                <c:pt idx="6">
                  <c:v>1151.8989818354478</c:v>
                </c:pt>
              </c:numCache>
            </c:numRef>
          </c:val>
          <c:extLst>
            <c:ext xmlns:c16="http://schemas.microsoft.com/office/drawing/2014/chart" uri="{C3380CC4-5D6E-409C-BE32-E72D297353CC}">
              <c16:uniqueId val="{00000005-9BB2-499C-B5C0-5E91DCD9FCB1}"/>
            </c:ext>
          </c:extLst>
        </c:ser>
        <c:ser>
          <c:idx val="6"/>
          <c:order val="6"/>
          <c:tx>
            <c:strRef>
              <c:f>'Trafikselskaber Samlet'!$AH$19</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Samlet'!$AH$20:$AH$26</c:f>
              <c:numCache>
                <c:formatCode>#,##0_);\-#,##0_);\-_);@</c:formatCode>
                <c:ptCount val="7"/>
                <c:pt idx="0">
                  <c:v>4.3893541745360087</c:v>
                </c:pt>
                <c:pt idx="1">
                  <c:v>101.52643218742621</c:v>
                </c:pt>
                <c:pt idx="2">
                  <c:v>248.36263459527862</c:v>
                </c:pt>
                <c:pt idx="3">
                  <c:v>556.99437726930728</c:v>
                </c:pt>
                <c:pt idx="4">
                  <c:v>129.14577663470408</c:v>
                </c:pt>
                <c:pt idx="5">
                  <c:v>100.51956124891623</c:v>
                </c:pt>
                <c:pt idx="6">
                  <c:v>1140.9381361101684</c:v>
                </c:pt>
              </c:numCache>
            </c:numRef>
          </c:val>
          <c:extLst>
            <c:ext xmlns:c16="http://schemas.microsoft.com/office/drawing/2014/chart" uri="{C3380CC4-5D6E-409C-BE32-E72D297353CC}">
              <c16:uniqueId val="{00000006-9BB2-499C-B5C0-5E91DCD9FCB1}"/>
            </c:ext>
          </c:extLst>
        </c:ser>
        <c:ser>
          <c:idx val="7"/>
          <c:order val="7"/>
          <c:tx>
            <c:strRef>
              <c:f>'Trafikselskaber Samlet'!$AI$19</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Samlet'!$AI$20:$AI$26</c:f>
              <c:numCache>
                <c:formatCode>#,##0_);\-#,##0_);\-_);@</c:formatCode>
                <c:ptCount val="7"/>
                <c:pt idx="0">
                  <c:v>4.7123622311971722</c:v>
                </c:pt>
                <c:pt idx="1">
                  <c:v>114.15077202050655</c:v>
                </c:pt>
                <c:pt idx="2">
                  <c:v>261.34229574754141</c:v>
                </c:pt>
                <c:pt idx="3">
                  <c:v>560.85234501237687</c:v>
                </c:pt>
                <c:pt idx="4">
                  <c:v>141.8515009092859</c:v>
                </c:pt>
                <c:pt idx="5">
                  <c:v>110.65926480845773</c:v>
                </c:pt>
                <c:pt idx="6">
                  <c:v>1193.5685407293656</c:v>
                </c:pt>
              </c:numCache>
            </c:numRef>
          </c:val>
          <c:extLst>
            <c:ext xmlns:c16="http://schemas.microsoft.com/office/drawing/2014/chart" uri="{C3380CC4-5D6E-409C-BE32-E72D297353CC}">
              <c16:uniqueId val="{00000007-9BB2-499C-B5C0-5E91DCD9FCB1}"/>
            </c:ext>
          </c:extLst>
        </c:ser>
        <c:ser>
          <c:idx val="8"/>
          <c:order val="8"/>
          <c:tx>
            <c:strRef>
              <c:f>'Trafikselskaber Samlet'!$AJ$19</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Samlet'!$AJ$20:$AJ$26</c:f>
              <c:numCache>
                <c:formatCode>#,##0_);\-#,##0_);\-_);@</c:formatCode>
                <c:ptCount val="7"/>
                <c:pt idx="0">
                  <c:v>4.8748574805487994</c:v>
                </c:pt>
                <c:pt idx="1">
                  <c:v>113.5549301519037</c:v>
                </c:pt>
                <c:pt idx="2">
                  <c:v>263.97715621577805</c:v>
                </c:pt>
                <c:pt idx="3">
                  <c:v>559.21551411613291</c:v>
                </c:pt>
                <c:pt idx="4">
                  <c:v>138.16833256397362</c:v>
                </c:pt>
                <c:pt idx="5">
                  <c:v>111.47174105521586</c:v>
                </c:pt>
                <c:pt idx="6">
                  <c:v>1191.262531583553</c:v>
                </c:pt>
              </c:numCache>
            </c:numRef>
          </c:val>
          <c:extLst>
            <c:ext xmlns:c16="http://schemas.microsoft.com/office/drawing/2014/chart" uri="{C3380CC4-5D6E-409C-BE32-E72D297353CC}">
              <c16:uniqueId val="{00000008-9BB2-499C-B5C0-5E91DCD9FCB1}"/>
            </c:ext>
          </c:extLst>
        </c:ser>
        <c:dLbls>
          <c:showLegendKey val="0"/>
          <c:showVal val="0"/>
          <c:showCatName val="0"/>
          <c:showSerName val="0"/>
          <c:showPercent val="0"/>
          <c:showBubbleSize val="0"/>
        </c:dLbls>
        <c:gapWidth val="219"/>
        <c:overlap val="-27"/>
        <c:axId val="94967030"/>
        <c:axId val="86313990"/>
      </c:barChart>
      <c:catAx>
        <c:axId val="94967030"/>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86313990"/>
        <c:crosses val="autoZero"/>
        <c:auto val="1"/>
        <c:lblAlgn val="ctr"/>
        <c:lblOffset val="100"/>
        <c:noMultiLvlLbl val="0"/>
      </c:catAx>
      <c:valAx>
        <c:axId val="86313990"/>
        <c:scaling>
          <c:orientation val="minMax"/>
        </c:scaling>
        <c:delete val="0"/>
        <c:axPos val="l"/>
        <c:majorGridlines>
          <c:spPr>
            <a:ln w="9360">
              <a:solidFill>
                <a:srgbClr val="D9D9D9"/>
              </a:solidFill>
              <a:round/>
            </a:ln>
          </c:spPr>
        </c:majorGridlines>
        <c:numFmt formatCode="#,##0_);\-#,##0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94967030"/>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595959"/>
                </a:solidFill>
                <a:latin typeface="Arial"/>
              </a:defRPr>
            </a:pPr>
            <a:r>
              <a:rPr lang="da-DK" sz="1400" b="0" strike="noStrike" spc="-1">
                <a:solidFill>
                  <a:srgbClr val="595959"/>
                </a:solidFill>
                <a:latin typeface="Arial"/>
              </a:rPr>
              <a:t>Supportudgifter/fællesudgifters andel af samlede udgifter</a:t>
            </a:r>
          </a:p>
        </c:rich>
      </c:tx>
      <c:overlay val="0"/>
      <c:spPr>
        <a:noFill/>
        <a:ln w="0">
          <a:noFill/>
        </a:ln>
      </c:spPr>
    </c:title>
    <c:autoTitleDeleted val="0"/>
    <c:plotArea>
      <c:layout/>
      <c:barChart>
        <c:barDir val="col"/>
        <c:grouping val="clustered"/>
        <c:varyColors val="0"/>
        <c:ser>
          <c:idx val="0"/>
          <c:order val="0"/>
          <c:tx>
            <c:strRef>
              <c:f>'Trafikselskaber Samlet'!$DB$5</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Samlet'!$DB$6:$DB$12</c:f>
              <c:numCache>
                <c:formatCode>0.0%</c:formatCode>
                <c:ptCount val="7"/>
                <c:pt idx="0">
                  <c:v>0.1241830065359477</c:v>
                </c:pt>
                <c:pt idx="1">
                  <c:v>0.15154388606915201</c:v>
                </c:pt>
                <c:pt idx="2">
                  <c:v>0.11831865417773431</c:v>
                </c:pt>
                <c:pt idx="3">
                  <c:v>0.11650000000000001</c:v>
                </c:pt>
                <c:pt idx="4">
                  <c:v>0.10739753317685516</c:v>
                </c:pt>
                <c:pt idx="5">
                  <c:v>0.11375818939845145</c:v>
                </c:pt>
                <c:pt idx="6">
                  <c:v>0.1178548681871262</c:v>
                </c:pt>
              </c:numCache>
            </c:numRef>
          </c:val>
          <c:extLst>
            <c:ext xmlns:c16="http://schemas.microsoft.com/office/drawing/2014/chart" uri="{C3380CC4-5D6E-409C-BE32-E72D297353CC}">
              <c16:uniqueId val="{00000000-5FE8-40D7-B795-D9452EE0510B}"/>
            </c:ext>
          </c:extLst>
        </c:ser>
        <c:ser>
          <c:idx val="1"/>
          <c:order val="1"/>
          <c:tx>
            <c:strRef>
              <c:f>'Trafikselskaber Samlet'!$DC$5</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Samlet'!$DC$6:$DC$12</c:f>
              <c:numCache>
                <c:formatCode>0.0%</c:formatCode>
                <c:ptCount val="7"/>
                <c:pt idx="0">
                  <c:v>0.13047363717605004</c:v>
                </c:pt>
                <c:pt idx="1">
                  <c:v>0.15806154758949709</c:v>
                </c:pt>
                <c:pt idx="2">
                  <c:v>0.10690192008303062</c:v>
                </c:pt>
                <c:pt idx="3">
                  <c:v>0.1197</c:v>
                </c:pt>
                <c:pt idx="4">
                  <c:v>0.11569070657436577</c:v>
                </c:pt>
                <c:pt idx="5">
                  <c:v>0.11578624078624081</c:v>
                </c:pt>
                <c:pt idx="6">
                  <c:v>0.11869672116968326</c:v>
                </c:pt>
              </c:numCache>
            </c:numRef>
          </c:val>
          <c:extLst>
            <c:ext xmlns:c16="http://schemas.microsoft.com/office/drawing/2014/chart" uri="{C3380CC4-5D6E-409C-BE32-E72D297353CC}">
              <c16:uniqueId val="{00000001-5FE8-40D7-B795-D9452EE0510B}"/>
            </c:ext>
          </c:extLst>
        </c:ser>
        <c:ser>
          <c:idx val="2"/>
          <c:order val="2"/>
          <c:tx>
            <c:strRef>
              <c:f>'Trafikselskaber Samlet'!$DD$5</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Samlet'!$DD$6:$DD$12</c:f>
              <c:numCache>
                <c:formatCode>0.0%</c:formatCode>
                <c:ptCount val="7"/>
                <c:pt idx="0">
                  <c:v>0.15307820299500832</c:v>
                </c:pt>
                <c:pt idx="1">
                  <c:v>0.15204868770959495</c:v>
                </c:pt>
                <c:pt idx="2">
                  <c:v>0.11870598591549296</c:v>
                </c:pt>
                <c:pt idx="3">
                  <c:v>0.12280000000000001</c:v>
                </c:pt>
                <c:pt idx="4">
                  <c:v>0.1029049065706686</c:v>
                </c:pt>
                <c:pt idx="5">
                  <c:v>0.11968085106382978</c:v>
                </c:pt>
                <c:pt idx="6">
                  <c:v>0.1211710569523277</c:v>
                </c:pt>
              </c:numCache>
            </c:numRef>
          </c:val>
          <c:extLst>
            <c:ext xmlns:c16="http://schemas.microsoft.com/office/drawing/2014/chart" uri="{C3380CC4-5D6E-409C-BE32-E72D297353CC}">
              <c16:uniqueId val="{00000002-5FE8-40D7-B795-D9452EE0510B}"/>
            </c:ext>
          </c:extLst>
        </c:ser>
        <c:ser>
          <c:idx val="3"/>
          <c:order val="3"/>
          <c:tx>
            <c:strRef>
              <c:f>'Trafikselskaber Samlet'!$DE$5</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Samlet'!$DE$6:$DE$12</c:f>
              <c:numCache>
                <c:formatCode>0.0%</c:formatCode>
                <c:ptCount val="7"/>
                <c:pt idx="0">
                  <c:v>9.4400000000000012E-2</c:v>
                </c:pt>
                <c:pt idx="1">
                  <c:v>0.14704227264596706</c:v>
                </c:pt>
                <c:pt idx="2">
                  <c:v>0.10784594605656286</c:v>
                </c:pt>
                <c:pt idx="3">
                  <c:v>0.10630000000000001</c:v>
                </c:pt>
                <c:pt idx="4">
                  <c:v>9.2596488877660393E-2</c:v>
                </c:pt>
                <c:pt idx="5">
                  <c:v>0.11432363257180773</c:v>
                </c:pt>
                <c:pt idx="6">
                  <c:v>0.1083259268214755</c:v>
                </c:pt>
              </c:numCache>
            </c:numRef>
          </c:val>
          <c:extLst>
            <c:ext xmlns:c16="http://schemas.microsoft.com/office/drawing/2014/chart" uri="{C3380CC4-5D6E-409C-BE32-E72D297353CC}">
              <c16:uniqueId val="{00000003-5FE8-40D7-B795-D9452EE0510B}"/>
            </c:ext>
          </c:extLst>
        </c:ser>
        <c:ser>
          <c:idx val="4"/>
          <c:order val="4"/>
          <c:tx>
            <c:strRef>
              <c:f>'Trafikselskaber Samlet'!$DF$5</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Samlet'!$DF$6:$DF$12</c:f>
              <c:numCache>
                <c:formatCode>0.0%</c:formatCode>
                <c:ptCount val="7"/>
                <c:pt idx="0">
                  <c:v>0.11251980982567353</c:v>
                </c:pt>
                <c:pt idx="1">
                  <c:v>0.15155399983656914</c:v>
                </c:pt>
                <c:pt idx="2">
                  <c:v>0.11296470877566915</c:v>
                </c:pt>
                <c:pt idx="3">
                  <c:v>0.1094</c:v>
                </c:pt>
                <c:pt idx="4">
                  <c:v>9.7488200190581728E-2</c:v>
                </c:pt>
                <c:pt idx="5">
                  <c:v>0.10701140964298859</c:v>
                </c:pt>
                <c:pt idx="6">
                  <c:v>0.11113650286426642</c:v>
                </c:pt>
              </c:numCache>
            </c:numRef>
          </c:val>
          <c:extLst>
            <c:ext xmlns:c16="http://schemas.microsoft.com/office/drawing/2014/chart" uri="{C3380CC4-5D6E-409C-BE32-E72D297353CC}">
              <c16:uniqueId val="{00000004-5FE8-40D7-B795-D9452EE0510B}"/>
            </c:ext>
          </c:extLst>
        </c:ser>
        <c:ser>
          <c:idx val="5"/>
          <c:order val="5"/>
          <c:tx>
            <c:strRef>
              <c:f>'Trafikselskaber Samlet'!$DG$5</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Samlet'!$DG$6:$DG$12</c:f>
              <c:numCache>
                <c:formatCode>0.0%</c:formatCode>
                <c:ptCount val="7"/>
                <c:pt idx="0">
                  <c:v>0.1</c:v>
                </c:pt>
                <c:pt idx="1">
                  <c:v>0.15210015820224476</c:v>
                </c:pt>
                <c:pt idx="2">
                  <c:v>0.11067930364436691</c:v>
                </c:pt>
                <c:pt idx="3">
                  <c:v>0.1198</c:v>
                </c:pt>
                <c:pt idx="4">
                  <c:v>9.9163671571650777E-2</c:v>
                </c:pt>
                <c:pt idx="5">
                  <c:v>0.10469117913421483</c:v>
                </c:pt>
                <c:pt idx="6">
                  <c:v>0.11553460314820292</c:v>
                </c:pt>
              </c:numCache>
            </c:numRef>
          </c:val>
          <c:extLst>
            <c:ext xmlns:c16="http://schemas.microsoft.com/office/drawing/2014/chart" uri="{C3380CC4-5D6E-409C-BE32-E72D297353CC}">
              <c16:uniqueId val="{00000005-5FE8-40D7-B795-D9452EE0510B}"/>
            </c:ext>
          </c:extLst>
        </c:ser>
        <c:ser>
          <c:idx val="6"/>
          <c:order val="6"/>
          <c:tx>
            <c:strRef>
              <c:f>'Trafikselskaber Samlet'!$DH$5</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Samlet'!$DH$6:$DH$12</c:f>
              <c:numCache>
                <c:formatCode>0.0%</c:formatCode>
                <c:ptCount val="7"/>
                <c:pt idx="0">
                  <c:v>7.9106280193236719E-2</c:v>
                </c:pt>
                <c:pt idx="1">
                  <c:v>0.16250903371738643</c:v>
                </c:pt>
                <c:pt idx="2">
                  <c:v>0.11674210983443291</c:v>
                </c:pt>
                <c:pt idx="3">
                  <c:v>0.1192</c:v>
                </c:pt>
                <c:pt idx="4">
                  <c:v>9.6793002898063391E-2</c:v>
                </c:pt>
                <c:pt idx="5">
                  <c:v>0.11020295711268253</c:v>
                </c:pt>
                <c:pt idx="6">
                  <c:v>0.11729414886902727</c:v>
                </c:pt>
              </c:numCache>
            </c:numRef>
          </c:val>
          <c:extLst>
            <c:ext xmlns:c16="http://schemas.microsoft.com/office/drawing/2014/chart" uri="{C3380CC4-5D6E-409C-BE32-E72D297353CC}">
              <c16:uniqueId val="{00000006-5FE8-40D7-B795-D9452EE0510B}"/>
            </c:ext>
          </c:extLst>
        </c:ser>
        <c:ser>
          <c:idx val="7"/>
          <c:order val="7"/>
          <c:tx>
            <c:strRef>
              <c:f>'Trafikselskaber Samlet'!$DI$5</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Samlet'!$DI$6:$DI$12</c:f>
              <c:numCache>
                <c:formatCode>0.0%</c:formatCode>
                <c:ptCount val="7"/>
                <c:pt idx="0">
                  <c:v>8.9506172839506168E-2</c:v>
                </c:pt>
                <c:pt idx="1">
                  <c:v>0.17745207759464154</c:v>
                </c:pt>
                <c:pt idx="2">
                  <c:v>0.12169984499022703</c:v>
                </c:pt>
                <c:pt idx="3">
                  <c:v>0.1236</c:v>
                </c:pt>
                <c:pt idx="4">
                  <c:v>0.10374302277626887</c:v>
                </c:pt>
                <c:pt idx="5">
                  <c:v>0.12026702458321559</c:v>
                </c:pt>
                <c:pt idx="6">
                  <c:v>0.12344935754740026</c:v>
                </c:pt>
              </c:numCache>
            </c:numRef>
          </c:val>
          <c:extLst>
            <c:ext xmlns:c16="http://schemas.microsoft.com/office/drawing/2014/chart" uri="{C3380CC4-5D6E-409C-BE32-E72D297353CC}">
              <c16:uniqueId val="{00000007-5FE8-40D7-B795-D9452EE0510B}"/>
            </c:ext>
          </c:extLst>
        </c:ser>
        <c:ser>
          <c:idx val="8"/>
          <c:order val="8"/>
          <c:tx>
            <c:strRef>
              <c:f>'Trafikselskaber Samlet'!$DJ$5</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Samlet'!$DJ$6:$DJ$12</c:f>
              <c:numCache>
                <c:formatCode>0.0%</c:formatCode>
                <c:ptCount val="7"/>
                <c:pt idx="0">
                  <c:v>8.9552238805970144E-2</c:v>
                </c:pt>
                <c:pt idx="1">
                  <c:v>0.17732407661155261</c:v>
                </c:pt>
                <c:pt idx="2">
                  <c:v>0.12272783895228112</c:v>
                </c:pt>
                <c:pt idx="3">
                  <c:v>0.11940000000000001</c:v>
                </c:pt>
                <c:pt idx="4">
                  <c:v>0.10074896716313785</c:v>
                </c:pt>
                <c:pt idx="5">
                  <c:v>0.11999300332342137</c:v>
                </c:pt>
                <c:pt idx="6">
                  <c:v>0.12120793051353052</c:v>
                </c:pt>
              </c:numCache>
            </c:numRef>
          </c:val>
          <c:extLst>
            <c:ext xmlns:c16="http://schemas.microsoft.com/office/drawing/2014/chart" uri="{C3380CC4-5D6E-409C-BE32-E72D297353CC}">
              <c16:uniqueId val="{00000008-5FE8-40D7-B795-D9452EE0510B}"/>
            </c:ext>
          </c:extLst>
        </c:ser>
        <c:dLbls>
          <c:showLegendKey val="0"/>
          <c:showVal val="0"/>
          <c:showCatName val="0"/>
          <c:showSerName val="0"/>
          <c:showPercent val="0"/>
          <c:showBubbleSize val="0"/>
        </c:dLbls>
        <c:gapWidth val="219"/>
        <c:overlap val="-27"/>
        <c:axId val="85879865"/>
        <c:axId val="84809422"/>
      </c:barChart>
      <c:catAx>
        <c:axId val="85879865"/>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84809422"/>
        <c:crosses val="autoZero"/>
        <c:auto val="1"/>
        <c:lblAlgn val="ctr"/>
        <c:lblOffset val="100"/>
        <c:noMultiLvlLbl val="0"/>
      </c:catAx>
      <c:valAx>
        <c:axId val="84809422"/>
        <c:scaling>
          <c:orientation val="minMax"/>
        </c:scaling>
        <c:delete val="0"/>
        <c:axPos val="l"/>
        <c:majorGridlines>
          <c:spPr>
            <a:ln w="9360">
              <a:solidFill>
                <a:srgbClr val="D9D9D9"/>
              </a:solidFill>
              <a:round/>
            </a:ln>
          </c:spPr>
        </c:majorGridlines>
        <c:numFmt formatCode="0.0%"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85879865"/>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595959"/>
                </a:solidFill>
                <a:latin typeface="Arial"/>
              </a:defRPr>
            </a:pPr>
            <a:r>
              <a:rPr lang="da-DK" sz="1400" b="0" strike="noStrike" spc="-1">
                <a:solidFill>
                  <a:srgbClr val="595959"/>
                </a:solidFill>
                <a:latin typeface="Arial"/>
              </a:rPr>
              <a:t>Tilskudsbehov (mDKK)</a:t>
            </a:r>
          </a:p>
        </c:rich>
      </c:tx>
      <c:overlay val="0"/>
      <c:spPr>
        <a:noFill/>
        <a:ln w="0">
          <a:noFill/>
        </a:ln>
      </c:spPr>
    </c:title>
    <c:autoTitleDeleted val="0"/>
    <c:plotArea>
      <c:layout/>
      <c:barChart>
        <c:barDir val="col"/>
        <c:grouping val="clustered"/>
        <c:varyColors val="0"/>
        <c:ser>
          <c:idx val="0"/>
          <c:order val="0"/>
          <c:tx>
            <c:strRef>
              <c:f>'Trafikselskaber Samlet'!$CO$5</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Samlet'!$CO$6:$CO$12</c:f>
              <c:numCache>
                <c:formatCode>#,##0_);\-#,##0_);\-_);@</c:formatCode>
                <c:ptCount val="7"/>
                <c:pt idx="0">
                  <c:v>31.800000000000004</c:v>
                </c:pt>
                <c:pt idx="1">
                  <c:v>473.375</c:v>
                </c:pt>
                <c:pt idx="2">
                  <c:v>1360.3999999999996</c:v>
                </c:pt>
                <c:pt idx="3">
                  <c:v>2935.67488</c:v>
                </c:pt>
                <c:pt idx="4">
                  <c:v>894.25242370000001</c:v>
                </c:pt>
                <c:pt idx="5">
                  <c:v>742.90000000000009</c:v>
                </c:pt>
                <c:pt idx="6" formatCode="_-* #,##0_-;\-* #,##0_-;_-* \-??_-;_-@_-">
                  <c:v>6438.4023036999988</c:v>
                </c:pt>
              </c:numCache>
            </c:numRef>
          </c:val>
          <c:extLst>
            <c:ext xmlns:c16="http://schemas.microsoft.com/office/drawing/2014/chart" uri="{C3380CC4-5D6E-409C-BE32-E72D297353CC}">
              <c16:uniqueId val="{00000000-B932-41F4-B283-1490E7E3EC9B}"/>
            </c:ext>
          </c:extLst>
        </c:ser>
        <c:ser>
          <c:idx val="1"/>
          <c:order val="1"/>
          <c:tx>
            <c:strRef>
              <c:f>'Trafikselskaber Samlet'!$CP$5</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Samlet'!$CP$6:$CP$12</c:f>
              <c:numCache>
                <c:formatCode>#,##0_);\-#,##0_);\-_);@</c:formatCode>
                <c:ptCount val="7"/>
                <c:pt idx="0">
                  <c:v>26.349999999999994</c:v>
                </c:pt>
                <c:pt idx="1">
                  <c:v>474.791</c:v>
                </c:pt>
                <c:pt idx="2">
                  <c:v>1335.3</c:v>
                </c:pt>
                <c:pt idx="3">
                  <c:v>3053.78125</c:v>
                </c:pt>
                <c:pt idx="4">
                  <c:v>905.43676400000004</c:v>
                </c:pt>
                <c:pt idx="5">
                  <c:v>730.1</c:v>
                </c:pt>
                <c:pt idx="6" formatCode="_-* #,##0_-;\-* #,##0_-;_-* \-??_-;_-@_-">
                  <c:v>6525.7590140000002</c:v>
                </c:pt>
              </c:numCache>
            </c:numRef>
          </c:val>
          <c:extLst>
            <c:ext xmlns:c16="http://schemas.microsoft.com/office/drawing/2014/chart" uri="{C3380CC4-5D6E-409C-BE32-E72D297353CC}">
              <c16:uniqueId val="{00000001-B932-41F4-B283-1490E7E3EC9B}"/>
            </c:ext>
          </c:extLst>
        </c:ser>
        <c:ser>
          <c:idx val="2"/>
          <c:order val="2"/>
          <c:tx>
            <c:strRef>
              <c:f>'Trafikselskaber Samlet'!$CQ$5</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Samlet'!$CQ$6:$CQ$12</c:f>
              <c:numCache>
                <c:formatCode>#,##0_);\-#,##0_);\-_);@</c:formatCode>
                <c:ptCount val="7"/>
                <c:pt idx="0">
                  <c:v>29.099999999999994</c:v>
                </c:pt>
                <c:pt idx="1">
                  <c:v>485.46899999999994</c:v>
                </c:pt>
                <c:pt idx="2">
                  <c:v>1434.7</c:v>
                </c:pt>
                <c:pt idx="3">
                  <c:v>3113.5485399999998</c:v>
                </c:pt>
                <c:pt idx="4">
                  <c:v>918.38098889999992</c:v>
                </c:pt>
                <c:pt idx="5">
                  <c:v>703</c:v>
                </c:pt>
                <c:pt idx="6" formatCode="_-* #,##0_-;\-* #,##0_-;_-* \-??_-;_-@_-">
                  <c:v>6684.1985289000004</c:v>
                </c:pt>
              </c:numCache>
            </c:numRef>
          </c:val>
          <c:extLst>
            <c:ext xmlns:c16="http://schemas.microsoft.com/office/drawing/2014/chart" uri="{C3380CC4-5D6E-409C-BE32-E72D297353CC}">
              <c16:uniqueId val="{00000002-B932-41F4-B283-1490E7E3EC9B}"/>
            </c:ext>
          </c:extLst>
        </c:ser>
        <c:ser>
          <c:idx val="3"/>
          <c:order val="3"/>
          <c:tx>
            <c:strRef>
              <c:f>'Trafikselskaber Samlet'!$CR$5</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Samlet'!$CR$6:$CR$12</c:f>
              <c:numCache>
                <c:formatCode>#,##0_);\-#,##0_);\-_);@</c:formatCode>
                <c:ptCount val="7"/>
                <c:pt idx="0">
                  <c:v>34.959999999999994</c:v>
                </c:pt>
                <c:pt idx="1">
                  <c:v>582.60700000000008</c:v>
                </c:pt>
                <c:pt idx="2">
                  <c:v>1609.2999999999997</c:v>
                </c:pt>
                <c:pt idx="3">
                  <c:v>3635.34836</c:v>
                </c:pt>
                <c:pt idx="4">
                  <c:v>1069.8160288000001</c:v>
                </c:pt>
                <c:pt idx="5">
                  <c:v>782.30000000000018</c:v>
                </c:pt>
                <c:pt idx="6" formatCode="_-* #,##0_-;\-* #,##0_-;_-* \-??_-;_-@_-">
                  <c:v>7714.3313888000002</c:v>
                </c:pt>
              </c:numCache>
            </c:numRef>
          </c:val>
          <c:extLst>
            <c:ext xmlns:c16="http://schemas.microsoft.com/office/drawing/2014/chart" uri="{C3380CC4-5D6E-409C-BE32-E72D297353CC}">
              <c16:uniqueId val="{00000003-B932-41F4-B283-1490E7E3EC9B}"/>
            </c:ext>
          </c:extLst>
        </c:ser>
        <c:ser>
          <c:idx val="4"/>
          <c:order val="4"/>
          <c:tx>
            <c:strRef>
              <c:f>'Trafikselskaber Samlet'!$CS$5</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Samlet'!$CS$6:$CS$12</c:f>
              <c:numCache>
                <c:formatCode>#,##0_);\-#,##0_);\-_);@</c:formatCode>
                <c:ptCount val="7"/>
                <c:pt idx="0">
                  <c:v>37.460999999999999</c:v>
                </c:pt>
                <c:pt idx="1">
                  <c:v>564.93899999999985</c:v>
                </c:pt>
                <c:pt idx="2">
                  <c:v>1556.1</c:v>
                </c:pt>
                <c:pt idx="3">
                  <c:v>3537.8363300000001</c:v>
                </c:pt>
                <c:pt idx="4">
                  <c:v>1092.1466694000001</c:v>
                </c:pt>
                <c:pt idx="5">
                  <c:v>808.79999999999984</c:v>
                </c:pt>
                <c:pt idx="6" formatCode="_-* #,##0_-;\-* #,##0_-;_-* \-??_-;_-@_-">
                  <c:v>7597.2829994000003</c:v>
                </c:pt>
              </c:numCache>
            </c:numRef>
          </c:val>
          <c:extLst>
            <c:ext xmlns:c16="http://schemas.microsoft.com/office/drawing/2014/chart" uri="{C3380CC4-5D6E-409C-BE32-E72D297353CC}">
              <c16:uniqueId val="{00000004-B932-41F4-B283-1490E7E3EC9B}"/>
            </c:ext>
          </c:extLst>
        </c:ser>
        <c:ser>
          <c:idx val="5"/>
          <c:order val="5"/>
          <c:tx>
            <c:strRef>
              <c:f>'Trafikselskaber Samlet'!$CT$5</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Samlet'!$CT$6:$CT$12</c:f>
              <c:numCache>
                <c:formatCode>#,##0_);\-#,##0_);\-_);@</c:formatCode>
                <c:ptCount val="7"/>
                <c:pt idx="0">
                  <c:v>45.31</c:v>
                </c:pt>
                <c:pt idx="1">
                  <c:v>578.56400000000008</c:v>
                </c:pt>
                <c:pt idx="2">
                  <c:v>1614.4999999999998</c:v>
                </c:pt>
                <c:pt idx="3">
                  <c:v>3348.11708</c:v>
                </c:pt>
                <c:pt idx="4">
                  <c:v>1128.2082351000001</c:v>
                </c:pt>
                <c:pt idx="5">
                  <c:v>831.59999999999991</c:v>
                </c:pt>
                <c:pt idx="6" formatCode="_-* #,##0_-;\-* #,##0_-;_-* \-??_-;_-@_-">
                  <c:v>7546.2993150999991</c:v>
                </c:pt>
              </c:numCache>
            </c:numRef>
          </c:val>
          <c:extLst>
            <c:ext xmlns:c16="http://schemas.microsoft.com/office/drawing/2014/chart" uri="{C3380CC4-5D6E-409C-BE32-E72D297353CC}">
              <c16:uniqueId val="{00000005-B932-41F4-B283-1490E7E3EC9B}"/>
            </c:ext>
          </c:extLst>
        </c:ser>
        <c:ser>
          <c:idx val="6"/>
          <c:order val="6"/>
          <c:tx>
            <c:strRef>
              <c:f>'Trafikselskaber Samlet'!$CU$5</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Samlet'!$CU$6:$CU$12</c:f>
              <c:numCache>
                <c:formatCode>#,##0_);\-#,##0_);\-_);@</c:formatCode>
                <c:ptCount val="7"/>
                <c:pt idx="0">
                  <c:v>39.839999999999996</c:v>
                </c:pt>
                <c:pt idx="1">
                  <c:v>565.03300000000002</c:v>
                </c:pt>
                <c:pt idx="2">
                  <c:v>1667.7108331700006</c:v>
                </c:pt>
                <c:pt idx="3">
                  <c:v>3459.52891</c:v>
                </c:pt>
                <c:pt idx="4">
                  <c:v>1169.3835261000002</c:v>
                </c:pt>
                <c:pt idx="5">
                  <c:v>826.29999999999984</c:v>
                </c:pt>
                <c:pt idx="6" formatCode="_-* #,##0_-;\-* #,##0_-;_-* \-??_-;_-@_-">
                  <c:v>7727.7962692700012</c:v>
                </c:pt>
              </c:numCache>
            </c:numRef>
          </c:val>
          <c:extLst>
            <c:ext xmlns:c16="http://schemas.microsoft.com/office/drawing/2014/chart" uri="{C3380CC4-5D6E-409C-BE32-E72D297353CC}">
              <c16:uniqueId val="{00000006-B932-41F4-B283-1490E7E3EC9B}"/>
            </c:ext>
          </c:extLst>
        </c:ser>
        <c:ser>
          <c:idx val="7"/>
          <c:order val="7"/>
          <c:tx>
            <c:strRef>
              <c:f>'Trafikselskaber Samlet'!$CV$5</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Samlet'!$CV$6:$CV$12</c:f>
              <c:numCache>
                <c:formatCode>#,##0_);\-#,##0_);\-_);@</c:formatCode>
                <c:ptCount val="7"/>
                <c:pt idx="0">
                  <c:v>35.799999999999997</c:v>
                </c:pt>
                <c:pt idx="1">
                  <c:v>592.42273653118241</c:v>
                </c:pt>
                <c:pt idx="2">
                  <c:v>1753.8560600000001</c:v>
                </c:pt>
                <c:pt idx="3">
                  <c:v>3526.8000400000001</c:v>
                </c:pt>
                <c:pt idx="4">
                  <c:v>1228.2317895000001</c:v>
                </c:pt>
                <c:pt idx="5">
                  <c:v>872.38</c:v>
                </c:pt>
                <c:pt idx="6" formatCode="_-* #,##0_-;\-* #,##0_-;_-* \-??_-;_-@_-">
                  <c:v>8009.4906260311827</c:v>
                </c:pt>
              </c:numCache>
            </c:numRef>
          </c:val>
          <c:extLst>
            <c:ext xmlns:c16="http://schemas.microsoft.com/office/drawing/2014/chart" uri="{C3380CC4-5D6E-409C-BE32-E72D297353CC}">
              <c16:uniqueId val="{00000007-B932-41F4-B283-1490E7E3EC9B}"/>
            </c:ext>
          </c:extLst>
        </c:ser>
        <c:ser>
          <c:idx val="8"/>
          <c:order val="8"/>
          <c:tx>
            <c:strRef>
              <c:f>'Trafikselskaber Samlet'!$CW$5</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Samlet'!$A$6:$A$12</c:f>
              <c:strCache>
                <c:ptCount val="7"/>
                <c:pt idx="0">
                  <c:v>BAT</c:v>
                </c:pt>
                <c:pt idx="1">
                  <c:v>FynBus</c:v>
                </c:pt>
                <c:pt idx="2">
                  <c:v>Midttrafik</c:v>
                </c:pt>
                <c:pt idx="3">
                  <c:v>Movia</c:v>
                </c:pt>
                <c:pt idx="4">
                  <c:v>NT</c:v>
                </c:pt>
                <c:pt idx="5">
                  <c:v>Sydtrafik</c:v>
                </c:pt>
                <c:pt idx="6">
                  <c:v>Total</c:v>
                </c:pt>
              </c:strCache>
            </c:strRef>
          </c:cat>
          <c:val>
            <c:numRef>
              <c:f>'Trafikselskaber Samlet'!$CW$6:$CW$12</c:f>
              <c:numCache>
                <c:formatCode>#,##0_);\-#,##0_);\-_);@</c:formatCode>
                <c:ptCount val="7"/>
                <c:pt idx="0">
                  <c:v>43</c:v>
                </c:pt>
                <c:pt idx="1">
                  <c:v>603.84669999999994</c:v>
                </c:pt>
                <c:pt idx="2">
                  <c:v>1775.9355600000001</c:v>
                </c:pt>
                <c:pt idx="3">
                  <c:v>3704.1201599999999</c:v>
                </c:pt>
                <c:pt idx="4">
                  <c:v>1263.0528440999999</c:v>
                </c:pt>
                <c:pt idx="5">
                  <c:v>884.19999999999982</c:v>
                </c:pt>
                <c:pt idx="6" formatCode="_-* #,##0_-;\-* #,##0_-;_-* \-??_-;_-@_-">
                  <c:v>8274.1552640999998</c:v>
                </c:pt>
              </c:numCache>
            </c:numRef>
          </c:val>
          <c:extLst>
            <c:ext xmlns:c16="http://schemas.microsoft.com/office/drawing/2014/chart" uri="{C3380CC4-5D6E-409C-BE32-E72D297353CC}">
              <c16:uniqueId val="{00000008-B932-41F4-B283-1490E7E3EC9B}"/>
            </c:ext>
          </c:extLst>
        </c:ser>
        <c:dLbls>
          <c:showLegendKey val="0"/>
          <c:showVal val="0"/>
          <c:showCatName val="0"/>
          <c:showSerName val="0"/>
          <c:showPercent val="0"/>
          <c:showBubbleSize val="0"/>
        </c:dLbls>
        <c:gapWidth val="219"/>
        <c:overlap val="-27"/>
        <c:axId val="94764763"/>
        <c:axId val="49561225"/>
      </c:barChart>
      <c:catAx>
        <c:axId val="94764763"/>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49561225"/>
        <c:crosses val="autoZero"/>
        <c:auto val="1"/>
        <c:lblAlgn val="ctr"/>
        <c:lblOffset val="100"/>
        <c:noMultiLvlLbl val="0"/>
      </c:catAx>
      <c:valAx>
        <c:axId val="49561225"/>
        <c:scaling>
          <c:orientation val="minMax"/>
        </c:scaling>
        <c:delete val="0"/>
        <c:axPos val="l"/>
        <c:majorGridlines>
          <c:spPr>
            <a:ln w="9360">
              <a:solidFill>
                <a:srgbClr val="D9D9D9"/>
              </a:solidFill>
              <a:round/>
            </a:ln>
          </c:spPr>
        </c:majorGridlines>
        <c:numFmt formatCode="#,##0_);\-#,##0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94764763"/>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3A3A3A"/>
                </a:solidFill>
                <a:latin typeface="Arial"/>
              </a:defRPr>
            </a:pPr>
            <a:r>
              <a:rPr lang="da-DK" sz="1400" b="0" strike="noStrike" spc="-1">
                <a:solidFill>
                  <a:srgbClr val="3A3A3A"/>
                </a:solidFill>
                <a:latin typeface="Arial"/>
              </a:rPr>
              <a:t>Tilskudsbehov (mDKK) i faste priser</a:t>
            </a:r>
          </a:p>
        </c:rich>
      </c:tx>
      <c:overlay val="0"/>
      <c:spPr>
        <a:noFill/>
        <a:ln w="0">
          <a:noFill/>
        </a:ln>
      </c:spPr>
    </c:title>
    <c:autoTitleDeleted val="0"/>
    <c:plotArea>
      <c:layout/>
      <c:barChart>
        <c:barDir val="col"/>
        <c:grouping val="clustered"/>
        <c:varyColors val="0"/>
        <c:ser>
          <c:idx val="0"/>
          <c:order val="0"/>
          <c:tx>
            <c:strRef>
              <c:f>'Trafikselskaber Samlet'!$CO$19</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Samlet'!$CO$20:$CO$26</c:f>
              <c:numCache>
                <c:formatCode>#,##0.0_);\-#,##0.0_);\-_);@</c:formatCode>
                <c:ptCount val="7"/>
                <c:pt idx="0">
                  <c:v>31.800000000000004</c:v>
                </c:pt>
                <c:pt idx="1">
                  <c:v>473.375</c:v>
                </c:pt>
                <c:pt idx="2">
                  <c:v>1360.3999999999996</c:v>
                </c:pt>
                <c:pt idx="3">
                  <c:v>2935.67488</c:v>
                </c:pt>
                <c:pt idx="4">
                  <c:v>894.25242370000001</c:v>
                </c:pt>
                <c:pt idx="5">
                  <c:v>742.90000000000009</c:v>
                </c:pt>
                <c:pt idx="6">
                  <c:v>6438.4023036999988</c:v>
                </c:pt>
              </c:numCache>
            </c:numRef>
          </c:val>
          <c:extLst>
            <c:ext xmlns:c16="http://schemas.microsoft.com/office/drawing/2014/chart" uri="{C3380CC4-5D6E-409C-BE32-E72D297353CC}">
              <c16:uniqueId val="{00000000-3CF0-4715-959B-DF271582D42E}"/>
            </c:ext>
          </c:extLst>
        </c:ser>
        <c:ser>
          <c:idx val="1"/>
          <c:order val="1"/>
          <c:tx>
            <c:strRef>
              <c:f>'Trafikselskaber Samlet'!$CP$19</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Samlet'!$CP$20:$CP$26</c:f>
              <c:numCache>
                <c:formatCode>#,##0.0_);\-#,##0.0_);\-_);@</c:formatCode>
                <c:ptCount val="7"/>
                <c:pt idx="0">
                  <c:v>25.808031341821739</c:v>
                </c:pt>
                <c:pt idx="1">
                  <c:v>465.02546523016656</c:v>
                </c:pt>
                <c:pt idx="2">
                  <c:v>1307.8354554358473</c:v>
                </c:pt>
                <c:pt idx="3">
                  <c:v>2990.970861900098</c:v>
                </c:pt>
                <c:pt idx="4">
                  <c:v>886.81367678746335</c:v>
                </c:pt>
                <c:pt idx="5">
                  <c:v>715.083251714006</c:v>
                </c:pt>
                <c:pt idx="6">
                  <c:v>6391.5367424094029</c:v>
                </c:pt>
              </c:numCache>
            </c:numRef>
          </c:val>
          <c:extLst>
            <c:ext xmlns:c16="http://schemas.microsoft.com/office/drawing/2014/chart" uri="{C3380CC4-5D6E-409C-BE32-E72D297353CC}">
              <c16:uniqueId val="{00000001-3CF0-4715-959B-DF271582D42E}"/>
            </c:ext>
          </c:extLst>
        </c:ser>
        <c:ser>
          <c:idx val="2"/>
          <c:order val="2"/>
          <c:tx>
            <c:strRef>
              <c:f>'Trafikselskaber Samlet'!$CQ$19</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Samlet'!$CQ$20:$CQ$26</c:f>
              <c:numCache>
                <c:formatCode>#,##0.0_);\-#,##0.0_);\-_);@</c:formatCode>
                <c:ptCount val="7"/>
                <c:pt idx="0">
                  <c:v>28.025043409925491</c:v>
                </c:pt>
                <c:pt idx="1">
                  <c:v>467.53573193034771</c:v>
                </c:pt>
                <c:pt idx="2">
                  <c:v>1381.7020543030965</c:v>
                </c:pt>
                <c:pt idx="3">
                  <c:v>2998.5337798079086</c:v>
                </c:pt>
                <c:pt idx="4">
                  <c:v>884.4559134286186</c:v>
                </c:pt>
                <c:pt idx="5">
                  <c:v>677.03111742878434</c:v>
                </c:pt>
                <c:pt idx="6">
                  <c:v>6437.2836403086812</c:v>
                </c:pt>
              </c:numCache>
            </c:numRef>
          </c:val>
          <c:extLst>
            <c:ext xmlns:c16="http://schemas.microsoft.com/office/drawing/2014/chart" uri="{C3380CC4-5D6E-409C-BE32-E72D297353CC}">
              <c16:uniqueId val="{00000002-3CF0-4715-959B-DF271582D42E}"/>
            </c:ext>
          </c:extLst>
        </c:ser>
        <c:ser>
          <c:idx val="3"/>
          <c:order val="3"/>
          <c:tx>
            <c:strRef>
              <c:f>'Trafikselskaber Samlet'!$CR$19</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Samlet'!$CR$20:$CR$26</c:f>
              <c:numCache>
                <c:formatCode>#,##0.0_);\-#,##0.0_);\-_);@</c:formatCode>
                <c:ptCount val="7"/>
                <c:pt idx="0">
                  <c:v>32.467284945371603</c:v>
                </c:pt>
                <c:pt idx="1">
                  <c:v>541.06600343730315</c:v>
                </c:pt>
                <c:pt idx="2">
                  <c:v>1494.5538233005295</c:v>
                </c:pt>
                <c:pt idx="3">
                  <c:v>3376.1410491936313</c:v>
                </c:pt>
                <c:pt idx="4">
                  <c:v>993.53609399815446</c:v>
                </c:pt>
                <c:pt idx="5">
                  <c:v>726.52050951842716</c:v>
                </c:pt>
                <c:pt idx="6">
                  <c:v>7164.2847643934174</c:v>
                </c:pt>
              </c:numCache>
            </c:numRef>
          </c:val>
          <c:extLst>
            <c:ext xmlns:c16="http://schemas.microsoft.com/office/drawing/2014/chart" uri="{C3380CC4-5D6E-409C-BE32-E72D297353CC}">
              <c16:uniqueId val="{00000003-3CF0-4715-959B-DF271582D42E}"/>
            </c:ext>
          </c:extLst>
        </c:ser>
        <c:ser>
          <c:idx val="4"/>
          <c:order val="4"/>
          <c:tx>
            <c:strRef>
              <c:f>'Trafikselskaber Samlet'!$CS$19</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Samlet'!$CS$20:$CS$26</c:f>
              <c:numCache>
                <c:formatCode>#,##0.0_);\-#,##0.0_);\-_);@</c:formatCode>
                <c:ptCount val="7"/>
                <c:pt idx="0">
                  <c:v>33.842372420580872</c:v>
                </c:pt>
                <c:pt idx="1">
                  <c:v>510.36747638638946</c:v>
                </c:pt>
                <c:pt idx="2">
                  <c:v>1405.7851024709937</c:v>
                </c:pt>
                <c:pt idx="3">
                  <c:v>3196.0912587202974</c:v>
                </c:pt>
                <c:pt idx="4">
                  <c:v>986.64836293029612</c:v>
                </c:pt>
                <c:pt idx="5">
                  <c:v>730.67218744202796</c:v>
                </c:pt>
                <c:pt idx="6">
                  <c:v>6863.4067603705853</c:v>
                </c:pt>
              </c:numCache>
            </c:numRef>
          </c:val>
          <c:extLst>
            <c:ext xmlns:c16="http://schemas.microsoft.com/office/drawing/2014/chart" uri="{C3380CC4-5D6E-409C-BE32-E72D297353CC}">
              <c16:uniqueId val="{00000004-3CF0-4715-959B-DF271582D42E}"/>
            </c:ext>
          </c:extLst>
        </c:ser>
        <c:ser>
          <c:idx val="5"/>
          <c:order val="5"/>
          <c:tx>
            <c:strRef>
              <c:f>'Trafikselskaber Samlet'!$CT$19</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Samlet'!$CT$20:$CT$26</c:f>
              <c:numCache>
                <c:formatCode>#,##0.0_);\-#,##0.0_);\-_);@</c:formatCode>
                <c:ptCount val="7"/>
                <c:pt idx="0">
                  <c:v>39.358827908628044</c:v>
                </c:pt>
                <c:pt idx="1">
                  <c:v>502.57340344576198</c:v>
                </c:pt>
                <c:pt idx="2">
                  <c:v>1402.4459867243424</c:v>
                </c:pt>
                <c:pt idx="3">
                  <c:v>2908.3638042299317</c:v>
                </c:pt>
                <c:pt idx="4">
                  <c:v>980.02546392403156</c:v>
                </c:pt>
                <c:pt idx="5">
                  <c:v>722.37478015482395</c:v>
                </c:pt>
                <c:pt idx="6">
                  <c:v>6555.142266387521</c:v>
                </c:pt>
              </c:numCache>
            </c:numRef>
          </c:val>
          <c:extLst>
            <c:ext xmlns:c16="http://schemas.microsoft.com/office/drawing/2014/chart" uri="{C3380CC4-5D6E-409C-BE32-E72D297353CC}">
              <c16:uniqueId val="{00000005-3CF0-4715-959B-DF271582D42E}"/>
            </c:ext>
          </c:extLst>
        </c:ser>
        <c:ser>
          <c:idx val="6"/>
          <c:order val="6"/>
          <c:tx>
            <c:strRef>
              <c:f>'Trafikselskaber Samlet'!$CU$19</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Samlet'!$CU$20:$CU$26</c:f>
              <c:numCache>
                <c:formatCode>#,##0.0_);\-#,##0.0_);\-_);@</c:formatCode>
                <c:ptCount val="7"/>
                <c:pt idx="0">
                  <c:v>33.372494334640187</c:v>
                </c:pt>
                <c:pt idx="1">
                  <c:v>473.30724375965741</c:v>
                </c:pt>
                <c:pt idx="2">
                  <c:v>1396.9796770026082</c:v>
                </c:pt>
                <c:pt idx="3">
                  <c:v>2897.919401342845</c:v>
                </c:pt>
                <c:pt idx="4">
                  <c:v>979.54932479402169</c:v>
                </c:pt>
                <c:pt idx="5">
                  <c:v>692.16094549982893</c:v>
                </c:pt>
                <c:pt idx="6">
                  <c:v>6473.2890867336009</c:v>
                </c:pt>
              </c:numCache>
            </c:numRef>
          </c:val>
          <c:extLst>
            <c:ext xmlns:c16="http://schemas.microsoft.com/office/drawing/2014/chart" uri="{C3380CC4-5D6E-409C-BE32-E72D297353CC}">
              <c16:uniqueId val="{00000006-3CF0-4715-959B-DF271582D42E}"/>
            </c:ext>
          </c:extLst>
        </c:ser>
        <c:ser>
          <c:idx val="7"/>
          <c:order val="7"/>
          <c:tx>
            <c:strRef>
              <c:f>'Trafikselskaber Samlet'!$CV$19</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Samlet'!$CV$20:$CV$26</c:f>
              <c:numCache>
                <c:formatCode>#,##0.0_);\-#,##0.0_);\-_);@</c:formatCode>
                <c:ptCount val="7"/>
                <c:pt idx="0">
                  <c:v>29.086649633941164</c:v>
                </c:pt>
                <c:pt idx="1">
                  <c:v>481.3294014710375</c:v>
                </c:pt>
                <c:pt idx="2">
                  <c:v>1424.9663889828073</c:v>
                </c:pt>
                <c:pt idx="3">
                  <c:v>2865.441259565634</c:v>
                </c:pt>
                <c:pt idx="4">
                  <c:v>997.90915448198552</c:v>
                </c:pt>
                <c:pt idx="5">
                  <c:v>708.78802814686026</c:v>
                </c:pt>
                <c:pt idx="6">
                  <c:v>6507.520882282266</c:v>
                </c:pt>
              </c:numCache>
            </c:numRef>
          </c:val>
          <c:extLst>
            <c:ext xmlns:c16="http://schemas.microsoft.com/office/drawing/2014/chart" uri="{C3380CC4-5D6E-409C-BE32-E72D297353CC}">
              <c16:uniqueId val="{00000007-3CF0-4715-959B-DF271582D42E}"/>
            </c:ext>
          </c:extLst>
        </c:ser>
        <c:ser>
          <c:idx val="8"/>
          <c:order val="8"/>
          <c:tx>
            <c:strRef>
              <c:f>'Trafikselskaber Samlet'!$CW$19</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Samlet'!$CW$20:$CW$26</c:f>
              <c:numCache>
                <c:formatCode>#,##0.0_);\-#,##0.0_);\-_);@</c:formatCode>
                <c:ptCount val="7"/>
                <c:pt idx="0">
                  <c:v>34.936478610599728</c:v>
                </c:pt>
                <c:pt idx="1">
                  <c:v>490.61110043328438</c:v>
                </c:pt>
                <c:pt idx="2">
                  <c:v>1442.9054582731035</c:v>
                </c:pt>
                <c:pt idx="3">
                  <c:v>3009.5096451379359</c:v>
                </c:pt>
                <c:pt idx="4">
                  <c:v>1026.2004342315533</c:v>
                </c:pt>
                <c:pt idx="5">
                  <c:v>718.39149738354115</c:v>
                </c:pt>
                <c:pt idx="6">
                  <c:v>6722.5546140700171</c:v>
                </c:pt>
              </c:numCache>
            </c:numRef>
          </c:val>
          <c:extLst>
            <c:ext xmlns:c16="http://schemas.microsoft.com/office/drawing/2014/chart" uri="{C3380CC4-5D6E-409C-BE32-E72D297353CC}">
              <c16:uniqueId val="{00000008-3CF0-4715-959B-DF271582D42E}"/>
            </c:ext>
          </c:extLst>
        </c:ser>
        <c:dLbls>
          <c:showLegendKey val="0"/>
          <c:showVal val="0"/>
          <c:showCatName val="0"/>
          <c:showSerName val="0"/>
          <c:showPercent val="0"/>
          <c:showBubbleSize val="0"/>
        </c:dLbls>
        <c:gapWidth val="219"/>
        <c:overlap val="-27"/>
        <c:axId val="5612606"/>
        <c:axId val="44191649"/>
      </c:barChart>
      <c:catAx>
        <c:axId val="5612606"/>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44191649"/>
        <c:crosses val="autoZero"/>
        <c:auto val="1"/>
        <c:lblAlgn val="ctr"/>
        <c:lblOffset val="100"/>
        <c:noMultiLvlLbl val="0"/>
      </c:catAx>
      <c:valAx>
        <c:axId val="44191649"/>
        <c:scaling>
          <c:orientation val="minMax"/>
        </c:scaling>
        <c:delete val="0"/>
        <c:axPos val="l"/>
        <c:majorGridlines>
          <c:spPr>
            <a:ln w="9360">
              <a:solidFill>
                <a:srgbClr val="D9D9D9"/>
              </a:solidFill>
              <a:round/>
            </a:ln>
          </c:spPr>
        </c:majorGridlines>
        <c:numFmt formatCode="#,##0.0_);\-#,##0.0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5612606"/>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3A3A3A"/>
                </a:solidFill>
                <a:latin typeface="Arial"/>
              </a:defRPr>
            </a:pPr>
            <a:r>
              <a:rPr lang="da-DK" sz="1400" b="0" strike="noStrike" spc="-1">
                <a:solidFill>
                  <a:srgbClr val="3A3A3A"/>
                </a:solidFill>
                <a:latin typeface="Arial"/>
              </a:rPr>
              <a:t>Køreplantimer BUS</a:t>
            </a:r>
          </a:p>
        </c:rich>
      </c:tx>
      <c:overlay val="0"/>
      <c:spPr>
        <a:noFill/>
        <a:ln w="0">
          <a:noFill/>
        </a:ln>
      </c:spPr>
    </c:title>
    <c:autoTitleDeleted val="0"/>
    <c:plotArea>
      <c:layout/>
      <c:barChart>
        <c:barDir val="col"/>
        <c:grouping val="clustered"/>
        <c:varyColors val="0"/>
        <c:ser>
          <c:idx val="0"/>
          <c:order val="0"/>
          <c:tx>
            <c:strRef>
              <c:f>'Trafikselskaber Samlet'!$DO$19</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Samlet'!$DO$20:$DO$26</c:f>
              <c:numCache>
                <c:formatCode>_(* #,##0_);_(* \(#,##0\);_(* \-??_);_(@_)</c:formatCode>
                <c:ptCount val="7"/>
                <c:pt idx="0">
                  <c:v>88761</c:v>
                </c:pt>
                <c:pt idx="1">
                  <c:v>613716</c:v>
                </c:pt>
                <c:pt idx="2">
                  <c:v>1895043.8900000001</c:v>
                </c:pt>
                <c:pt idx="3">
                  <c:v>4232703.6165399998</c:v>
                </c:pt>
                <c:pt idx="4">
                  <c:v>914096.1166666674</c:v>
                </c:pt>
                <c:pt idx="5">
                  <c:v>841838</c:v>
                </c:pt>
                <c:pt idx="6">
                  <c:v>8586158.6232066676</c:v>
                </c:pt>
              </c:numCache>
            </c:numRef>
          </c:val>
          <c:extLst>
            <c:ext xmlns:c16="http://schemas.microsoft.com/office/drawing/2014/chart" uri="{C3380CC4-5D6E-409C-BE32-E72D297353CC}">
              <c16:uniqueId val="{00000000-FA65-4058-8E1A-22163C2D5798}"/>
            </c:ext>
          </c:extLst>
        </c:ser>
        <c:ser>
          <c:idx val="1"/>
          <c:order val="1"/>
          <c:tx>
            <c:strRef>
              <c:f>'Trafikselskaber Samlet'!$DP$19</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Samlet'!$DP$20:$DP$26</c:f>
              <c:numCache>
                <c:formatCode>_(* #,##0_);_(* \(#,##0\);_(* \-??_);_(@_)</c:formatCode>
                <c:ptCount val="7"/>
                <c:pt idx="0">
                  <c:v>88761</c:v>
                </c:pt>
                <c:pt idx="1">
                  <c:v>612621</c:v>
                </c:pt>
                <c:pt idx="2">
                  <c:v>1854608.2681637742</c:v>
                </c:pt>
                <c:pt idx="3">
                  <c:v>4084195.89928</c:v>
                </c:pt>
                <c:pt idx="4">
                  <c:v>908325.75999999989</c:v>
                </c:pt>
                <c:pt idx="5">
                  <c:v>833700</c:v>
                </c:pt>
                <c:pt idx="6">
                  <c:v>8382211.9274437744</c:v>
                </c:pt>
              </c:numCache>
            </c:numRef>
          </c:val>
          <c:extLst>
            <c:ext xmlns:c16="http://schemas.microsoft.com/office/drawing/2014/chart" uri="{C3380CC4-5D6E-409C-BE32-E72D297353CC}">
              <c16:uniqueId val="{00000001-FA65-4058-8E1A-22163C2D5798}"/>
            </c:ext>
          </c:extLst>
        </c:ser>
        <c:ser>
          <c:idx val="2"/>
          <c:order val="2"/>
          <c:tx>
            <c:strRef>
              <c:f>'Trafikselskaber Samlet'!$DQ$19</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Samlet'!$DQ$20:$DQ$26</c:f>
              <c:numCache>
                <c:formatCode>_(* #,##0_);_(* \(#,##0\);_(* \-??_);_(@_)</c:formatCode>
                <c:ptCount val="7"/>
                <c:pt idx="0">
                  <c:v>78740</c:v>
                </c:pt>
                <c:pt idx="1">
                  <c:v>613426</c:v>
                </c:pt>
                <c:pt idx="2">
                  <c:v>1854469.5999999999</c:v>
                </c:pt>
                <c:pt idx="3">
                  <c:v>4077598.3166200002</c:v>
                </c:pt>
                <c:pt idx="4">
                  <c:v>902110.55</c:v>
                </c:pt>
                <c:pt idx="5">
                  <c:v>804414</c:v>
                </c:pt>
                <c:pt idx="6">
                  <c:v>8330758.4666199991</c:v>
                </c:pt>
              </c:numCache>
            </c:numRef>
          </c:val>
          <c:extLst>
            <c:ext xmlns:c16="http://schemas.microsoft.com/office/drawing/2014/chart" uri="{C3380CC4-5D6E-409C-BE32-E72D297353CC}">
              <c16:uniqueId val="{00000002-FA65-4058-8E1A-22163C2D5798}"/>
            </c:ext>
          </c:extLst>
        </c:ser>
        <c:ser>
          <c:idx val="3"/>
          <c:order val="3"/>
          <c:tx>
            <c:strRef>
              <c:f>'Trafikselskaber Samlet'!$DR$19</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Samlet'!$DR$20:$DR$26</c:f>
              <c:numCache>
                <c:formatCode>_(* #,##0_);_(* \(#,##0\);_(* \-??_);_(@_)</c:formatCode>
                <c:ptCount val="7"/>
                <c:pt idx="0">
                  <c:v>78740</c:v>
                </c:pt>
                <c:pt idx="1">
                  <c:v>594508</c:v>
                </c:pt>
                <c:pt idx="2">
                  <c:v>1847285.9966666664</c:v>
                </c:pt>
                <c:pt idx="3">
                  <c:v>4119023.9781499999</c:v>
                </c:pt>
                <c:pt idx="4">
                  <c:v>899044.10000000009</c:v>
                </c:pt>
                <c:pt idx="5">
                  <c:v>796022</c:v>
                </c:pt>
                <c:pt idx="6">
                  <c:v>8334624.0748166665</c:v>
                </c:pt>
              </c:numCache>
            </c:numRef>
          </c:val>
          <c:extLst>
            <c:ext xmlns:c16="http://schemas.microsoft.com/office/drawing/2014/chart" uri="{C3380CC4-5D6E-409C-BE32-E72D297353CC}">
              <c16:uniqueId val="{00000003-FA65-4058-8E1A-22163C2D5798}"/>
            </c:ext>
          </c:extLst>
        </c:ser>
        <c:ser>
          <c:idx val="4"/>
          <c:order val="4"/>
          <c:tx>
            <c:strRef>
              <c:f>'Trafikselskaber Samlet'!$DS$19</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Samlet'!$DS$20:$DS$26</c:f>
              <c:numCache>
                <c:formatCode>_(* #,##0_);_(* \(#,##0\);_(* \-??_);_(@_)</c:formatCode>
                <c:ptCount val="7"/>
                <c:pt idx="0">
                  <c:v>84587</c:v>
                </c:pt>
                <c:pt idx="1">
                  <c:v>556367</c:v>
                </c:pt>
                <c:pt idx="2">
                  <c:v>1791486.2067735051</c:v>
                </c:pt>
                <c:pt idx="3">
                  <c:v>4114493.9799700002</c:v>
                </c:pt>
                <c:pt idx="4">
                  <c:v>863332.1</c:v>
                </c:pt>
                <c:pt idx="5">
                  <c:v>785940</c:v>
                </c:pt>
                <c:pt idx="6">
                  <c:v>8196206.2867435049</c:v>
                </c:pt>
              </c:numCache>
            </c:numRef>
          </c:val>
          <c:extLst>
            <c:ext xmlns:c16="http://schemas.microsoft.com/office/drawing/2014/chart" uri="{C3380CC4-5D6E-409C-BE32-E72D297353CC}">
              <c16:uniqueId val="{00000004-FA65-4058-8E1A-22163C2D5798}"/>
            </c:ext>
          </c:extLst>
        </c:ser>
        <c:ser>
          <c:idx val="5"/>
          <c:order val="5"/>
          <c:tx>
            <c:strRef>
              <c:f>'Trafikselskaber Samlet'!$DT$19</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Samlet'!$DT$20:$DT$26</c:f>
              <c:numCache>
                <c:formatCode>_(* #,##0_);_(* \(#,##0\);_(* \-??_);_(@_)</c:formatCode>
                <c:ptCount val="7"/>
                <c:pt idx="0">
                  <c:v>81757</c:v>
                </c:pt>
                <c:pt idx="1">
                  <c:v>547218</c:v>
                </c:pt>
                <c:pt idx="2">
                  <c:v>1713778.3827839969</c:v>
                </c:pt>
                <c:pt idx="3">
                  <c:v>4061247.3066400001</c:v>
                </c:pt>
                <c:pt idx="4">
                  <c:v>840986</c:v>
                </c:pt>
                <c:pt idx="5">
                  <c:v>773528</c:v>
                </c:pt>
                <c:pt idx="6">
                  <c:v>8018514.689423997</c:v>
                </c:pt>
              </c:numCache>
            </c:numRef>
          </c:val>
          <c:extLst>
            <c:ext xmlns:c16="http://schemas.microsoft.com/office/drawing/2014/chart" uri="{C3380CC4-5D6E-409C-BE32-E72D297353CC}">
              <c16:uniqueId val="{00000005-FA65-4058-8E1A-22163C2D5798}"/>
            </c:ext>
          </c:extLst>
        </c:ser>
        <c:ser>
          <c:idx val="6"/>
          <c:order val="6"/>
          <c:tx>
            <c:strRef>
              <c:f>'Trafikselskaber Samlet'!$DU$19</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Samlet'!$DU$20:$DU$26</c:f>
              <c:numCache>
                <c:formatCode>_(* #,##0_);_(* \(#,##0\);_(* \-??_);_(@_)</c:formatCode>
                <c:ptCount val="7"/>
                <c:pt idx="0">
                  <c:v>72390</c:v>
                </c:pt>
                <c:pt idx="1">
                  <c:v>551266</c:v>
                </c:pt>
                <c:pt idx="2">
                  <c:v>1655443</c:v>
                </c:pt>
                <c:pt idx="3">
                  <c:v>4028943.2499799998</c:v>
                </c:pt>
                <c:pt idx="4">
                  <c:v>844435</c:v>
                </c:pt>
                <c:pt idx="5">
                  <c:v>771832</c:v>
                </c:pt>
                <c:pt idx="6">
                  <c:v>7924309.2499799998</c:v>
                </c:pt>
              </c:numCache>
            </c:numRef>
          </c:val>
          <c:extLst>
            <c:ext xmlns:c16="http://schemas.microsoft.com/office/drawing/2014/chart" uri="{C3380CC4-5D6E-409C-BE32-E72D297353CC}">
              <c16:uniqueId val="{00000006-FA65-4058-8E1A-22163C2D5798}"/>
            </c:ext>
          </c:extLst>
        </c:ser>
        <c:ser>
          <c:idx val="7"/>
          <c:order val="7"/>
          <c:tx>
            <c:strRef>
              <c:f>'Trafikselskaber Samlet'!$DV$19</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Samlet'!$DV$20:$DV$26</c:f>
              <c:numCache>
                <c:formatCode>_(* #,##0_);_(* \(#,##0\);_(* \-??_);_(@_)</c:formatCode>
                <c:ptCount val="7"/>
                <c:pt idx="0">
                  <c:v>72035</c:v>
                </c:pt>
                <c:pt idx="1">
                  <c:v>548559</c:v>
                </c:pt>
                <c:pt idx="2">
                  <c:v>1647967</c:v>
                </c:pt>
                <c:pt idx="3">
                  <c:v>3997256.3989900001</c:v>
                </c:pt>
                <c:pt idx="4">
                  <c:v>852061</c:v>
                </c:pt>
                <c:pt idx="5">
                  <c:v>778171</c:v>
                </c:pt>
                <c:pt idx="6">
                  <c:v>7896049.3989899997</c:v>
                </c:pt>
              </c:numCache>
            </c:numRef>
          </c:val>
          <c:extLst>
            <c:ext xmlns:c16="http://schemas.microsoft.com/office/drawing/2014/chart" uri="{C3380CC4-5D6E-409C-BE32-E72D297353CC}">
              <c16:uniqueId val="{00000007-FA65-4058-8E1A-22163C2D5798}"/>
            </c:ext>
          </c:extLst>
        </c:ser>
        <c:ser>
          <c:idx val="8"/>
          <c:order val="8"/>
          <c:tx>
            <c:strRef>
              <c:f>'Trafikselskaber Samlet'!$DW$19</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Samlet'!$DW$20:$DW$26</c:f>
              <c:numCache>
                <c:formatCode>_(* #,##0_);_(* \(#,##0\);_(* \-??_);_(@_)</c:formatCode>
                <c:ptCount val="7"/>
                <c:pt idx="0">
                  <c:v>0</c:v>
                </c:pt>
                <c:pt idx="1">
                  <c:v>552035</c:v>
                </c:pt>
                <c:pt idx="2">
                  <c:v>1647967</c:v>
                </c:pt>
                <c:pt idx="3">
                  <c:v>4069893.3491699998</c:v>
                </c:pt>
                <c:pt idx="4">
                  <c:v>848772</c:v>
                </c:pt>
                <c:pt idx="5">
                  <c:v>783220</c:v>
                </c:pt>
                <c:pt idx="6">
                  <c:v>7901887.3491699994</c:v>
                </c:pt>
              </c:numCache>
            </c:numRef>
          </c:val>
          <c:extLst>
            <c:ext xmlns:c16="http://schemas.microsoft.com/office/drawing/2014/chart" uri="{C3380CC4-5D6E-409C-BE32-E72D297353CC}">
              <c16:uniqueId val="{00000008-FA65-4058-8E1A-22163C2D5798}"/>
            </c:ext>
          </c:extLst>
        </c:ser>
        <c:dLbls>
          <c:showLegendKey val="0"/>
          <c:showVal val="0"/>
          <c:showCatName val="0"/>
          <c:showSerName val="0"/>
          <c:showPercent val="0"/>
          <c:showBubbleSize val="0"/>
        </c:dLbls>
        <c:gapWidth val="219"/>
        <c:overlap val="-27"/>
        <c:axId val="61891637"/>
        <c:axId val="55033989"/>
      </c:barChart>
      <c:catAx>
        <c:axId val="61891637"/>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55033989"/>
        <c:crosses val="autoZero"/>
        <c:auto val="1"/>
        <c:lblAlgn val="ctr"/>
        <c:lblOffset val="100"/>
        <c:noMultiLvlLbl val="0"/>
      </c:catAx>
      <c:valAx>
        <c:axId val="55033989"/>
        <c:scaling>
          <c:orientation val="minMax"/>
        </c:scaling>
        <c:delete val="0"/>
        <c:axPos val="l"/>
        <c:majorGridlines>
          <c:spPr>
            <a:ln w="9360">
              <a:solidFill>
                <a:srgbClr val="D9D9D9"/>
              </a:solidFill>
              <a:round/>
            </a:ln>
          </c:spPr>
        </c:majorGridlines>
        <c:numFmt formatCode="_(* #,##0_);_(* \(#,##0\);_(* \-??_);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61891637"/>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3A3A3A"/>
                </a:solidFill>
                <a:latin typeface="Arial"/>
              </a:defRPr>
            </a:pPr>
            <a:r>
              <a:rPr lang="da-DK" sz="1400" b="0" strike="noStrike" spc="-1">
                <a:solidFill>
                  <a:srgbClr val="3A3A3A"/>
                </a:solidFill>
                <a:latin typeface="Arial"/>
              </a:rPr>
              <a:t>Køreplantimer baner</a:t>
            </a:r>
          </a:p>
        </c:rich>
      </c:tx>
      <c:overlay val="0"/>
      <c:spPr>
        <a:noFill/>
        <a:ln w="0">
          <a:noFill/>
        </a:ln>
      </c:spPr>
    </c:title>
    <c:autoTitleDeleted val="0"/>
    <c:plotArea>
      <c:layout/>
      <c:barChart>
        <c:barDir val="col"/>
        <c:grouping val="clustered"/>
        <c:varyColors val="0"/>
        <c:ser>
          <c:idx val="0"/>
          <c:order val="0"/>
          <c:tx>
            <c:strRef>
              <c:f>'Trafikselskaber Samlet'!$EB$19</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Samlet'!$EB$20:$EB$26</c:f>
              <c:numCache>
                <c:formatCode>_(* #,##0_);_(* \(#,##0\);_(* \-??_);_(@_)</c:formatCode>
                <c:ptCount val="7"/>
                <c:pt idx="0">
                  <c:v>0</c:v>
                </c:pt>
                <c:pt idx="1">
                  <c:v>0</c:v>
                </c:pt>
                <c:pt idx="2">
                  <c:v>76318</c:v>
                </c:pt>
                <c:pt idx="3">
                  <c:v>151818</c:v>
                </c:pt>
                <c:pt idx="4">
                  <c:v>44993</c:v>
                </c:pt>
                <c:pt idx="5">
                  <c:v>5851</c:v>
                </c:pt>
                <c:pt idx="6">
                  <c:v>278980</c:v>
                </c:pt>
              </c:numCache>
            </c:numRef>
          </c:val>
          <c:extLst>
            <c:ext xmlns:c16="http://schemas.microsoft.com/office/drawing/2014/chart" uri="{C3380CC4-5D6E-409C-BE32-E72D297353CC}">
              <c16:uniqueId val="{00000000-F12B-4318-8996-DF2533008D4B}"/>
            </c:ext>
          </c:extLst>
        </c:ser>
        <c:ser>
          <c:idx val="1"/>
          <c:order val="1"/>
          <c:tx>
            <c:strRef>
              <c:f>'Trafikselskaber Samlet'!$EC$19</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Samlet'!$EC$20:$EC$26</c:f>
              <c:numCache>
                <c:formatCode>_(* #,##0_);_(* \(#,##0\);_(* \-??_);_(@_)</c:formatCode>
                <c:ptCount val="7"/>
                <c:pt idx="0">
                  <c:v>0</c:v>
                </c:pt>
                <c:pt idx="1">
                  <c:v>0</c:v>
                </c:pt>
                <c:pt idx="2">
                  <c:v>82955</c:v>
                </c:pt>
                <c:pt idx="3">
                  <c:v>151573</c:v>
                </c:pt>
                <c:pt idx="4">
                  <c:v>43805</c:v>
                </c:pt>
                <c:pt idx="5">
                  <c:v>5752</c:v>
                </c:pt>
                <c:pt idx="6">
                  <c:v>284085</c:v>
                </c:pt>
              </c:numCache>
            </c:numRef>
          </c:val>
          <c:extLst>
            <c:ext xmlns:c16="http://schemas.microsoft.com/office/drawing/2014/chart" uri="{C3380CC4-5D6E-409C-BE32-E72D297353CC}">
              <c16:uniqueId val="{00000001-F12B-4318-8996-DF2533008D4B}"/>
            </c:ext>
          </c:extLst>
        </c:ser>
        <c:ser>
          <c:idx val="2"/>
          <c:order val="2"/>
          <c:tx>
            <c:strRef>
              <c:f>'Trafikselskaber Samlet'!$ED$19</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Samlet'!$ED$20:$ED$26</c:f>
              <c:numCache>
                <c:formatCode>_(* #,##0_);_(* \(#,##0\);_(* \-??_);_(@_)</c:formatCode>
                <c:ptCount val="7"/>
                <c:pt idx="0">
                  <c:v>0</c:v>
                </c:pt>
                <c:pt idx="1">
                  <c:v>0</c:v>
                </c:pt>
                <c:pt idx="2">
                  <c:v>95564</c:v>
                </c:pt>
                <c:pt idx="3">
                  <c:v>158157</c:v>
                </c:pt>
                <c:pt idx="4">
                  <c:v>43904</c:v>
                </c:pt>
                <c:pt idx="5">
                  <c:v>5743</c:v>
                </c:pt>
                <c:pt idx="6">
                  <c:v>303368</c:v>
                </c:pt>
              </c:numCache>
            </c:numRef>
          </c:val>
          <c:extLst>
            <c:ext xmlns:c16="http://schemas.microsoft.com/office/drawing/2014/chart" uri="{C3380CC4-5D6E-409C-BE32-E72D297353CC}">
              <c16:uniqueId val="{00000002-F12B-4318-8996-DF2533008D4B}"/>
            </c:ext>
          </c:extLst>
        </c:ser>
        <c:ser>
          <c:idx val="3"/>
          <c:order val="3"/>
          <c:tx>
            <c:strRef>
              <c:f>'Trafikselskaber Samlet'!$EE$19</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Samlet'!$EE$20:$EE$26</c:f>
              <c:numCache>
                <c:formatCode>_(* #,##0_);_(* \(#,##0\);_(* \-??_);_(@_)</c:formatCode>
                <c:ptCount val="7"/>
                <c:pt idx="0">
                  <c:v>0</c:v>
                </c:pt>
                <c:pt idx="1">
                  <c:v>0</c:v>
                </c:pt>
                <c:pt idx="2">
                  <c:v>97239</c:v>
                </c:pt>
                <c:pt idx="3">
                  <c:v>156802</c:v>
                </c:pt>
                <c:pt idx="4">
                  <c:v>45238</c:v>
                </c:pt>
                <c:pt idx="5">
                  <c:v>5848</c:v>
                </c:pt>
                <c:pt idx="6">
                  <c:v>305127</c:v>
                </c:pt>
              </c:numCache>
            </c:numRef>
          </c:val>
          <c:extLst>
            <c:ext xmlns:c16="http://schemas.microsoft.com/office/drawing/2014/chart" uri="{C3380CC4-5D6E-409C-BE32-E72D297353CC}">
              <c16:uniqueId val="{00000003-F12B-4318-8996-DF2533008D4B}"/>
            </c:ext>
          </c:extLst>
        </c:ser>
        <c:ser>
          <c:idx val="4"/>
          <c:order val="4"/>
          <c:tx>
            <c:strRef>
              <c:f>'Trafikselskaber Samlet'!$EF$19</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Samlet'!$EF$20:$EF$26</c:f>
              <c:numCache>
                <c:formatCode>_(* #,##0_);_(* \(#,##0\);_(* \-??_);_(@_)</c:formatCode>
                <c:ptCount val="7"/>
                <c:pt idx="0">
                  <c:v>0</c:v>
                </c:pt>
                <c:pt idx="1">
                  <c:v>0</c:v>
                </c:pt>
                <c:pt idx="2">
                  <c:v>99206</c:v>
                </c:pt>
                <c:pt idx="3">
                  <c:v>154941</c:v>
                </c:pt>
                <c:pt idx="4">
                  <c:v>45238</c:v>
                </c:pt>
                <c:pt idx="5">
                  <c:v>5774</c:v>
                </c:pt>
                <c:pt idx="6">
                  <c:v>305159</c:v>
                </c:pt>
              </c:numCache>
            </c:numRef>
          </c:val>
          <c:extLst>
            <c:ext xmlns:c16="http://schemas.microsoft.com/office/drawing/2014/chart" uri="{C3380CC4-5D6E-409C-BE32-E72D297353CC}">
              <c16:uniqueId val="{00000004-F12B-4318-8996-DF2533008D4B}"/>
            </c:ext>
          </c:extLst>
        </c:ser>
        <c:ser>
          <c:idx val="5"/>
          <c:order val="5"/>
          <c:tx>
            <c:strRef>
              <c:f>'Trafikselskaber Samlet'!$EG$19</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Samlet'!$EG$20:$EG$26</c:f>
              <c:numCache>
                <c:formatCode>_(* #,##0_);_(* \(#,##0\);_(* \-??_);_(@_)</c:formatCode>
                <c:ptCount val="7"/>
                <c:pt idx="0">
                  <c:v>0</c:v>
                </c:pt>
                <c:pt idx="1">
                  <c:v>0</c:v>
                </c:pt>
                <c:pt idx="2">
                  <c:v>92455</c:v>
                </c:pt>
                <c:pt idx="3">
                  <c:v>157654.07999999999</c:v>
                </c:pt>
                <c:pt idx="4">
                  <c:v>0</c:v>
                </c:pt>
                <c:pt idx="5">
                  <c:v>5747</c:v>
                </c:pt>
                <c:pt idx="6">
                  <c:v>255856.08</c:v>
                </c:pt>
              </c:numCache>
            </c:numRef>
          </c:val>
          <c:extLst>
            <c:ext xmlns:c16="http://schemas.microsoft.com/office/drawing/2014/chart" uri="{C3380CC4-5D6E-409C-BE32-E72D297353CC}">
              <c16:uniqueId val="{00000005-F12B-4318-8996-DF2533008D4B}"/>
            </c:ext>
          </c:extLst>
        </c:ser>
        <c:ser>
          <c:idx val="6"/>
          <c:order val="6"/>
          <c:tx>
            <c:strRef>
              <c:f>'Trafikselskaber Samlet'!$EH$19</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Samlet'!$EH$20:$EH$26</c:f>
              <c:numCache>
                <c:formatCode>_(* #,##0_);_(* \(#,##0\);_(* \-??_);_(@_)</c:formatCode>
                <c:ptCount val="7"/>
                <c:pt idx="0">
                  <c:v>0</c:v>
                </c:pt>
                <c:pt idx="1">
                  <c:v>0</c:v>
                </c:pt>
                <c:pt idx="2">
                  <c:v>90277.33</c:v>
                </c:pt>
                <c:pt idx="3">
                  <c:v>167419.1</c:v>
                </c:pt>
                <c:pt idx="4">
                  <c:v>0</c:v>
                </c:pt>
                <c:pt idx="5">
                  <c:v>5615</c:v>
                </c:pt>
                <c:pt idx="6">
                  <c:v>263311.43</c:v>
                </c:pt>
              </c:numCache>
            </c:numRef>
          </c:val>
          <c:extLst>
            <c:ext xmlns:c16="http://schemas.microsoft.com/office/drawing/2014/chart" uri="{C3380CC4-5D6E-409C-BE32-E72D297353CC}">
              <c16:uniqueId val="{00000006-F12B-4318-8996-DF2533008D4B}"/>
            </c:ext>
          </c:extLst>
        </c:ser>
        <c:ser>
          <c:idx val="7"/>
          <c:order val="7"/>
          <c:tx>
            <c:strRef>
              <c:f>'Trafikselskaber Samlet'!$EI$19</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Samlet'!$EI$20:$EI$26</c:f>
              <c:numCache>
                <c:formatCode>_(* #,##0_);_(* \(#,##0\);_(* \-??_);_(@_)</c:formatCode>
                <c:ptCount val="7"/>
                <c:pt idx="0">
                  <c:v>0</c:v>
                </c:pt>
                <c:pt idx="1">
                  <c:v>0</c:v>
                </c:pt>
                <c:pt idx="2">
                  <c:v>100700</c:v>
                </c:pt>
                <c:pt idx="3">
                  <c:v>173653</c:v>
                </c:pt>
                <c:pt idx="4">
                  <c:v>0</c:v>
                </c:pt>
                <c:pt idx="5">
                  <c:v>0</c:v>
                </c:pt>
                <c:pt idx="6">
                  <c:v>274353</c:v>
                </c:pt>
              </c:numCache>
            </c:numRef>
          </c:val>
          <c:extLst>
            <c:ext xmlns:c16="http://schemas.microsoft.com/office/drawing/2014/chart" uri="{C3380CC4-5D6E-409C-BE32-E72D297353CC}">
              <c16:uniqueId val="{00000007-F12B-4318-8996-DF2533008D4B}"/>
            </c:ext>
          </c:extLst>
        </c:ser>
        <c:ser>
          <c:idx val="8"/>
          <c:order val="8"/>
          <c:tx>
            <c:strRef>
              <c:f>'Trafikselskaber Samlet'!$EJ$19</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Samlet'!$EJ$20:$EJ$26</c:f>
              <c:numCache>
                <c:formatCode>_(* #,##0_);_(* \(#,##0\);_(* \-??_);_(@_)</c:formatCode>
                <c:ptCount val="7"/>
                <c:pt idx="0">
                  <c:v>0</c:v>
                </c:pt>
                <c:pt idx="1">
                  <c:v>0</c:v>
                </c:pt>
                <c:pt idx="2">
                  <c:v>0</c:v>
                </c:pt>
                <c:pt idx="3">
                  <c:v>172316.68</c:v>
                </c:pt>
                <c:pt idx="4">
                  <c:v>0</c:v>
                </c:pt>
                <c:pt idx="5">
                  <c:v>0</c:v>
                </c:pt>
                <c:pt idx="6">
                  <c:v>172316.68</c:v>
                </c:pt>
              </c:numCache>
            </c:numRef>
          </c:val>
          <c:extLst>
            <c:ext xmlns:c16="http://schemas.microsoft.com/office/drawing/2014/chart" uri="{C3380CC4-5D6E-409C-BE32-E72D297353CC}">
              <c16:uniqueId val="{00000008-F12B-4318-8996-DF2533008D4B}"/>
            </c:ext>
          </c:extLst>
        </c:ser>
        <c:dLbls>
          <c:showLegendKey val="0"/>
          <c:showVal val="0"/>
          <c:showCatName val="0"/>
          <c:showSerName val="0"/>
          <c:showPercent val="0"/>
          <c:showBubbleSize val="0"/>
        </c:dLbls>
        <c:gapWidth val="219"/>
        <c:overlap val="-27"/>
        <c:axId val="6075756"/>
        <c:axId val="48532036"/>
      </c:barChart>
      <c:catAx>
        <c:axId val="6075756"/>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48532036"/>
        <c:crosses val="autoZero"/>
        <c:auto val="1"/>
        <c:lblAlgn val="ctr"/>
        <c:lblOffset val="100"/>
        <c:noMultiLvlLbl val="0"/>
      </c:catAx>
      <c:valAx>
        <c:axId val="48532036"/>
        <c:scaling>
          <c:orientation val="minMax"/>
        </c:scaling>
        <c:delete val="0"/>
        <c:axPos val="l"/>
        <c:majorGridlines>
          <c:spPr>
            <a:ln w="9360">
              <a:solidFill>
                <a:srgbClr val="D9D9D9"/>
              </a:solidFill>
              <a:round/>
            </a:ln>
          </c:spPr>
        </c:majorGridlines>
        <c:numFmt formatCode="_(* #,##0_);_(* \(#,##0\);_(* \-??_);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6075756"/>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c:style val="2"/>
  <c:chart>
    <c:title>
      <c:tx>
        <c:rich>
          <a:bodyPr rot="0"/>
          <a:lstStyle/>
          <a:p>
            <a:pPr>
              <a:defRPr lang="da-DK" sz="1400" b="0" strike="noStrike" spc="-1">
                <a:solidFill>
                  <a:srgbClr val="595959"/>
                </a:solidFill>
                <a:latin typeface="Arial"/>
              </a:defRPr>
            </a:pPr>
            <a:r>
              <a:rPr lang="da-DK" sz="1400" b="0" strike="noStrike" spc="-1">
                <a:solidFill>
                  <a:srgbClr val="595959"/>
                </a:solidFill>
                <a:latin typeface="Arial"/>
              </a:rPr>
              <a:t>Passagerer</a:t>
            </a:r>
          </a:p>
        </c:rich>
      </c:tx>
      <c:overlay val="0"/>
      <c:spPr>
        <a:noFill/>
        <a:ln w="0">
          <a:noFill/>
        </a:ln>
      </c:spPr>
    </c:title>
    <c:autoTitleDeleted val="0"/>
    <c:plotArea>
      <c:layout/>
      <c:barChart>
        <c:barDir val="col"/>
        <c:grouping val="clustered"/>
        <c:varyColors val="0"/>
        <c:ser>
          <c:idx val="0"/>
          <c:order val="0"/>
          <c:tx>
            <c:strRef>
              <c:f>'Trafikselskaber Samlet'!$EO$19</c:f>
              <c:strCache>
                <c:ptCount val="1"/>
                <c:pt idx="0">
                  <c:v>R2019</c:v>
                </c:pt>
              </c:strCache>
            </c:strRef>
          </c:tx>
          <c:spPr>
            <a:solidFill>
              <a:srgbClr val="FFB61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Samlet'!$EO$20:$EO$26</c:f>
              <c:numCache>
                <c:formatCode>_(* #,##0_);_(* \(#,##0\);_(* \-??_);_(@_)</c:formatCode>
                <c:ptCount val="7"/>
                <c:pt idx="0">
                  <c:v>0</c:v>
                </c:pt>
                <c:pt idx="1">
                  <c:v>14521000</c:v>
                </c:pt>
                <c:pt idx="2">
                  <c:v>52753730</c:v>
                </c:pt>
                <c:pt idx="3">
                  <c:v>201646717.99000001</c:v>
                </c:pt>
                <c:pt idx="4">
                  <c:v>24021490</c:v>
                </c:pt>
                <c:pt idx="5">
                  <c:v>14338372</c:v>
                </c:pt>
                <c:pt idx="6">
                  <c:v>307281309.99000001</c:v>
                </c:pt>
              </c:numCache>
            </c:numRef>
          </c:val>
          <c:extLst>
            <c:ext xmlns:c16="http://schemas.microsoft.com/office/drawing/2014/chart" uri="{C3380CC4-5D6E-409C-BE32-E72D297353CC}">
              <c16:uniqueId val="{00000000-AEC6-45E4-8EBA-E65B0B8414B6}"/>
            </c:ext>
          </c:extLst>
        </c:ser>
        <c:ser>
          <c:idx val="1"/>
          <c:order val="1"/>
          <c:tx>
            <c:strRef>
              <c:f>'Trafikselskaber Samlet'!$EP$19</c:f>
              <c:strCache>
                <c:ptCount val="1"/>
                <c:pt idx="0">
                  <c:v>R2020</c:v>
                </c:pt>
              </c:strCache>
            </c:strRef>
          </c:tx>
          <c:spPr>
            <a:solidFill>
              <a:srgbClr val="BFC3C6"/>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Samlet'!$EP$20:$EP$26</c:f>
              <c:numCache>
                <c:formatCode>_(* #,##0_);_(* \(#,##0\);_(* \-??_);_(@_)</c:formatCode>
                <c:ptCount val="7"/>
                <c:pt idx="0">
                  <c:v>0</c:v>
                </c:pt>
                <c:pt idx="1">
                  <c:v>9472000</c:v>
                </c:pt>
                <c:pt idx="2">
                  <c:v>34554824</c:v>
                </c:pt>
                <c:pt idx="3">
                  <c:v>130191006.76046</c:v>
                </c:pt>
                <c:pt idx="4">
                  <c:v>14430098</c:v>
                </c:pt>
                <c:pt idx="5">
                  <c:v>9420348</c:v>
                </c:pt>
                <c:pt idx="6">
                  <c:v>198068276.76046002</c:v>
                </c:pt>
              </c:numCache>
            </c:numRef>
          </c:val>
          <c:extLst>
            <c:ext xmlns:c16="http://schemas.microsoft.com/office/drawing/2014/chart" uri="{C3380CC4-5D6E-409C-BE32-E72D297353CC}">
              <c16:uniqueId val="{00000001-AEC6-45E4-8EBA-E65B0B8414B6}"/>
            </c:ext>
          </c:extLst>
        </c:ser>
        <c:ser>
          <c:idx val="2"/>
          <c:order val="2"/>
          <c:tx>
            <c:strRef>
              <c:f>'Trafikselskaber Samlet'!$EQ$19</c:f>
              <c:strCache>
                <c:ptCount val="1"/>
                <c:pt idx="0">
                  <c:v>R2021</c:v>
                </c:pt>
              </c:strCache>
            </c:strRef>
          </c:tx>
          <c:spPr>
            <a:solidFill>
              <a:srgbClr val="00214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Samlet'!$EQ$20:$EQ$26</c:f>
              <c:numCache>
                <c:formatCode>_(* #,##0_);_(* \(#,##0\);_(* \-??_);_(@_)</c:formatCode>
                <c:ptCount val="7"/>
                <c:pt idx="0">
                  <c:v>0</c:v>
                </c:pt>
                <c:pt idx="1">
                  <c:v>8938000</c:v>
                </c:pt>
                <c:pt idx="2">
                  <c:v>34298387</c:v>
                </c:pt>
                <c:pt idx="3">
                  <c:v>128773742.01592</c:v>
                </c:pt>
                <c:pt idx="4">
                  <c:v>13634360</c:v>
                </c:pt>
                <c:pt idx="5">
                  <c:v>8490102</c:v>
                </c:pt>
                <c:pt idx="6">
                  <c:v>194134591.01591998</c:v>
                </c:pt>
              </c:numCache>
            </c:numRef>
          </c:val>
          <c:extLst>
            <c:ext xmlns:c16="http://schemas.microsoft.com/office/drawing/2014/chart" uri="{C3380CC4-5D6E-409C-BE32-E72D297353CC}">
              <c16:uniqueId val="{00000002-AEC6-45E4-8EBA-E65B0B8414B6}"/>
            </c:ext>
          </c:extLst>
        </c:ser>
        <c:ser>
          <c:idx val="3"/>
          <c:order val="3"/>
          <c:tx>
            <c:strRef>
              <c:f>'Trafikselskaber Samlet'!$ER$19</c:f>
              <c:strCache>
                <c:ptCount val="1"/>
                <c:pt idx="0">
                  <c:v>R2022</c:v>
                </c:pt>
              </c:strCache>
            </c:strRef>
          </c:tx>
          <c:spPr>
            <a:solidFill>
              <a:srgbClr val="BCB29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Samlet'!$ER$20:$ER$26</c:f>
              <c:numCache>
                <c:formatCode>_(* #,##0_);_(* \(#,##0\);_(* \-??_);_(@_)</c:formatCode>
                <c:ptCount val="7"/>
                <c:pt idx="0">
                  <c:v>0</c:v>
                </c:pt>
                <c:pt idx="1">
                  <c:v>11162000</c:v>
                </c:pt>
                <c:pt idx="2">
                  <c:v>45544621</c:v>
                </c:pt>
                <c:pt idx="3">
                  <c:v>160129388.85870001</c:v>
                </c:pt>
                <c:pt idx="4">
                  <c:v>18523868</c:v>
                </c:pt>
                <c:pt idx="5">
                  <c:v>11534884</c:v>
                </c:pt>
                <c:pt idx="6">
                  <c:v>246894761.85870001</c:v>
                </c:pt>
              </c:numCache>
            </c:numRef>
          </c:val>
          <c:extLst>
            <c:ext xmlns:c16="http://schemas.microsoft.com/office/drawing/2014/chart" uri="{C3380CC4-5D6E-409C-BE32-E72D297353CC}">
              <c16:uniqueId val="{00000003-AEC6-45E4-8EBA-E65B0B8414B6}"/>
            </c:ext>
          </c:extLst>
        </c:ser>
        <c:ser>
          <c:idx val="4"/>
          <c:order val="4"/>
          <c:tx>
            <c:strRef>
              <c:f>'Trafikselskaber Samlet'!$ES$19</c:f>
              <c:strCache>
                <c:ptCount val="1"/>
                <c:pt idx="0">
                  <c:v>R2023</c:v>
                </c:pt>
              </c:strCache>
            </c:strRef>
          </c:tx>
          <c:spPr>
            <a:solidFill>
              <a:srgbClr val="54B948"/>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Samlet'!$ES$20:$ES$26</c:f>
              <c:numCache>
                <c:formatCode>_(* #,##0_);_(* \(#,##0\);_(* \-??_);_(@_)</c:formatCode>
                <c:ptCount val="7"/>
                <c:pt idx="0">
                  <c:v>0</c:v>
                </c:pt>
                <c:pt idx="1">
                  <c:v>11074000</c:v>
                </c:pt>
                <c:pt idx="2">
                  <c:v>49153595</c:v>
                </c:pt>
                <c:pt idx="3">
                  <c:v>173612062.22327</c:v>
                </c:pt>
                <c:pt idx="4">
                  <c:v>20781764</c:v>
                </c:pt>
                <c:pt idx="5">
                  <c:v>11772238</c:v>
                </c:pt>
                <c:pt idx="6">
                  <c:v>266393659.22327</c:v>
                </c:pt>
              </c:numCache>
            </c:numRef>
          </c:val>
          <c:extLst>
            <c:ext xmlns:c16="http://schemas.microsoft.com/office/drawing/2014/chart" uri="{C3380CC4-5D6E-409C-BE32-E72D297353CC}">
              <c16:uniqueId val="{00000004-AEC6-45E4-8EBA-E65B0B8414B6}"/>
            </c:ext>
          </c:extLst>
        </c:ser>
        <c:ser>
          <c:idx val="5"/>
          <c:order val="5"/>
          <c:tx>
            <c:strRef>
              <c:f>'Trafikselskaber Samlet'!$ET$19</c:f>
              <c:strCache>
                <c:ptCount val="1"/>
                <c:pt idx="0">
                  <c:v>R2024</c:v>
                </c:pt>
              </c:strCache>
            </c:strRef>
          </c:tx>
          <c:spPr>
            <a:solidFill>
              <a:srgbClr val="00A5C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Samlet'!$ET$20:$ET$26</c:f>
              <c:numCache>
                <c:formatCode>_(* #,##0_);_(* \(#,##0\);_(* \-??_);_(@_)</c:formatCode>
                <c:ptCount val="7"/>
                <c:pt idx="0">
                  <c:v>0</c:v>
                </c:pt>
                <c:pt idx="1">
                  <c:v>11301000</c:v>
                </c:pt>
                <c:pt idx="2">
                  <c:v>55626000</c:v>
                </c:pt>
                <c:pt idx="3">
                  <c:v>175496165.10455</c:v>
                </c:pt>
                <c:pt idx="4">
                  <c:v>20736314</c:v>
                </c:pt>
                <c:pt idx="5">
                  <c:v>11891197</c:v>
                </c:pt>
                <c:pt idx="6">
                  <c:v>275050676.10455</c:v>
                </c:pt>
              </c:numCache>
            </c:numRef>
          </c:val>
          <c:extLst>
            <c:ext xmlns:c16="http://schemas.microsoft.com/office/drawing/2014/chart" uri="{C3380CC4-5D6E-409C-BE32-E72D297353CC}">
              <c16:uniqueId val="{00000005-AEC6-45E4-8EBA-E65B0B8414B6}"/>
            </c:ext>
          </c:extLst>
        </c:ser>
        <c:ser>
          <c:idx val="6"/>
          <c:order val="6"/>
          <c:tx>
            <c:strRef>
              <c:f>'Trafikselskaber Samlet'!$EU$19</c:f>
              <c:strCache>
                <c:ptCount val="1"/>
                <c:pt idx="0">
                  <c:v>R2025</c:v>
                </c:pt>
              </c:strCache>
            </c:strRef>
          </c:tx>
          <c:spPr>
            <a:solidFill>
              <a:srgbClr val="A47100"/>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Samlet'!$EU$20:$EU$26</c:f>
              <c:numCache>
                <c:formatCode>_(* #,##0_);_(* \(#,##0\);_(* \-??_);_(@_)</c:formatCode>
                <c:ptCount val="7"/>
                <c:pt idx="0">
                  <c:v>0</c:v>
                </c:pt>
                <c:pt idx="1">
                  <c:v>10962000</c:v>
                </c:pt>
                <c:pt idx="2">
                  <c:v>54820000</c:v>
                </c:pt>
                <c:pt idx="3">
                  <c:v>172816719.25652</c:v>
                </c:pt>
                <c:pt idx="4">
                  <c:v>21621168</c:v>
                </c:pt>
                <c:pt idx="5">
                  <c:v>12221230</c:v>
                </c:pt>
                <c:pt idx="6">
                  <c:v>272441117.25652003</c:v>
                </c:pt>
              </c:numCache>
            </c:numRef>
          </c:val>
          <c:extLst>
            <c:ext xmlns:c16="http://schemas.microsoft.com/office/drawing/2014/chart" uri="{C3380CC4-5D6E-409C-BE32-E72D297353CC}">
              <c16:uniqueId val="{00000006-AEC6-45E4-8EBA-E65B0B8414B6}"/>
            </c:ext>
          </c:extLst>
        </c:ser>
        <c:ser>
          <c:idx val="7"/>
          <c:order val="7"/>
          <c:tx>
            <c:strRef>
              <c:f>'Trafikselskaber Samlet'!$EV$19</c:f>
              <c:strCache>
                <c:ptCount val="1"/>
                <c:pt idx="0">
                  <c:v>B2026</c:v>
                </c:pt>
              </c:strCache>
            </c:strRef>
          </c:tx>
          <c:spPr>
            <a:solidFill>
              <a:srgbClr val="00142E"/>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Samlet'!$EV$20:$EV$26</c:f>
              <c:numCache>
                <c:formatCode>_(* #,##0_);_(* \(#,##0\);_(* \-??_);_(@_)</c:formatCode>
                <c:ptCount val="7"/>
                <c:pt idx="0">
                  <c:v>0</c:v>
                </c:pt>
                <c:pt idx="1">
                  <c:v>10971000</c:v>
                </c:pt>
                <c:pt idx="2">
                  <c:v>54904000</c:v>
                </c:pt>
                <c:pt idx="3">
                  <c:v>170314824.59628001</c:v>
                </c:pt>
                <c:pt idx="4">
                  <c:v>0</c:v>
                </c:pt>
                <c:pt idx="5">
                  <c:v>0</c:v>
                </c:pt>
                <c:pt idx="6">
                  <c:v>236189824.59628001</c:v>
                </c:pt>
              </c:numCache>
            </c:numRef>
          </c:val>
          <c:extLst>
            <c:ext xmlns:c16="http://schemas.microsoft.com/office/drawing/2014/chart" uri="{C3380CC4-5D6E-409C-BE32-E72D297353CC}">
              <c16:uniqueId val="{00000007-AEC6-45E4-8EBA-E65B0B8414B6}"/>
            </c:ext>
          </c:extLst>
        </c:ser>
        <c:ser>
          <c:idx val="8"/>
          <c:order val="8"/>
          <c:tx>
            <c:strRef>
              <c:f>'Trafikselskaber Samlet'!$EW$19</c:f>
              <c:strCache>
                <c:ptCount val="1"/>
                <c:pt idx="0">
                  <c:v>FC2026</c:v>
                </c:pt>
              </c:strCache>
            </c:strRef>
          </c:tx>
          <c:spPr>
            <a:solidFill>
              <a:srgbClr val="6E767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da-DK"/>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'Trafikselskaber Samlet'!$A$20:$A$26</c:f>
              <c:strCache>
                <c:ptCount val="7"/>
                <c:pt idx="0">
                  <c:v>BAT</c:v>
                </c:pt>
                <c:pt idx="1">
                  <c:v>FynBus</c:v>
                </c:pt>
                <c:pt idx="2">
                  <c:v>Midttrafik</c:v>
                </c:pt>
                <c:pt idx="3">
                  <c:v>Movia</c:v>
                </c:pt>
                <c:pt idx="4">
                  <c:v>NT</c:v>
                </c:pt>
                <c:pt idx="5">
                  <c:v>Sydtrafik</c:v>
                </c:pt>
                <c:pt idx="6">
                  <c:v>Total</c:v>
                </c:pt>
              </c:strCache>
            </c:strRef>
          </c:cat>
          <c:val>
            <c:numRef>
              <c:f>'Trafikselskaber Samlet'!$EW$20:$EW$26</c:f>
              <c:numCache>
                <c:formatCode>_(* #,##0_);_(* \(#,##0\);_(* \-??_);_(@_)</c:formatCode>
                <c:ptCount val="7"/>
                <c:pt idx="0">
                  <c:v>0</c:v>
                </c:pt>
                <c:pt idx="1">
                  <c:v>10519000</c:v>
                </c:pt>
                <c:pt idx="2">
                  <c:v>0</c:v>
                </c:pt>
                <c:pt idx="3">
                  <c:v>173856015.70901999</c:v>
                </c:pt>
                <c:pt idx="4">
                  <c:v>0</c:v>
                </c:pt>
                <c:pt idx="5">
                  <c:v>0</c:v>
                </c:pt>
                <c:pt idx="6">
                  <c:v>184375015.70901999</c:v>
                </c:pt>
              </c:numCache>
            </c:numRef>
          </c:val>
          <c:extLst>
            <c:ext xmlns:c16="http://schemas.microsoft.com/office/drawing/2014/chart" uri="{C3380CC4-5D6E-409C-BE32-E72D297353CC}">
              <c16:uniqueId val="{00000008-AEC6-45E4-8EBA-E65B0B8414B6}"/>
            </c:ext>
          </c:extLst>
        </c:ser>
        <c:dLbls>
          <c:showLegendKey val="0"/>
          <c:showVal val="0"/>
          <c:showCatName val="0"/>
          <c:showSerName val="0"/>
          <c:showPercent val="0"/>
          <c:showBubbleSize val="0"/>
        </c:dLbls>
        <c:gapWidth val="219"/>
        <c:overlap val="-27"/>
        <c:axId val="19981024"/>
        <c:axId val="68010812"/>
      </c:barChart>
      <c:catAx>
        <c:axId val="19981024"/>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Arial"/>
              </a:defRPr>
            </a:pPr>
            <a:endParaRPr lang="da-DK"/>
          </a:p>
        </c:txPr>
        <c:crossAx val="68010812"/>
        <c:crosses val="autoZero"/>
        <c:auto val="1"/>
        <c:lblAlgn val="ctr"/>
        <c:lblOffset val="100"/>
        <c:noMultiLvlLbl val="0"/>
      </c:catAx>
      <c:valAx>
        <c:axId val="68010812"/>
        <c:scaling>
          <c:orientation val="minMax"/>
        </c:scaling>
        <c:delete val="0"/>
        <c:axPos val="l"/>
        <c:majorGridlines>
          <c:spPr>
            <a:ln w="9360">
              <a:solidFill>
                <a:srgbClr val="D9D9D9"/>
              </a:solidFill>
              <a:round/>
            </a:ln>
          </c:spPr>
        </c:majorGridlines>
        <c:numFmt formatCode="_(* #,##0_);_(* \(#,##0\);_(* \-??_);_(@_)" sourceLinked="0"/>
        <c:majorTickMark val="none"/>
        <c:minorTickMark val="none"/>
        <c:tickLblPos val="nextTo"/>
        <c:spPr>
          <a:ln w="6480">
            <a:noFill/>
          </a:ln>
        </c:spPr>
        <c:txPr>
          <a:bodyPr/>
          <a:lstStyle/>
          <a:p>
            <a:pPr>
              <a:defRPr sz="900" b="0" strike="noStrike" spc="-1">
                <a:solidFill>
                  <a:srgbClr val="595959"/>
                </a:solidFill>
                <a:latin typeface="Arial"/>
              </a:defRPr>
            </a:pPr>
            <a:endParaRPr lang="da-DK"/>
          </a:p>
        </c:txPr>
        <c:crossAx val="19981024"/>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Arial"/>
            </a:defRPr>
          </a:pPr>
          <a:endParaRPr lang="da-DK"/>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1</xdr:col>
      <xdr:colOff>103680</xdr:colOff>
      <xdr:row>28</xdr:row>
      <xdr:rowOff>5040</xdr:rowOff>
    </xdr:from>
    <xdr:to>
      <xdr:col>16</xdr:col>
      <xdr:colOff>362880</xdr:colOff>
      <xdr:row>45</xdr:row>
      <xdr:rowOff>177480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16</xdr:col>
      <xdr:colOff>488160</xdr:colOff>
      <xdr:row>28</xdr:row>
      <xdr:rowOff>52920</xdr:rowOff>
    </xdr:from>
    <xdr:to>
      <xdr:col>31</xdr:col>
      <xdr:colOff>523440</xdr:colOff>
      <xdr:row>46</xdr:row>
      <xdr:rowOff>105840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57240</xdr:colOff>
      <xdr:row>46</xdr:row>
      <xdr:rowOff>35280</xdr:rowOff>
    </xdr:from>
    <xdr:to>
      <xdr:col>16</xdr:col>
      <xdr:colOff>491400</xdr:colOff>
      <xdr:row>61</xdr:row>
      <xdr:rowOff>55440</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16</xdr:col>
      <xdr:colOff>257040</xdr:colOff>
      <xdr:row>46</xdr:row>
      <xdr:rowOff>46080</xdr:rowOff>
    </xdr:from>
    <xdr:to>
      <xdr:col>31</xdr:col>
      <xdr:colOff>309960</xdr:colOff>
      <xdr:row>61</xdr:row>
      <xdr:rowOff>99000</xdr:rowOff>
    </xdr:to>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27000</xdr:colOff>
      <xdr:row>61</xdr:row>
      <xdr:rowOff>188280</xdr:rowOff>
    </xdr:from>
    <xdr:to>
      <xdr:col>16</xdr:col>
      <xdr:colOff>465480</xdr:colOff>
      <xdr:row>76</xdr:row>
      <xdr:rowOff>160560</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16</xdr:col>
      <xdr:colOff>515520</xdr:colOff>
      <xdr:row>61</xdr:row>
      <xdr:rowOff>98640</xdr:rowOff>
    </xdr:from>
    <xdr:to>
      <xdr:col>31</xdr:col>
      <xdr:colOff>646920</xdr:colOff>
      <xdr:row>76</xdr:row>
      <xdr:rowOff>75600</xdr:rowOff>
    </xdr:to>
    <xdr:graphicFrame macro="">
      <xdr:nvGraphicFramePr>
        <xdr:cNvPr id="7" name="Chart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xdr:col>
      <xdr:colOff>14760</xdr:colOff>
      <xdr:row>95</xdr:row>
      <xdr:rowOff>112680</xdr:rowOff>
    </xdr:from>
    <xdr:to>
      <xdr:col>16</xdr:col>
      <xdr:colOff>685800</xdr:colOff>
      <xdr:row>112</xdr:row>
      <xdr:rowOff>55440</xdr:rowOff>
    </xdr:to>
    <xdr:graphicFrame macro="">
      <xdr:nvGraphicFramePr>
        <xdr:cNvPr id="8" name="Chart 7">
          <a:extLst>
            <a:ext uri="{FF2B5EF4-FFF2-40B4-BE49-F238E27FC236}">
              <a16:creationId xmlns:a16="http://schemas.microsoft.com/office/drawing/2014/main" id="{00000000-0008-0000-01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32760</xdr:colOff>
      <xdr:row>77</xdr:row>
      <xdr:rowOff>72720</xdr:rowOff>
    </xdr:from>
    <xdr:to>
      <xdr:col>16</xdr:col>
      <xdr:colOff>551520</xdr:colOff>
      <xdr:row>94</xdr:row>
      <xdr:rowOff>132480</xdr:rowOff>
    </xdr:to>
    <xdr:graphicFrame macro="">
      <xdr:nvGraphicFramePr>
        <xdr:cNvPr id="9" name="Chart 8">
          <a:extLst>
            <a:ext uri="{FF2B5EF4-FFF2-40B4-BE49-F238E27FC236}">
              <a16:creationId xmlns:a16="http://schemas.microsoft.com/office/drawing/2014/main" id="{00000000-0008-0000-01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17</xdr:col>
      <xdr:colOff>57240</xdr:colOff>
      <xdr:row>77</xdr:row>
      <xdr:rowOff>28440</xdr:rowOff>
    </xdr:from>
    <xdr:to>
      <xdr:col>31</xdr:col>
      <xdr:colOff>666000</xdr:colOff>
      <xdr:row>94</xdr:row>
      <xdr:rowOff>170640</xdr:rowOff>
    </xdr:to>
    <xdr:graphicFrame macro="">
      <xdr:nvGraphicFramePr>
        <xdr:cNvPr id="10" name="Chart 9">
          <a:extLst>
            <a:ext uri="{FF2B5EF4-FFF2-40B4-BE49-F238E27FC236}">
              <a16:creationId xmlns:a16="http://schemas.microsoft.com/office/drawing/2014/main" id="{00000000-0008-0000-01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17</xdr:col>
      <xdr:colOff>0</xdr:colOff>
      <xdr:row>95</xdr:row>
      <xdr:rowOff>59400</xdr:rowOff>
    </xdr:from>
    <xdr:to>
      <xdr:col>31</xdr:col>
      <xdr:colOff>608760</xdr:colOff>
      <xdr:row>113</xdr:row>
      <xdr:rowOff>1800</xdr:rowOff>
    </xdr:to>
    <xdr:graphicFrame macro="">
      <xdr:nvGraphicFramePr>
        <xdr:cNvPr id="11" name="Chart 10">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31</xdr:col>
      <xdr:colOff>654840</xdr:colOff>
      <xdr:row>95</xdr:row>
      <xdr:rowOff>47520</xdr:rowOff>
    </xdr:from>
    <xdr:to>
      <xdr:col>47</xdr:col>
      <xdr:colOff>168480</xdr:colOff>
      <xdr:row>112</xdr:row>
      <xdr:rowOff>189720</xdr:rowOff>
    </xdr:to>
    <xdr:graphicFrame macro="">
      <xdr:nvGraphicFramePr>
        <xdr:cNvPr id="12" name="Chart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17</xdr:col>
      <xdr:colOff>7920</xdr:colOff>
      <xdr:row>113</xdr:row>
      <xdr:rowOff>95400</xdr:rowOff>
    </xdr:from>
    <xdr:to>
      <xdr:col>31</xdr:col>
      <xdr:colOff>616680</xdr:colOff>
      <xdr:row>131</xdr:row>
      <xdr:rowOff>35280</xdr:rowOff>
    </xdr:to>
    <xdr:graphicFrame macro="">
      <xdr:nvGraphicFramePr>
        <xdr:cNvPr id="13" name="Chart 12">
          <a:extLst>
            <a:ext uri="{FF2B5EF4-FFF2-40B4-BE49-F238E27FC236}">
              <a16:creationId xmlns:a16="http://schemas.microsoft.com/office/drawing/2014/main" id="{00000000-0008-0000-01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theme/theme1.xml><?xml version="1.0" encoding="utf-8"?>
<a:theme xmlns:a="http://schemas.openxmlformats.org/drawingml/2006/main" name="Office-tema">
  <a:themeElements>
    <a:clrScheme name="Movia">
      <a:dk1>
        <a:srgbClr val="000000"/>
      </a:dk1>
      <a:lt1>
        <a:srgbClr val="FFFFFF"/>
      </a:lt1>
      <a:dk2>
        <a:srgbClr val="899BBC"/>
      </a:dk2>
      <a:lt2>
        <a:srgbClr val="FFE0A8"/>
      </a:lt2>
      <a:accent1>
        <a:srgbClr val="FFB612"/>
      </a:accent1>
      <a:accent2>
        <a:srgbClr val="BFC3C6"/>
      </a:accent2>
      <a:accent3>
        <a:srgbClr val="00214D"/>
      </a:accent3>
      <a:accent4>
        <a:srgbClr val="BCB295"/>
      </a:accent4>
      <a:accent5>
        <a:srgbClr val="54B948"/>
      </a:accent5>
      <a:accent6>
        <a:srgbClr val="00A5CC"/>
      </a:accent6>
      <a:hlink>
        <a:srgbClr val="00214D"/>
      </a:hlink>
      <a:folHlink>
        <a:srgbClr val="899BBC"/>
      </a:folHlink>
    </a:clrScheme>
    <a:fontScheme name="Movia Arial">
      <a:majorFont>
        <a:latin typeface="Arial"/>
        <a:ea typeface=""/>
        <a:cs typeface=""/>
      </a:majorFont>
      <a:minorFont>
        <a:latin typeface="Arial"/>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9FC97DA-8DEA-47DC-B301-7F1685C1604F}">
  <we:reference id="wa200009404" version="1.0.0.8" store="da-DK" storeType="OMEX"/>
  <we:alternateReferences>
    <we:reference id="WA200009404" version="1.0.0.8" store="WA200009404" storeType="OMEX"/>
  </we:alternateReferences>
  <we:properties>
    <we:property name="claude.fileId" value="&quot;d64210fd-30d6-4c1c-949e-24102a0aabf3&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4"/>
  <sheetViews>
    <sheetView zoomScaleNormal="100" workbookViewId="0">
      <selection activeCell="C13" sqref="C13"/>
    </sheetView>
  </sheetViews>
  <sheetFormatPr defaultColWidth="8.625" defaultRowHeight="14.25" x14ac:dyDescent="0.2"/>
  <cols>
    <col min="3" max="3" width="23.75" customWidth="1"/>
    <col min="4" max="4" width="14.75" customWidth="1"/>
    <col min="5" max="5" width="16.875" customWidth="1"/>
  </cols>
  <sheetData>
    <row r="2" spans="2:5" ht="15" customHeight="1" x14ac:dyDescent="0.25">
      <c r="B2" s="1" t="s">
        <v>0</v>
      </c>
      <c r="C2" s="1" t="s">
        <v>1</v>
      </c>
      <c r="D2" s="1" t="s">
        <v>2</v>
      </c>
      <c r="E2" s="1" t="s">
        <v>3</v>
      </c>
    </row>
    <row r="3" spans="2:5" x14ac:dyDescent="0.2">
      <c r="B3" t="s">
        <v>4</v>
      </c>
      <c r="C3" s="311">
        <v>46041</v>
      </c>
      <c r="D3" t="s">
        <v>5</v>
      </c>
      <c r="E3" t="s">
        <v>6</v>
      </c>
    </row>
    <row r="4" spans="2:5" x14ac:dyDescent="0.2">
      <c r="B4" t="s">
        <v>7</v>
      </c>
      <c r="C4" s="311">
        <v>46042</v>
      </c>
      <c r="D4" t="s">
        <v>8</v>
      </c>
      <c r="E4" t="s">
        <v>318</v>
      </c>
    </row>
    <row r="5" spans="2:5" x14ac:dyDescent="0.2">
      <c r="B5" t="s">
        <v>9</v>
      </c>
      <c r="C5" s="311">
        <v>46246</v>
      </c>
      <c r="D5" t="s">
        <v>10</v>
      </c>
      <c r="E5" t="s">
        <v>11</v>
      </c>
    </row>
    <row r="6" spans="2:5" x14ac:dyDescent="0.2">
      <c r="B6" t="s">
        <v>12</v>
      </c>
      <c r="C6" s="311">
        <v>46037</v>
      </c>
      <c r="D6" t="s">
        <v>13</v>
      </c>
      <c r="E6" t="s">
        <v>319</v>
      </c>
    </row>
    <row r="7" spans="2:5" x14ac:dyDescent="0.2">
      <c r="B7" t="s">
        <v>14</v>
      </c>
      <c r="C7" s="311">
        <v>46181</v>
      </c>
      <c r="D7" t="s">
        <v>15</v>
      </c>
      <c r="E7" t="s">
        <v>16</v>
      </c>
    </row>
    <row r="8" spans="2:5" x14ac:dyDescent="0.2">
      <c r="B8" t="s">
        <v>17</v>
      </c>
      <c r="C8" s="311">
        <v>46253</v>
      </c>
      <c r="D8" t="s">
        <v>18</v>
      </c>
      <c r="E8" t="s">
        <v>19</v>
      </c>
    </row>
    <row r="9" spans="2:5" x14ac:dyDescent="0.2">
      <c r="B9" t="s">
        <v>7</v>
      </c>
      <c r="C9" s="311">
        <v>46175</v>
      </c>
      <c r="D9" t="s">
        <v>8</v>
      </c>
      <c r="E9" t="s">
        <v>319</v>
      </c>
    </row>
    <row r="10" spans="2:5" x14ac:dyDescent="0.2">
      <c r="B10" t="s">
        <v>12</v>
      </c>
      <c r="C10" s="311">
        <v>46182</v>
      </c>
      <c r="D10" t="s">
        <v>13</v>
      </c>
      <c r="E10" t="s">
        <v>20</v>
      </c>
    </row>
    <row r="11" spans="2:5" x14ac:dyDescent="0.2">
      <c r="B11" t="s">
        <v>7</v>
      </c>
      <c r="C11" s="311">
        <v>46249</v>
      </c>
      <c r="D11" t="s">
        <v>8</v>
      </c>
      <c r="E11" t="s">
        <v>21</v>
      </c>
    </row>
    <row r="12" spans="2:5" x14ac:dyDescent="0.2">
      <c r="B12" t="s">
        <v>14</v>
      </c>
      <c r="C12" s="311">
        <v>46255</v>
      </c>
      <c r="D12" t="s">
        <v>22</v>
      </c>
      <c r="E12" t="s">
        <v>23</v>
      </c>
    </row>
    <row r="13" spans="2:5" x14ac:dyDescent="0.2">
      <c r="B13" t="s">
        <v>12</v>
      </c>
      <c r="C13" s="311">
        <v>46255</v>
      </c>
      <c r="D13" t="s">
        <v>24</v>
      </c>
      <c r="E13" t="s">
        <v>320</v>
      </c>
    </row>
    <row r="14" spans="2:5" x14ac:dyDescent="0.2">
      <c r="B14" t="s">
        <v>12</v>
      </c>
      <c r="C14" s="311">
        <v>46260</v>
      </c>
      <c r="D14" t="s">
        <v>24</v>
      </c>
      <c r="E14" t="s">
        <v>321</v>
      </c>
    </row>
  </sheetData>
  <pageMargins left="0.7" right="0.7" top="0.75" bottom="0.75"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F35"/>
  <sheetViews>
    <sheetView showGridLines="0" zoomScaleNormal="100" workbookViewId="0">
      <pane xSplit="1" topLeftCell="EA1" activePane="topRight" state="frozen"/>
      <selection pane="topRight" activeCell="EP9" sqref="EP9"/>
    </sheetView>
  </sheetViews>
  <sheetFormatPr defaultColWidth="9" defaultRowHeight="15.75" outlineLevelCol="1" x14ac:dyDescent="0.25"/>
  <cols>
    <col min="1" max="1" width="27.625" style="2" customWidth="1"/>
    <col min="2" max="11" width="9.625" style="2" customWidth="1"/>
    <col min="12" max="12" width="12" style="2" customWidth="1"/>
    <col min="13" max="24" width="9.625" style="2" customWidth="1"/>
    <col min="25" max="26" width="12.25" style="2" customWidth="1"/>
    <col min="27" max="66" width="9.625" style="2" customWidth="1"/>
    <col min="67" max="92" width="9.625" style="2" customWidth="1" outlineLevel="1"/>
    <col min="93" max="105" width="9.625" style="2" customWidth="1"/>
    <col min="106" max="106" width="11.875" style="2" customWidth="1"/>
    <col min="107" max="111" width="9.625" style="2" customWidth="1"/>
    <col min="112" max="115" width="11.875" style="2" customWidth="1"/>
    <col min="116" max="118" width="12.25" style="2" customWidth="1"/>
    <col min="119" max="119" width="12" style="2" customWidth="1"/>
    <col min="120" max="124" width="11" style="2" customWidth="1"/>
    <col min="125" max="125" width="12" style="2" customWidth="1"/>
    <col min="126" max="126" width="10.875" style="2" customWidth="1"/>
    <col min="127" max="127" width="12" style="2" customWidth="1"/>
    <col min="128" max="130" width="12.375" style="2" customWidth="1"/>
    <col min="131" max="131" width="12.25" style="2" customWidth="1"/>
    <col min="132" max="132" width="12.375" style="2" customWidth="1"/>
    <col min="133" max="136" width="10.875" style="2" customWidth="1"/>
    <col min="137" max="143" width="9" style="2"/>
    <col min="144" max="144" width="13.25" style="2" customWidth="1"/>
    <col min="145" max="150" width="11.875" style="2" customWidth="1"/>
    <col min="151" max="151" width="12.125" style="2" customWidth="1"/>
    <col min="152" max="153" width="12" style="2" customWidth="1"/>
    <col min="154" max="154" width="10.125" style="2" customWidth="1"/>
    <col min="155" max="156" width="12" style="2" customWidth="1"/>
    <col min="157" max="157" width="12.375" style="2" customWidth="1"/>
    <col min="158" max="162" width="10.875" style="2" customWidth="1"/>
    <col min="163" max="164" width="11" style="2" customWidth="1"/>
    <col min="165" max="165" width="11.125" style="2" customWidth="1"/>
    <col min="166" max="166" width="11" style="2" customWidth="1"/>
    <col min="167" max="167" width="12" style="2" customWidth="1"/>
    <col min="168" max="168" width="10.125" style="2" customWidth="1"/>
    <col min="169" max="175" width="9" style="2"/>
    <col min="267" max="16384" width="9" style="2"/>
  </cols>
  <sheetData>
    <row r="2" spans="1:170" x14ac:dyDescent="0.25">
      <c r="A2" s="3" t="s">
        <v>25</v>
      </c>
      <c r="B2" s="4"/>
      <c r="C2" s="4"/>
      <c r="D2" s="4"/>
    </row>
    <row r="3" spans="1:170" x14ac:dyDescent="0.25">
      <c r="A3" s="3"/>
      <c r="B3" s="4"/>
      <c r="C3" s="4"/>
      <c r="D3" s="4"/>
    </row>
    <row r="4" spans="1:170" s="6" customFormat="1" ht="40.5" customHeight="1" x14ac:dyDescent="0.25">
      <c r="A4" s="5"/>
      <c r="B4" s="312" t="s">
        <v>26</v>
      </c>
      <c r="C4" s="312"/>
      <c r="D4" s="312"/>
      <c r="E4" s="312"/>
      <c r="F4" s="312"/>
      <c r="G4" s="312"/>
      <c r="H4" s="312"/>
      <c r="I4" s="312"/>
      <c r="J4" s="312"/>
      <c r="K4" s="312"/>
      <c r="L4" s="312"/>
      <c r="M4" s="312"/>
      <c r="N4" s="312"/>
      <c r="O4" s="313" t="s">
        <v>27</v>
      </c>
      <c r="P4" s="313"/>
      <c r="Q4" s="313"/>
      <c r="R4" s="313"/>
      <c r="S4" s="313"/>
      <c r="T4" s="313"/>
      <c r="U4" s="313"/>
      <c r="V4" s="313"/>
      <c r="W4" s="313"/>
      <c r="X4" s="313"/>
      <c r="Y4" s="313"/>
      <c r="Z4" s="313"/>
      <c r="AA4" s="313"/>
      <c r="AB4" s="314" t="s">
        <v>28</v>
      </c>
      <c r="AC4" s="314"/>
      <c r="AD4" s="314"/>
      <c r="AE4" s="314"/>
      <c r="AF4" s="314"/>
      <c r="AG4" s="314"/>
      <c r="AH4" s="314"/>
      <c r="AI4" s="314"/>
      <c r="AJ4" s="314"/>
      <c r="AK4" s="314"/>
      <c r="AL4" s="314"/>
      <c r="AM4" s="314"/>
      <c r="AN4" s="314"/>
      <c r="AO4" s="312" t="s">
        <v>29</v>
      </c>
      <c r="AP4" s="312"/>
      <c r="AQ4" s="312"/>
      <c r="AR4" s="312"/>
      <c r="AS4" s="312"/>
      <c r="AT4" s="312"/>
      <c r="AU4" s="312"/>
      <c r="AV4" s="312"/>
      <c r="AW4" s="312"/>
      <c r="AX4" s="312"/>
      <c r="AY4" s="312"/>
      <c r="AZ4" s="312"/>
      <c r="BA4" s="312"/>
      <c r="BB4" s="312" t="s">
        <v>30</v>
      </c>
      <c r="BC4" s="312"/>
      <c r="BD4" s="312"/>
      <c r="BE4" s="312"/>
      <c r="BF4" s="312"/>
      <c r="BG4" s="312"/>
      <c r="BH4" s="312"/>
      <c r="BI4" s="312"/>
      <c r="BJ4" s="312"/>
      <c r="BK4" s="312"/>
      <c r="BL4" s="312"/>
      <c r="BM4" s="312"/>
      <c r="BN4" s="312"/>
      <c r="BO4" s="312" t="s">
        <v>31</v>
      </c>
      <c r="BP4" s="312"/>
      <c r="BQ4" s="312"/>
      <c r="BR4" s="312"/>
      <c r="BS4" s="312"/>
      <c r="BT4" s="312"/>
      <c r="BU4" s="312"/>
      <c r="BV4" s="312"/>
      <c r="BW4" s="312"/>
      <c r="BX4" s="312"/>
      <c r="BY4" s="312"/>
      <c r="BZ4" s="312"/>
      <c r="CA4" s="312"/>
      <c r="CB4" s="312" t="s">
        <v>32</v>
      </c>
      <c r="CC4" s="312"/>
      <c r="CD4" s="312"/>
      <c r="CE4" s="312"/>
      <c r="CF4" s="312"/>
      <c r="CG4" s="312"/>
      <c r="CH4" s="312"/>
      <c r="CI4" s="312"/>
      <c r="CJ4" s="312"/>
      <c r="CK4" s="312"/>
      <c r="CL4" s="312"/>
      <c r="CM4" s="312"/>
      <c r="CN4" s="312"/>
      <c r="CO4" s="312" t="s">
        <v>33</v>
      </c>
      <c r="CP4" s="312"/>
      <c r="CQ4" s="312"/>
      <c r="CR4" s="312"/>
      <c r="CS4" s="312"/>
      <c r="CT4" s="312"/>
      <c r="CU4" s="312"/>
      <c r="CV4" s="312"/>
      <c r="CW4" s="312"/>
      <c r="CX4" s="312"/>
      <c r="CY4" s="312"/>
      <c r="CZ4" s="312"/>
      <c r="DA4" s="312"/>
      <c r="DB4" s="312" t="s">
        <v>34</v>
      </c>
      <c r="DC4" s="312"/>
      <c r="DD4" s="312"/>
      <c r="DE4" s="312"/>
      <c r="DF4" s="312"/>
      <c r="DG4" s="312"/>
      <c r="DH4" s="312"/>
      <c r="DI4" s="312"/>
      <c r="DJ4" s="312"/>
      <c r="DK4" s="312"/>
      <c r="DL4" s="312"/>
      <c r="DM4" s="312"/>
      <c r="DN4" s="312"/>
      <c r="DO4" s="312" t="s">
        <v>35</v>
      </c>
      <c r="DP4" s="312"/>
      <c r="DQ4" s="312"/>
      <c r="DR4" s="312"/>
      <c r="DS4" s="312"/>
      <c r="DT4" s="312"/>
      <c r="DU4" s="312"/>
      <c r="DV4" s="312"/>
      <c r="DW4" s="312"/>
      <c r="DX4" s="312"/>
      <c r="DY4" s="312"/>
      <c r="DZ4" s="312"/>
      <c r="EA4" s="312"/>
      <c r="EB4" s="312" t="s">
        <v>36</v>
      </c>
      <c r="EC4" s="312"/>
      <c r="ED4" s="312"/>
      <c r="EE4" s="312"/>
      <c r="EF4" s="312"/>
      <c r="EG4" s="312"/>
      <c r="EH4" s="312"/>
      <c r="EI4" s="312"/>
      <c r="EJ4" s="312"/>
      <c r="EK4" s="312"/>
      <c r="EL4" s="312"/>
      <c r="EM4" s="312"/>
      <c r="EN4" s="312"/>
      <c r="EO4" s="312" t="s">
        <v>49</v>
      </c>
      <c r="EP4" s="312"/>
      <c r="EQ4" s="312"/>
      <c r="ER4" s="312"/>
      <c r="ES4" s="312"/>
      <c r="ET4" s="312"/>
      <c r="EU4" s="312"/>
      <c r="EV4" s="312"/>
      <c r="EW4" s="312"/>
      <c r="EX4" s="312"/>
      <c r="EY4" s="312"/>
      <c r="EZ4" s="312"/>
      <c r="FA4" s="312"/>
      <c r="FB4" s="312" t="s">
        <v>50</v>
      </c>
      <c r="FC4" s="312"/>
      <c r="FD4" s="312"/>
      <c r="FE4" s="312"/>
      <c r="FF4" s="312"/>
      <c r="FG4" s="312"/>
      <c r="FH4" s="312"/>
      <c r="FI4" s="312"/>
      <c r="FJ4" s="312"/>
      <c r="FK4" s="312"/>
      <c r="FL4" s="312"/>
      <c r="FM4" s="312"/>
      <c r="FN4" s="312"/>
    </row>
    <row r="5" spans="1:170" s="12" customFormat="1" x14ac:dyDescent="0.25">
      <c r="A5" s="7"/>
      <c r="B5" s="8" t="s">
        <v>310</v>
      </c>
      <c r="C5" s="9" t="s">
        <v>311</v>
      </c>
      <c r="D5" s="9" t="s">
        <v>312</v>
      </c>
      <c r="E5" s="9" t="s">
        <v>313</v>
      </c>
      <c r="F5" s="10" t="s">
        <v>314</v>
      </c>
      <c r="G5" s="10" t="s">
        <v>315</v>
      </c>
      <c r="H5" s="10" t="s">
        <v>42</v>
      </c>
      <c r="I5" s="10" t="s">
        <v>43</v>
      </c>
      <c r="J5" s="10" t="s">
        <v>37</v>
      </c>
      <c r="K5" s="10" t="s">
        <v>38</v>
      </c>
      <c r="L5" s="10" t="s">
        <v>39</v>
      </c>
      <c r="M5" s="10" t="s">
        <v>40</v>
      </c>
      <c r="N5" s="10" t="s">
        <v>41</v>
      </c>
      <c r="O5" s="8" t="s">
        <v>310</v>
      </c>
      <c r="P5" s="9" t="s">
        <v>311</v>
      </c>
      <c r="Q5" s="9" t="s">
        <v>312</v>
      </c>
      <c r="R5" s="9" t="s">
        <v>313</v>
      </c>
      <c r="S5" s="10" t="s">
        <v>314</v>
      </c>
      <c r="T5" s="10" t="s">
        <v>315</v>
      </c>
      <c r="U5" s="10" t="s">
        <v>42</v>
      </c>
      <c r="V5" s="10" t="s">
        <v>43</v>
      </c>
      <c r="W5" s="10" t="s">
        <v>37</v>
      </c>
      <c r="X5" s="10" t="s">
        <v>38</v>
      </c>
      <c r="Y5" s="10" t="s">
        <v>39</v>
      </c>
      <c r="Z5" s="10" t="s">
        <v>40</v>
      </c>
      <c r="AA5" s="11" t="s">
        <v>41</v>
      </c>
      <c r="AB5" s="9" t="s">
        <v>310</v>
      </c>
      <c r="AC5" s="9" t="s">
        <v>311</v>
      </c>
      <c r="AD5" s="9" t="s">
        <v>312</v>
      </c>
      <c r="AE5" s="9" t="s">
        <v>313</v>
      </c>
      <c r="AF5" s="10" t="s">
        <v>314</v>
      </c>
      <c r="AG5" s="10" t="s">
        <v>315</v>
      </c>
      <c r="AH5" s="10" t="s">
        <v>42</v>
      </c>
      <c r="AI5" s="10" t="s">
        <v>43</v>
      </c>
      <c r="AJ5" s="10" t="s">
        <v>37</v>
      </c>
      <c r="AK5" s="10" t="s">
        <v>38</v>
      </c>
      <c r="AL5" s="10" t="s">
        <v>39</v>
      </c>
      <c r="AM5" s="10" t="s">
        <v>40</v>
      </c>
      <c r="AN5" s="11" t="s">
        <v>41</v>
      </c>
      <c r="AO5" s="8" t="s">
        <v>310</v>
      </c>
      <c r="AP5" s="9" t="s">
        <v>311</v>
      </c>
      <c r="AQ5" s="9" t="s">
        <v>312</v>
      </c>
      <c r="AR5" s="9" t="s">
        <v>313</v>
      </c>
      <c r="AS5" s="10" t="s">
        <v>314</v>
      </c>
      <c r="AT5" s="10" t="s">
        <v>315</v>
      </c>
      <c r="AU5" s="10" t="s">
        <v>42</v>
      </c>
      <c r="AV5" s="10" t="s">
        <v>43</v>
      </c>
      <c r="AW5" s="10" t="s">
        <v>37</v>
      </c>
      <c r="AX5" s="10" t="s">
        <v>38</v>
      </c>
      <c r="AY5" s="10" t="s">
        <v>39</v>
      </c>
      <c r="AZ5" s="10" t="s">
        <v>40</v>
      </c>
      <c r="BA5" s="11" t="s">
        <v>41</v>
      </c>
      <c r="BB5" s="8" t="s">
        <v>310</v>
      </c>
      <c r="BC5" s="9" t="s">
        <v>311</v>
      </c>
      <c r="BD5" s="9" t="s">
        <v>312</v>
      </c>
      <c r="BE5" s="9" t="s">
        <v>313</v>
      </c>
      <c r="BF5" s="10" t="s">
        <v>314</v>
      </c>
      <c r="BG5" s="10" t="s">
        <v>315</v>
      </c>
      <c r="BH5" s="10" t="s">
        <v>42</v>
      </c>
      <c r="BI5" s="10" t="s">
        <v>43</v>
      </c>
      <c r="BJ5" s="10" t="s">
        <v>37</v>
      </c>
      <c r="BK5" s="10" t="s">
        <v>38</v>
      </c>
      <c r="BL5" s="10" t="s">
        <v>39</v>
      </c>
      <c r="BM5" s="10" t="s">
        <v>40</v>
      </c>
      <c r="BN5" s="11" t="s">
        <v>41</v>
      </c>
      <c r="BO5" s="8" t="s">
        <v>310</v>
      </c>
      <c r="BP5" s="9" t="s">
        <v>311</v>
      </c>
      <c r="BQ5" s="9" t="s">
        <v>312</v>
      </c>
      <c r="BR5" s="9" t="s">
        <v>313</v>
      </c>
      <c r="BS5" s="10" t="s">
        <v>314</v>
      </c>
      <c r="BT5" s="10" t="s">
        <v>315</v>
      </c>
      <c r="BU5" s="10" t="s">
        <v>42</v>
      </c>
      <c r="BV5" s="10" t="s">
        <v>43</v>
      </c>
      <c r="BW5" s="10" t="s">
        <v>37</v>
      </c>
      <c r="BX5" s="10" t="s">
        <v>38</v>
      </c>
      <c r="BY5" s="10" t="s">
        <v>39</v>
      </c>
      <c r="BZ5" s="10" t="s">
        <v>40</v>
      </c>
      <c r="CA5" s="11" t="s">
        <v>41</v>
      </c>
      <c r="CB5" s="8" t="s">
        <v>310</v>
      </c>
      <c r="CC5" s="9" t="s">
        <v>311</v>
      </c>
      <c r="CD5" s="9" t="s">
        <v>312</v>
      </c>
      <c r="CE5" s="9" t="s">
        <v>313</v>
      </c>
      <c r="CF5" s="10" t="s">
        <v>314</v>
      </c>
      <c r="CG5" s="10" t="s">
        <v>315</v>
      </c>
      <c r="CH5" s="10" t="s">
        <v>42</v>
      </c>
      <c r="CI5" s="10" t="s">
        <v>43</v>
      </c>
      <c r="CJ5" s="10" t="s">
        <v>37</v>
      </c>
      <c r="CK5" s="10" t="s">
        <v>38</v>
      </c>
      <c r="CL5" s="10" t="s">
        <v>39</v>
      </c>
      <c r="CM5" s="10" t="s">
        <v>40</v>
      </c>
      <c r="CN5" s="11" t="s">
        <v>41</v>
      </c>
      <c r="CO5" s="8" t="s">
        <v>310</v>
      </c>
      <c r="CP5" s="9" t="s">
        <v>311</v>
      </c>
      <c r="CQ5" s="9" t="s">
        <v>312</v>
      </c>
      <c r="CR5" s="9" t="s">
        <v>313</v>
      </c>
      <c r="CS5" s="10" t="s">
        <v>314</v>
      </c>
      <c r="CT5" s="10" t="s">
        <v>315</v>
      </c>
      <c r="CU5" s="10" t="s">
        <v>42</v>
      </c>
      <c r="CV5" s="10" t="s">
        <v>43</v>
      </c>
      <c r="CW5" s="10" t="s">
        <v>37</v>
      </c>
      <c r="CX5" s="10" t="s">
        <v>38</v>
      </c>
      <c r="CY5" s="10" t="s">
        <v>39</v>
      </c>
      <c r="CZ5" s="10" t="s">
        <v>40</v>
      </c>
      <c r="DA5" s="11" t="s">
        <v>41</v>
      </c>
      <c r="DB5" s="8" t="s">
        <v>310</v>
      </c>
      <c r="DC5" s="9" t="s">
        <v>311</v>
      </c>
      <c r="DD5" s="9" t="s">
        <v>312</v>
      </c>
      <c r="DE5" s="9" t="s">
        <v>313</v>
      </c>
      <c r="DF5" s="10" t="s">
        <v>314</v>
      </c>
      <c r="DG5" s="10" t="s">
        <v>315</v>
      </c>
      <c r="DH5" s="10" t="s">
        <v>42</v>
      </c>
      <c r="DI5" s="10" t="s">
        <v>43</v>
      </c>
      <c r="DJ5" s="10" t="s">
        <v>37</v>
      </c>
      <c r="DK5" s="10" t="s">
        <v>38</v>
      </c>
      <c r="DL5" s="10" t="s">
        <v>39</v>
      </c>
      <c r="DM5" s="10" t="s">
        <v>40</v>
      </c>
      <c r="DN5" s="11" t="s">
        <v>41</v>
      </c>
      <c r="DO5" s="8" t="s">
        <v>310</v>
      </c>
      <c r="DP5" s="9" t="s">
        <v>311</v>
      </c>
      <c r="DQ5" s="9" t="s">
        <v>312</v>
      </c>
      <c r="DR5" s="9" t="s">
        <v>313</v>
      </c>
      <c r="DS5" s="10" t="s">
        <v>314</v>
      </c>
      <c r="DT5" s="10" t="s">
        <v>315</v>
      </c>
      <c r="DU5" s="10" t="s">
        <v>42</v>
      </c>
      <c r="DV5" s="10" t="s">
        <v>43</v>
      </c>
      <c r="DW5" s="10" t="s">
        <v>37</v>
      </c>
      <c r="DX5" s="10" t="s">
        <v>38</v>
      </c>
      <c r="DY5" s="10" t="s">
        <v>39</v>
      </c>
      <c r="DZ5" s="10" t="s">
        <v>40</v>
      </c>
      <c r="EA5" s="11" t="s">
        <v>41</v>
      </c>
      <c r="EB5" s="8" t="s">
        <v>310</v>
      </c>
      <c r="EC5" s="9" t="s">
        <v>311</v>
      </c>
      <c r="ED5" s="9" t="s">
        <v>312</v>
      </c>
      <c r="EE5" s="9" t="s">
        <v>313</v>
      </c>
      <c r="EF5" s="10" t="s">
        <v>314</v>
      </c>
      <c r="EG5" s="10" t="s">
        <v>315</v>
      </c>
      <c r="EH5" s="10" t="s">
        <v>42</v>
      </c>
      <c r="EI5" s="10" t="s">
        <v>43</v>
      </c>
      <c r="EJ5" s="10" t="s">
        <v>37</v>
      </c>
      <c r="EK5" s="10" t="s">
        <v>38</v>
      </c>
      <c r="EL5" s="10" t="s">
        <v>39</v>
      </c>
      <c r="EM5" s="10" t="s">
        <v>40</v>
      </c>
      <c r="EN5" s="11" t="s">
        <v>41</v>
      </c>
      <c r="EO5" s="8" t="s">
        <v>310</v>
      </c>
      <c r="EP5" s="9" t="s">
        <v>311</v>
      </c>
      <c r="EQ5" s="9" t="s">
        <v>312</v>
      </c>
      <c r="ER5" s="9" t="s">
        <v>313</v>
      </c>
      <c r="ES5" s="10" t="s">
        <v>314</v>
      </c>
      <c r="ET5" s="10" t="s">
        <v>315</v>
      </c>
      <c r="EU5" s="10" t="s">
        <v>42</v>
      </c>
      <c r="EV5" s="10" t="s">
        <v>43</v>
      </c>
      <c r="EW5" s="10" t="s">
        <v>37</v>
      </c>
      <c r="EX5" s="10" t="s">
        <v>38</v>
      </c>
      <c r="EY5" s="10" t="s">
        <v>39</v>
      </c>
      <c r="EZ5" s="10" t="s">
        <v>40</v>
      </c>
      <c r="FA5" s="11" t="s">
        <v>41</v>
      </c>
      <c r="FB5" s="8" t="s">
        <v>310</v>
      </c>
      <c r="FC5" s="9" t="s">
        <v>311</v>
      </c>
      <c r="FD5" s="9" t="s">
        <v>312</v>
      </c>
      <c r="FE5" s="9" t="s">
        <v>313</v>
      </c>
      <c r="FF5" s="10" t="s">
        <v>314</v>
      </c>
      <c r="FG5" s="10" t="s">
        <v>315</v>
      </c>
      <c r="FH5" s="10" t="s">
        <v>42</v>
      </c>
      <c r="FI5" s="10" t="s">
        <v>43</v>
      </c>
      <c r="FJ5" s="10" t="s">
        <v>37</v>
      </c>
      <c r="FK5" s="10" t="s">
        <v>38</v>
      </c>
      <c r="FL5" s="10" t="s">
        <v>39</v>
      </c>
      <c r="FM5" s="10" t="s">
        <v>40</v>
      </c>
      <c r="FN5" s="11" t="s">
        <v>41</v>
      </c>
    </row>
    <row r="6" spans="1:170" x14ac:dyDescent="0.25">
      <c r="A6" s="13" t="s">
        <v>4</v>
      </c>
      <c r="B6" s="14">
        <f>+BAT!F6</f>
        <v>29.4</v>
      </c>
      <c r="C6" s="15">
        <f>+BAT!G6</f>
        <v>22.4</v>
      </c>
      <c r="D6" s="15">
        <f>+BAT!H6</f>
        <v>22.1</v>
      </c>
      <c r="E6" s="15">
        <f>+BAT!I6</f>
        <v>24.44</v>
      </c>
      <c r="F6" s="15">
        <f>+BAT!J6</f>
        <v>26.638999999999999</v>
      </c>
      <c r="G6" s="15">
        <f>+BAT!K6</f>
        <v>26.69</v>
      </c>
      <c r="H6" s="15">
        <f>+BAT!L6</f>
        <v>26.4</v>
      </c>
      <c r="I6" s="15">
        <f>+BAT!M6</f>
        <v>29</v>
      </c>
      <c r="J6" s="15">
        <f>+BAT!N6</f>
        <v>24</v>
      </c>
      <c r="K6" s="15">
        <f>+BAT!O6</f>
        <v>0</v>
      </c>
      <c r="L6" s="15">
        <f>+BAT!P6</f>
        <v>0</v>
      </c>
      <c r="M6" s="15">
        <f>+BAT!Q6</f>
        <v>0</v>
      </c>
      <c r="N6" s="15">
        <f>+BAT!R6</f>
        <v>0</v>
      </c>
      <c r="O6" s="14">
        <f>+BAT!S6</f>
        <v>53.6</v>
      </c>
      <c r="P6" s="15">
        <f>+BAT!T6</f>
        <v>48.65</v>
      </c>
      <c r="Q6" s="15">
        <f>+BAT!U6</f>
        <v>50.9</v>
      </c>
      <c r="R6" s="15">
        <f>+BAT!V6</f>
        <v>56.6</v>
      </c>
      <c r="S6" s="15">
        <f>+BAT!W6</f>
        <v>56</v>
      </c>
      <c r="T6" s="15">
        <f>+BAT!X6</f>
        <v>64.8</v>
      </c>
      <c r="U6" s="15">
        <f>+BAT!Y6</f>
        <v>61</v>
      </c>
      <c r="V6" s="15">
        <f>+BAT!Z6</f>
        <v>59</v>
      </c>
      <c r="W6" s="15">
        <f>+BAT!AA6</f>
        <v>61</v>
      </c>
      <c r="X6" s="15">
        <f>+BAT!AB6</f>
        <v>0</v>
      </c>
      <c r="Y6" s="15">
        <f>+BAT!AC6</f>
        <v>0</v>
      </c>
      <c r="Z6" s="15">
        <f>+BAT!AD6</f>
        <v>0</v>
      </c>
      <c r="AA6" s="15">
        <f>+BAT!AE6</f>
        <v>0</v>
      </c>
      <c r="AB6" s="15">
        <f>+BAT!AF6</f>
        <v>7.6</v>
      </c>
      <c r="AC6" s="15">
        <f>+BAT!AG6</f>
        <v>7.3</v>
      </c>
      <c r="AD6" s="15">
        <f>+BAT!AH6</f>
        <v>9.1999999999999993</v>
      </c>
      <c r="AE6" s="15">
        <f>+BAT!AI6</f>
        <v>5.9</v>
      </c>
      <c r="AF6" s="15">
        <f>+BAT!AJ6</f>
        <v>7.1</v>
      </c>
      <c r="AG6" s="15">
        <f>+BAT!AK6</f>
        <v>7.2</v>
      </c>
      <c r="AH6" s="15">
        <f>+BAT!AL6</f>
        <v>5.24</v>
      </c>
      <c r="AI6" s="15">
        <f>+BAT!AM6</f>
        <v>5.8</v>
      </c>
      <c r="AJ6" s="15">
        <f>+BAT!AN6</f>
        <v>6</v>
      </c>
      <c r="AK6" s="15">
        <f>+BAT!AO6</f>
        <v>0</v>
      </c>
      <c r="AL6" s="15">
        <f>+BAT!AP6</f>
        <v>0</v>
      </c>
      <c r="AM6" s="15">
        <f>+BAT!AQ6</f>
        <v>0</v>
      </c>
      <c r="AN6" s="15">
        <f>+BAT!AR6</f>
        <v>0</v>
      </c>
      <c r="AO6" s="14">
        <f>+BAT!AS6</f>
        <v>0</v>
      </c>
      <c r="AP6" s="15">
        <f>+BAT!AT6</f>
        <v>0</v>
      </c>
      <c r="AQ6" s="15">
        <f>+BAT!AU6</f>
        <v>0</v>
      </c>
      <c r="AR6" s="15">
        <f>+BAT!AV6</f>
        <v>0</v>
      </c>
      <c r="AS6" s="15">
        <f>+BAT!AW6</f>
        <v>0</v>
      </c>
      <c r="AT6" s="15">
        <f>+BAT!AX6</f>
        <v>0</v>
      </c>
      <c r="AU6" s="15">
        <f>+BAT!AY6</f>
        <v>0</v>
      </c>
      <c r="AV6" s="15">
        <f>+BAT!AZ6</f>
        <v>0</v>
      </c>
      <c r="AW6" s="15">
        <f>+BAT!BA6</f>
        <v>0</v>
      </c>
      <c r="AX6" s="15">
        <f>+BAT!BB6</f>
        <v>0</v>
      </c>
      <c r="AY6" s="15">
        <f>+BAT!BC6</f>
        <v>0</v>
      </c>
      <c r="AZ6" s="15">
        <f>+BAT!BD6</f>
        <v>0</v>
      </c>
      <c r="BA6" s="15">
        <f>+BAT!BE6</f>
        <v>0</v>
      </c>
      <c r="BB6" s="14">
        <f>+BAT!BF6</f>
        <v>0</v>
      </c>
      <c r="BC6" s="15">
        <f>+BAT!BG6</f>
        <v>0</v>
      </c>
      <c r="BD6" s="15">
        <f>+BAT!BH6</f>
        <v>0</v>
      </c>
      <c r="BE6" s="15">
        <f>+BAT!BI6</f>
        <v>0</v>
      </c>
      <c r="BF6" s="15">
        <f>+BAT!BJ6</f>
        <v>0</v>
      </c>
      <c r="BG6" s="15">
        <f>+BAT!BK6</f>
        <v>0</v>
      </c>
      <c r="BH6" s="15">
        <f>+BAT!BL6</f>
        <v>0</v>
      </c>
      <c r="BI6" s="15">
        <f>+BAT!BM6</f>
        <v>0</v>
      </c>
      <c r="BJ6" s="15">
        <f>+BAT!BN6</f>
        <v>0</v>
      </c>
      <c r="BK6" s="15">
        <f>+BAT!BO6</f>
        <v>0</v>
      </c>
      <c r="BL6" s="15">
        <f>+BAT!BP6</f>
        <v>0</v>
      </c>
      <c r="BM6" s="15">
        <f>+BAT!BQ6</f>
        <v>0</v>
      </c>
      <c r="BN6" s="15">
        <f>+BAT!BR6</f>
        <v>0</v>
      </c>
      <c r="BO6" s="14">
        <f>+BAT!BS6</f>
        <v>0</v>
      </c>
      <c r="BP6" s="15">
        <f>+BAT!BT6</f>
        <v>7.2</v>
      </c>
      <c r="BQ6" s="15">
        <f>+BAT!BU6</f>
        <v>8.9</v>
      </c>
      <c r="BR6" s="15">
        <f>+BAT!BV6</f>
        <v>3.1</v>
      </c>
      <c r="BS6" s="15">
        <f>+BAT!BW6</f>
        <v>-1</v>
      </c>
      <c r="BT6" s="15">
        <f>+BAT!BX6</f>
        <v>0</v>
      </c>
      <c r="BU6" s="15">
        <f>+BAT!BY6</f>
        <v>0</v>
      </c>
      <c r="BV6" s="15">
        <f>+BAT!BZ6</f>
        <v>0</v>
      </c>
      <c r="BW6" s="15">
        <f>+BAT!CA6</f>
        <v>0</v>
      </c>
      <c r="BX6" s="15">
        <f>+BAT!CB6</f>
        <v>0</v>
      </c>
      <c r="BY6" s="15">
        <f>+BAT!CC6</f>
        <v>0</v>
      </c>
      <c r="BZ6" s="15">
        <f>+BAT!CD6</f>
        <v>0</v>
      </c>
      <c r="CA6" s="15">
        <f>+BAT!CE6</f>
        <v>0</v>
      </c>
      <c r="CB6" s="14">
        <f>+BAT!CF6</f>
        <v>61.2</v>
      </c>
      <c r="CC6" s="15">
        <f>+BAT!CG6</f>
        <v>55.949999999999996</v>
      </c>
      <c r="CD6" s="15">
        <f>+BAT!CH6</f>
        <v>60.099999999999994</v>
      </c>
      <c r="CE6" s="15">
        <f>+BAT!CI6</f>
        <v>62.5</v>
      </c>
      <c r="CF6" s="15">
        <f>+BAT!CJ6</f>
        <v>63.1</v>
      </c>
      <c r="CG6" s="15">
        <f>+BAT!CK6</f>
        <v>72</v>
      </c>
      <c r="CH6" s="16">
        <f>+BAT!CL6</f>
        <v>66.239999999999995</v>
      </c>
      <c r="CI6" s="16">
        <f>+BAT!CM6</f>
        <v>64.8</v>
      </c>
      <c r="CJ6" s="16">
        <f>+BAT!CN6</f>
        <v>67</v>
      </c>
      <c r="CK6" s="16">
        <f>+BAT!CO6</f>
        <v>0</v>
      </c>
      <c r="CL6" s="16">
        <f>+BAT!CP6</f>
        <v>0</v>
      </c>
      <c r="CM6" s="16">
        <f>+BAT!CQ6</f>
        <v>0</v>
      </c>
      <c r="CN6" s="16">
        <f>+BAT!CR6</f>
        <v>0</v>
      </c>
      <c r="CO6" s="14">
        <f>+BAT!CS6</f>
        <v>31.800000000000004</v>
      </c>
      <c r="CP6" s="15">
        <f>+BAT!CT6</f>
        <v>26.349999999999994</v>
      </c>
      <c r="CQ6" s="15">
        <f>+BAT!CU6</f>
        <v>29.099999999999994</v>
      </c>
      <c r="CR6" s="15">
        <f>+BAT!CV6</f>
        <v>34.959999999999994</v>
      </c>
      <c r="CS6" s="15">
        <f>+BAT!CW6</f>
        <v>37.460999999999999</v>
      </c>
      <c r="CT6" s="15">
        <f>+BAT!CX6</f>
        <v>45.31</v>
      </c>
      <c r="CU6" s="15">
        <f>+BAT!CY6</f>
        <v>39.839999999999996</v>
      </c>
      <c r="CV6" s="15">
        <f>+BAT!CZ6</f>
        <v>35.799999999999997</v>
      </c>
      <c r="CW6" s="15">
        <f>+BAT!DA6</f>
        <v>43</v>
      </c>
      <c r="CX6" s="15">
        <f>+BAT!DB6</f>
        <v>0</v>
      </c>
      <c r="CY6" s="15">
        <f>+BAT!DC6</f>
        <v>0</v>
      </c>
      <c r="CZ6" s="15">
        <f>+BAT!DD6</f>
        <v>0</v>
      </c>
      <c r="DA6" s="15">
        <f>+BAT!DE6</f>
        <v>0</v>
      </c>
      <c r="DB6" s="17">
        <f>+BAT!DF6</f>
        <v>0.1241830065359477</v>
      </c>
      <c r="DC6" s="18">
        <f>+BAT!DG6</f>
        <v>0.13047363717605004</v>
      </c>
      <c r="DD6" s="18">
        <f>+BAT!DH6</f>
        <v>0.15307820299500832</v>
      </c>
      <c r="DE6" s="18">
        <f>+BAT!DI6</f>
        <v>9.4400000000000012E-2</v>
      </c>
      <c r="DF6" s="18">
        <f>+BAT!DJ6</f>
        <v>0.11251980982567353</v>
      </c>
      <c r="DG6" s="18">
        <f>+BAT!DK6</f>
        <v>0.1</v>
      </c>
      <c r="DH6" s="19">
        <f>+BAT!DL6</f>
        <v>7.9106280193236719E-2</v>
      </c>
      <c r="DI6" s="19">
        <f>+BAT!DM6</f>
        <v>8.9506172839506168E-2</v>
      </c>
      <c r="DJ6" s="19">
        <f>+BAT!DN6</f>
        <v>8.9552238805970144E-2</v>
      </c>
      <c r="DK6" s="19">
        <f>+BAT!DO6</f>
        <v>0</v>
      </c>
      <c r="DL6" s="19">
        <f>+BAT!DP6</f>
        <v>0</v>
      </c>
      <c r="DM6" s="19">
        <f>+BAT!DQ6</f>
        <v>0</v>
      </c>
      <c r="DN6" s="19">
        <f>+BAT!DR6</f>
        <v>0</v>
      </c>
      <c r="DO6" s="20">
        <f>+BAT!DS6</f>
        <v>88761</v>
      </c>
      <c r="DP6" s="21">
        <f>+BAT!DT6</f>
        <v>88761</v>
      </c>
      <c r="DQ6" s="21">
        <f>+BAT!DU6</f>
        <v>78740</v>
      </c>
      <c r="DR6" s="21">
        <f>+BAT!DV6</f>
        <v>78740</v>
      </c>
      <c r="DS6" s="21">
        <f>+BAT!DW6</f>
        <v>84587</v>
      </c>
      <c r="DT6" s="21">
        <f>+BAT!DX6</f>
        <v>81757</v>
      </c>
      <c r="DU6" s="22">
        <f>+BAT!DY6</f>
        <v>72390</v>
      </c>
      <c r="DV6" s="22">
        <f>+BAT!DZ6</f>
        <v>72035</v>
      </c>
      <c r="DW6" s="22">
        <f>+BAT!EA6</f>
        <v>0</v>
      </c>
      <c r="DX6" s="22">
        <f>+BAT!EB6</f>
        <v>0</v>
      </c>
      <c r="DY6" s="22">
        <f>+BAT!EC6</f>
        <v>0</v>
      </c>
      <c r="DZ6" s="22">
        <f>+BAT!ED6</f>
        <v>0</v>
      </c>
      <c r="EA6" s="22">
        <f>+BAT!EE6</f>
        <v>0</v>
      </c>
      <c r="EB6" s="20">
        <f>+BAT!EF6</f>
        <v>0</v>
      </c>
      <c r="EC6" s="21">
        <f>+BAT!EG6</f>
        <v>0</v>
      </c>
      <c r="ED6" s="21">
        <f>+BAT!EH6</f>
        <v>0</v>
      </c>
      <c r="EE6" s="21">
        <f>+BAT!EI6</f>
        <v>0</v>
      </c>
      <c r="EF6" s="21">
        <f>+BAT!EJ6</f>
        <v>0</v>
      </c>
      <c r="EG6" s="21">
        <f>+BAT!EK6</f>
        <v>0</v>
      </c>
      <c r="EH6" s="22">
        <f>+BAT!EL6</f>
        <v>0</v>
      </c>
      <c r="EI6" s="22">
        <f>+BAT!EM6</f>
        <v>0</v>
      </c>
      <c r="EJ6" s="22">
        <f>+BAT!EN6</f>
        <v>0</v>
      </c>
      <c r="EK6" s="22">
        <f>+BAT!EO6</f>
        <v>0</v>
      </c>
      <c r="EL6" s="22">
        <f>+BAT!EP6</f>
        <v>0</v>
      </c>
      <c r="EM6" s="22">
        <f>+BAT!EQ6</f>
        <v>0</v>
      </c>
      <c r="EN6" s="22">
        <f>+BAT!ER6</f>
        <v>0</v>
      </c>
      <c r="EO6" s="20">
        <f>IFERROR(+BAT!ES6,"")</f>
        <v>0</v>
      </c>
      <c r="EP6" s="21">
        <f>IFERROR(+BAT!ET6,"")</f>
        <v>0</v>
      </c>
      <c r="EQ6" s="21">
        <f>IFERROR(+BAT!EU6,"")</f>
        <v>0</v>
      </c>
      <c r="ER6" s="21">
        <f>IFERROR(+BAT!EV6,"")</f>
        <v>0</v>
      </c>
      <c r="ES6" s="21">
        <f>IFERROR(+BAT!EW6,"")</f>
        <v>0</v>
      </c>
      <c r="ET6" s="21">
        <f>IFERROR(+BAT!EX6,"")</f>
        <v>0</v>
      </c>
      <c r="EU6" s="22">
        <f>IFERROR(+BAT!EY6,"")</f>
        <v>0</v>
      </c>
      <c r="EV6" s="22">
        <f>IFERROR(+BAT!EZ6,"")</f>
        <v>0</v>
      </c>
      <c r="EW6" s="22">
        <f>IFERROR(+BAT!FA6,"")</f>
        <v>0</v>
      </c>
      <c r="EX6" s="22">
        <f>IFERROR(+BAT!FB6,"")</f>
        <v>0</v>
      </c>
      <c r="EY6" s="22">
        <f>IFERROR(+BAT!FC6,"")</f>
        <v>0</v>
      </c>
      <c r="EZ6" s="22">
        <f>IFERROR(+BAT!FD6,"")</f>
        <v>0</v>
      </c>
      <c r="FA6" s="22">
        <f>IFERROR(+BAT!FE6,"")</f>
        <v>0</v>
      </c>
      <c r="FB6" s="20">
        <f>+BAT!FF6</f>
        <v>0</v>
      </c>
      <c r="FC6" s="21">
        <f>+BAT!FG6</f>
        <v>0</v>
      </c>
      <c r="FD6" s="21">
        <f>+BAT!FH6</f>
        <v>0</v>
      </c>
      <c r="FE6" s="21">
        <f>+BAT!FI6</f>
        <v>0</v>
      </c>
      <c r="FF6" s="21">
        <f>+BAT!FJ6</f>
        <v>0</v>
      </c>
      <c r="FG6" s="21">
        <f>+BAT!FK6</f>
        <v>0</v>
      </c>
      <c r="FH6" s="22">
        <f>+BAT!FL6</f>
        <v>0</v>
      </c>
      <c r="FI6" s="22">
        <f>+BAT!FM6</f>
        <v>0</v>
      </c>
      <c r="FJ6" s="22">
        <f>+BAT!FN6</f>
        <v>0</v>
      </c>
      <c r="FK6" s="22">
        <f>+BAT!FO6</f>
        <v>0</v>
      </c>
      <c r="FL6" s="22">
        <f>+BAT!FP6</f>
        <v>0</v>
      </c>
      <c r="FM6" s="22">
        <f>+BAT!FQ6</f>
        <v>0</v>
      </c>
      <c r="FN6" s="22">
        <f>+BAT!FR6</f>
        <v>0</v>
      </c>
    </row>
    <row r="7" spans="1:170" x14ac:dyDescent="0.25">
      <c r="A7" s="13" t="s">
        <v>7</v>
      </c>
      <c r="B7" s="14">
        <f>+FynBus!F6</f>
        <v>202.614</v>
      </c>
      <c r="C7" s="15">
        <f>+FynBus!G6</f>
        <v>139.02199999999999</v>
      </c>
      <c r="D7" s="15">
        <f>+FynBus!H6</f>
        <v>158.54300000000001</v>
      </c>
      <c r="E7" s="15">
        <f>+FynBus!I6</f>
        <v>165.102</v>
      </c>
      <c r="F7" s="15">
        <f>+FynBus!J6</f>
        <v>170.738</v>
      </c>
      <c r="G7" s="15">
        <f>+FynBus!K6</f>
        <v>169.56800000000001</v>
      </c>
      <c r="H7" s="15">
        <f>+FynBus!L6</f>
        <v>180.78399999999999</v>
      </c>
      <c r="I7" s="15">
        <f>+FynBus!M6</f>
        <v>199.32547618334866</v>
      </c>
      <c r="J7" s="15">
        <f>+FynBus!N6</f>
        <v>184.3373</v>
      </c>
      <c r="K7" s="15">
        <f>+FynBus!O6</f>
        <v>0</v>
      </c>
      <c r="L7" s="15">
        <f>+FynBus!P6</f>
        <v>0</v>
      </c>
      <c r="M7" s="15">
        <f>+FynBus!Q6</f>
        <v>0</v>
      </c>
      <c r="N7" s="15">
        <f>+FynBus!R6</f>
        <v>0</v>
      </c>
      <c r="O7" s="14">
        <f>+FynBus!S6</f>
        <v>567.88300000000004</v>
      </c>
      <c r="P7" s="15">
        <f>+FynBus!T6</f>
        <v>546.596</v>
      </c>
      <c r="Q7" s="15">
        <f>+FynBus!U6</f>
        <v>581.34100000000001</v>
      </c>
      <c r="R7" s="15">
        <f>+FynBus!V6</f>
        <v>629.61300000000006</v>
      </c>
      <c r="S7" s="15">
        <f>+FynBus!W6</f>
        <v>624.45699999999999</v>
      </c>
      <c r="T7" s="15">
        <f>+FynBus!X6</f>
        <v>626.66200000000003</v>
      </c>
      <c r="U7" s="15">
        <f>+FynBus!Y6</f>
        <v>616.68399999999997</v>
      </c>
      <c r="V7" s="15">
        <f>+FynBus!Z6</f>
        <v>638.54084743649332</v>
      </c>
      <c r="W7" s="15">
        <f>+FynBus!AA6</f>
        <v>635.71100000000001</v>
      </c>
      <c r="X7" s="15">
        <f>+FynBus!AB6</f>
        <v>0</v>
      </c>
      <c r="Y7" s="15">
        <f>+FynBus!AC6</f>
        <v>0</v>
      </c>
      <c r="Z7" s="15">
        <f>+FynBus!AD6</f>
        <v>0</v>
      </c>
      <c r="AA7" s="15">
        <f>+FynBus!AE6</f>
        <v>0</v>
      </c>
      <c r="AB7" s="15">
        <f>+FynBus!AF6</f>
        <v>102.44199999999999</v>
      </c>
      <c r="AC7" s="15">
        <f>+FynBus!AG6</f>
        <v>104.43</v>
      </c>
      <c r="AD7" s="15">
        <f>+FynBus!AH6</f>
        <v>106.005</v>
      </c>
      <c r="AE7" s="15">
        <f>+FynBus!AI6</f>
        <v>112.62100000000001</v>
      </c>
      <c r="AF7" s="15">
        <f>+FynBus!AJ6</f>
        <v>113.134</v>
      </c>
      <c r="AG7" s="15">
        <f>+FynBus!AK6</f>
        <v>113.73699999999999</v>
      </c>
      <c r="AH7" s="15">
        <f>+FynBus!AL6</f>
        <v>121.202</v>
      </c>
      <c r="AI7" s="15">
        <f>+FynBus!AM6</f>
        <v>140.49736527803773</v>
      </c>
      <c r="AJ7" s="15">
        <f>+FynBus!AN6</f>
        <v>139.76399999999998</v>
      </c>
      <c r="AK7" s="15">
        <f>+FynBus!AO6</f>
        <v>0</v>
      </c>
      <c r="AL7" s="15">
        <f>+FynBus!AP6</f>
        <v>0</v>
      </c>
      <c r="AM7" s="15">
        <f>+FynBus!AQ6</f>
        <v>0</v>
      </c>
      <c r="AN7" s="15">
        <f>+FynBus!AR6</f>
        <v>0</v>
      </c>
      <c r="AO7" s="14">
        <f>+FynBus!AS6</f>
        <v>5.5</v>
      </c>
      <c r="AP7" s="15">
        <f>+FynBus!AT6</f>
        <v>9.8000000000000007</v>
      </c>
      <c r="AQ7" s="15">
        <f>+FynBus!AU6</f>
        <v>9.8000000000000007</v>
      </c>
      <c r="AR7" s="15">
        <f>+FynBus!AV6</f>
        <v>23.2</v>
      </c>
      <c r="AS7" s="15">
        <f>+FynBus!AW6</f>
        <v>7.3</v>
      </c>
      <c r="AT7" s="15">
        <f>+FynBus!AX6</f>
        <v>8.1</v>
      </c>
      <c r="AU7" s="15">
        <f>+FynBus!AY6</f>
        <v>8.109</v>
      </c>
      <c r="AV7" s="15">
        <f>+FynBus!AZ6</f>
        <v>12.497999999999999</v>
      </c>
      <c r="AW7" s="15">
        <f>+FynBus!BA6</f>
        <v>12.497999999999999</v>
      </c>
      <c r="AX7" s="15">
        <f>+FynBus!BB6</f>
        <v>0</v>
      </c>
      <c r="AY7" s="15">
        <f>+FynBus!BC6</f>
        <v>0</v>
      </c>
      <c r="AZ7" s="15">
        <f>+FynBus!BD6</f>
        <v>0</v>
      </c>
      <c r="BA7" s="15">
        <f>+FynBus!BE6</f>
        <v>0</v>
      </c>
      <c r="BB7" s="14">
        <f>+FynBus!BF6</f>
        <v>0.16400000000000001</v>
      </c>
      <c r="BC7" s="15">
        <f>+FynBus!BG6</f>
        <v>-0.13400000000000001</v>
      </c>
      <c r="BD7" s="15">
        <f>+FynBus!BH6</f>
        <v>3.2000000000000001E-2</v>
      </c>
      <c r="BE7" s="15">
        <f>+FynBus!BI6</f>
        <v>0.47499999999999998</v>
      </c>
      <c r="BF7" s="15">
        <f>+FynBus!BJ6</f>
        <v>1.6020000000000001</v>
      </c>
      <c r="BG7" s="15">
        <f>+FynBus!BK6</f>
        <v>-0.72199999999999998</v>
      </c>
      <c r="BH7" s="15">
        <f>+FynBus!BL6</f>
        <v>-0.17799999999999999</v>
      </c>
      <c r="BI7" s="15">
        <f>+FynBus!BM6</f>
        <v>0.21199999999999999</v>
      </c>
      <c r="BJ7" s="15">
        <f>+FynBus!BN6</f>
        <v>0.21099999999999999</v>
      </c>
      <c r="BK7" s="15">
        <f>+FynBus!BO6</f>
        <v>0</v>
      </c>
      <c r="BL7" s="15">
        <f>+FynBus!BP6</f>
        <v>0</v>
      </c>
      <c r="BM7" s="15">
        <f>+FynBus!BQ6</f>
        <v>0</v>
      </c>
      <c r="BN7" s="15">
        <f>+FynBus!BR6</f>
        <v>0</v>
      </c>
      <c r="BO7" s="14">
        <f>+FynBus!BS6</f>
        <v>0</v>
      </c>
      <c r="BP7" s="15">
        <f>+FynBus!BT6</f>
        <v>46.878999999999998</v>
      </c>
      <c r="BQ7" s="15">
        <f>+FynBus!BU6</f>
        <v>53.165999999999997</v>
      </c>
      <c r="BR7" s="15">
        <f>+FynBus!BV6</f>
        <v>18.2</v>
      </c>
      <c r="BS7" s="15">
        <f>+FynBus!BW6</f>
        <v>10.816000000000001</v>
      </c>
      <c r="BT7" s="15">
        <f>+FynBus!BX6</f>
        <v>-0.35499999999999998</v>
      </c>
      <c r="BU7" s="15">
        <f>+FynBus!BY6</f>
        <v>0</v>
      </c>
      <c r="BV7" s="15">
        <f>+FynBus!BZ6</f>
        <v>0</v>
      </c>
      <c r="BW7" s="15">
        <f>+FynBus!CA6</f>
        <v>0</v>
      </c>
      <c r="BX7" s="15">
        <f>+FynBus!CB6</f>
        <v>0</v>
      </c>
      <c r="BY7" s="15">
        <f>+FynBus!CC6</f>
        <v>0</v>
      </c>
      <c r="BZ7" s="15">
        <f>+FynBus!CD6</f>
        <v>0</v>
      </c>
      <c r="CA7" s="15">
        <f>+FynBus!CE6</f>
        <v>0</v>
      </c>
      <c r="CB7" s="14">
        <f>+FynBus!CF6</f>
        <v>675.98900000000003</v>
      </c>
      <c r="CC7" s="15">
        <f>+FynBus!CG6</f>
        <v>660.69200000000001</v>
      </c>
      <c r="CD7" s="15">
        <f>+FynBus!CH6</f>
        <v>697.178</v>
      </c>
      <c r="CE7" s="15">
        <f>+FynBus!CI6</f>
        <v>765.90900000000011</v>
      </c>
      <c r="CF7" s="15">
        <f>+FynBus!CJ6</f>
        <v>746.49299999999994</v>
      </c>
      <c r="CG7" s="15">
        <f>+FynBus!CK6</f>
        <v>747.77700000000004</v>
      </c>
      <c r="CH7" s="15">
        <f>+FynBus!CL6</f>
        <v>745.81700000000001</v>
      </c>
      <c r="CI7" s="15">
        <f>+FynBus!CM6</f>
        <v>791.74821271453106</v>
      </c>
      <c r="CJ7" s="15">
        <f>+FynBus!CN6</f>
        <v>788.18399999999997</v>
      </c>
      <c r="CK7" s="15">
        <f>+FynBus!CO6</f>
        <v>0</v>
      </c>
      <c r="CL7" s="15">
        <f>+FynBus!CP6</f>
        <v>0</v>
      </c>
      <c r="CM7" s="15">
        <f>+FynBus!CQ6</f>
        <v>0</v>
      </c>
      <c r="CN7" s="15">
        <f>+FynBus!CR6</f>
        <v>0</v>
      </c>
      <c r="CO7" s="14">
        <f>+FynBus!CS6</f>
        <v>473.375</v>
      </c>
      <c r="CP7" s="15">
        <f>+FynBus!CT6</f>
        <v>474.791</v>
      </c>
      <c r="CQ7" s="15">
        <f>+FynBus!CU6</f>
        <v>485.46899999999994</v>
      </c>
      <c r="CR7" s="15">
        <f>+FynBus!CV6</f>
        <v>582.60700000000008</v>
      </c>
      <c r="CS7" s="15">
        <f>+FynBus!CW6</f>
        <v>564.93899999999985</v>
      </c>
      <c r="CT7" s="15">
        <f>+FynBus!CX6</f>
        <v>578.56400000000008</v>
      </c>
      <c r="CU7" s="15">
        <f>+FynBus!CY6</f>
        <v>565.03300000000002</v>
      </c>
      <c r="CV7" s="15">
        <f>+FynBus!CZ6</f>
        <v>592.42273653118241</v>
      </c>
      <c r="CW7" s="15">
        <f>+FynBus!DA6</f>
        <v>603.84669999999994</v>
      </c>
      <c r="CX7" s="15">
        <f>+FynBus!DB6</f>
        <v>0</v>
      </c>
      <c r="CY7" s="15">
        <f>+FynBus!DC6</f>
        <v>0</v>
      </c>
      <c r="CZ7" s="15">
        <f>+FynBus!DD6</f>
        <v>0</v>
      </c>
      <c r="DA7" s="15">
        <f>+FynBus!DE6</f>
        <v>0</v>
      </c>
      <c r="DB7" s="17">
        <f>+FynBus!DF6</f>
        <v>0.15154388606915201</v>
      </c>
      <c r="DC7" s="18">
        <f>+FynBus!DG6</f>
        <v>0.15806154758949709</v>
      </c>
      <c r="DD7" s="18">
        <f>+FynBus!DH6</f>
        <v>0.15204868770959495</v>
      </c>
      <c r="DE7" s="18">
        <f>+FynBus!DI6</f>
        <v>0.14704227264596706</v>
      </c>
      <c r="DF7" s="18">
        <f>+FynBus!DJ6</f>
        <v>0.15155399983656914</v>
      </c>
      <c r="DG7" s="18">
        <f>+FynBus!DK6</f>
        <v>0.15210015820224476</v>
      </c>
      <c r="DH7" s="18">
        <f>+FynBus!DL6</f>
        <v>0.16250903371738643</v>
      </c>
      <c r="DI7" s="18">
        <f>+FynBus!DM6</f>
        <v>0.17745207759464154</v>
      </c>
      <c r="DJ7" s="18">
        <f>+FynBus!DN6</f>
        <v>0.17732407661155261</v>
      </c>
      <c r="DK7" s="18">
        <f>+FynBus!DO6</f>
        <v>0</v>
      </c>
      <c r="DL7" s="18">
        <f>+FynBus!DP6</f>
        <v>0</v>
      </c>
      <c r="DM7" s="18">
        <f>+FynBus!DQ6</f>
        <v>0</v>
      </c>
      <c r="DN7" s="18">
        <f>+FynBus!DR6</f>
        <v>0</v>
      </c>
      <c r="DO7" s="20">
        <f>+FynBus!DS6</f>
        <v>613716</v>
      </c>
      <c r="DP7" s="21">
        <f>+FynBus!DT6</f>
        <v>612621</v>
      </c>
      <c r="DQ7" s="21">
        <f>+FynBus!DU6</f>
        <v>613426</v>
      </c>
      <c r="DR7" s="21">
        <f>+FynBus!DV6</f>
        <v>594508</v>
      </c>
      <c r="DS7" s="21">
        <f>+FynBus!DW6</f>
        <v>556367</v>
      </c>
      <c r="DT7" s="21">
        <f>+FynBus!DX6</f>
        <v>547218</v>
      </c>
      <c r="DU7" s="21">
        <f>+FynBus!DY6</f>
        <v>551266</v>
      </c>
      <c r="DV7" s="21">
        <f>+FynBus!DZ6</f>
        <v>548559</v>
      </c>
      <c r="DW7" s="21">
        <f>+FynBus!EA6</f>
        <v>552035</v>
      </c>
      <c r="DX7" s="21">
        <f>+FynBus!EB6</f>
        <v>0</v>
      </c>
      <c r="DY7" s="21">
        <f>+FynBus!EC6</f>
        <v>0</v>
      </c>
      <c r="DZ7" s="21">
        <f>+FynBus!ED6</f>
        <v>0</v>
      </c>
      <c r="EA7" s="21">
        <f>+FynBus!EE6</f>
        <v>0</v>
      </c>
      <c r="EB7" s="20">
        <f>+FynBus!EF6</f>
        <v>0</v>
      </c>
      <c r="EC7" s="21">
        <f>+FynBus!EG6</f>
        <v>0</v>
      </c>
      <c r="ED7" s="21">
        <f>+FynBus!EH6</f>
        <v>0</v>
      </c>
      <c r="EE7" s="21">
        <f>+FynBus!EI6</f>
        <v>0</v>
      </c>
      <c r="EF7" s="21">
        <f>+FynBus!EJ6</f>
        <v>0</v>
      </c>
      <c r="EG7" s="21">
        <f>+FynBus!EK6</f>
        <v>0</v>
      </c>
      <c r="EH7" s="21">
        <f>+FynBus!EL6</f>
        <v>0</v>
      </c>
      <c r="EI7" s="21">
        <f>+FynBus!EM6</f>
        <v>0</v>
      </c>
      <c r="EJ7" s="21">
        <f>+FynBus!EN6</f>
        <v>0</v>
      </c>
      <c r="EK7" s="21">
        <f>+FynBus!EO6</f>
        <v>0</v>
      </c>
      <c r="EL7" s="21">
        <f>+FynBus!EP6</f>
        <v>0</v>
      </c>
      <c r="EM7" s="21">
        <f>+FynBus!EQ6</f>
        <v>0</v>
      </c>
      <c r="EN7" s="21">
        <f>+FynBus!ER6</f>
        <v>0</v>
      </c>
      <c r="EO7" s="20">
        <f>IFERROR(+FynBus!ES6,"")</f>
        <v>14521000</v>
      </c>
      <c r="EP7" s="21">
        <f>IFERROR(+FynBus!ET6,"")</f>
        <v>9472000</v>
      </c>
      <c r="EQ7" s="21">
        <f>IFERROR(+FynBus!EU6,"")</f>
        <v>8938000</v>
      </c>
      <c r="ER7" s="21">
        <f>IFERROR(+FynBus!EV6,"")</f>
        <v>11162000</v>
      </c>
      <c r="ES7" s="21">
        <f>IFERROR(+FynBus!EW6,"")</f>
        <v>11074000</v>
      </c>
      <c r="ET7" s="21">
        <f>IFERROR(+FynBus!EX6,"")</f>
        <v>11301000</v>
      </c>
      <c r="EU7" s="21">
        <f>IFERROR(+FynBus!EY6,"")</f>
        <v>10962000</v>
      </c>
      <c r="EV7" s="21">
        <f>IFERROR(+FynBus!EZ6,"")</f>
        <v>10971000</v>
      </c>
      <c r="EW7" s="21">
        <f>IFERROR(+FynBus!FA6,"")</f>
        <v>10519000</v>
      </c>
      <c r="EX7" s="21">
        <f>IFERROR(+FynBus!FB6,"")</f>
        <v>0</v>
      </c>
      <c r="EY7" s="21">
        <f>IFERROR(+FynBus!FC6,"")</f>
        <v>0</v>
      </c>
      <c r="EZ7" s="21">
        <f>IFERROR(+FynBus!FD6,"")</f>
        <v>0</v>
      </c>
      <c r="FA7" s="21">
        <f>IFERROR(+FynBus!FE6,"")</f>
        <v>0</v>
      </c>
      <c r="FB7" s="20">
        <f>+FynBus!FF6</f>
        <v>0</v>
      </c>
      <c r="FC7" s="21">
        <f>+FynBus!FG6</f>
        <v>0</v>
      </c>
      <c r="FD7" s="21">
        <f>+FynBus!FH6</f>
        <v>0</v>
      </c>
      <c r="FE7" s="21">
        <f>+FynBus!FI6</f>
        <v>0</v>
      </c>
      <c r="FF7" s="21">
        <f>+FynBus!FJ6</f>
        <v>0</v>
      </c>
      <c r="FG7" s="21">
        <f>+FynBus!FK6</f>
        <v>0</v>
      </c>
      <c r="FH7" s="21">
        <f>+FynBus!FL6</f>
        <v>0</v>
      </c>
      <c r="FI7" s="21">
        <f>+FynBus!FM6</f>
        <v>0</v>
      </c>
      <c r="FJ7" s="21">
        <f>+FynBus!FN6</f>
        <v>0</v>
      </c>
      <c r="FK7" s="21">
        <f>+FynBus!FO6</f>
        <v>0</v>
      </c>
      <c r="FL7" s="21">
        <f>+FynBus!FP6</f>
        <v>0</v>
      </c>
      <c r="FM7" s="21">
        <f>+FynBus!FQ6</f>
        <v>0</v>
      </c>
      <c r="FN7" s="21">
        <f>+FynBus!FR6</f>
        <v>0</v>
      </c>
    </row>
    <row r="8" spans="1:170" ht="16.5" customHeight="1" x14ac:dyDescent="0.25">
      <c r="A8" s="13" t="s">
        <v>9</v>
      </c>
      <c r="B8" s="14">
        <f>+'Midttrafik '!F6</f>
        <v>785.5</v>
      </c>
      <c r="C8" s="15">
        <f>+'Midttrafik '!G6</f>
        <v>559.29999999999995</v>
      </c>
      <c r="D8" s="15">
        <f>+'Midttrafik '!H6</f>
        <v>570</v>
      </c>
      <c r="E8" s="15">
        <f>+'Midttrafik '!I6</f>
        <v>770.9</v>
      </c>
      <c r="F8" s="15">
        <f>+'Midttrafik '!J6</f>
        <v>842.90000000000009</v>
      </c>
      <c r="G8" s="15">
        <f>+'Midttrafik '!K6</f>
        <v>907.2</v>
      </c>
      <c r="H8" s="15">
        <f>+'Midttrafik '!L6</f>
        <v>872.02988610000011</v>
      </c>
      <c r="I8" s="15">
        <f>+'Midttrafik '!M6</f>
        <v>889.21600000000001</v>
      </c>
      <c r="J8" s="15">
        <f>+'Midttrafik '!N6</f>
        <v>871.42190000000005</v>
      </c>
      <c r="K8" s="15">
        <f>+'Midttrafik '!O6</f>
        <v>0</v>
      </c>
      <c r="L8" s="15">
        <f>+'Midttrafik '!P6</f>
        <v>0</v>
      </c>
      <c r="M8" s="15">
        <f>+'Midttrafik '!Q6</f>
        <v>0</v>
      </c>
      <c r="N8" s="15">
        <f>+'Midttrafik '!R6</f>
        <v>0</v>
      </c>
      <c r="O8" s="14">
        <f>+'Midttrafik '!S6</f>
        <v>1887.2999999999997</v>
      </c>
      <c r="P8" s="15">
        <f>+'Midttrafik '!T6</f>
        <v>1892.5</v>
      </c>
      <c r="Q8" s="15">
        <f>+'Midttrafik '!U6</f>
        <v>1996.2</v>
      </c>
      <c r="R8" s="15">
        <f>+'Midttrafik '!V6</f>
        <v>2163.6</v>
      </c>
      <c r="S8" s="15">
        <f>+'Midttrafik '!W6</f>
        <v>2171.7999999999997</v>
      </c>
      <c r="T8" s="15">
        <f>+'Midttrafik '!X6</f>
        <v>2250.1</v>
      </c>
      <c r="U8" s="15">
        <f>+'Midttrafik '!Y6</f>
        <v>2245.6007770000006</v>
      </c>
      <c r="V8" s="15">
        <f>+'Midttrafik '!Z6</f>
        <v>2318.1306</v>
      </c>
      <c r="W8" s="15">
        <f>+'Midttrafik '!AA6</f>
        <v>2320.7080000000001</v>
      </c>
      <c r="X8" s="15">
        <f>+'Midttrafik '!AB6</f>
        <v>0</v>
      </c>
      <c r="Y8" s="15">
        <f>+'Midttrafik '!AC6</f>
        <v>0</v>
      </c>
      <c r="Z8" s="15">
        <f>+'Midttrafik '!AD6</f>
        <v>0</v>
      </c>
      <c r="AA8" s="15">
        <f>+'Midttrafik '!AE6</f>
        <v>0</v>
      </c>
      <c r="AB8" s="15">
        <f>+'Midttrafik '!AF6</f>
        <v>253.9</v>
      </c>
      <c r="AC8" s="15">
        <f>+'Midttrafik '!AG6</f>
        <v>226.6</v>
      </c>
      <c r="AD8" s="15">
        <f>+'Midttrafik '!AH6</f>
        <v>269.7</v>
      </c>
      <c r="AE8" s="15">
        <f>+'Midttrafik '!AI6</f>
        <v>263.5</v>
      </c>
      <c r="AF8" s="15">
        <f>+'Midttrafik '!AJ6</f>
        <v>275.60000000000002</v>
      </c>
      <c r="AG8" s="15">
        <f>+'Midttrafik '!AK6</f>
        <v>279.10000000000002</v>
      </c>
      <c r="AH8" s="15">
        <f>+'Midttrafik '!AL6</f>
        <v>296.49469000000005</v>
      </c>
      <c r="AI8" s="15">
        <f>+'Midttrafik '!AM6</f>
        <v>321.66146000000003</v>
      </c>
      <c r="AJ8" s="15">
        <f>+'Midttrafik '!AN6</f>
        <v>324.90446000000003</v>
      </c>
      <c r="AK8" s="15">
        <f>+'Midttrafik '!AO6</f>
        <v>0</v>
      </c>
      <c r="AL8" s="15">
        <f>+'Midttrafik '!AP6</f>
        <v>0</v>
      </c>
      <c r="AM8" s="15">
        <f>+'Midttrafik '!AQ6</f>
        <v>0</v>
      </c>
      <c r="AN8" s="15">
        <f>+'Midttrafik '!AR6</f>
        <v>0</v>
      </c>
      <c r="AO8" s="14">
        <f>+'Midttrafik '!AS6</f>
        <v>1.8</v>
      </c>
      <c r="AP8" s="15">
        <f>+'Midttrafik '!AT6</f>
        <v>1.8</v>
      </c>
      <c r="AQ8" s="15">
        <f>+'Midttrafik '!AU6</f>
        <v>1.8</v>
      </c>
      <c r="AR8" s="15">
        <f>+'Midttrafik '!AV6</f>
        <v>2.4</v>
      </c>
      <c r="AS8" s="15">
        <f>+'Midttrafik '!AW6</f>
        <v>2.6</v>
      </c>
      <c r="AT8" s="15">
        <f>+'Midttrafik '!AX6</f>
        <v>2.9</v>
      </c>
      <c r="AU8" s="15">
        <f>+'Midttrafik '!AY6</f>
        <v>3.3737399999999997</v>
      </c>
      <c r="AV8" s="15">
        <f>+'Midttrafik '!AZ6</f>
        <v>3.2800000000000002</v>
      </c>
      <c r="AW8" s="15">
        <f>+'Midttrafik '!BA6</f>
        <v>3.2800000000000002</v>
      </c>
      <c r="AX8" s="15">
        <f>+'Midttrafik '!BB6</f>
        <v>0</v>
      </c>
      <c r="AY8" s="15">
        <f>+'Midttrafik '!BC6</f>
        <v>0</v>
      </c>
      <c r="AZ8" s="15">
        <f>+'Midttrafik '!BD6</f>
        <v>0</v>
      </c>
      <c r="BA8" s="15">
        <f>+'Midttrafik '!BE6</f>
        <v>0</v>
      </c>
      <c r="BB8" s="14">
        <f>+'Midttrafik '!BF6</f>
        <v>2.9</v>
      </c>
      <c r="BC8" s="15">
        <f>+'Midttrafik '!BG6</f>
        <v>-1.2</v>
      </c>
      <c r="BD8" s="15">
        <f>+'Midttrafik '!BH6</f>
        <v>4.3000000000000007</v>
      </c>
      <c r="BE8" s="15">
        <f>+'Midttrafik '!BI6</f>
        <v>13.799999999999999</v>
      </c>
      <c r="BF8" s="15">
        <f>+'Midttrafik '!BJ6</f>
        <v>-10.3</v>
      </c>
      <c r="BG8" s="15">
        <f>+'Midttrafik '!BK6</f>
        <v>-10.4</v>
      </c>
      <c r="BH8" s="15">
        <f>+'Midttrafik '!BL6</f>
        <v>-5.7284877299999994</v>
      </c>
      <c r="BI8" s="15">
        <f>+'Midttrafik '!BM6</f>
        <v>0</v>
      </c>
      <c r="BJ8" s="15">
        <f>+'Midttrafik '!BN6</f>
        <v>-1.5350000000000001</v>
      </c>
      <c r="BK8" s="15">
        <f>+'Midttrafik '!BO6</f>
        <v>0</v>
      </c>
      <c r="BL8" s="15">
        <f>+'Midttrafik '!BP6</f>
        <v>0</v>
      </c>
      <c r="BM8" s="15">
        <f>+'Midttrafik '!BQ6</f>
        <v>0</v>
      </c>
      <c r="BN8" s="15">
        <f>+'Midttrafik '!BR6</f>
        <v>0</v>
      </c>
      <c r="BO8" s="14">
        <f>+'Midttrafik '!BS6</f>
        <v>0</v>
      </c>
      <c r="BP8" s="15">
        <f>+'Midttrafik '!BT6</f>
        <v>225.1</v>
      </c>
      <c r="BQ8" s="15">
        <f>+'Midttrafik '!BU6</f>
        <v>267.3</v>
      </c>
      <c r="BR8" s="15">
        <f>+'Midttrafik '!BV6</f>
        <v>63.1</v>
      </c>
      <c r="BS8" s="15">
        <f>+'Midttrafik '!BW6</f>
        <v>40.700000000000003</v>
      </c>
      <c r="BT8" s="15">
        <f>+'Midttrafik '!BX6</f>
        <v>0</v>
      </c>
      <c r="BU8" s="15">
        <f>+'Midttrafik '!BY6</f>
        <v>0</v>
      </c>
      <c r="BV8" s="15">
        <f>+'Midttrafik '!BZ6</f>
        <v>0</v>
      </c>
      <c r="BW8" s="15">
        <f>+'Midttrafik '!CA6</f>
        <v>0</v>
      </c>
      <c r="BX8" s="15">
        <f>+'Midttrafik '!CB6</f>
        <v>0</v>
      </c>
      <c r="BY8" s="15">
        <f>+'Midttrafik '!CC6</f>
        <v>0</v>
      </c>
      <c r="BZ8" s="15">
        <f>+'Midttrafik '!CD6</f>
        <v>0</v>
      </c>
      <c r="CA8" s="15">
        <f>+'Midttrafik '!CE6</f>
        <v>0</v>
      </c>
      <c r="CB8" s="14">
        <f>+'Midttrafik '!CF6</f>
        <v>2145.8999999999996</v>
      </c>
      <c r="CC8" s="15">
        <f>+'Midttrafik '!CG6</f>
        <v>2119.6999999999998</v>
      </c>
      <c r="CD8" s="15">
        <f>+'Midttrafik '!CH6</f>
        <v>2272</v>
      </c>
      <c r="CE8" s="15">
        <f>+'Midttrafik '!CI6</f>
        <v>2443.2999999999997</v>
      </c>
      <c r="CF8" s="15">
        <f>+'Midttrafik '!CJ6</f>
        <v>2439.6999999999998</v>
      </c>
      <c r="CG8" s="15">
        <f>+'Midttrafik '!CK6</f>
        <v>2521.6999999999998</v>
      </c>
      <c r="CH8" s="15">
        <f>+'Midttrafik '!CL6</f>
        <v>2539.7407192700007</v>
      </c>
      <c r="CI8" s="15">
        <f>+'Midttrafik '!CM6</f>
        <v>2643.07206</v>
      </c>
      <c r="CJ8" s="15">
        <f>+'Midttrafik '!CN6</f>
        <v>2647.3574600000002</v>
      </c>
      <c r="CK8" s="15">
        <f>+'Midttrafik '!CO6</f>
        <v>0</v>
      </c>
      <c r="CL8" s="15">
        <f>+'Midttrafik '!CP6</f>
        <v>0</v>
      </c>
      <c r="CM8" s="15">
        <f>+'Midttrafik '!CQ6</f>
        <v>0</v>
      </c>
      <c r="CN8" s="15">
        <f>+'Midttrafik '!CR6</f>
        <v>0</v>
      </c>
      <c r="CO8" s="14">
        <f>+'Midttrafik '!CS6</f>
        <v>1360.3999999999996</v>
      </c>
      <c r="CP8" s="15">
        <f>+'Midttrafik '!CT6</f>
        <v>1335.3</v>
      </c>
      <c r="CQ8" s="15">
        <f>+'Midttrafik '!CU6</f>
        <v>1434.7</v>
      </c>
      <c r="CR8" s="15">
        <f>+'Midttrafik '!CV6</f>
        <v>1609.2999999999997</v>
      </c>
      <c r="CS8" s="15">
        <f>+'Midttrafik '!CW6</f>
        <v>1556.1</v>
      </c>
      <c r="CT8" s="15">
        <f>+'Midttrafik '!CX6</f>
        <v>1614.4999999999998</v>
      </c>
      <c r="CU8" s="15">
        <f>+'Midttrafik '!CY6</f>
        <v>1667.7108331700006</v>
      </c>
      <c r="CV8" s="15">
        <f>+'Midttrafik '!CZ6</f>
        <v>1753.8560600000001</v>
      </c>
      <c r="CW8" s="15">
        <f>+'Midttrafik '!DA6</f>
        <v>1775.9355600000001</v>
      </c>
      <c r="CX8" s="15">
        <f>+'Midttrafik '!DB6</f>
        <v>0</v>
      </c>
      <c r="CY8" s="15">
        <f>+'Midttrafik '!DC6</f>
        <v>0</v>
      </c>
      <c r="CZ8" s="15">
        <f>+'Midttrafik '!DD6</f>
        <v>0</v>
      </c>
      <c r="DA8" s="15">
        <f>+'Midttrafik '!DE6</f>
        <v>0</v>
      </c>
      <c r="DB8" s="17">
        <f>+'Midttrafik '!DF6</f>
        <v>0.11831865417773431</v>
      </c>
      <c r="DC8" s="18">
        <f>+'Midttrafik '!DG6</f>
        <v>0.10690192008303062</v>
      </c>
      <c r="DD8" s="18">
        <f>+'Midttrafik '!DH6</f>
        <v>0.11870598591549296</v>
      </c>
      <c r="DE8" s="18">
        <f>+'Midttrafik '!DI6</f>
        <v>0.10784594605656286</v>
      </c>
      <c r="DF8" s="18">
        <f>+'Midttrafik '!DJ6</f>
        <v>0.11296470877566915</v>
      </c>
      <c r="DG8" s="18">
        <f>+'Midttrafik '!DK6</f>
        <v>0.11067930364436691</v>
      </c>
      <c r="DH8" s="18">
        <f>+'Midttrafik '!DL6</f>
        <v>0.11674210983443291</v>
      </c>
      <c r="DI8" s="18">
        <f>+'Midttrafik '!DM6</f>
        <v>0.12169984499022703</v>
      </c>
      <c r="DJ8" s="18">
        <f>+'Midttrafik '!DN6</f>
        <v>0.12272783895228112</v>
      </c>
      <c r="DK8" s="18">
        <f>+'Midttrafik '!DO6</f>
        <v>0</v>
      </c>
      <c r="DL8" s="18">
        <f>+'Midttrafik '!DP6</f>
        <v>0</v>
      </c>
      <c r="DM8" s="18">
        <f>+'Midttrafik '!DQ6</f>
        <v>0</v>
      </c>
      <c r="DN8" s="18">
        <f>+'Midttrafik '!DR6</f>
        <v>0</v>
      </c>
      <c r="DO8" s="20">
        <f>+'Midttrafik '!DS6</f>
        <v>1895043.8900000001</v>
      </c>
      <c r="DP8" s="21">
        <f>+'Midttrafik '!DT6</f>
        <v>1854608.2681637742</v>
      </c>
      <c r="DQ8" s="21">
        <f>+'Midttrafik '!DU6</f>
        <v>1854469.5999999999</v>
      </c>
      <c r="DR8" s="21">
        <f>+'Midttrafik '!DV6</f>
        <v>1847285.9966666664</v>
      </c>
      <c r="DS8" s="21">
        <f>+'Midttrafik '!DW6</f>
        <v>1791486.2067735051</v>
      </c>
      <c r="DT8" s="21">
        <f>+'Midttrafik '!DX6</f>
        <v>1713778.3827839969</v>
      </c>
      <c r="DU8" s="21">
        <f>+'Midttrafik '!DY6</f>
        <v>1655443</v>
      </c>
      <c r="DV8" s="21">
        <f>+'Midttrafik '!DZ6</f>
        <v>1647967</v>
      </c>
      <c r="DW8" s="21">
        <f>+'Midttrafik '!EA6</f>
        <v>1647967</v>
      </c>
      <c r="DX8" s="21">
        <f>+'Midttrafik '!EB6</f>
        <v>0</v>
      </c>
      <c r="DY8" s="21">
        <f>+'Midttrafik '!EC6</f>
        <v>0</v>
      </c>
      <c r="DZ8" s="21">
        <f>+'Midttrafik '!ED6</f>
        <v>0</v>
      </c>
      <c r="EA8" s="21">
        <f>+'Midttrafik '!EE6</f>
        <v>0</v>
      </c>
      <c r="EB8" s="20">
        <f>+'Midttrafik '!EF6</f>
        <v>76318</v>
      </c>
      <c r="EC8" s="21">
        <f>+'Midttrafik '!EG6</f>
        <v>82955</v>
      </c>
      <c r="ED8" s="21">
        <f>+'Midttrafik '!EH6</f>
        <v>95564</v>
      </c>
      <c r="EE8" s="21">
        <f>+'Midttrafik '!EI6</f>
        <v>97239</v>
      </c>
      <c r="EF8" s="21">
        <f>+'Midttrafik '!EJ6</f>
        <v>99206</v>
      </c>
      <c r="EG8" s="21">
        <f>+'Midttrafik '!EK6</f>
        <v>92455</v>
      </c>
      <c r="EH8" s="21">
        <f>+'Midttrafik '!EL6</f>
        <v>90277.33</v>
      </c>
      <c r="EI8" s="21">
        <f>+'Midttrafik '!EM6</f>
        <v>100700</v>
      </c>
      <c r="EJ8" s="21">
        <f>+'Midttrafik '!EN6</f>
        <v>0</v>
      </c>
      <c r="EK8" s="21">
        <f>+'Midttrafik '!EO6</f>
        <v>0</v>
      </c>
      <c r="EL8" s="21">
        <f>+'Midttrafik '!EP6</f>
        <v>0</v>
      </c>
      <c r="EM8" s="21">
        <f>+'Midttrafik '!EQ6</f>
        <v>0</v>
      </c>
      <c r="EN8" s="21">
        <f>+'Midttrafik '!ER6</f>
        <v>0</v>
      </c>
      <c r="EO8" s="20">
        <f>IFERROR(+'Midttrafik '!ES6,"")</f>
        <v>52753730</v>
      </c>
      <c r="EP8" s="21">
        <f>IFERROR(+'Midttrafik '!ET6,"")</f>
        <v>34554824</v>
      </c>
      <c r="EQ8" s="21">
        <f>IFERROR(+'Midttrafik '!EU6,"")</f>
        <v>34298387</v>
      </c>
      <c r="ER8" s="21">
        <f>IFERROR(+'Midttrafik '!EV6,"")</f>
        <v>45544621</v>
      </c>
      <c r="ES8" s="21">
        <f>IFERROR(+'Midttrafik '!EW6,"")</f>
        <v>49153595</v>
      </c>
      <c r="ET8" s="21">
        <f>IFERROR(+'Midttrafik '!EX6,"")</f>
        <v>55626000</v>
      </c>
      <c r="EU8" s="21">
        <f>IFERROR(+'Midttrafik '!EY6,"")</f>
        <v>54820000</v>
      </c>
      <c r="EV8" s="21">
        <f>IFERROR(+'Midttrafik '!EZ6,"")</f>
        <v>54904000</v>
      </c>
      <c r="EW8" s="21">
        <f>IFERROR(+'Midttrafik '!FA6,"")</f>
        <v>0</v>
      </c>
      <c r="EX8" s="21">
        <f>IFERROR(+'Midttrafik '!FB6,"")</f>
        <v>0</v>
      </c>
      <c r="EY8" s="21">
        <f>IFERROR(+'Midttrafik '!FC6,"")</f>
        <v>0</v>
      </c>
      <c r="EZ8" s="21">
        <f>IFERROR(+'Midttrafik '!FD6,"")</f>
        <v>0</v>
      </c>
      <c r="FA8" s="21">
        <f>IFERROR(+'Midttrafik '!FE6,"")</f>
        <v>0</v>
      </c>
      <c r="FB8" s="20">
        <f>+'Midttrafik '!FF6</f>
        <v>2967950</v>
      </c>
      <c r="FC8" s="21">
        <f>+'Midttrafik '!FG6</f>
        <v>3186555</v>
      </c>
      <c r="FD8" s="21">
        <f>+'Midttrafik '!FH6</f>
        <v>3989278</v>
      </c>
      <c r="FE8" s="21">
        <f>+'Midttrafik '!FI6</f>
        <v>4125086</v>
      </c>
      <c r="FF8" s="21">
        <f>+'Midttrafik '!FJ6</f>
        <v>4214795</v>
      </c>
      <c r="FG8" s="21">
        <f>+'Midttrafik '!FK6</f>
        <v>4190000</v>
      </c>
      <c r="FH8" s="21">
        <f>+'Midttrafik '!FL6</f>
        <v>4136815</v>
      </c>
      <c r="FI8" s="21">
        <f>+'Midttrafik '!FM6</f>
        <v>4305000</v>
      </c>
      <c r="FJ8" s="21">
        <f>+'Midttrafik '!FN6</f>
        <v>0</v>
      </c>
      <c r="FK8" s="21">
        <f>+'Midttrafik '!FO6</f>
        <v>0</v>
      </c>
      <c r="FL8" s="21">
        <f>+'Midttrafik '!FP6</f>
        <v>0</v>
      </c>
      <c r="FM8" s="21">
        <f>+'Midttrafik '!FQ6</f>
        <v>0</v>
      </c>
      <c r="FN8" s="21">
        <f>+'Midttrafik '!FR6</f>
        <v>0</v>
      </c>
    </row>
    <row r="9" spans="1:170" x14ac:dyDescent="0.25">
      <c r="A9" s="13" t="s">
        <v>12</v>
      </c>
      <c r="B9" s="14">
        <f>+Movia!F6</f>
        <v>1930.1836000000001</v>
      </c>
      <c r="C9" s="15">
        <f>+Movia!G6</f>
        <v>1296.42174</v>
      </c>
      <c r="D9" s="15">
        <f>+Movia!H6</f>
        <v>1417.6207899999999</v>
      </c>
      <c r="E9" s="15">
        <f>+Movia!I6</f>
        <v>1696.1998599999999</v>
      </c>
      <c r="F9" s="15">
        <f>+Movia!J6</f>
        <v>1934.6117899999999</v>
      </c>
      <c r="G9" s="15">
        <f>+Movia!K6</f>
        <v>2142.7691799999998</v>
      </c>
      <c r="H9" s="15">
        <f>+Movia!L6</f>
        <v>2119.2034899999999</v>
      </c>
      <c r="I9" s="15">
        <f>+Movia!M6</f>
        <v>2058.20075</v>
      </c>
      <c r="J9" s="15">
        <f>+Movia!N6</f>
        <v>2058.6657799999998</v>
      </c>
      <c r="K9" s="15">
        <f>+Movia!O6</f>
        <v>0</v>
      </c>
      <c r="L9" s="15">
        <f>+Movia!P6</f>
        <v>2130.6514200000001</v>
      </c>
      <c r="M9" s="15">
        <f>+Movia!Q6</f>
        <v>0</v>
      </c>
      <c r="N9" s="15">
        <f>+Movia!R6</f>
        <v>0</v>
      </c>
      <c r="O9" s="14">
        <f>+Movia!S6</f>
        <v>4249.8941100000002</v>
      </c>
      <c r="P9" s="15">
        <f>+Movia!T6</f>
        <v>4154.2948200000001</v>
      </c>
      <c r="Q9" s="15">
        <f>+Movia!U6</f>
        <v>4344.1483699999999</v>
      </c>
      <c r="R9" s="15">
        <f>+Movia!V6</f>
        <v>4825.1193499999999</v>
      </c>
      <c r="S9" s="15">
        <f>+Movia!W6</f>
        <v>4898.9099100000003</v>
      </c>
      <c r="T9" s="15">
        <f>+Movia!X6</f>
        <v>4794.7202900000002</v>
      </c>
      <c r="U9" s="15">
        <f>+Movia!Y6</f>
        <v>4865.2266900000004</v>
      </c>
      <c r="V9" s="15">
        <f>+Movia!Z6</f>
        <v>4852.9756900000002</v>
      </c>
      <c r="W9" s="15">
        <f>+Movia!AA6</f>
        <v>5020.1899299999995</v>
      </c>
      <c r="X9" s="15">
        <f>+Movia!AB6</f>
        <v>0</v>
      </c>
      <c r="Y9" s="15">
        <f>+Movia!AC6</f>
        <v>4989.7258300000003</v>
      </c>
      <c r="Z9" s="15">
        <f>+Movia!AD6</f>
        <v>0</v>
      </c>
      <c r="AA9" s="15">
        <f>+Movia!AE6</f>
        <v>0</v>
      </c>
      <c r="AB9" s="15">
        <f>+Movia!AF6</f>
        <v>566.78859</v>
      </c>
      <c r="AC9" s="15">
        <f>+Movia!AG6</f>
        <v>575.43634999999995</v>
      </c>
      <c r="AD9" s="15">
        <f>+Movia!AH6</f>
        <v>613.56113000000005</v>
      </c>
      <c r="AE9" s="15">
        <f>+Movia!AI6</f>
        <v>578.72373000000005</v>
      </c>
      <c r="AF9" s="15">
        <f>+Movia!AJ6</f>
        <v>607.64706000000001</v>
      </c>
      <c r="AG9" s="15">
        <f>+Movia!AK6</f>
        <v>657.84379999999999</v>
      </c>
      <c r="AH9" s="15">
        <f>+Movia!AL6</f>
        <v>664.93849</v>
      </c>
      <c r="AI9" s="15">
        <f>+Movia!AM6</f>
        <v>690.29998999999998</v>
      </c>
      <c r="AJ9" s="15">
        <f>+Movia!AN6</f>
        <v>688.28536999999994</v>
      </c>
      <c r="AK9" s="15">
        <f>+Movia!AO6</f>
        <v>0</v>
      </c>
      <c r="AL9" s="15">
        <f>+Movia!AP6</f>
        <v>682.5</v>
      </c>
      <c r="AM9" s="15">
        <f>+Movia!AQ6</f>
        <v>0</v>
      </c>
      <c r="AN9" s="15">
        <f>+Movia!AR6</f>
        <v>0</v>
      </c>
      <c r="AO9" s="14">
        <f>+Movia!AS6</f>
        <v>24.208850000000002</v>
      </c>
      <c r="AP9" s="15">
        <f>+Movia!AT6</f>
        <v>26.486529999999998</v>
      </c>
      <c r="AQ9" s="15">
        <f>+Movia!AU6</f>
        <v>27.36542</v>
      </c>
      <c r="AR9" s="15">
        <f>+Movia!AV6</f>
        <v>28.866959999999999</v>
      </c>
      <c r="AS9" s="15">
        <f>+Movia!AW6</f>
        <v>30.19313</v>
      </c>
      <c r="AT9" s="15">
        <f>+Movia!AX6</f>
        <v>33.751220000000004</v>
      </c>
      <c r="AU9" s="15">
        <f>+Movia!AY6</f>
        <v>32.085830000000001</v>
      </c>
      <c r="AV9" s="15">
        <f>+Movia!AZ6</f>
        <v>37.625120000000003</v>
      </c>
      <c r="AW9" s="15">
        <f>+Movia!BA6</f>
        <v>36.310650000000003</v>
      </c>
      <c r="AX9" s="15">
        <f>+Movia!BB6</f>
        <v>0</v>
      </c>
      <c r="AY9" s="15">
        <f>+Movia!BC6</f>
        <v>38.183230000000002</v>
      </c>
      <c r="AZ9" s="15">
        <f>+Movia!BD6</f>
        <v>0</v>
      </c>
      <c r="BA9" s="15">
        <f>+Movia!BE6</f>
        <v>0</v>
      </c>
      <c r="BB9" s="14">
        <f>+Movia!BF6</f>
        <v>24.966940000000001</v>
      </c>
      <c r="BC9" s="15">
        <f>+Movia!BG6</f>
        <v>49.309489999999997</v>
      </c>
      <c r="BD9" s="15">
        <f>+Movia!BH6</f>
        <v>10.051600000000001</v>
      </c>
      <c r="BE9" s="15">
        <f>+Movia!BI6</f>
        <v>9.9907800000000009</v>
      </c>
      <c r="BF9" s="15">
        <f>+Movia!BJ6</f>
        <v>17.921029999999998</v>
      </c>
      <c r="BG9" s="15">
        <f>+Movia!BK6</f>
        <v>6.9341400000000002</v>
      </c>
      <c r="BH9" s="15">
        <f>+Movia!BL6</f>
        <v>16.481400000000001</v>
      </c>
      <c r="BI9" s="15">
        <f>+Movia!BM6</f>
        <v>4.09999</v>
      </c>
      <c r="BJ9" s="15">
        <f>+Movia!BN6</f>
        <v>18</v>
      </c>
      <c r="BK9" s="15">
        <f>+Movia!BO6</f>
        <v>0</v>
      </c>
      <c r="BL9" s="15">
        <f>+Movia!BP6</f>
        <v>-1.8</v>
      </c>
      <c r="BM9" s="15">
        <f>+Movia!BQ6</f>
        <v>0</v>
      </c>
      <c r="BN9" s="15">
        <f>+Movia!BR6</f>
        <v>0</v>
      </c>
      <c r="BO9" s="14">
        <f>+Movia!BS6</f>
        <v>0</v>
      </c>
      <c r="BP9" s="15">
        <f>+Movia!BT6</f>
        <v>455.32420999999999</v>
      </c>
      <c r="BQ9" s="15">
        <f>+Movia!BU6</f>
        <v>463.95719000000003</v>
      </c>
      <c r="BR9" s="15">
        <f>+Movia!BV6</f>
        <v>111.15260000000001</v>
      </c>
      <c r="BS9" s="15">
        <f>+Movia!BW6</f>
        <v>82.223010000000002</v>
      </c>
      <c r="BT9" s="15">
        <f>+Movia!BX6</f>
        <v>2.3631899999999999</v>
      </c>
      <c r="BU9" s="15">
        <f>+Movia!BY6</f>
        <v>0</v>
      </c>
      <c r="BV9" s="15">
        <f>+Movia!BZ6</f>
        <v>0</v>
      </c>
      <c r="BW9" s="15">
        <f>+Movia!CA6</f>
        <v>0</v>
      </c>
      <c r="BX9" s="15">
        <f>+Movia!CB6</f>
        <v>0</v>
      </c>
      <c r="BY9" s="15">
        <f>+Movia!CC6</f>
        <v>0</v>
      </c>
      <c r="BZ9" s="15">
        <f>+Movia!CD6</f>
        <v>0</v>
      </c>
      <c r="CA9" s="15">
        <f>+Movia!CE6</f>
        <v>0</v>
      </c>
      <c r="CB9" s="14">
        <f>+Movia!CF6</f>
        <v>4865.8584799999999</v>
      </c>
      <c r="CC9" s="15">
        <f>+Movia!CG6</f>
        <v>4805.5272000000004</v>
      </c>
      <c r="CD9" s="15">
        <f>+Movia!CH6</f>
        <v>4995.1265299999995</v>
      </c>
      <c r="CE9" s="15">
        <f>+Movia!CI6</f>
        <v>5442.70082</v>
      </c>
      <c r="CF9" s="15">
        <f>+Movia!CJ6</f>
        <v>5554.6711299999997</v>
      </c>
      <c r="CG9" s="15">
        <f>+Movia!CK6</f>
        <v>5493.2494500000003</v>
      </c>
      <c r="CH9" s="15">
        <f>+Movia!CL6</f>
        <v>5578.7324099999996</v>
      </c>
      <c r="CI9" s="15">
        <f>+Movia!CM6</f>
        <v>5585.0007900000001</v>
      </c>
      <c r="CJ9" s="15">
        <f>+Movia!CN6</f>
        <v>5762.7859399999998</v>
      </c>
      <c r="CK9" s="15">
        <f>+Movia!CO6</f>
        <v>0</v>
      </c>
      <c r="CL9" s="15">
        <f>+Movia!CP6</f>
        <v>5708.6090599999998</v>
      </c>
      <c r="CM9" s="15">
        <f>+Movia!CQ6</f>
        <v>0</v>
      </c>
      <c r="CN9" s="15">
        <f>+Movia!CR6</f>
        <v>0</v>
      </c>
      <c r="CO9" s="14">
        <f>+Movia!CS6</f>
        <v>2935.67488</v>
      </c>
      <c r="CP9" s="15">
        <f>+Movia!CT6</f>
        <v>3053.78125</v>
      </c>
      <c r="CQ9" s="15">
        <f>+Movia!CU6</f>
        <v>3113.5485399999998</v>
      </c>
      <c r="CR9" s="15">
        <f>+Movia!CV6</f>
        <v>3635.34836</v>
      </c>
      <c r="CS9" s="15">
        <f>+Movia!CW6</f>
        <v>3537.8363300000001</v>
      </c>
      <c r="CT9" s="15">
        <f>+Movia!CX6</f>
        <v>3348.11708</v>
      </c>
      <c r="CU9" s="15">
        <f>+Movia!CY6</f>
        <v>3459.52891</v>
      </c>
      <c r="CV9" s="15">
        <f>+Movia!CZ6</f>
        <v>3526.8000400000001</v>
      </c>
      <c r="CW9" s="15">
        <f>+Movia!DA6</f>
        <v>3704.1201599999999</v>
      </c>
      <c r="CX9" s="15">
        <f>+Movia!DB6</f>
        <v>0</v>
      </c>
      <c r="CY9" s="15">
        <f>+Movia!DC6</f>
        <v>3577.9576400000001</v>
      </c>
      <c r="CZ9" s="15">
        <f>+Movia!DD6</f>
        <v>0</v>
      </c>
      <c r="DA9" s="15">
        <f>+Movia!DE6</f>
        <v>0</v>
      </c>
      <c r="DB9" s="17">
        <f>+Movia!DF6</f>
        <v>0.11650000000000001</v>
      </c>
      <c r="DC9" s="18">
        <f>+Movia!DG6</f>
        <v>0.1197</v>
      </c>
      <c r="DD9" s="18">
        <f>+Movia!DH6</f>
        <v>0.12280000000000001</v>
      </c>
      <c r="DE9" s="18">
        <f>+Movia!DI6</f>
        <v>0.10630000000000001</v>
      </c>
      <c r="DF9" s="18">
        <f>+Movia!DJ6</f>
        <v>0.1094</v>
      </c>
      <c r="DG9" s="18">
        <f>+Movia!DK6</f>
        <v>0.1198</v>
      </c>
      <c r="DH9" s="18">
        <f>+Movia!DL6</f>
        <v>0.1192</v>
      </c>
      <c r="DI9" s="18">
        <f>+Movia!DM6</f>
        <v>0.1236</v>
      </c>
      <c r="DJ9" s="18">
        <f>+Movia!DN6</f>
        <v>0.11940000000000001</v>
      </c>
      <c r="DK9" s="18">
        <f>+Movia!DP6</f>
        <v>0.1196</v>
      </c>
      <c r="DL9" s="18">
        <f>+Movia!DQ6</f>
        <v>0</v>
      </c>
      <c r="DM9" s="18">
        <f>+Movia!DR6</f>
        <v>0</v>
      </c>
      <c r="DN9" s="18">
        <f>+Movia!DS6</f>
        <v>4232703.6165399998</v>
      </c>
      <c r="DO9" s="20">
        <f>+Movia!DS6</f>
        <v>4232703.6165399998</v>
      </c>
      <c r="DP9" s="21">
        <f>+Movia!DT6</f>
        <v>4084195.89928</v>
      </c>
      <c r="DQ9" s="21">
        <f>+Movia!DU6</f>
        <v>4077598.3166200002</v>
      </c>
      <c r="DR9" s="21">
        <f>+Movia!DV6</f>
        <v>4119023.9781499999</v>
      </c>
      <c r="DS9" s="21">
        <f>+Movia!DW6</f>
        <v>4114493.9799700002</v>
      </c>
      <c r="DT9" s="21">
        <f>+Movia!DX6</f>
        <v>4061247.3066400001</v>
      </c>
      <c r="DU9" s="21">
        <f>+Movia!DY6</f>
        <v>4028943.2499799998</v>
      </c>
      <c r="DV9" s="21">
        <f>+Movia!DZ6</f>
        <v>3997256.3989900001</v>
      </c>
      <c r="DW9" s="21">
        <f>+Movia!EA6</f>
        <v>4069893.3491699998</v>
      </c>
      <c r="DX9" s="21">
        <f>+Movia!EB6</f>
        <v>0</v>
      </c>
      <c r="DY9" s="21">
        <f>+Movia!EC6</f>
        <v>4074529.8714299998</v>
      </c>
      <c r="DZ9" s="21">
        <f>+Movia!ED6</f>
        <v>0</v>
      </c>
      <c r="EA9" s="24">
        <f>+Movia!EE6</f>
        <v>0</v>
      </c>
      <c r="EB9" s="21">
        <f>+Movia!EF6</f>
        <v>151818</v>
      </c>
      <c r="EC9" s="21">
        <f>+Movia!EG6</f>
        <v>151573</v>
      </c>
      <c r="ED9" s="21">
        <f>+Movia!EH6</f>
        <v>158157</v>
      </c>
      <c r="EE9" s="21">
        <f>+Movia!EI6</f>
        <v>156802</v>
      </c>
      <c r="EF9" s="21">
        <f>+Movia!EJ6</f>
        <v>154941</v>
      </c>
      <c r="EG9" s="21">
        <f>+Movia!EK6</f>
        <v>157654.07999999999</v>
      </c>
      <c r="EH9" s="21">
        <f>+Movia!EL6</f>
        <v>167419.1</v>
      </c>
      <c r="EI9" s="21">
        <f>+Movia!EM6</f>
        <v>173653</v>
      </c>
      <c r="EJ9" s="21">
        <f>+Movia!EN6</f>
        <v>172316.68</v>
      </c>
      <c r="EK9" s="21">
        <f>+Movia!EO6</f>
        <v>0</v>
      </c>
      <c r="EL9" s="21">
        <f>+Movia!EP6</f>
        <v>179803.34</v>
      </c>
      <c r="EM9" s="21">
        <f>+Movia!EQ6</f>
        <v>0</v>
      </c>
      <c r="EN9" s="21">
        <f>+Movia!ER6</f>
        <v>0</v>
      </c>
      <c r="EO9" s="20">
        <f>IFERROR(+Movia!ES6,"")</f>
        <v>201646717.99000001</v>
      </c>
      <c r="EP9" s="21">
        <f>IFERROR(+Movia!ET6,"")</f>
        <v>130191006.76046</v>
      </c>
      <c r="EQ9" s="21">
        <f>IFERROR(+Movia!EU6,"")</f>
        <v>128773742.01592</v>
      </c>
      <c r="ER9" s="21">
        <f>IFERROR(+Movia!EV6,"")</f>
        <v>160129388.85870001</v>
      </c>
      <c r="ES9" s="21">
        <f>IFERROR(+Movia!EW6,"")</f>
        <v>173612062.22327</v>
      </c>
      <c r="ET9" s="21">
        <f>IFERROR(+Movia!EX6,"")</f>
        <v>175496165.10455</v>
      </c>
      <c r="EU9" s="21">
        <f>IFERROR(+Movia!EY6,"")</f>
        <v>172816719.25652</v>
      </c>
      <c r="EV9" s="21">
        <f>IFERROR(+Movia!EZ6,"")</f>
        <v>170314824.59628001</v>
      </c>
      <c r="EW9" s="21">
        <f>IFERROR(+Movia!FA6,"")</f>
        <v>173856015.70901999</v>
      </c>
      <c r="EX9" s="21">
        <f>IFERROR(+Movia!FB6,"")</f>
        <v>0</v>
      </c>
      <c r="EY9" s="21">
        <f>IFERROR(+Movia!FC6,"")</f>
        <v>172969831.23730001</v>
      </c>
      <c r="EZ9" s="21">
        <f>IFERROR(+Movia!FD6,"")</f>
        <v>0</v>
      </c>
      <c r="FA9" s="21">
        <f>IFERROR(+Movia!FE6,"")</f>
        <v>0</v>
      </c>
      <c r="FB9" s="20">
        <f>+Movia!FF6</f>
        <v>7825683</v>
      </c>
      <c r="FC9" s="21">
        <f>+Movia!FG6</f>
        <v>7629001</v>
      </c>
      <c r="FD9" s="21">
        <f>+Movia!FH6</f>
        <v>8034836</v>
      </c>
      <c r="FE9" s="21">
        <f>+Movia!FI6</f>
        <v>7998171</v>
      </c>
      <c r="FF9" s="21">
        <f>+Movia!FJ6</f>
        <v>7987375</v>
      </c>
      <c r="FG9" s="21">
        <f>+Movia!FK6</f>
        <v>8076229</v>
      </c>
      <c r="FH9" s="21">
        <f>+Movia!FL6</f>
        <v>8442977</v>
      </c>
      <c r="FI9" s="21">
        <f>+Movia!FM6</f>
        <v>8932495.0099999998</v>
      </c>
      <c r="FJ9" s="21">
        <f>+Movia!FN6</f>
        <v>8657460</v>
      </c>
      <c r="FK9" s="21">
        <f>+Movia!FO6</f>
        <v>0</v>
      </c>
      <c r="FL9" s="21">
        <f>+Movia!FP6</f>
        <v>9116589.5999999996</v>
      </c>
      <c r="FM9" s="21">
        <f>+Movia!FQ6</f>
        <v>0</v>
      </c>
      <c r="FN9" s="21">
        <f>+Movia!FR6</f>
        <v>0</v>
      </c>
    </row>
    <row r="10" spans="1:170" x14ac:dyDescent="0.25">
      <c r="A10" s="13" t="s">
        <v>14</v>
      </c>
      <c r="B10" s="14">
        <f>+NT!F6</f>
        <v>382.59399579999996</v>
      </c>
      <c r="C10" s="15">
        <f>+NT!G6</f>
        <v>265.2834987</v>
      </c>
      <c r="D10" s="15">
        <f>+NT!H6</f>
        <v>276.69426269999997</v>
      </c>
      <c r="E10" s="15">
        <f>+NT!I6</f>
        <v>351.11101689999998</v>
      </c>
      <c r="F10" s="15">
        <f>+NT!J6</f>
        <v>395.21592520000002</v>
      </c>
      <c r="G10" s="15">
        <f>+NT!K6</f>
        <v>411.49739269999998</v>
      </c>
      <c r="H10" s="15">
        <f>+NT!L6</f>
        <v>423.43723040000003</v>
      </c>
      <c r="I10" s="15">
        <f>+NT!M6</f>
        <v>454.69167009999995</v>
      </c>
      <c r="J10" s="15">
        <f>+NT!N6</f>
        <v>424.88807270000001</v>
      </c>
      <c r="K10" s="15">
        <f>+NT!O6</f>
        <v>0</v>
      </c>
      <c r="L10" s="15">
        <f>+NT!P6</f>
        <v>0</v>
      </c>
      <c r="M10" s="15">
        <f>+NT!Q6</f>
        <v>0</v>
      </c>
      <c r="N10" s="15">
        <f>+NT!R6</f>
        <v>0</v>
      </c>
      <c r="O10" s="14">
        <f>+NT!S6</f>
        <v>1136.2315403000002</v>
      </c>
      <c r="P10" s="15">
        <f>+NT!T6</f>
        <v>1129.1949061999999</v>
      </c>
      <c r="Q10" s="15">
        <f>+NT!U6</f>
        <v>1208.8469077</v>
      </c>
      <c r="R10" s="15">
        <f>+NT!V6</f>
        <v>1330.3607861</v>
      </c>
      <c r="S10" s="15">
        <f>+NT!W6</f>
        <v>1352.8327611</v>
      </c>
      <c r="T10" s="15">
        <f>+NT!X6</f>
        <v>1382.4130862</v>
      </c>
      <c r="U10" s="15">
        <f>+NT!Y6</f>
        <v>1433.4751739000001</v>
      </c>
      <c r="V10" s="15">
        <f>+NT!Z6</f>
        <v>1501.9012839000002</v>
      </c>
      <c r="W10" s="15">
        <f>+NT!AA6</f>
        <v>1512.2329056000001</v>
      </c>
      <c r="X10" s="15">
        <f>+NT!AB6</f>
        <v>0</v>
      </c>
      <c r="Y10" s="15">
        <f>+NT!AC6</f>
        <v>0</v>
      </c>
      <c r="Z10" s="15">
        <f>+NT!AD6</f>
        <v>0</v>
      </c>
      <c r="AA10" s="15">
        <f>+NT!AE6</f>
        <v>0</v>
      </c>
      <c r="AB10" s="15">
        <f>+NT!AF6</f>
        <v>137.13015569999999</v>
      </c>
      <c r="AC10" s="15">
        <f>+NT!AG6</f>
        <v>148.50274489999998</v>
      </c>
      <c r="AD10" s="15">
        <f>+NT!AH6</f>
        <v>139.05922329999999</v>
      </c>
      <c r="AE10" s="15">
        <f>+NT!AI6</f>
        <v>135.8396607</v>
      </c>
      <c r="AF10" s="15">
        <f>+NT!AJ6</f>
        <v>146.8299446</v>
      </c>
      <c r="AG10" s="15">
        <f>+NT!AK6</f>
        <v>152.58874119999999</v>
      </c>
      <c r="AH10" s="15">
        <f>+NT!AL6</f>
        <v>154.17390410000002</v>
      </c>
      <c r="AI10" s="15">
        <f>+NT!AM6</f>
        <v>174.59156680000001</v>
      </c>
      <c r="AJ10" s="15">
        <f>+NT!AN6</f>
        <v>170.05830399999999</v>
      </c>
      <c r="AK10" s="15">
        <f>+NT!AO6</f>
        <v>0</v>
      </c>
      <c r="AL10" s="15">
        <f>+NT!AP6</f>
        <v>0</v>
      </c>
      <c r="AM10" s="15">
        <f>+NT!AQ6</f>
        <v>0</v>
      </c>
      <c r="AN10" s="15">
        <f>+NT!AR6</f>
        <v>0</v>
      </c>
      <c r="AO10" s="14">
        <f>+NT!AS6</f>
        <v>0</v>
      </c>
      <c r="AP10" s="15">
        <f>+NT!AT6</f>
        <v>0</v>
      </c>
      <c r="AQ10" s="15">
        <f>+NT!AU6</f>
        <v>0</v>
      </c>
      <c r="AR10" s="15">
        <f>+NT!AV6</f>
        <v>0</v>
      </c>
      <c r="AS10" s="15">
        <f>+NT!AW6</f>
        <v>0</v>
      </c>
      <c r="AT10" s="15">
        <f>+NT!AX6</f>
        <v>0</v>
      </c>
      <c r="AU10" s="15">
        <f>+NT!AY6</f>
        <v>0</v>
      </c>
      <c r="AV10" s="15">
        <f>+NT!AZ6</f>
        <v>0</v>
      </c>
      <c r="AW10" s="15">
        <f>+NT!BA6</f>
        <v>0</v>
      </c>
      <c r="AX10" s="15">
        <f>+NT!BB6</f>
        <v>0</v>
      </c>
      <c r="AY10" s="15">
        <f>+NT!BC6</f>
        <v>0</v>
      </c>
      <c r="AZ10" s="15">
        <f>+NT!BD6</f>
        <v>0</v>
      </c>
      <c r="BA10" s="15">
        <f>+NT!BE6</f>
        <v>0</v>
      </c>
      <c r="BB10" s="14">
        <f>+NT!BF6</f>
        <v>3.4847234999999999</v>
      </c>
      <c r="BC10" s="15">
        <f>+NT!BG6</f>
        <v>5.9209670000000001</v>
      </c>
      <c r="BD10" s="15">
        <f>+NT!BH6</f>
        <v>3.4310203000000001</v>
      </c>
      <c r="BE10" s="15">
        <f>+NT!BI6</f>
        <v>0.80615729999999997</v>
      </c>
      <c r="BF10" s="15">
        <f>+NT!BJ6</f>
        <v>6.4677214999999997</v>
      </c>
      <c r="BG10" s="15">
        <f>+NT!BK6</f>
        <v>3.7546423999999998</v>
      </c>
      <c r="BH10" s="15">
        <f>+NT!BL6</f>
        <v>5.1716785000000005</v>
      </c>
      <c r="BI10" s="15">
        <f>+NT!BM6</f>
        <v>6.4306089000000002</v>
      </c>
      <c r="BJ10" s="15">
        <f>+NT!BN6</f>
        <v>5.6497071999999999</v>
      </c>
      <c r="BK10" s="15">
        <f>+NT!BO6</f>
        <v>0</v>
      </c>
      <c r="BL10" s="15">
        <f>+NT!BP6</f>
        <v>0</v>
      </c>
      <c r="BM10" s="15">
        <f>+NT!BQ6</f>
        <v>0</v>
      </c>
      <c r="BN10" s="15">
        <f>+NT!BR6</f>
        <v>0</v>
      </c>
      <c r="BO10" s="14">
        <f>+NT!BS6</f>
        <v>0</v>
      </c>
      <c r="BP10" s="15">
        <f>+NT!BT6</f>
        <v>112.89835539999999</v>
      </c>
      <c r="BQ10" s="15">
        <f>+NT!BU6</f>
        <v>156.26189970000001</v>
      </c>
      <c r="BR10" s="15">
        <f>+NT!BV6</f>
        <v>46.079558399999996</v>
      </c>
      <c r="BS10" s="15">
        <f>+NT!BW6</f>
        <v>18.767832599999998</v>
      </c>
      <c r="BT10" s="15">
        <f>+NT!BX6</f>
        <v>-0.94915799999999995</v>
      </c>
      <c r="BU10" s="15">
        <f>+NT!BY6</f>
        <v>0</v>
      </c>
      <c r="BV10" s="15">
        <f>+NT!BZ6</f>
        <v>0</v>
      </c>
      <c r="BW10" s="15">
        <f>+NT!CA6</f>
        <v>0</v>
      </c>
      <c r="BX10" s="15">
        <f>+NT!CB6</f>
        <v>0</v>
      </c>
      <c r="BY10" s="15">
        <f>+NT!CC6</f>
        <v>0</v>
      </c>
      <c r="BZ10" s="15">
        <f>+NT!CD6</f>
        <v>0</v>
      </c>
      <c r="CA10" s="15">
        <f>+NT!CE6</f>
        <v>0</v>
      </c>
      <c r="CB10" s="14">
        <f>+NT!CF6</f>
        <v>1276.8464195000001</v>
      </c>
      <c r="CC10" s="15">
        <f>+NT!CG6</f>
        <v>1283.6186181</v>
      </c>
      <c r="CD10" s="15">
        <f>+NT!CH6</f>
        <v>1351.3371513000002</v>
      </c>
      <c r="CE10" s="15">
        <f>+NT!CI6</f>
        <v>1467.0066041</v>
      </c>
      <c r="CF10" s="15">
        <f>+NT!CJ6</f>
        <v>1506.1304272000002</v>
      </c>
      <c r="CG10" s="15">
        <f>+NT!CK6</f>
        <v>1538.7564698000001</v>
      </c>
      <c r="CH10" s="15">
        <f>+NT!CL6</f>
        <v>1592.8207565</v>
      </c>
      <c r="CI10" s="15">
        <f>+NT!CM6</f>
        <v>1682.9234596000001</v>
      </c>
      <c r="CJ10" s="15">
        <f>+NT!CN6</f>
        <v>1687.9409168</v>
      </c>
      <c r="CK10" s="15">
        <f>+NT!CO6</f>
        <v>0</v>
      </c>
      <c r="CL10" s="15">
        <f>+NT!CP6</f>
        <v>0</v>
      </c>
      <c r="CM10" s="15">
        <f>+NT!CQ6</f>
        <v>0</v>
      </c>
      <c r="CN10" s="15">
        <f>+NT!CR6</f>
        <v>0</v>
      </c>
      <c r="CO10" s="14">
        <f>+NT!CS6</f>
        <v>894.25242370000001</v>
      </c>
      <c r="CP10" s="15">
        <f>+NT!CT6</f>
        <v>905.43676400000004</v>
      </c>
      <c r="CQ10" s="15">
        <f>+NT!CU6</f>
        <v>918.38098889999992</v>
      </c>
      <c r="CR10" s="15">
        <f>+NT!CV6</f>
        <v>1069.8160288000001</v>
      </c>
      <c r="CS10" s="15">
        <f>+NT!CW6</f>
        <v>1092.1466694000001</v>
      </c>
      <c r="CT10" s="15">
        <f>+NT!CX6</f>
        <v>1128.2082351000001</v>
      </c>
      <c r="CU10" s="15">
        <f>+NT!CY6</f>
        <v>1169.3835261000002</v>
      </c>
      <c r="CV10" s="15">
        <f>+NT!CZ6</f>
        <v>1228.2317895000001</v>
      </c>
      <c r="CW10" s="15">
        <f>+NT!DA6</f>
        <v>1263.0528440999999</v>
      </c>
      <c r="CX10" s="15">
        <f>+NT!DB6</f>
        <v>0</v>
      </c>
      <c r="CY10" s="15">
        <f>+NT!DC6</f>
        <v>0</v>
      </c>
      <c r="CZ10" s="15">
        <f>+NT!DD6</f>
        <v>0</v>
      </c>
      <c r="DA10" s="15">
        <f>+NT!DE6</f>
        <v>0</v>
      </c>
      <c r="DB10" s="17">
        <f>+NT!DF6</f>
        <v>0.10739753317685516</v>
      </c>
      <c r="DC10" s="18">
        <f>+NT!DG6</f>
        <v>0.11569070657436577</v>
      </c>
      <c r="DD10" s="18">
        <f>+NT!DH6</f>
        <v>0.1029049065706686</v>
      </c>
      <c r="DE10" s="18">
        <f>+NT!DI6</f>
        <v>9.2596488877660393E-2</v>
      </c>
      <c r="DF10" s="18">
        <f>+NT!DJ6</f>
        <v>9.7488200190581728E-2</v>
      </c>
      <c r="DG10" s="18">
        <f>+NT!DK6</f>
        <v>9.9163671571650777E-2</v>
      </c>
      <c r="DH10" s="18">
        <f>+NT!DL6</f>
        <v>9.6793002898063391E-2</v>
      </c>
      <c r="DI10" s="18">
        <f>+NT!DM6</f>
        <v>0.10374302277626887</v>
      </c>
      <c r="DJ10" s="18">
        <f>+NT!DN6</f>
        <v>0.10074896716313785</v>
      </c>
      <c r="DK10" s="18">
        <f>+NT!DO6</f>
        <v>0</v>
      </c>
      <c r="DL10" s="18">
        <f>+NT!DP6</f>
        <v>0</v>
      </c>
      <c r="DM10" s="18">
        <f>+NT!DQ6</f>
        <v>0</v>
      </c>
      <c r="DN10" s="18">
        <f>+NT!DR6</f>
        <v>0</v>
      </c>
      <c r="DO10" s="20">
        <f>+NT!DS6</f>
        <v>914096.1166666674</v>
      </c>
      <c r="DP10" s="21">
        <f>+NT!DT6</f>
        <v>908325.75999999989</v>
      </c>
      <c r="DQ10" s="21">
        <f>+NT!DU6</f>
        <v>902110.55</v>
      </c>
      <c r="DR10" s="21">
        <f>+NT!DV6</f>
        <v>899044.10000000009</v>
      </c>
      <c r="DS10" s="21">
        <f>+NT!DW6</f>
        <v>863332.1</v>
      </c>
      <c r="DT10" s="21">
        <f>+NT!DX6</f>
        <v>840986</v>
      </c>
      <c r="DU10" s="21">
        <f>+NT!DY6</f>
        <v>844435</v>
      </c>
      <c r="DV10" s="21">
        <f>+NT!DZ6</f>
        <v>852061</v>
      </c>
      <c r="DW10" s="21">
        <f>+NT!EA6</f>
        <v>848772</v>
      </c>
      <c r="DX10" s="21">
        <f>+NT!EB6</f>
        <v>0</v>
      </c>
      <c r="DY10" s="21">
        <f>+NT!EC6</f>
        <v>0</v>
      </c>
      <c r="DZ10" s="21">
        <f>+NT!ED6</f>
        <v>0</v>
      </c>
      <c r="EA10" s="21">
        <f>+NT!EE6</f>
        <v>0</v>
      </c>
      <c r="EB10" s="20">
        <f>+NT!EF6</f>
        <v>44993</v>
      </c>
      <c r="EC10" s="21">
        <f>+NT!EG6</f>
        <v>43805</v>
      </c>
      <c r="ED10" s="21">
        <f>+NT!EH6</f>
        <v>43904</v>
      </c>
      <c r="EE10" s="21">
        <f>+NT!EI6</f>
        <v>45238</v>
      </c>
      <c r="EF10" s="21">
        <f>+NT!EJ6</f>
        <v>45238</v>
      </c>
      <c r="EG10" s="21">
        <f>+NT!EK6</f>
        <v>0</v>
      </c>
      <c r="EH10" s="21">
        <f>+NT!EL6</f>
        <v>0</v>
      </c>
      <c r="EI10" s="21">
        <f>+NT!EM6</f>
        <v>0</v>
      </c>
      <c r="EJ10" s="21">
        <f>+NT!EN6</f>
        <v>0</v>
      </c>
      <c r="EK10" s="21">
        <f>+NT!EO6</f>
        <v>0</v>
      </c>
      <c r="EL10" s="21">
        <f>+NT!EP6</f>
        <v>0</v>
      </c>
      <c r="EM10" s="21">
        <f>+NT!EQ6</f>
        <v>0</v>
      </c>
      <c r="EN10" s="21">
        <f>+NT!ER6</f>
        <v>0</v>
      </c>
      <c r="EO10" s="20">
        <f>IFERROR(+NT!ES6,"")</f>
        <v>24021490</v>
      </c>
      <c r="EP10" s="21">
        <f>IFERROR(+NT!ET6,"")</f>
        <v>14430098</v>
      </c>
      <c r="EQ10" s="21">
        <f>IFERROR(+NT!EU6,"")</f>
        <v>13634360</v>
      </c>
      <c r="ER10" s="21">
        <f>IFERROR(+NT!EV6,"")</f>
        <v>18523868</v>
      </c>
      <c r="ES10" s="21">
        <f>IFERROR(+NT!EW6,"")</f>
        <v>20781764</v>
      </c>
      <c r="ET10" s="21">
        <f>IFERROR(+NT!EX6,"")</f>
        <v>20736314</v>
      </c>
      <c r="EU10" s="21">
        <f>IFERROR(+NT!EY6,"")</f>
        <v>21621168</v>
      </c>
      <c r="EV10" s="21">
        <f>IFERROR(+NT!EZ6,"")</f>
        <v>0</v>
      </c>
      <c r="EW10" s="21">
        <f>IFERROR(+NT!FA6,"")</f>
        <v>0</v>
      </c>
      <c r="EX10" s="21">
        <f>IFERROR(+NT!FB6,"")</f>
        <v>0</v>
      </c>
      <c r="EY10" s="21">
        <f>IFERROR(+NT!FC6,"")</f>
        <v>0</v>
      </c>
      <c r="EZ10" s="21">
        <f>IFERROR(+NT!FD6,"")</f>
        <v>0</v>
      </c>
      <c r="FA10" s="21">
        <f>IFERROR(+NT!FE6,"")</f>
        <v>0</v>
      </c>
      <c r="FB10" s="20">
        <f>+NT!FF6</f>
        <v>2978604</v>
      </c>
      <c r="FC10" s="21">
        <f>+NT!FG6</f>
        <v>2785257</v>
      </c>
      <c r="FD10" s="21">
        <f>+NT!FH6</f>
        <v>3095161.5</v>
      </c>
      <c r="FE10" s="21">
        <f>+NT!FI6</f>
        <v>3070974</v>
      </c>
      <c r="FF10" s="21">
        <f>+NT!FJ6</f>
        <v>3113098</v>
      </c>
      <c r="FG10" s="21">
        <f>+NT!FK6</f>
        <v>2804180</v>
      </c>
      <c r="FH10" s="21">
        <f>+NT!FL6</f>
        <v>3088580</v>
      </c>
      <c r="FI10" s="21">
        <f>+NT!FM6</f>
        <v>3504902</v>
      </c>
      <c r="FJ10" s="21">
        <f>+NT!FN6</f>
        <v>3537578</v>
      </c>
      <c r="FK10" s="21">
        <f>+NT!FO6</f>
        <v>0</v>
      </c>
      <c r="FL10" s="21">
        <f>+NT!FP6</f>
        <v>0</v>
      </c>
      <c r="FM10" s="21">
        <f>+NT!FQ6</f>
        <v>0</v>
      </c>
      <c r="FN10" s="21">
        <f>+NT!FR6</f>
        <v>0</v>
      </c>
    </row>
    <row r="11" spans="1:170" x14ac:dyDescent="0.25">
      <c r="A11" s="13" t="s">
        <v>17</v>
      </c>
      <c r="B11" s="14">
        <f>+Sydtrafik!F6</f>
        <v>264.49999999999994</v>
      </c>
      <c r="C11" s="15">
        <f>+Sydtrafik!G6</f>
        <v>200.70000000000002</v>
      </c>
      <c r="D11" s="15">
        <f>+Sydtrafik!H6</f>
        <v>177.30000000000004</v>
      </c>
      <c r="E11" s="15">
        <f>+Sydtrafik!I6</f>
        <v>246.3</v>
      </c>
      <c r="F11" s="15">
        <f>+Sydtrafik!J6</f>
        <v>259.60000000000002</v>
      </c>
      <c r="G11" s="15">
        <f>+Sydtrafik!K6</f>
        <v>272.59999999999997</v>
      </c>
      <c r="H11" s="15">
        <f>+Sydtrafik!L6</f>
        <v>262.60000000000002</v>
      </c>
      <c r="I11" s="15">
        <f>+Sydtrafik!M6</f>
        <v>260.10000000000002</v>
      </c>
      <c r="J11" s="15">
        <f>+Sydtrafik!N6</f>
        <v>259.2</v>
      </c>
      <c r="K11" s="15">
        <f>+Sydtrafik!O6</f>
        <v>0</v>
      </c>
      <c r="L11" s="15">
        <f>+Sydtrafik!P6</f>
        <v>0</v>
      </c>
      <c r="M11" s="15">
        <f>+Sydtrafik!Q6</f>
        <v>0</v>
      </c>
      <c r="N11" s="15">
        <f>+Sydtrafik!R6</f>
        <v>0</v>
      </c>
      <c r="O11" s="14">
        <f>+Sydtrafik!S6</f>
        <v>892.5</v>
      </c>
      <c r="P11" s="15">
        <f>+Sydtrafik!T6</f>
        <v>863</v>
      </c>
      <c r="Q11" s="15">
        <f>+Sydtrafik!U6</f>
        <v>860.4</v>
      </c>
      <c r="R11" s="15">
        <f>+Sydtrafik!V6</f>
        <v>933.5</v>
      </c>
      <c r="S11" s="15">
        <f>+Sydtrafik!W6</f>
        <v>971.8</v>
      </c>
      <c r="T11" s="15">
        <f>+Sydtrafik!X6</f>
        <v>990.69999999999982</v>
      </c>
      <c r="U11" s="15">
        <f>+Sydtrafik!Y6</f>
        <v>967.8</v>
      </c>
      <c r="V11" s="15">
        <f>+Sydtrafik!Z6</f>
        <v>997.5</v>
      </c>
      <c r="W11" s="15">
        <f>+Sydtrafik!AA6</f>
        <v>1007.5999999999999</v>
      </c>
      <c r="X11" s="15">
        <f>+Sydtrafik!AB6</f>
        <v>0</v>
      </c>
      <c r="Y11" s="15">
        <f>+Sydtrafik!AC6</f>
        <v>0</v>
      </c>
      <c r="Z11" s="15">
        <f>+Sydtrafik!AD6</f>
        <v>0</v>
      </c>
      <c r="AA11" s="15">
        <f>+Sydtrafik!AE6</f>
        <v>0</v>
      </c>
      <c r="AB11" s="15">
        <f>+Sydtrafik!AF6</f>
        <v>114.59999999999998</v>
      </c>
      <c r="AC11" s="15">
        <f>+Sydtrafik!AG6</f>
        <v>113.10000000000002</v>
      </c>
      <c r="AD11" s="15">
        <f>+Sydtrafik!AH6</f>
        <v>117</v>
      </c>
      <c r="AE11" s="15">
        <f>+Sydtrafik!AI6</f>
        <v>120.6</v>
      </c>
      <c r="AF11" s="15">
        <f>+Sydtrafik!AJ6</f>
        <v>116.3</v>
      </c>
      <c r="AG11" s="15">
        <f>+Sydtrafik!AK6</f>
        <v>115.6</v>
      </c>
      <c r="AH11" s="15">
        <f>+Sydtrafik!AL6</f>
        <v>120</v>
      </c>
      <c r="AI11" s="15">
        <f>+Sydtrafik!AM6</f>
        <v>136.19999999999999</v>
      </c>
      <c r="AJ11" s="15">
        <f>+Sydtrafik!AN6</f>
        <v>137.19999999999999</v>
      </c>
      <c r="AK11" s="15">
        <f>+Sydtrafik!AO6</f>
        <v>0</v>
      </c>
      <c r="AL11" s="15">
        <f>+Sydtrafik!AP6</f>
        <v>0</v>
      </c>
      <c r="AM11" s="15">
        <f>+Sydtrafik!AQ6</f>
        <v>0</v>
      </c>
      <c r="AN11" s="15">
        <f>+Sydtrafik!AR6</f>
        <v>0</v>
      </c>
      <c r="AO11" s="14">
        <f>+Sydtrafik!AS6</f>
        <v>0</v>
      </c>
      <c r="AP11" s="15">
        <f>+Sydtrafik!AT6</f>
        <v>0</v>
      </c>
      <c r="AQ11" s="15">
        <f>+Sydtrafik!AU6</f>
        <v>0</v>
      </c>
      <c r="AR11" s="15">
        <f>+Sydtrafik!AV6</f>
        <v>0</v>
      </c>
      <c r="AS11" s="15">
        <f>+Sydtrafik!AW6</f>
        <v>0</v>
      </c>
      <c r="AT11" s="15">
        <f>+Sydtrafik!AX6</f>
        <v>0</v>
      </c>
      <c r="AU11" s="15">
        <f>+Sydtrafik!AY6</f>
        <v>0</v>
      </c>
      <c r="AV11" s="15">
        <f>+Sydtrafik!AZ6</f>
        <v>0</v>
      </c>
      <c r="AW11" s="15">
        <f>+Sydtrafik!BA6</f>
        <v>0</v>
      </c>
      <c r="AX11" s="15">
        <f>+Sydtrafik!BB6</f>
        <v>0</v>
      </c>
      <c r="AY11" s="15">
        <f>+Sydtrafik!BC6</f>
        <v>0</v>
      </c>
      <c r="AZ11" s="15">
        <f>+Sydtrafik!BD6</f>
        <v>0</v>
      </c>
      <c r="BA11" s="15">
        <f>+Sydtrafik!BE6</f>
        <v>0</v>
      </c>
      <c r="BB11" s="14">
        <f>+Sydtrafik!BF6</f>
        <v>0.3</v>
      </c>
      <c r="BC11" s="15">
        <f>+Sydtrafik!BG6</f>
        <v>0.7</v>
      </c>
      <c r="BD11" s="15">
        <f>+Sydtrafik!BH6</f>
        <v>0.2</v>
      </c>
      <c r="BE11" s="15">
        <f>+Sydtrafik!BI6</f>
        <v>0.8</v>
      </c>
      <c r="BF11" s="15">
        <f>+Sydtrafik!BJ6</f>
        <v>-1.3</v>
      </c>
      <c r="BG11" s="15">
        <f>+Sydtrafik!BK6</f>
        <v>-2.1</v>
      </c>
      <c r="BH11" s="15">
        <f>+Sydtrafik!BL6</f>
        <v>1.1000000000000001</v>
      </c>
      <c r="BI11" s="15">
        <f>+Sydtrafik!BM6</f>
        <v>-1.22</v>
      </c>
      <c r="BJ11" s="15">
        <f>+Sydtrafik!BN6</f>
        <v>-1.4</v>
      </c>
      <c r="BK11" s="15">
        <f>+Sydtrafik!BO6</f>
        <v>0</v>
      </c>
      <c r="BL11" s="15">
        <f>+Sydtrafik!BP6</f>
        <v>0</v>
      </c>
      <c r="BM11" s="15">
        <f>+Sydtrafik!BQ6</f>
        <v>0</v>
      </c>
      <c r="BN11" s="15">
        <f>+Sydtrafik!BR6</f>
        <v>0</v>
      </c>
      <c r="BO11" s="14">
        <f>+Sydtrafik!BS6</f>
        <v>0</v>
      </c>
      <c r="BP11" s="15">
        <f>+Sydtrafik!BT6</f>
        <v>46.000000000000007</v>
      </c>
      <c r="BQ11" s="15">
        <f>+Sydtrafik!BU6</f>
        <v>97.3</v>
      </c>
      <c r="BR11" s="15">
        <f>+Sydtrafik!BV6</f>
        <v>26.3</v>
      </c>
      <c r="BS11" s="15">
        <f>+Sydtrafik!BW6</f>
        <v>18.399999999999999</v>
      </c>
      <c r="BT11" s="15">
        <f>+Sydtrafik!BX6</f>
        <v>0</v>
      </c>
      <c r="BU11" s="15">
        <f>+Sydtrafik!BY6</f>
        <v>0</v>
      </c>
      <c r="BV11" s="15">
        <f>+Sydtrafik!BZ6</f>
        <v>0</v>
      </c>
      <c r="BW11" s="15">
        <f>+Sydtrafik!CA6</f>
        <v>0</v>
      </c>
      <c r="BX11" s="15">
        <f>+Sydtrafik!CB6</f>
        <v>0</v>
      </c>
      <c r="BY11" s="15">
        <f>+Sydtrafik!CC6</f>
        <v>0</v>
      </c>
      <c r="BZ11" s="15">
        <f>+Sydtrafik!CD6</f>
        <v>0</v>
      </c>
      <c r="CA11" s="15">
        <f>+Sydtrafik!CE6</f>
        <v>0</v>
      </c>
      <c r="CB11" s="14">
        <f>+Sydtrafik!CF6</f>
        <v>1007.4</v>
      </c>
      <c r="CC11" s="15">
        <f>+Sydtrafik!CG6</f>
        <v>976.80000000000007</v>
      </c>
      <c r="CD11" s="15">
        <f>+Sydtrafik!CH6</f>
        <v>977.6</v>
      </c>
      <c r="CE11" s="15">
        <f>+Sydtrafik!CI6</f>
        <v>1054.9000000000001</v>
      </c>
      <c r="CF11" s="15">
        <f>+Sydtrafik!CJ6</f>
        <v>1086.8</v>
      </c>
      <c r="CG11" s="15">
        <f>+Sydtrafik!CK6</f>
        <v>1104.1999999999998</v>
      </c>
      <c r="CH11" s="15">
        <f>+Sydtrafik!CL6</f>
        <v>1088.8999999999999</v>
      </c>
      <c r="CI11" s="15">
        <f>+Sydtrafik!CM6</f>
        <v>1132.48</v>
      </c>
      <c r="CJ11" s="15">
        <f>+Sydtrafik!CN6</f>
        <v>1143.3999999999999</v>
      </c>
      <c r="CK11" s="15">
        <f>+Sydtrafik!CO6</f>
        <v>0</v>
      </c>
      <c r="CL11" s="15">
        <f>+Sydtrafik!CP6</f>
        <v>0</v>
      </c>
      <c r="CM11" s="15">
        <f>+Sydtrafik!CQ6</f>
        <v>0</v>
      </c>
      <c r="CN11" s="15">
        <f>+Sydtrafik!CR6</f>
        <v>0</v>
      </c>
      <c r="CO11" s="14">
        <f>+Sydtrafik!CS6</f>
        <v>742.90000000000009</v>
      </c>
      <c r="CP11" s="15">
        <f>+Sydtrafik!CT6</f>
        <v>730.1</v>
      </c>
      <c r="CQ11" s="15">
        <f>+Sydtrafik!CU6</f>
        <v>703</v>
      </c>
      <c r="CR11" s="15">
        <f>+Sydtrafik!CV6</f>
        <v>782.30000000000018</v>
      </c>
      <c r="CS11" s="15">
        <f>+Sydtrafik!CW6</f>
        <v>808.79999999999984</v>
      </c>
      <c r="CT11" s="15">
        <f>+Sydtrafik!CX6</f>
        <v>831.59999999999991</v>
      </c>
      <c r="CU11" s="15">
        <f>+Sydtrafik!CY6</f>
        <v>826.29999999999984</v>
      </c>
      <c r="CV11" s="15">
        <f>+Sydtrafik!CZ6</f>
        <v>872.38</v>
      </c>
      <c r="CW11" s="15">
        <f>+Sydtrafik!DA6</f>
        <v>884.19999999999982</v>
      </c>
      <c r="CX11" s="15">
        <f>+Sydtrafik!DB6</f>
        <v>0</v>
      </c>
      <c r="CY11" s="15">
        <f>+Sydtrafik!DC6</f>
        <v>0</v>
      </c>
      <c r="CZ11" s="15">
        <f>+Sydtrafik!DD6</f>
        <v>0</v>
      </c>
      <c r="DA11" s="15">
        <f>+Sydtrafik!DE6</f>
        <v>0</v>
      </c>
      <c r="DB11" s="17">
        <f>+Sydtrafik!DF6</f>
        <v>0.11375818939845145</v>
      </c>
      <c r="DC11" s="18">
        <f>+Sydtrafik!DG6</f>
        <v>0.11578624078624081</v>
      </c>
      <c r="DD11" s="18">
        <f>+Sydtrafik!DH6</f>
        <v>0.11968085106382978</v>
      </c>
      <c r="DE11" s="18">
        <f>+Sydtrafik!DI6</f>
        <v>0.11432363257180773</v>
      </c>
      <c r="DF11" s="18">
        <f>+Sydtrafik!DJ6</f>
        <v>0.10701140964298859</v>
      </c>
      <c r="DG11" s="18">
        <f>+Sydtrafik!DK6</f>
        <v>0.10469117913421483</v>
      </c>
      <c r="DH11" s="18">
        <f>+Sydtrafik!DL6</f>
        <v>0.11020295711268253</v>
      </c>
      <c r="DI11" s="18">
        <f>+Sydtrafik!DM6</f>
        <v>0.12026702458321559</v>
      </c>
      <c r="DJ11" s="18">
        <f>+Sydtrafik!DN6</f>
        <v>0.11999300332342137</v>
      </c>
      <c r="DK11" s="18">
        <f>+Sydtrafik!DO6</f>
        <v>0</v>
      </c>
      <c r="DL11" s="18">
        <f>+Sydtrafik!DP6</f>
        <v>0</v>
      </c>
      <c r="DM11" s="18">
        <f>+Sydtrafik!DQ6</f>
        <v>0</v>
      </c>
      <c r="DN11" s="18">
        <f>+Sydtrafik!DR6</f>
        <v>0</v>
      </c>
      <c r="DO11" s="20">
        <f>+Sydtrafik!DS6</f>
        <v>841838</v>
      </c>
      <c r="DP11" s="21">
        <f>+Sydtrafik!DT6</f>
        <v>833700</v>
      </c>
      <c r="DQ11" s="21">
        <f>+Sydtrafik!DU6</f>
        <v>804414</v>
      </c>
      <c r="DR11" s="21">
        <f>+Sydtrafik!DV6</f>
        <v>796022</v>
      </c>
      <c r="DS11" s="21">
        <f>+Sydtrafik!DW6</f>
        <v>785940</v>
      </c>
      <c r="DT11" s="21">
        <f>+Sydtrafik!DX6</f>
        <v>773528</v>
      </c>
      <c r="DU11" s="21">
        <f>+Sydtrafik!DY6</f>
        <v>771832</v>
      </c>
      <c r="DV11" s="21">
        <f>+Sydtrafik!DZ6</f>
        <v>778171</v>
      </c>
      <c r="DW11" s="21">
        <f>+Sydtrafik!EA6</f>
        <v>783220</v>
      </c>
      <c r="DX11" s="21">
        <f>+Sydtrafik!EB6</f>
        <v>0</v>
      </c>
      <c r="DY11" s="21">
        <f>+Sydtrafik!EC6</f>
        <v>0</v>
      </c>
      <c r="DZ11" s="21">
        <f>+Sydtrafik!ED6</f>
        <v>0</v>
      </c>
      <c r="EA11" s="21">
        <f>+Sydtrafik!EE6</f>
        <v>0</v>
      </c>
      <c r="EB11" s="20">
        <f>+Sydtrafik!EF6</f>
        <v>5851</v>
      </c>
      <c r="EC11" s="21">
        <f>+Sydtrafik!EG6</f>
        <v>5752</v>
      </c>
      <c r="ED11" s="21">
        <f>+Sydtrafik!EH6</f>
        <v>5743</v>
      </c>
      <c r="EE11" s="21">
        <f>+Sydtrafik!EI6</f>
        <v>5848</v>
      </c>
      <c r="EF11" s="21">
        <f>+Sydtrafik!EJ6</f>
        <v>5774</v>
      </c>
      <c r="EG11" s="21">
        <f>+Sydtrafik!EK6</f>
        <v>5747</v>
      </c>
      <c r="EH11" s="21">
        <f>+Sydtrafik!EL6</f>
        <v>5615</v>
      </c>
      <c r="EI11" s="21">
        <f>+Sydtrafik!EM6</f>
        <v>0</v>
      </c>
      <c r="EJ11" s="21">
        <f>+Sydtrafik!EN6</f>
        <v>0</v>
      </c>
      <c r="EK11" s="21">
        <f>+Sydtrafik!EO6</f>
        <v>0</v>
      </c>
      <c r="EL11" s="21">
        <f>+Sydtrafik!EP6</f>
        <v>0</v>
      </c>
      <c r="EM11" s="21">
        <f>+Sydtrafik!EQ6</f>
        <v>0</v>
      </c>
      <c r="EN11" s="21">
        <f>+Sydtrafik!ER6</f>
        <v>0</v>
      </c>
      <c r="EO11" s="20">
        <f>IFERROR(+Sydtrafik!ES6,"")</f>
        <v>14338372</v>
      </c>
      <c r="EP11" s="21">
        <f>IFERROR(+Sydtrafik!ET6,"")</f>
        <v>9420348</v>
      </c>
      <c r="EQ11" s="21">
        <f>IFERROR(+Sydtrafik!EU6,"")</f>
        <v>8490102</v>
      </c>
      <c r="ER11" s="21">
        <f>IFERROR(+Sydtrafik!EV6,"")</f>
        <v>11534884</v>
      </c>
      <c r="ES11" s="21">
        <f>IFERROR(+Sydtrafik!EW6,"")</f>
        <v>11772238</v>
      </c>
      <c r="ET11" s="21">
        <f>IFERROR(+Sydtrafik!EX6,"")</f>
        <v>11891197</v>
      </c>
      <c r="EU11" s="21">
        <f>IFERROR(+Sydtrafik!EY6,"")</f>
        <v>12221230</v>
      </c>
      <c r="EV11" s="21">
        <f>IFERROR(+Sydtrafik!EZ6,"")</f>
        <v>0</v>
      </c>
      <c r="EW11" s="21">
        <f>IFERROR(+Sydtrafik!FA6,"")</f>
        <v>0</v>
      </c>
      <c r="EX11" s="21">
        <f>IFERROR(+Sydtrafik!FB6,"")</f>
        <v>0</v>
      </c>
      <c r="EY11" s="21">
        <f>IFERROR(+Sydtrafik!FC6,"")</f>
        <v>0</v>
      </c>
      <c r="EZ11" s="21">
        <f>IFERROR(+Sydtrafik!FD6,"")</f>
        <v>0</v>
      </c>
      <c r="FA11" s="21">
        <f>IFERROR(+Sydtrafik!FE6,"")</f>
        <v>0</v>
      </c>
      <c r="FB11" s="20">
        <f>+Sydtrafik!FF6</f>
        <v>310000</v>
      </c>
      <c r="FC11" s="21">
        <f>+Sydtrafik!FG6</f>
        <v>305000</v>
      </c>
      <c r="FD11" s="21">
        <f>+Sydtrafik!FH6</f>
        <v>304000</v>
      </c>
      <c r="FE11" s="21">
        <f>+Sydtrafik!FI6</f>
        <v>310000</v>
      </c>
      <c r="FF11" s="21">
        <f>+Sydtrafik!FJ6</f>
        <v>306000</v>
      </c>
      <c r="FG11" s="21">
        <f>+Sydtrafik!FK6</f>
        <v>316000</v>
      </c>
      <c r="FH11" s="21">
        <f>+Sydtrafik!FL6</f>
        <v>297581</v>
      </c>
      <c r="FI11" s="21">
        <f>+Sydtrafik!FM6</f>
        <v>297581</v>
      </c>
      <c r="FJ11" s="21">
        <f>+Sydtrafik!FN6</f>
        <v>0</v>
      </c>
      <c r="FK11" s="21">
        <f>+Sydtrafik!FO6</f>
        <v>0</v>
      </c>
      <c r="FL11" s="21">
        <f>+Sydtrafik!FP6</f>
        <v>0</v>
      </c>
      <c r="FM11" s="21">
        <f>+Sydtrafik!FQ6</f>
        <v>0</v>
      </c>
      <c r="FN11" s="21">
        <f>+Sydtrafik!FR6</f>
        <v>0</v>
      </c>
    </row>
    <row r="12" spans="1:170" ht="16.5" customHeight="1" thickBot="1" x14ac:dyDescent="0.3">
      <c r="A12" s="25" t="s">
        <v>44</v>
      </c>
      <c r="B12" s="26">
        <f t="shared" ref="B12:N12" si="0">SUBTOTAL(9,B6:B11)</f>
        <v>3594.7915957999999</v>
      </c>
      <c r="C12" s="27">
        <f t="shared" si="0"/>
        <v>2483.1272386999999</v>
      </c>
      <c r="D12" s="27">
        <f t="shared" si="0"/>
        <v>2622.2580527</v>
      </c>
      <c r="E12" s="27">
        <f t="shared" si="0"/>
        <v>3254.0528768999998</v>
      </c>
      <c r="F12" s="27">
        <f t="shared" si="0"/>
        <v>3629.7047152</v>
      </c>
      <c r="G12" s="27">
        <f t="shared" si="0"/>
        <v>3930.3245726999999</v>
      </c>
      <c r="H12" s="27">
        <f t="shared" si="0"/>
        <v>3884.4546065</v>
      </c>
      <c r="I12" s="27">
        <f t="shared" si="0"/>
        <v>3890.5338962833484</v>
      </c>
      <c r="J12" s="27">
        <f t="shared" si="0"/>
        <v>3822.5130526999997</v>
      </c>
      <c r="K12" s="27">
        <f t="shared" si="0"/>
        <v>0</v>
      </c>
      <c r="L12" s="27">
        <f t="shared" si="0"/>
        <v>2130.6514200000001</v>
      </c>
      <c r="M12" s="27">
        <f t="shared" si="0"/>
        <v>0</v>
      </c>
      <c r="N12" s="27">
        <f t="shared" si="0"/>
        <v>0</v>
      </c>
      <c r="O12" s="27">
        <f t="shared" ref="O12:AA12" si="1">SUM(O6:O11)</f>
        <v>8787.4086502999999</v>
      </c>
      <c r="P12" s="27">
        <f t="shared" si="1"/>
        <v>8634.2357262000005</v>
      </c>
      <c r="Q12" s="27">
        <f t="shared" si="1"/>
        <v>9041.8362777000002</v>
      </c>
      <c r="R12" s="27">
        <f t="shared" si="1"/>
        <v>9938.793136100001</v>
      </c>
      <c r="S12" s="27">
        <f t="shared" si="1"/>
        <v>10075.7996711</v>
      </c>
      <c r="T12" s="27">
        <f t="shared" si="1"/>
        <v>10109.395376199998</v>
      </c>
      <c r="U12" s="27">
        <f t="shared" si="1"/>
        <v>10189.7866409</v>
      </c>
      <c r="V12" s="27">
        <f t="shared" si="1"/>
        <v>10368.048421336494</v>
      </c>
      <c r="W12" s="27">
        <f t="shared" si="1"/>
        <v>10557.441835600001</v>
      </c>
      <c r="X12" s="27">
        <f t="shared" si="1"/>
        <v>0</v>
      </c>
      <c r="Y12" s="27">
        <f t="shared" si="1"/>
        <v>4989.7258300000003</v>
      </c>
      <c r="Z12" s="27">
        <f t="shared" si="1"/>
        <v>0</v>
      </c>
      <c r="AA12" s="27">
        <f t="shared" si="1"/>
        <v>0</v>
      </c>
      <c r="AB12" s="27">
        <f t="shared" ref="AB12:AN12" si="2">SUBTOTAL(9,AB6:AB11)</f>
        <v>1182.4607457</v>
      </c>
      <c r="AC12" s="27">
        <f t="shared" si="2"/>
        <v>1175.3690948999997</v>
      </c>
      <c r="AD12" s="27">
        <f t="shared" si="2"/>
        <v>1254.5253533</v>
      </c>
      <c r="AE12" s="27">
        <f t="shared" si="2"/>
        <v>1217.1843907</v>
      </c>
      <c r="AF12" s="27">
        <f t="shared" si="2"/>
        <v>1266.6110046000001</v>
      </c>
      <c r="AG12" s="27">
        <f t="shared" si="2"/>
        <v>1326.0695411999998</v>
      </c>
      <c r="AH12" s="27">
        <f t="shared" si="2"/>
        <v>1362.0490841000001</v>
      </c>
      <c r="AI12" s="27">
        <f t="shared" si="2"/>
        <v>1469.0503820780377</v>
      </c>
      <c r="AJ12" s="27">
        <f t="shared" si="2"/>
        <v>1466.2121339999999</v>
      </c>
      <c r="AK12" s="27">
        <f t="shared" si="2"/>
        <v>0</v>
      </c>
      <c r="AL12" s="27">
        <f t="shared" si="2"/>
        <v>682.5</v>
      </c>
      <c r="AM12" s="27">
        <f t="shared" si="2"/>
        <v>0</v>
      </c>
      <c r="AN12" s="27">
        <f t="shared" si="2"/>
        <v>0</v>
      </c>
      <c r="AO12" s="26">
        <f t="shared" ref="AO12:BA12" si="3">SUM(AO6:AO11)</f>
        <v>31.508850000000002</v>
      </c>
      <c r="AP12" s="27">
        <f t="shared" si="3"/>
        <v>38.086529999999996</v>
      </c>
      <c r="AQ12" s="27">
        <f t="shared" si="3"/>
        <v>38.965420000000002</v>
      </c>
      <c r="AR12" s="27">
        <f t="shared" si="3"/>
        <v>54.46696</v>
      </c>
      <c r="AS12" s="27">
        <f t="shared" si="3"/>
        <v>40.093130000000002</v>
      </c>
      <c r="AT12" s="27">
        <f t="shared" si="3"/>
        <v>44.751220000000004</v>
      </c>
      <c r="AU12" s="27">
        <f t="shared" si="3"/>
        <v>43.568570000000001</v>
      </c>
      <c r="AV12" s="27">
        <f t="shared" si="3"/>
        <v>53.403120000000001</v>
      </c>
      <c r="AW12" s="27">
        <f t="shared" si="3"/>
        <v>52.088650000000001</v>
      </c>
      <c r="AX12" s="27">
        <f t="shared" si="3"/>
        <v>0</v>
      </c>
      <c r="AY12" s="27">
        <f t="shared" si="3"/>
        <v>38.183230000000002</v>
      </c>
      <c r="AZ12" s="27">
        <f t="shared" si="3"/>
        <v>0</v>
      </c>
      <c r="BA12" s="27">
        <f t="shared" si="3"/>
        <v>0</v>
      </c>
      <c r="BB12" s="28">
        <f t="shared" ref="BB12:CA12" si="4">SUBTOTAL(9,BB6:BB11)</f>
        <v>31.815663500000003</v>
      </c>
      <c r="BC12" s="29">
        <f t="shared" si="4"/>
        <v>54.596456999999994</v>
      </c>
      <c r="BD12" s="29">
        <f t="shared" si="4"/>
        <v>18.014620300000001</v>
      </c>
      <c r="BE12" s="29">
        <f t="shared" si="4"/>
        <v>25.871937299999999</v>
      </c>
      <c r="BF12" s="29">
        <f t="shared" si="4"/>
        <v>14.390751499999997</v>
      </c>
      <c r="BG12" s="29">
        <f t="shared" si="4"/>
        <v>-2.5332176</v>
      </c>
      <c r="BH12" s="29">
        <f t="shared" si="4"/>
        <v>16.846590770000002</v>
      </c>
      <c r="BI12" s="29">
        <f t="shared" si="4"/>
        <v>9.5225989000000002</v>
      </c>
      <c r="BJ12" s="29">
        <f t="shared" si="4"/>
        <v>20.925707199999998</v>
      </c>
      <c r="BK12" s="29">
        <f t="shared" si="4"/>
        <v>0</v>
      </c>
      <c r="BL12" s="29">
        <f t="shared" si="4"/>
        <v>-1.8</v>
      </c>
      <c r="BM12" s="29">
        <f t="shared" si="4"/>
        <v>0</v>
      </c>
      <c r="BN12" s="29">
        <f t="shared" si="4"/>
        <v>0</v>
      </c>
      <c r="BO12" s="28">
        <f t="shared" si="4"/>
        <v>0</v>
      </c>
      <c r="BP12" s="29">
        <f t="shared" si="4"/>
        <v>893.40156539999998</v>
      </c>
      <c r="BQ12" s="29">
        <f t="shared" si="4"/>
        <v>1046.8850897</v>
      </c>
      <c r="BR12" s="29">
        <f t="shared" si="4"/>
        <v>267.93215839999999</v>
      </c>
      <c r="BS12" s="29">
        <f t="shared" si="4"/>
        <v>169.9068426</v>
      </c>
      <c r="BT12" s="29">
        <f t="shared" si="4"/>
        <v>1.059032</v>
      </c>
      <c r="BU12" s="29">
        <f t="shared" si="4"/>
        <v>0</v>
      </c>
      <c r="BV12" s="29">
        <f t="shared" si="4"/>
        <v>0</v>
      </c>
      <c r="BW12" s="29">
        <f t="shared" si="4"/>
        <v>0</v>
      </c>
      <c r="BX12" s="29">
        <f t="shared" si="4"/>
        <v>0</v>
      </c>
      <c r="BY12" s="29">
        <f t="shared" si="4"/>
        <v>0</v>
      </c>
      <c r="BZ12" s="29">
        <f t="shared" si="4"/>
        <v>0</v>
      </c>
      <c r="CA12" s="29">
        <f t="shared" si="4"/>
        <v>0</v>
      </c>
      <c r="CB12" s="30">
        <f t="shared" ref="CB12:CN12" si="5">+BB12+AO12+AB12+O12</f>
        <v>10033.1939095</v>
      </c>
      <c r="CC12" s="31">
        <f t="shared" si="5"/>
        <v>9902.2878080999999</v>
      </c>
      <c r="CD12" s="31">
        <f t="shared" si="5"/>
        <v>10353.341671300001</v>
      </c>
      <c r="CE12" s="31">
        <f t="shared" si="5"/>
        <v>11236.316424100001</v>
      </c>
      <c r="CF12" s="31">
        <f t="shared" si="5"/>
        <v>11396.894557199999</v>
      </c>
      <c r="CG12" s="31">
        <f t="shared" si="5"/>
        <v>11477.682919799998</v>
      </c>
      <c r="CH12" s="31">
        <f t="shared" si="5"/>
        <v>11612.25088577</v>
      </c>
      <c r="CI12" s="31">
        <f t="shared" si="5"/>
        <v>11900.024522314532</v>
      </c>
      <c r="CJ12" s="31">
        <f t="shared" si="5"/>
        <v>12096.6683268</v>
      </c>
      <c r="CK12" s="31">
        <f t="shared" si="5"/>
        <v>0</v>
      </c>
      <c r="CL12" s="31">
        <f t="shared" si="5"/>
        <v>5708.6090600000007</v>
      </c>
      <c r="CM12" s="31">
        <f t="shared" si="5"/>
        <v>0</v>
      </c>
      <c r="CN12" s="31">
        <f t="shared" si="5"/>
        <v>0</v>
      </c>
      <c r="CO12" s="30">
        <f t="shared" ref="CO12:DA12" si="6">SUM(CO6:CO11)</f>
        <v>6438.4023036999988</v>
      </c>
      <c r="CP12" s="31">
        <f t="shared" si="6"/>
        <v>6525.7590140000002</v>
      </c>
      <c r="CQ12" s="31">
        <f t="shared" si="6"/>
        <v>6684.1985289000004</v>
      </c>
      <c r="CR12" s="31">
        <f t="shared" si="6"/>
        <v>7714.3313888000002</v>
      </c>
      <c r="CS12" s="31">
        <f t="shared" si="6"/>
        <v>7597.2829994000003</v>
      </c>
      <c r="CT12" s="31">
        <f t="shared" si="6"/>
        <v>7546.2993150999991</v>
      </c>
      <c r="CU12" s="31">
        <f t="shared" si="6"/>
        <v>7727.7962692700012</v>
      </c>
      <c r="CV12" s="31">
        <f t="shared" si="6"/>
        <v>8009.4906260311827</v>
      </c>
      <c r="CW12" s="31">
        <f t="shared" si="6"/>
        <v>8274.1552640999998</v>
      </c>
      <c r="CX12" s="31">
        <f t="shared" si="6"/>
        <v>0</v>
      </c>
      <c r="CY12" s="31">
        <f t="shared" si="6"/>
        <v>3577.9576400000001</v>
      </c>
      <c r="CZ12" s="31">
        <f t="shared" si="6"/>
        <v>0</v>
      </c>
      <c r="DA12" s="31">
        <f t="shared" si="6"/>
        <v>0</v>
      </c>
      <c r="DB12" s="32">
        <f t="shared" ref="DB12:DG12" si="7">+AB12/CB12</f>
        <v>0.1178548681871262</v>
      </c>
      <c r="DC12" s="33">
        <f t="shared" si="7"/>
        <v>0.11869672116968326</v>
      </c>
      <c r="DD12" s="33">
        <f t="shared" si="7"/>
        <v>0.1211710569523277</v>
      </c>
      <c r="DE12" s="33">
        <f t="shared" si="7"/>
        <v>0.1083259268214755</v>
      </c>
      <c r="DF12" s="33">
        <f t="shared" si="7"/>
        <v>0.11113650286426642</v>
      </c>
      <c r="DG12" s="33">
        <f t="shared" si="7"/>
        <v>0.11553460314820292</v>
      </c>
      <c r="DH12" s="33">
        <f t="shared" ref="DH12:DN12" si="8">IFERROR((+AH12/CH12),0)</f>
        <v>0.11729414886902727</v>
      </c>
      <c r="DI12" s="33">
        <f t="shared" si="8"/>
        <v>0.12344935754740026</v>
      </c>
      <c r="DJ12" s="33">
        <f t="shared" si="8"/>
        <v>0.12120793051353052</v>
      </c>
      <c r="DK12" s="33">
        <f t="shared" si="8"/>
        <v>0</v>
      </c>
      <c r="DL12" s="33">
        <f t="shared" si="8"/>
        <v>0.11955626893112206</v>
      </c>
      <c r="DM12" s="33">
        <f t="shared" si="8"/>
        <v>0</v>
      </c>
      <c r="DN12" s="34">
        <f t="shared" si="8"/>
        <v>0</v>
      </c>
      <c r="DO12" s="35">
        <f t="shared" ref="DO12:EA12" si="9">SUM(DO6:DO11)</f>
        <v>8586158.6232066676</v>
      </c>
      <c r="DP12" s="35">
        <f t="shared" si="9"/>
        <v>8382211.9274437744</v>
      </c>
      <c r="DQ12" s="35">
        <f t="shared" si="9"/>
        <v>8330758.4666199991</v>
      </c>
      <c r="DR12" s="35">
        <f t="shared" si="9"/>
        <v>8334624.0748166665</v>
      </c>
      <c r="DS12" s="35">
        <f t="shared" si="9"/>
        <v>8196206.2867435049</v>
      </c>
      <c r="DT12" s="35">
        <f t="shared" si="9"/>
        <v>8018514.689423997</v>
      </c>
      <c r="DU12" s="35">
        <f t="shared" si="9"/>
        <v>7924309.2499799998</v>
      </c>
      <c r="DV12" s="35">
        <f t="shared" si="9"/>
        <v>7896049.3989899997</v>
      </c>
      <c r="DW12" s="35">
        <f t="shared" si="9"/>
        <v>7901887.3491699994</v>
      </c>
      <c r="DX12" s="35">
        <f t="shared" si="9"/>
        <v>0</v>
      </c>
      <c r="DY12" s="35">
        <f t="shared" si="9"/>
        <v>4074529.8714299998</v>
      </c>
      <c r="DZ12" s="35">
        <f t="shared" si="9"/>
        <v>0</v>
      </c>
      <c r="EA12" s="35">
        <f t="shared" si="9"/>
        <v>0</v>
      </c>
      <c r="EB12" s="35">
        <f t="shared" ref="EB12:EN12" si="10">SUM(EB6:EB11)</f>
        <v>278980</v>
      </c>
      <c r="EC12" s="35">
        <f t="shared" si="10"/>
        <v>284085</v>
      </c>
      <c r="ED12" s="35">
        <f t="shared" si="10"/>
        <v>303368</v>
      </c>
      <c r="EE12" s="35">
        <f t="shared" si="10"/>
        <v>305127</v>
      </c>
      <c r="EF12" s="35">
        <f t="shared" si="10"/>
        <v>305159</v>
      </c>
      <c r="EG12" s="35">
        <f t="shared" si="10"/>
        <v>255856.08</v>
      </c>
      <c r="EH12" s="35">
        <f t="shared" si="10"/>
        <v>263311.43</v>
      </c>
      <c r="EI12" s="35">
        <f t="shared" si="10"/>
        <v>274353</v>
      </c>
      <c r="EJ12" s="35">
        <f t="shared" si="10"/>
        <v>172316.68</v>
      </c>
      <c r="EK12" s="35">
        <f t="shared" si="10"/>
        <v>0</v>
      </c>
      <c r="EL12" s="35">
        <f t="shared" si="10"/>
        <v>179803.34</v>
      </c>
      <c r="EM12" s="35">
        <f t="shared" si="10"/>
        <v>0</v>
      </c>
      <c r="EN12" s="35">
        <f t="shared" si="10"/>
        <v>0</v>
      </c>
      <c r="EO12" s="35">
        <f t="shared" ref="EO12:FA12" si="11">SUBTOTAL(9,EO6:EO11)</f>
        <v>307281309.99000001</v>
      </c>
      <c r="EP12" s="35">
        <f t="shared" si="11"/>
        <v>198068276.76046002</v>
      </c>
      <c r="EQ12" s="35">
        <f t="shared" si="11"/>
        <v>194134591.01591998</v>
      </c>
      <c r="ER12" s="35">
        <f t="shared" si="11"/>
        <v>246894761.85870001</v>
      </c>
      <c r="ES12" s="35">
        <f t="shared" si="11"/>
        <v>266393659.22327</v>
      </c>
      <c r="ET12" s="35">
        <f t="shared" si="11"/>
        <v>275050676.10455</v>
      </c>
      <c r="EU12" s="35">
        <f t="shared" si="11"/>
        <v>272441117.25652003</v>
      </c>
      <c r="EV12" s="35">
        <f t="shared" si="11"/>
        <v>236189824.59628001</v>
      </c>
      <c r="EW12" s="35">
        <f t="shared" si="11"/>
        <v>184375015.70901999</v>
      </c>
      <c r="EX12" s="35">
        <f t="shared" si="11"/>
        <v>0</v>
      </c>
      <c r="EY12" s="35">
        <f t="shared" si="11"/>
        <v>172969831.23730001</v>
      </c>
      <c r="EZ12" s="35">
        <f t="shared" si="11"/>
        <v>0</v>
      </c>
      <c r="FA12" s="35">
        <f t="shared" si="11"/>
        <v>0</v>
      </c>
      <c r="FB12" s="35">
        <f t="shared" ref="FB12:FN12" si="12">SUM(FB6:FB11)</f>
        <v>14082237</v>
      </c>
      <c r="FC12" s="35">
        <f t="shared" si="12"/>
        <v>13905813</v>
      </c>
      <c r="FD12" s="35">
        <f t="shared" si="12"/>
        <v>15423275.5</v>
      </c>
      <c r="FE12" s="35">
        <f t="shared" si="12"/>
        <v>15504231</v>
      </c>
      <c r="FF12" s="35">
        <f t="shared" si="12"/>
        <v>15621268</v>
      </c>
      <c r="FG12" s="35">
        <f t="shared" si="12"/>
        <v>15386409</v>
      </c>
      <c r="FH12" s="35">
        <f t="shared" si="12"/>
        <v>15965953</v>
      </c>
      <c r="FI12" s="35">
        <f t="shared" si="12"/>
        <v>17039978.009999998</v>
      </c>
      <c r="FJ12" s="35">
        <f t="shared" si="12"/>
        <v>12195038</v>
      </c>
      <c r="FK12" s="35">
        <f t="shared" si="12"/>
        <v>0</v>
      </c>
      <c r="FL12" s="35">
        <f t="shared" si="12"/>
        <v>9116589.5999999996</v>
      </c>
      <c r="FM12" s="35">
        <f t="shared" si="12"/>
        <v>0</v>
      </c>
      <c r="FN12" s="35">
        <f t="shared" si="12"/>
        <v>0</v>
      </c>
    </row>
    <row r="13" spans="1:170" ht="16.5" customHeight="1" thickTop="1" x14ac:dyDescent="0.25">
      <c r="A13" s="36" t="s">
        <v>45</v>
      </c>
      <c r="CC13" s="37"/>
      <c r="CD13" s="37"/>
      <c r="CE13" s="37"/>
      <c r="CF13" s="37"/>
      <c r="CG13" s="37"/>
      <c r="CH13" s="37"/>
      <c r="CI13" s="37"/>
      <c r="CJ13" s="37"/>
      <c r="CK13" s="37"/>
      <c r="CL13" s="37"/>
      <c r="CM13" s="37"/>
      <c r="CN13" s="37"/>
      <c r="EO13" s="272" t="s">
        <v>304</v>
      </c>
    </row>
    <row r="14" spans="1:170" x14ac:dyDescent="0.25">
      <c r="A14" s="36"/>
    </row>
    <row r="15" spans="1:170" x14ac:dyDescent="0.25">
      <c r="A15" s="36" t="s">
        <v>46</v>
      </c>
      <c r="B15" s="39">
        <f t="shared" ref="B15:M15" si="13">+BB15</f>
        <v>1</v>
      </c>
      <c r="C15" s="39">
        <f t="shared" si="13"/>
        <v>1.0209999999999999</v>
      </c>
      <c r="D15" s="39">
        <f t="shared" si="13"/>
        <v>1.0383569999999998</v>
      </c>
      <c r="E15" s="39">
        <f t="shared" si="13"/>
        <v>1.0767762089999997</v>
      </c>
      <c r="F15" s="39">
        <f t="shared" si="13"/>
        <v>1.1069259428519997</v>
      </c>
      <c r="G15" s="39">
        <f t="shared" si="13"/>
        <v>1.1512029805660797</v>
      </c>
      <c r="H15" s="39">
        <f t="shared" si="13"/>
        <v>1.1937974908470246</v>
      </c>
      <c r="I15" s="39">
        <f t="shared" si="13"/>
        <v>1.2308052130632823</v>
      </c>
      <c r="J15" s="39">
        <f t="shared" si="13"/>
        <v>1.2308052130632823</v>
      </c>
      <c r="K15" s="39">
        <f t="shared" si="13"/>
        <v>1.2308052130632823</v>
      </c>
      <c r="L15" s="39">
        <f>+BL15</f>
        <v>0</v>
      </c>
      <c r="M15" s="39">
        <f t="shared" si="13"/>
        <v>0</v>
      </c>
      <c r="N15" s="39"/>
      <c r="O15" s="39">
        <f t="shared" ref="O15:X15" si="14">+B15</f>
        <v>1</v>
      </c>
      <c r="P15" s="39">
        <f t="shared" si="14"/>
        <v>1.0209999999999999</v>
      </c>
      <c r="Q15" s="39">
        <f t="shared" si="14"/>
        <v>1.0383569999999998</v>
      </c>
      <c r="R15" s="39">
        <f t="shared" si="14"/>
        <v>1.0767762089999997</v>
      </c>
      <c r="S15" s="39">
        <f t="shared" si="14"/>
        <v>1.1069259428519997</v>
      </c>
      <c r="T15" s="39">
        <f t="shared" si="14"/>
        <v>1.1512029805660797</v>
      </c>
      <c r="U15" s="39">
        <f t="shared" si="14"/>
        <v>1.1937974908470246</v>
      </c>
      <c r="V15" s="39">
        <f t="shared" si="14"/>
        <v>1.2308052130632823</v>
      </c>
      <c r="W15" s="39">
        <f t="shared" si="14"/>
        <v>1.2308052130632823</v>
      </c>
      <c r="X15" s="39">
        <f t="shared" si="14"/>
        <v>1.2308052130632823</v>
      </c>
      <c r="Y15" s="39"/>
      <c r="Z15" s="39"/>
      <c r="AA15" s="39"/>
      <c r="AB15" s="39">
        <f t="shared" ref="AB15:AK15" si="15">+O15</f>
        <v>1</v>
      </c>
      <c r="AC15" s="39">
        <f t="shared" si="15"/>
        <v>1.0209999999999999</v>
      </c>
      <c r="AD15" s="39">
        <f t="shared" si="15"/>
        <v>1.0383569999999998</v>
      </c>
      <c r="AE15" s="39">
        <f t="shared" si="15"/>
        <v>1.0767762089999997</v>
      </c>
      <c r="AF15" s="39">
        <f t="shared" si="15"/>
        <v>1.1069259428519997</v>
      </c>
      <c r="AG15" s="39">
        <f t="shared" si="15"/>
        <v>1.1512029805660797</v>
      </c>
      <c r="AH15" s="39">
        <f t="shared" si="15"/>
        <v>1.1937974908470246</v>
      </c>
      <c r="AI15" s="39">
        <f t="shared" si="15"/>
        <v>1.2308052130632823</v>
      </c>
      <c r="AJ15" s="39">
        <f t="shared" si="15"/>
        <v>1.2308052130632823</v>
      </c>
      <c r="AK15" s="39">
        <f t="shared" si="15"/>
        <v>1.2308052130632823</v>
      </c>
      <c r="AL15" s="39"/>
      <c r="AM15" s="39"/>
      <c r="AN15" s="39"/>
      <c r="AO15" s="39">
        <f t="shared" ref="AO15:AX15" si="16">+AB15</f>
        <v>1</v>
      </c>
      <c r="AP15" s="39">
        <f t="shared" si="16"/>
        <v>1.0209999999999999</v>
      </c>
      <c r="AQ15" s="39">
        <f t="shared" si="16"/>
        <v>1.0383569999999998</v>
      </c>
      <c r="AR15" s="39">
        <f t="shared" si="16"/>
        <v>1.0767762089999997</v>
      </c>
      <c r="AS15" s="39">
        <f t="shared" si="16"/>
        <v>1.1069259428519997</v>
      </c>
      <c r="AT15" s="39">
        <f t="shared" si="16"/>
        <v>1.1512029805660797</v>
      </c>
      <c r="AU15" s="39">
        <f t="shared" si="16"/>
        <v>1.1937974908470246</v>
      </c>
      <c r="AV15" s="39">
        <f t="shared" si="16"/>
        <v>1.2308052130632823</v>
      </c>
      <c r="AW15" s="39">
        <f t="shared" si="16"/>
        <v>1.2308052130632823</v>
      </c>
      <c r="AX15" s="39">
        <f t="shared" si="16"/>
        <v>1.2308052130632823</v>
      </c>
      <c r="AY15" s="39"/>
      <c r="AZ15" s="39"/>
      <c r="BA15" s="39"/>
      <c r="BB15" s="40">
        <f>+'PL fra KL'!M33</f>
        <v>1</v>
      </c>
      <c r="BC15" s="40">
        <f>+'PL fra KL'!M34</f>
        <v>1.0209999999999999</v>
      </c>
      <c r="BD15" s="40">
        <f>+'PL fra KL'!M35</f>
        <v>1.0383569999999998</v>
      </c>
      <c r="BE15" s="40">
        <f>+'PL fra KL'!M36</f>
        <v>1.0767762089999997</v>
      </c>
      <c r="BF15" s="40">
        <f>+'PL fra KL'!M37</f>
        <v>1.1069259428519997</v>
      </c>
      <c r="BG15" s="40">
        <f>+'PL fra KL'!M38</f>
        <v>1.1512029805660797</v>
      </c>
      <c r="BH15" s="40">
        <f>+'PL fra KL'!M39</f>
        <v>1.1937974908470246</v>
      </c>
      <c r="BI15" s="40">
        <f>'PL fra KL'!M40</f>
        <v>1.2308052130632823</v>
      </c>
      <c r="BJ15" s="40">
        <f>'PL fra KL'!M40</f>
        <v>1.2308052130632823</v>
      </c>
      <c r="BK15" s="40">
        <f>'PL fra KL'!M40</f>
        <v>1.2308052130632823</v>
      </c>
      <c r="BL15" s="40"/>
      <c r="BM15" s="40"/>
      <c r="BN15" s="40"/>
      <c r="BO15" s="39">
        <f t="shared" ref="BO15:BX15" si="17">+BB15</f>
        <v>1</v>
      </c>
      <c r="BP15" s="39">
        <f t="shared" si="17"/>
        <v>1.0209999999999999</v>
      </c>
      <c r="BQ15" s="39">
        <f t="shared" si="17"/>
        <v>1.0383569999999998</v>
      </c>
      <c r="BR15" s="39">
        <f t="shared" si="17"/>
        <v>1.0767762089999997</v>
      </c>
      <c r="BS15" s="39">
        <f t="shared" si="17"/>
        <v>1.1069259428519997</v>
      </c>
      <c r="BT15" s="39">
        <f t="shared" si="17"/>
        <v>1.1512029805660797</v>
      </c>
      <c r="BU15" s="39">
        <f t="shared" si="17"/>
        <v>1.1937974908470246</v>
      </c>
      <c r="BV15" s="39">
        <f t="shared" si="17"/>
        <v>1.2308052130632823</v>
      </c>
      <c r="BW15" s="39">
        <f t="shared" si="17"/>
        <v>1.2308052130632823</v>
      </c>
      <c r="BX15" s="39">
        <f t="shared" si="17"/>
        <v>1.2308052130632823</v>
      </c>
      <c r="BY15" s="39"/>
      <c r="BZ15" s="39"/>
      <c r="CA15" s="39"/>
      <c r="CB15" s="39">
        <f t="shared" ref="CB15:CK15" si="18">+BO15</f>
        <v>1</v>
      </c>
      <c r="CC15" s="39">
        <f t="shared" si="18"/>
        <v>1.0209999999999999</v>
      </c>
      <c r="CD15" s="39">
        <f t="shared" si="18"/>
        <v>1.0383569999999998</v>
      </c>
      <c r="CE15" s="39">
        <f t="shared" si="18"/>
        <v>1.0767762089999997</v>
      </c>
      <c r="CF15" s="39">
        <f t="shared" si="18"/>
        <v>1.1069259428519997</v>
      </c>
      <c r="CG15" s="39">
        <f t="shared" si="18"/>
        <v>1.1512029805660797</v>
      </c>
      <c r="CH15" s="39">
        <f t="shared" si="18"/>
        <v>1.1937974908470246</v>
      </c>
      <c r="CI15" s="39">
        <f t="shared" si="18"/>
        <v>1.2308052130632823</v>
      </c>
      <c r="CJ15" s="39">
        <f t="shared" si="18"/>
        <v>1.2308052130632823</v>
      </c>
      <c r="CK15" s="39">
        <f t="shared" si="18"/>
        <v>1.2308052130632823</v>
      </c>
      <c r="CL15" s="39"/>
      <c r="CM15" s="39"/>
      <c r="CN15" s="39"/>
      <c r="CO15" s="39">
        <f t="shared" ref="CO15:CX15" si="19">+CB15</f>
        <v>1</v>
      </c>
      <c r="CP15" s="39">
        <f t="shared" si="19"/>
        <v>1.0209999999999999</v>
      </c>
      <c r="CQ15" s="39">
        <f t="shared" si="19"/>
        <v>1.0383569999999998</v>
      </c>
      <c r="CR15" s="39">
        <f t="shared" si="19"/>
        <v>1.0767762089999997</v>
      </c>
      <c r="CS15" s="39">
        <f t="shared" si="19"/>
        <v>1.1069259428519997</v>
      </c>
      <c r="CT15" s="39">
        <f t="shared" si="19"/>
        <v>1.1512029805660797</v>
      </c>
      <c r="CU15" s="39">
        <f t="shared" si="19"/>
        <v>1.1937974908470246</v>
      </c>
      <c r="CV15" s="39">
        <f t="shared" si="19"/>
        <v>1.2308052130632823</v>
      </c>
      <c r="CW15" s="39">
        <f t="shared" si="19"/>
        <v>1.2308052130632823</v>
      </c>
      <c r="CX15" s="39">
        <f t="shared" si="19"/>
        <v>1.2308052130632823</v>
      </c>
      <c r="CY15" s="39"/>
      <c r="CZ15" s="39"/>
      <c r="DA15" s="39"/>
      <c r="DO15" s="41">
        <v>1</v>
      </c>
      <c r="DP15" s="41">
        <v>1</v>
      </c>
      <c r="DQ15" s="41">
        <v>1</v>
      </c>
      <c r="DR15" s="41">
        <v>1</v>
      </c>
      <c r="DS15" s="41">
        <v>1</v>
      </c>
      <c r="DT15" s="41">
        <v>1</v>
      </c>
      <c r="DU15" s="41">
        <v>1</v>
      </c>
      <c r="DV15" s="41">
        <v>1</v>
      </c>
      <c r="DW15" s="41">
        <v>1</v>
      </c>
      <c r="DX15" s="41">
        <v>1</v>
      </c>
      <c r="DY15" s="41">
        <v>1</v>
      </c>
      <c r="DZ15" s="41">
        <v>1</v>
      </c>
      <c r="EA15" s="42">
        <v>1</v>
      </c>
      <c r="EB15" s="42">
        <v>1</v>
      </c>
      <c r="EC15" s="42">
        <v>1</v>
      </c>
      <c r="ED15" s="42">
        <v>1</v>
      </c>
      <c r="EE15" s="42">
        <v>1</v>
      </c>
      <c r="EF15" s="42">
        <v>1</v>
      </c>
      <c r="EG15" s="42">
        <v>1</v>
      </c>
      <c r="EH15" s="42">
        <v>1</v>
      </c>
      <c r="EI15" s="42">
        <v>1</v>
      </c>
      <c r="EJ15" s="42">
        <v>1</v>
      </c>
      <c r="EK15" s="42">
        <v>1</v>
      </c>
      <c r="EL15" s="42">
        <v>1</v>
      </c>
      <c r="EM15" s="42">
        <v>1</v>
      </c>
      <c r="EN15" s="42">
        <v>1</v>
      </c>
      <c r="EO15" s="42">
        <v>1</v>
      </c>
      <c r="EP15" s="42">
        <v>1</v>
      </c>
      <c r="EQ15" s="42">
        <v>1</v>
      </c>
      <c r="ER15" s="42">
        <v>1</v>
      </c>
      <c r="ES15" s="42">
        <v>1</v>
      </c>
      <c r="ET15" s="42">
        <v>1</v>
      </c>
      <c r="EU15" s="42">
        <v>1</v>
      </c>
      <c r="EV15" s="42">
        <v>1</v>
      </c>
      <c r="EW15" s="42">
        <v>1</v>
      </c>
      <c r="EX15" s="42">
        <v>1</v>
      </c>
      <c r="EY15" s="42">
        <v>1</v>
      </c>
      <c r="EZ15" s="42">
        <v>1</v>
      </c>
      <c r="FA15" s="42">
        <v>1</v>
      </c>
      <c r="FB15" s="42">
        <v>1</v>
      </c>
      <c r="FC15" s="42">
        <v>1</v>
      </c>
      <c r="FD15" s="42">
        <v>1</v>
      </c>
      <c r="FE15" s="42">
        <v>1</v>
      </c>
      <c r="FF15" s="42">
        <v>1</v>
      </c>
      <c r="FG15" s="42">
        <v>1</v>
      </c>
      <c r="FH15" s="42">
        <v>1</v>
      </c>
      <c r="FI15" s="42">
        <v>1</v>
      </c>
      <c r="FJ15" s="42">
        <v>1</v>
      </c>
      <c r="FK15" s="42">
        <v>1</v>
      </c>
      <c r="FL15" s="42">
        <v>1</v>
      </c>
      <c r="FM15" s="42">
        <v>1</v>
      </c>
      <c r="FN15" s="42">
        <v>1</v>
      </c>
    </row>
    <row r="16" spans="1:170" x14ac:dyDescent="0.25">
      <c r="A16" s="36" t="s">
        <v>47</v>
      </c>
      <c r="BB16" s="40"/>
      <c r="BC16" s="40"/>
      <c r="BD16" s="40"/>
      <c r="BE16" s="40"/>
      <c r="BF16" s="40"/>
      <c r="BG16" s="40"/>
      <c r="BH16" s="40"/>
      <c r="BI16" s="40"/>
      <c r="BJ16" s="40"/>
      <c r="BK16" s="40"/>
      <c r="BL16" s="40"/>
      <c r="BM16" s="40"/>
      <c r="BN16" s="40"/>
      <c r="BO16" s="39"/>
      <c r="BP16" s="39"/>
      <c r="BQ16" s="39"/>
      <c r="BR16" s="39"/>
      <c r="BS16" s="39"/>
      <c r="BT16" s="39"/>
      <c r="BU16" s="39"/>
      <c r="BV16" s="39"/>
      <c r="BW16" s="39"/>
      <c r="BX16" s="39"/>
      <c r="BY16" s="39"/>
      <c r="BZ16" s="39"/>
      <c r="CA16" s="39"/>
    </row>
    <row r="17" spans="1:158" x14ac:dyDescent="0.25">
      <c r="A17" s="43" t="s">
        <v>48</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5"/>
      <c r="DO17" s="44"/>
      <c r="DP17" s="44"/>
      <c r="DQ17" s="44"/>
      <c r="DR17" s="44"/>
      <c r="DS17" s="44"/>
      <c r="DT17" s="44"/>
      <c r="DU17" s="44"/>
      <c r="DV17" s="44"/>
      <c r="DW17" s="44"/>
      <c r="DX17" s="44"/>
      <c r="DY17" s="44"/>
      <c r="DZ17" s="44"/>
      <c r="EA17" s="45"/>
      <c r="EB17" s="44"/>
      <c r="EC17" s="44"/>
      <c r="ED17" s="44"/>
      <c r="EE17" s="44"/>
      <c r="EF17" s="44"/>
      <c r="EG17" s="44"/>
      <c r="EH17" s="44"/>
      <c r="EI17" s="44"/>
      <c r="EJ17" s="44"/>
      <c r="EK17" s="44"/>
      <c r="EL17" s="44"/>
      <c r="EM17" s="44"/>
      <c r="EN17" s="45"/>
      <c r="EO17" s="44"/>
      <c r="EP17" s="44"/>
      <c r="EQ17" s="44"/>
      <c r="ER17" s="44"/>
      <c r="ES17" s="44"/>
      <c r="ET17" s="44"/>
      <c r="EU17" s="44"/>
      <c r="EV17" s="44"/>
      <c r="EW17" s="44"/>
      <c r="EX17" s="44"/>
      <c r="EY17" s="44"/>
      <c r="EZ17" s="44"/>
      <c r="FA17" s="45"/>
    </row>
    <row r="18" spans="1:158" s="6" customFormat="1" ht="40.5" customHeight="1" x14ac:dyDescent="0.25">
      <c r="A18" s="46"/>
      <c r="B18" s="315" t="s">
        <v>26</v>
      </c>
      <c r="C18" s="315"/>
      <c r="D18" s="315"/>
      <c r="E18" s="315"/>
      <c r="F18" s="315"/>
      <c r="G18" s="315"/>
      <c r="H18" s="315"/>
      <c r="I18" s="315"/>
      <c r="J18" s="315"/>
      <c r="K18" s="315"/>
      <c r="L18" s="315"/>
      <c r="M18" s="315"/>
      <c r="N18" s="315"/>
      <c r="O18" s="316" t="s">
        <v>27</v>
      </c>
      <c r="P18" s="316"/>
      <c r="Q18" s="316"/>
      <c r="R18" s="316"/>
      <c r="S18" s="316"/>
      <c r="T18" s="316"/>
      <c r="U18" s="316"/>
      <c r="V18" s="316"/>
      <c r="W18" s="316"/>
      <c r="X18" s="316"/>
      <c r="Y18" s="316"/>
      <c r="Z18" s="316"/>
      <c r="AA18" s="316"/>
      <c r="AB18" s="317" t="s">
        <v>28</v>
      </c>
      <c r="AC18" s="317"/>
      <c r="AD18" s="317"/>
      <c r="AE18" s="317"/>
      <c r="AF18" s="317"/>
      <c r="AG18" s="317"/>
      <c r="AH18" s="317"/>
      <c r="AI18" s="317"/>
      <c r="AJ18" s="317"/>
      <c r="AK18" s="317"/>
      <c r="AL18" s="317"/>
      <c r="AM18" s="317"/>
      <c r="AN18" s="317"/>
      <c r="AO18" s="317" t="s">
        <v>29</v>
      </c>
      <c r="AP18" s="317"/>
      <c r="AQ18" s="317"/>
      <c r="AR18" s="317"/>
      <c r="AS18" s="317"/>
      <c r="AT18" s="317"/>
      <c r="AU18" s="317"/>
      <c r="AV18" s="317"/>
      <c r="AW18" s="317"/>
      <c r="AX18" s="317"/>
      <c r="AY18" s="317"/>
      <c r="AZ18" s="317"/>
      <c r="BA18" s="317"/>
      <c r="BB18" s="317" t="s">
        <v>30</v>
      </c>
      <c r="BC18" s="317"/>
      <c r="BD18" s="317"/>
      <c r="BE18" s="317"/>
      <c r="BF18" s="317"/>
      <c r="BG18" s="317"/>
      <c r="BH18" s="317"/>
      <c r="BI18" s="317"/>
      <c r="BJ18" s="317"/>
      <c r="BK18" s="317"/>
      <c r="BL18" s="317"/>
      <c r="BM18" s="317"/>
      <c r="BN18" s="317"/>
      <c r="BO18" s="317" t="s">
        <v>31</v>
      </c>
      <c r="BP18" s="317"/>
      <c r="BQ18" s="317"/>
      <c r="BR18" s="317"/>
      <c r="BS18" s="317"/>
      <c r="BT18" s="317"/>
      <c r="BU18" s="317"/>
      <c r="BV18" s="317"/>
      <c r="BW18" s="317"/>
      <c r="BX18" s="317"/>
      <c r="BY18" s="317"/>
      <c r="BZ18" s="317"/>
      <c r="CA18" s="317"/>
      <c r="CB18" s="317" t="s">
        <v>32</v>
      </c>
      <c r="CC18" s="317"/>
      <c r="CD18" s="317"/>
      <c r="CE18" s="317"/>
      <c r="CF18" s="317"/>
      <c r="CG18" s="317"/>
      <c r="CH18" s="317"/>
      <c r="CI18" s="317"/>
      <c r="CJ18" s="317"/>
      <c r="CK18" s="317"/>
      <c r="CL18" s="317"/>
      <c r="CM18" s="317"/>
      <c r="CN18" s="317"/>
      <c r="CO18" s="317" t="s">
        <v>33</v>
      </c>
      <c r="CP18" s="317"/>
      <c r="CQ18" s="317"/>
      <c r="CR18" s="317"/>
      <c r="CS18" s="317"/>
      <c r="CT18" s="317"/>
      <c r="CU18" s="317"/>
      <c r="CV18" s="317"/>
      <c r="CW18" s="317"/>
      <c r="CX18" s="317"/>
      <c r="CY18" s="317"/>
      <c r="CZ18" s="317"/>
      <c r="DA18" s="317"/>
      <c r="DB18" s="317" t="s">
        <v>34</v>
      </c>
      <c r="DC18" s="317"/>
      <c r="DD18" s="317"/>
      <c r="DE18" s="317"/>
      <c r="DF18" s="317"/>
      <c r="DG18" s="317"/>
      <c r="DH18" s="317"/>
      <c r="DI18" s="317"/>
      <c r="DJ18" s="317"/>
      <c r="DK18" s="317"/>
      <c r="DL18" s="317"/>
      <c r="DM18" s="317"/>
      <c r="DN18" s="317"/>
      <c r="DO18" s="317" t="s">
        <v>35</v>
      </c>
      <c r="DP18" s="317"/>
      <c r="DQ18" s="317"/>
      <c r="DR18" s="317"/>
      <c r="DS18" s="317"/>
      <c r="DT18" s="317"/>
      <c r="DU18" s="317"/>
      <c r="DV18" s="317"/>
      <c r="DW18" s="317"/>
      <c r="DX18" s="317"/>
      <c r="DY18" s="317"/>
      <c r="DZ18" s="317"/>
      <c r="EA18" s="317"/>
      <c r="EB18" s="317" t="s">
        <v>36</v>
      </c>
      <c r="EC18" s="317"/>
      <c r="ED18" s="317"/>
      <c r="EE18" s="317"/>
      <c r="EF18" s="317"/>
      <c r="EG18" s="317"/>
      <c r="EH18" s="317"/>
      <c r="EI18" s="317"/>
      <c r="EJ18" s="317"/>
      <c r="EK18" s="317"/>
      <c r="EL18" s="317"/>
      <c r="EM18" s="317"/>
      <c r="EN18" s="317"/>
      <c r="EO18" s="317" t="s">
        <v>49</v>
      </c>
      <c r="EP18" s="317"/>
      <c r="EQ18" s="317"/>
      <c r="ER18" s="317"/>
      <c r="ES18" s="317"/>
      <c r="ET18" s="317"/>
      <c r="EU18" s="317"/>
      <c r="EV18" s="317"/>
      <c r="EW18" s="317"/>
      <c r="EX18" s="317"/>
      <c r="EY18" s="317"/>
      <c r="EZ18" s="317"/>
      <c r="FA18" s="317"/>
    </row>
    <row r="19" spans="1:158" s="12" customFormat="1" x14ac:dyDescent="0.25">
      <c r="A19" s="47"/>
      <c r="B19" s="48" t="s">
        <v>310</v>
      </c>
      <c r="C19" s="49" t="s">
        <v>311</v>
      </c>
      <c r="D19" s="49" t="s">
        <v>312</v>
      </c>
      <c r="E19" s="49" t="s">
        <v>313</v>
      </c>
      <c r="F19" s="50" t="s">
        <v>314</v>
      </c>
      <c r="G19" s="50" t="s">
        <v>315</v>
      </c>
      <c r="H19" s="50" t="s">
        <v>42</v>
      </c>
      <c r="I19" s="50" t="s">
        <v>43</v>
      </c>
      <c r="J19" s="50" t="s">
        <v>37</v>
      </c>
      <c r="K19" s="50" t="s">
        <v>38</v>
      </c>
      <c r="L19" s="50" t="s">
        <v>39</v>
      </c>
      <c r="M19" s="50" t="s">
        <v>40</v>
      </c>
      <c r="N19" s="50" t="s">
        <v>41</v>
      </c>
      <c r="O19" s="49" t="s">
        <v>310</v>
      </c>
      <c r="P19" s="49" t="s">
        <v>311</v>
      </c>
      <c r="Q19" s="49" t="s">
        <v>312</v>
      </c>
      <c r="R19" s="49" t="s">
        <v>313</v>
      </c>
      <c r="S19" s="50" t="s">
        <v>314</v>
      </c>
      <c r="T19" s="50" t="s">
        <v>315</v>
      </c>
      <c r="U19" s="50" t="s">
        <v>42</v>
      </c>
      <c r="V19" s="50" t="s">
        <v>43</v>
      </c>
      <c r="W19" s="50" t="s">
        <v>37</v>
      </c>
      <c r="X19" s="50" t="s">
        <v>38</v>
      </c>
      <c r="Y19" s="50" t="s">
        <v>39</v>
      </c>
      <c r="Z19" s="50" t="s">
        <v>40</v>
      </c>
      <c r="AA19" s="50" t="s">
        <v>41</v>
      </c>
      <c r="AB19" s="48" t="s">
        <v>310</v>
      </c>
      <c r="AC19" s="49" t="s">
        <v>311</v>
      </c>
      <c r="AD19" s="49" t="s">
        <v>312</v>
      </c>
      <c r="AE19" s="49" t="s">
        <v>313</v>
      </c>
      <c r="AF19" s="50" t="s">
        <v>314</v>
      </c>
      <c r="AG19" s="50" t="s">
        <v>315</v>
      </c>
      <c r="AH19" s="50" t="s">
        <v>42</v>
      </c>
      <c r="AI19" s="50" t="s">
        <v>43</v>
      </c>
      <c r="AJ19" s="50" t="s">
        <v>37</v>
      </c>
      <c r="AK19" s="50" t="s">
        <v>38</v>
      </c>
      <c r="AL19" s="50" t="s">
        <v>39</v>
      </c>
      <c r="AM19" s="50" t="s">
        <v>40</v>
      </c>
      <c r="AN19" s="50" t="s">
        <v>41</v>
      </c>
      <c r="AO19" s="48" t="s">
        <v>310</v>
      </c>
      <c r="AP19" s="49" t="s">
        <v>311</v>
      </c>
      <c r="AQ19" s="49" t="s">
        <v>312</v>
      </c>
      <c r="AR19" s="49" t="s">
        <v>313</v>
      </c>
      <c r="AS19" s="50" t="s">
        <v>314</v>
      </c>
      <c r="AT19" s="50" t="s">
        <v>315</v>
      </c>
      <c r="AU19" s="50" t="s">
        <v>42</v>
      </c>
      <c r="AV19" s="50" t="s">
        <v>43</v>
      </c>
      <c r="AW19" s="50" t="s">
        <v>37</v>
      </c>
      <c r="AX19" s="50" t="s">
        <v>38</v>
      </c>
      <c r="AY19" s="50" t="s">
        <v>39</v>
      </c>
      <c r="AZ19" s="50" t="s">
        <v>40</v>
      </c>
      <c r="BA19" s="50" t="s">
        <v>41</v>
      </c>
      <c r="BB19" s="48" t="s">
        <v>310</v>
      </c>
      <c r="BC19" s="49" t="s">
        <v>311</v>
      </c>
      <c r="BD19" s="49" t="s">
        <v>312</v>
      </c>
      <c r="BE19" s="49" t="s">
        <v>313</v>
      </c>
      <c r="BF19" s="50" t="s">
        <v>314</v>
      </c>
      <c r="BG19" s="50" t="s">
        <v>315</v>
      </c>
      <c r="BH19" s="50" t="s">
        <v>42</v>
      </c>
      <c r="BI19" s="50" t="s">
        <v>43</v>
      </c>
      <c r="BJ19" s="50" t="s">
        <v>37</v>
      </c>
      <c r="BK19" s="50" t="s">
        <v>38</v>
      </c>
      <c r="BL19" s="50" t="s">
        <v>39</v>
      </c>
      <c r="BM19" s="50" t="s">
        <v>40</v>
      </c>
      <c r="BN19" s="50" t="s">
        <v>41</v>
      </c>
      <c r="BO19" s="48" t="s">
        <v>310</v>
      </c>
      <c r="BP19" s="49" t="s">
        <v>311</v>
      </c>
      <c r="BQ19" s="49" t="s">
        <v>312</v>
      </c>
      <c r="BR19" s="49" t="s">
        <v>313</v>
      </c>
      <c r="BS19" s="50" t="s">
        <v>314</v>
      </c>
      <c r="BT19" s="50" t="s">
        <v>315</v>
      </c>
      <c r="BU19" s="50" t="s">
        <v>42</v>
      </c>
      <c r="BV19" s="50" t="s">
        <v>43</v>
      </c>
      <c r="BW19" s="50" t="s">
        <v>37</v>
      </c>
      <c r="BX19" s="50" t="s">
        <v>38</v>
      </c>
      <c r="BY19" s="50" t="s">
        <v>39</v>
      </c>
      <c r="BZ19" s="50" t="s">
        <v>40</v>
      </c>
      <c r="CA19" s="50" t="s">
        <v>41</v>
      </c>
      <c r="CB19" s="48" t="s">
        <v>310</v>
      </c>
      <c r="CC19" s="49" t="s">
        <v>311</v>
      </c>
      <c r="CD19" s="49" t="s">
        <v>312</v>
      </c>
      <c r="CE19" s="49" t="s">
        <v>313</v>
      </c>
      <c r="CF19" s="50" t="s">
        <v>314</v>
      </c>
      <c r="CG19" s="50" t="s">
        <v>315</v>
      </c>
      <c r="CH19" s="50" t="s">
        <v>42</v>
      </c>
      <c r="CI19" s="50" t="s">
        <v>43</v>
      </c>
      <c r="CJ19" s="50" t="s">
        <v>37</v>
      </c>
      <c r="CK19" s="50" t="s">
        <v>38</v>
      </c>
      <c r="CL19" s="50" t="s">
        <v>39</v>
      </c>
      <c r="CM19" s="50" t="s">
        <v>40</v>
      </c>
      <c r="CN19" s="51" t="s">
        <v>41</v>
      </c>
      <c r="CO19" s="48" t="s">
        <v>310</v>
      </c>
      <c r="CP19" s="49" t="s">
        <v>311</v>
      </c>
      <c r="CQ19" s="49" t="s">
        <v>312</v>
      </c>
      <c r="CR19" s="49" t="s">
        <v>313</v>
      </c>
      <c r="CS19" s="50" t="s">
        <v>314</v>
      </c>
      <c r="CT19" s="50" t="s">
        <v>315</v>
      </c>
      <c r="CU19" s="50" t="s">
        <v>42</v>
      </c>
      <c r="CV19" s="50" t="s">
        <v>43</v>
      </c>
      <c r="CW19" s="50" t="s">
        <v>37</v>
      </c>
      <c r="CX19" s="50" t="s">
        <v>38</v>
      </c>
      <c r="CY19" s="50" t="s">
        <v>39</v>
      </c>
      <c r="CZ19" s="50" t="s">
        <v>40</v>
      </c>
      <c r="DA19" s="51" t="s">
        <v>41</v>
      </c>
      <c r="DB19" s="52" t="s">
        <v>310</v>
      </c>
      <c r="DC19" s="52" t="s">
        <v>311</v>
      </c>
      <c r="DD19" s="52" t="s">
        <v>312</v>
      </c>
      <c r="DE19" s="52" t="s">
        <v>313</v>
      </c>
      <c r="DF19" s="53" t="s">
        <v>314</v>
      </c>
      <c r="DG19" s="53" t="s">
        <v>315</v>
      </c>
      <c r="DH19" s="53" t="s">
        <v>42</v>
      </c>
      <c r="DI19" s="50" t="s">
        <v>43</v>
      </c>
      <c r="DJ19" s="50" t="s">
        <v>37</v>
      </c>
      <c r="DK19" s="50" t="s">
        <v>38</v>
      </c>
      <c r="DL19" s="50" t="s">
        <v>39</v>
      </c>
      <c r="DM19" s="50" t="s">
        <v>40</v>
      </c>
      <c r="DN19" s="51" t="s">
        <v>41</v>
      </c>
      <c r="DO19" s="48" t="s">
        <v>310</v>
      </c>
      <c r="DP19" s="49" t="s">
        <v>311</v>
      </c>
      <c r="DQ19" s="49" t="s">
        <v>312</v>
      </c>
      <c r="DR19" s="49" t="s">
        <v>313</v>
      </c>
      <c r="DS19" s="50" t="s">
        <v>314</v>
      </c>
      <c r="DT19" s="50" t="s">
        <v>315</v>
      </c>
      <c r="DU19" s="50" t="s">
        <v>42</v>
      </c>
      <c r="DV19" s="50" t="s">
        <v>43</v>
      </c>
      <c r="DW19" s="50" t="s">
        <v>37</v>
      </c>
      <c r="DX19" s="50" t="s">
        <v>38</v>
      </c>
      <c r="DY19" s="50" t="s">
        <v>39</v>
      </c>
      <c r="DZ19" s="50" t="s">
        <v>40</v>
      </c>
      <c r="EA19" s="51" t="s">
        <v>41</v>
      </c>
      <c r="EB19" s="48" t="s">
        <v>310</v>
      </c>
      <c r="EC19" s="49" t="s">
        <v>311</v>
      </c>
      <c r="ED19" s="49" t="s">
        <v>312</v>
      </c>
      <c r="EE19" s="49" t="s">
        <v>313</v>
      </c>
      <c r="EF19" s="50" t="s">
        <v>314</v>
      </c>
      <c r="EG19" s="50" t="s">
        <v>315</v>
      </c>
      <c r="EH19" s="50" t="s">
        <v>42</v>
      </c>
      <c r="EI19" s="50" t="s">
        <v>43</v>
      </c>
      <c r="EJ19" s="50" t="s">
        <v>37</v>
      </c>
      <c r="EK19" s="50" t="s">
        <v>38</v>
      </c>
      <c r="EL19" s="50" t="s">
        <v>39</v>
      </c>
      <c r="EM19" s="50" t="s">
        <v>40</v>
      </c>
      <c r="EN19" s="51" t="s">
        <v>41</v>
      </c>
      <c r="EO19" s="48" t="s">
        <v>310</v>
      </c>
      <c r="EP19" s="49" t="s">
        <v>311</v>
      </c>
      <c r="EQ19" s="49" t="s">
        <v>312</v>
      </c>
      <c r="ER19" s="49" t="s">
        <v>313</v>
      </c>
      <c r="ES19" s="50" t="s">
        <v>314</v>
      </c>
      <c r="ET19" s="50" t="s">
        <v>315</v>
      </c>
      <c r="EU19" s="50" t="s">
        <v>42</v>
      </c>
      <c r="EV19" s="50" t="s">
        <v>43</v>
      </c>
      <c r="EW19" s="50" t="s">
        <v>37</v>
      </c>
      <c r="EX19" s="50" t="s">
        <v>38</v>
      </c>
      <c r="EY19" s="50" t="s">
        <v>39</v>
      </c>
      <c r="EZ19" s="50" t="s">
        <v>40</v>
      </c>
      <c r="FA19" s="51" t="s">
        <v>41</v>
      </c>
    </row>
    <row r="20" spans="1:158" x14ac:dyDescent="0.25">
      <c r="A20" s="45" t="s">
        <v>4</v>
      </c>
      <c r="B20" s="54">
        <f t="shared" ref="B20:AN20" si="20">IFERROR(B6/B$15,"")</f>
        <v>29.4</v>
      </c>
      <c r="C20" s="55">
        <f t="shared" si="20"/>
        <v>21.939275220372185</v>
      </c>
      <c r="D20" s="55">
        <f t="shared" si="20"/>
        <v>21.283624032967474</v>
      </c>
      <c r="E20" s="55">
        <f t="shared" si="20"/>
        <v>22.697381123137358</v>
      </c>
      <c r="F20" s="55">
        <f t="shared" si="20"/>
        <v>24.065747281488854</v>
      </c>
      <c r="G20" s="55">
        <f t="shared" si="20"/>
        <v>23.184443100447638</v>
      </c>
      <c r="H20" s="55">
        <f t="shared" si="20"/>
        <v>22.11430347476157</v>
      </c>
      <c r="I20" s="55">
        <f t="shared" si="20"/>
        <v>23.561811155985861</v>
      </c>
      <c r="J20" s="55">
        <f t="shared" si="20"/>
        <v>19.499429922195198</v>
      </c>
      <c r="K20" s="55">
        <f t="shared" si="20"/>
        <v>0</v>
      </c>
      <c r="L20" s="44" t="str">
        <f t="shared" si="20"/>
        <v/>
      </c>
      <c r="M20" s="55" t="str">
        <f t="shared" si="20"/>
        <v/>
      </c>
      <c r="N20" s="55" t="str">
        <f t="shared" si="20"/>
        <v/>
      </c>
      <c r="O20" s="54">
        <f t="shared" si="20"/>
        <v>53.6</v>
      </c>
      <c r="P20" s="55">
        <f t="shared" si="20"/>
        <v>47.64936336924584</v>
      </c>
      <c r="Q20" s="55">
        <f t="shared" si="20"/>
        <v>49.019749469594764</v>
      </c>
      <c r="R20" s="55">
        <f t="shared" si="20"/>
        <v>52.564311439016961</v>
      </c>
      <c r="S20" s="55">
        <f t="shared" si="20"/>
        <v>50.590556994007876</v>
      </c>
      <c r="T20" s="55">
        <f t="shared" si="20"/>
        <v>56.2889439081681</v>
      </c>
      <c r="U20" s="55">
        <f t="shared" si="20"/>
        <v>51.097443634865748</v>
      </c>
      <c r="V20" s="55">
        <f t="shared" si="20"/>
        <v>47.93609855872986</v>
      </c>
      <c r="W20" s="55">
        <f t="shared" si="20"/>
        <v>49.561051052246121</v>
      </c>
      <c r="X20" s="55">
        <f t="shared" si="20"/>
        <v>0</v>
      </c>
      <c r="Y20" s="55" t="str">
        <f t="shared" si="20"/>
        <v/>
      </c>
      <c r="Z20" s="55" t="str">
        <f t="shared" si="20"/>
        <v/>
      </c>
      <c r="AA20" s="55" t="str">
        <f t="shared" si="20"/>
        <v/>
      </c>
      <c r="AB20" s="54">
        <f t="shared" si="20"/>
        <v>7.6</v>
      </c>
      <c r="AC20" s="55">
        <f t="shared" si="20"/>
        <v>7.1498530852105784</v>
      </c>
      <c r="AD20" s="55">
        <f t="shared" si="20"/>
        <v>8.860151181144829</v>
      </c>
      <c r="AE20" s="55">
        <f t="shared" si="20"/>
        <v>5.4793186835724397</v>
      </c>
      <c r="AF20" s="55">
        <f t="shared" si="20"/>
        <v>6.4141599045974269</v>
      </c>
      <c r="AG20" s="55">
        <f t="shared" si="20"/>
        <v>6.2543271009075676</v>
      </c>
      <c r="AH20" s="55">
        <f t="shared" si="20"/>
        <v>4.3893541745360087</v>
      </c>
      <c r="AI20" s="55">
        <f t="shared" si="20"/>
        <v>4.7123622311971722</v>
      </c>
      <c r="AJ20" s="55">
        <f t="shared" si="20"/>
        <v>4.8748574805487994</v>
      </c>
      <c r="AK20" s="55">
        <f t="shared" si="20"/>
        <v>0</v>
      </c>
      <c r="AL20" s="55" t="str">
        <f t="shared" si="20"/>
        <v/>
      </c>
      <c r="AM20" s="55" t="str">
        <f t="shared" si="20"/>
        <v/>
      </c>
      <c r="AN20" s="55" t="str">
        <f t="shared" si="20"/>
        <v/>
      </c>
      <c r="AO20" s="54">
        <f t="shared" ref="AO20:BA20" si="21">IFERROR(AO6,"")</f>
        <v>0</v>
      </c>
      <c r="AP20" s="55">
        <f t="shared" si="21"/>
        <v>0</v>
      </c>
      <c r="AQ20" s="55">
        <f t="shared" si="21"/>
        <v>0</v>
      </c>
      <c r="AR20" s="55">
        <f t="shared" si="21"/>
        <v>0</v>
      </c>
      <c r="AS20" s="55">
        <f t="shared" si="21"/>
        <v>0</v>
      </c>
      <c r="AT20" s="55">
        <f t="shared" si="21"/>
        <v>0</v>
      </c>
      <c r="AU20" s="55">
        <f t="shared" si="21"/>
        <v>0</v>
      </c>
      <c r="AV20" s="55">
        <f t="shared" si="21"/>
        <v>0</v>
      </c>
      <c r="AW20" s="55">
        <f t="shared" si="21"/>
        <v>0</v>
      </c>
      <c r="AX20" s="55">
        <f t="shared" si="21"/>
        <v>0</v>
      </c>
      <c r="AY20" s="55">
        <f t="shared" si="21"/>
        <v>0</v>
      </c>
      <c r="AZ20" s="55">
        <f t="shared" si="21"/>
        <v>0</v>
      </c>
      <c r="BA20" s="55">
        <f t="shared" si="21"/>
        <v>0</v>
      </c>
      <c r="BB20" s="56">
        <f t="shared" ref="BB20:CG20" si="22">IFERROR(BB6/BB$15,"")</f>
        <v>0</v>
      </c>
      <c r="BC20" s="57">
        <f t="shared" si="22"/>
        <v>0</v>
      </c>
      <c r="BD20" s="57">
        <f t="shared" si="22"/>
        <v>0</v>
      </c>
      <c r="BE20" s="57">
        <f t="shared" si="22"/>
        <v>0</v>
      </c>
      <c r="BF20" s="57">
        <f t="shared" si="22"/>
        <v>0</v>
      </c>
      <c r="BG20" s="57">
        <f t="shared" si="22"/>
        <v>0</v>
      </c>
      <c r="BH20" s="58">
        <f t="shared" si="22"/>
        <v>0</v>
      </c>
      <c r="BI20" s="58">
        <f t="shared" si="22"/>
        <v>0</v>
      </c>
      <c r="BJ20" s="58">
        <f t="shared" si="22"/>
        <v>0</v>
      </c>
      <c r="BK20" s="58">
        <f t="shared" si="22"/>
        <v>0</v>
      </c>
      <c r="BL20" s="58" t="str">
        <f t="shared" si="22"/>
        <v/>
      </c>
      <c r="BM20" s="58" t="str">
        <f t="shared" si="22"/>
        <v/>
      </c>
      <c r="BN20" s="58" t="str">
        <f t="shared" si="22"/>
        <v/>
      </c>
      <c r="BO20" s="56">
        <f t="shared" si="22"/>
        <v>0</v>
      </c>
      <c r="BP20" s="57">
        <f t="shared" si="22"/>
        <v>7.051909892262489</v>
      </c>
      <c r="BQ20" s="57">
        <f t="shared" si="22"/>
        <v>8.57123320784663</v>
      </c>
      <c r="BR20" s="57">
        <f t="shared" si="22"/>
        <v>2.8789640540804342</v>
      </c>
      <c r="BS20" s="57">
        <f t="shared" si="22"/>
        <v>-0.90340280346442636</v>
      </c>
      <c r="BT20" s="57">
        <f t="shared" si="22"/>
        <v>0</v>
      </c>
      <c r="BU20" s="57">
        <f t="shared" si="22"/>
        <v>0</v>
      </c>
      <c r="BV20" s="57">
        <f t="shared" si="22"/>
        <v>0</v>
      </c>
      <c r="BW20" s="57">
        <f t="shared" si="22"/>
        <v>0</v>
      </c>
      <c r="BX20" s="57">
        <f t="shared" si="22"/>
        <v>0</v>
      </c>
      <c r="BY20" s="57" t="str">
        <f t="shared" si="22"/>
        <v/>
      </c>
      <c r="BZ20" s="57" t="str">
        <f t="shared" si="22"/>
        <v/>
      </c>
      <c r="CA20" s="57" t="str">
        <f t="shared" si="22"/>
        <v/>
      </c>
      <c r="CB20" s="56">
        <f t="shared" si="22"/>
        <v>61.2</v>
      </c>
      <c r="CC20" s="57">
        <f t="shared" si="22"/>
        <v>54.799216454456413</v>
      </c>
      <c r="CD20" s="57">
        <f t="shared" si="22"/>
        <v>57.879900650739593</v>
      </c>
      <c r="CE20" s="57">
        <f t="shared" si="22"/>
        <v>58.043630122589398</v>
      </c>
      <c r="CF20" s="57">
        <f t="shared" si="22"/>
        <v>57.004716898605309</v>
      </c>
      <c r="CG20" s="57">
        <f t="shared" si="22"/>
        <v>62.543271009075674</v>
      </c>
      <c r="CH20" s="57">
        <f t="shared" ref="CH20:DA20" si="23">IFERROR(CH6/CH$15,"")</f>
        <v>55.486797809401757</v>
      </c>
      <c r="CI20" s="57">
        <f t="shared" si="23"/>
        <v>52.648460789927029</v>
      </c>
      <c r="CJ20" s="57">
        <f t="shared" si="23"/>
        <v>54.435908532794919</v>
      </c>
      <c r="CK20" s="57">
        <f t="shared" si="23"/>
        <v>0</v>
      </c>
      <c r="CL20" s="57" t="str">
        <f t="shared" si="23"/>
        <v/>
      </c>
      <c r="CM20" s="57" t="str">
        <f t="shared" si="23"/>
        <v/>
      </c>
      <c r="CN20" s="57" t="str">
        <f t="shared" si="23"/>
        <v/>
      </c>
      <c r="CO20" s="56">
        <f t="shared" si="23"/>
        <v>31.800000000000004</v>
      </c>
      <c r="CP20" s="57">
        <f t="shared" si="23"/>
        <v>25.808031341821739</v>
      </c>
      <c r="CQ20" s="57">
        <f t="shared" si="23"/>
        <v>28.025043409925491</v>
      </c>
      <c r="CR20" s="57">
        <f t="shared" si="23"/>
        <v>32.467284945371603</v>
      </c>
      <c r="CS20" s="57">
        <f t="shared" si="23"/>
        <v>33.842372420580872</v>
      </c>
      <c r="CT20" s="57">
        <f t="shared" si="23"/>
        <v>39.358827908628044</v>
      </c>
      <c r="CU20" s="57">
        <f t="shared" si="23"/>
        <v>33.372494334640187</v>
      </c>
      <c r="CV20" s="57">
        <f t="shared" si="23"/>
        <v>29.086649633941164</v>
      </c>
      <c r="CW20" s="57">
        <f t="shared" si="23"/>
        <v>34.936478610599728</v>
      </c>
      <c r="CX20" s="57">
        <f t="shared" si="23"/>
        <v>0</v>
      </c>
      <c r="CY20" s="57" t="str">
        <f t="shared" si="23"/>
        <v/>
      </c>
      <c r="CZ20" s="57" t="str">
        <f t="shared" si="23"/>
        <v/>
      </c>
      <c r="DA20" s="57" t="str">
        <f t="shared" si="23"/>
        <v/>
      </c>
      <c r="DB20" s="59">
        <f t="shared" ref="DB20:DN26" si="24">IFERROR(AB20/CB20,"")</f>
        <v>0.1241830065359477</v>
      </c>
      <c r="DC20" s="59">
        <f t="shared" si="24"/>
        <v>0.13047363717605007</v>
      </c>
      <c r="DD20" s="59">
        <f t="shared" si="24"/>
        <v>0.15307820299500832</v>
      </c>
      <c r="DE20" s="59">
        <f t="shared" si="24"/>
        <v>9.4400000000000012E-2</v>
      </c>
      <c r="DF20" s="59">
        <f t="shared" si="24"/>
        <v>0.11251980982567351</v>
      </c>
      <c r="DG20" s="59">
        <f t="shared" si="24"/>
        <v>0.1</v>
      </c>
      <c r="DH20" s="59">
        <f t="shared" si="24"/>
        <v>7.9106280193236719E-2</v>
      </c>
      <c r="DI20" s="59">
        <f t="shared" si="24"/>
        <v>8.9506172839506168E-2</v>
      </c>
      <c r="DJ20" s="59">
        <f t="shared" si="24"/>
        <v>8.9552238805970158E-2</v>
      </c>
      <c r="DK20" s="59" t="str">
        <f t="shared" si="24"/>
        <v/>
      </c>
      <c r="DL20" s="59" t="str">
        <f t="shared" si="24"/>
        <v/>
      </c>
      <c r="DM20" s="59" t="str">
        <f t="shared" si="24"/>
        <v/>
      </c>
      <c r="DN20" s="59" t="str">
        <f t="shared" si="24"/>
        <v/>
      </c>
      <c r="DO20" s="60">
        <f t="shared" ref="DO20:FA20" si="25">IFERROR(DO6/DO$15,"")</f>
        <v>88761</v>
      </c>
      <c r="DP20" s="60">
        <f t="shared" si="25"/>
        <v>88761</v>
      </c>
      <c r="DQ20" s="60">
        <f t="shared" si="25"/>
        <v>78740</v>
      </c>
      <c r="DR20" s="60">
        <f t="shared" si="25"/>
        <v>78740</v>
      </c>
      <c r="DS20" s="60">
        <f t="shared" si="25"/>
        <v>84587</v>
      </c>
      <c r="DT20" s="60">
        <f t="shared" si="25"/>
        <v>81757</v>
      </c>
      <c r="DU20" s="60">
        <f t="shared" si="25"/>
        <v>72390</v>
      </c>
      <c r="DV20" s="60">
        <f t="shared" si="25"/>
        <v>72035</v>
      </c>
      <c r="DW20" s="60">
        <f t="shared" si="25"/>
        <v>0</v>
      </c>
      <c r="DX20" s="60">
        <f t="shared" si="25"/>
        <v>0</v>
      </c>
      <c r="DY20" s="60">
        <f t="shared" si="25"/>
        <v>0</v>
      </c>
      <c r="DZ20" s="60">
        <f t="shared" si="25"/>
        <v>0</v>
      </c>
      <c r="EA20" s="60">
        <f t="shared" si="25"/>
        <v>0</v>
      </c>
      <c r="EB20" s="60">
        <f t="shared" si="25"/>
        <v>0</v>
      </c>
      <c r="EC20" s="60">
        <f t="shared" si="25"/>
        <v>0</v>
      </c>
      <c r="ED20" s="60">
        <f t="shared" si="25"/>
        <v>0</v>
      </c>
      <c r="EE20" s="60">
        <f t="shared" si="25"/>
        <v>0</v>
      </c>
      <c r="EF20" s="60">
        <f t="shared" si="25"/>
        <v>0</v>
      </c>
      <c r="EG20" s="60">
        <f t="shared" si="25"/>
        <v>0</v>
      </c>
      <c r="EH20" s="60">
        <f t="shared" si="25"/>
        <v>0</v>
      </c>
      <c r="EI20" s="60">
        <f t="shared" si="25"/>
        <v>0</v>
      </c>
      <c r="EJ20" s="60">
        <f t="shared" si="25"/>
        <v>0</v>
      </c>
      <c r="EK20" s="60">
        <f t="shared" si="25"/>
        <v>0</v>
      </c>
      <c r="EL20" s="60">
        <f t="shared" si="25"/>
        <v>0</v>
      </c>
      <c r="EM20" s="60">
        <f t="shared" si="25"/>
        <v>0</v>
      </c>
      <c r="EN20" s="60">
        <f t="shared" si="25"/>
        <v>0</v>
      </c>
      <c r="EO20" s="60">
        <f t="shared" si="25"/>
        <v>0</v>
      </c>
      <c r="EP20" s="60">
        <f t="shared" si="25"/>
        <v>0</v>
      </c>
      <c r="EQ20" s="60">
        <f t="shared" si="25"/>
        <v>0</v>
      </c>
      <c r="ER20" s="60">
        <f t="shared" si="25"/>
        <v>0</v>
      </c>
      <c r="ES20" s="60">
        <f t="shared" si="25"/>
        <v>0</v>
      </c>
      <c r="ET20" s="60">
        <f t="shared" si="25"/>
        <v>0</v>
      </c>
      <c r="EU20" s="60">
        <f t="shared" si="25"/>
        <v>0</v>
      </c>
      <c r="EV20" s="60">
        <f t="shared" si="25"/>
        <v>0</v>
      </c>
      <c r="EW20" s="60">
        <f t="shared" si="25"/>
        <v>0</v>
      </c>
      <c r="EX20" s="60">
        <f t="shared" si="25"/>
        <v>0</v>
      </c>
      <c r="EY20" s="60">
        <f t="shared" si="25"/>
        <v>0</v>
      </c>
      <c r="EZ20" s="60">
        <f t="shared" si="25"/>
        <v>0</v>
      </c>
      <c r="FA20" s="60">
        <f t="shared" si="25"/>
        <v>0</v>
      </c>
    </row>
    <row r="21" spans="1:158" x14ac:dyDescent="0.25">
      <c r="A21" s="45" t="s">
        <v>7</v>
      </c>
      <c r="B21" s="54">
        <f t="shared" ref="B21:AN21" si="26">IFERROR(B7/B$15,"")</f>
        <v>202.614</v>
      </c>
      <c r="C21" s="55">
        <f t="shared" si="26"/>
        <v>136.16258570029385</v>
      </c>
      <c r="D21" s="55">
        <f t="shared" si="26"/>
        <v>152.68640746872225</v>
      </c>
      <c r="E21" s="55">
        <f t="shared" si="26"/>
        <v>153.32991072799609</v>
      </c>
      <c r="F21" s="55">
        <f t="shared" si="26"/>
        <v>154.24518785790923</v>
      </c>
      <c r="G21" s="55">
        <f t="shared" si="26"/>
        <v>147.29635247870758</v>
      </c>
      <c r="H21" s="55">
        <f t="shared" si="26"/>
        <v>151.43606967353392</v>
      </c>
      <c r="I21" s="55">
        <f t="shared" si="26"/>
        <v>161.94721477272478</v>
      </c>
      <c r="J21" s="55">
        <f t="shared" si="26"/>
        <v>149.76967764152803</v>
      </c>
      <c r="K21" s="55">
        <f t="shared" si="26"/>
        <v>0</v>
      </c>
      <c r="L21" s="55" t="str">
        <f t="shared" si="26"/>
        <v/>
      </c>
      <c r="M21" s="55" t="str">
        <f t="shared" si="26"/>
        <v/>
      </c>
      <c r="N21" s="55" t="str">
        <f t="shared" si="26"/>
        <v/>
      </c>
      <c r="O21" s="54">
        <f t="shared" si="26"/>
        <v>567.88300000000004</v>
      </c>
      <c r="P21" s="55">
        <f t="shared" si="26"/>
        <v>535.35357492654271</v>
      </c>
      <c r="Q21" s="55">
        <f t="shared" si="26"/>
        <v>559.8662117171649</v>
      </c>
      <c r="R21" s="55">
        <f t="shared" si="26"/>
        <v>584.72038547798206</v>
      </c>
      <c r="S21" s="55">
        <f t="shared" si="26"/>
        <v>564.13620444298533</v>
      </c>
      <c r="T21" s="55">
        <f t="shared" si="26"/>
        <v>544.3540457929081</v>
      </c>
      <c r="U21" s="55">
        <f t="shared" si="26"/>
        <v>516.57337591022213</v>
      </c>
      <c r="V21" s="55">
        <f t="shared" si="26"/>
        <v>518.79927112695987</v>
      </c>
      <c r="W21" s="55">
        <f t="shared" si="26"/>
        <v>516.50008730285958</v>
      </c>
      <c r="X21" s="55">
        <f t="shared" si="26"/>
        <v>0</v>
      </c>
      <c r="Y21" s="55" t="str">
        <f t="shared" si="26"/>
        <v/>
      </c>
      <c r="Z21" s="55" t="str">
        <f t="shared" si="26"/>
        <v/>
      </c>
      <c r="AA21" s="55" t="str">
        <f t="shared" si="26"/>
        <v/>
      </c>
      <c r="AB21" s="54">
        <f t="shared" si="26"/>
        <v>102.44199999999999</v>
      </c>
      <c r="AC21" s="55">
        <f t="shared" si="26"/>
        <v>102.28207639569051</v>
      </c>
      <c r="AD21" s="55">
        <f t="shared" si="26"/>
        <v>102.08916586491931</v>
      </c>
      <c r="AE21" s="55">
        <f t="shared" si="26"/>
        <v>104.59090668857826</v>
      </c>
      <c r="AF21" s="55">
        <f t="shared" si="26"/>
        <v>102.20557276714442</v>
      </c>
      <c r="AG21" s="55">
        <f t="shared" si="26"/>
        <v>98.798389093878328</v>
      </c>
      <c r="AH21" s="55">
        <f t="shared" si="26"/>
        <v>101.52643218742621</v>
      </c>
      <c r="AI21" s="55">
        <f t="shared" si="26"/>
        <v>114.15077202050655</v>
      </c>
      <c r="AJ21" s="55">
        <f t="shared" si="26"/>
        <v>113.5549301519037</v>
      </c>
      <c r="AK21" s="55">
        <f t="shared" si="26"/>
        <v>0</v>
      </c>
      <c r="AL21" s="55" t="str">
        <f t="shared" si="26"/>
        <v/>
      </c>
      <c r="AM21" s="55" t="str">
        <f t="shared" si="26"/>
        <v/>
      </c>
      <c r="AN21" s="55" t="str">
        <f t="shared" si="26"/>
        <v/>
      </c>
      <c r="AO21" s="54">
        <f t="shared" ref="AO21:BA21" si="27">IFERROR(AO7,"")</f>
        <v>5.5</v>
      </c>
      <c r="AP21" s="55">
        <f t="shared" si="27"/>
        <v>9.8000000000000007</v>
      </c>
      <c r="AQ21" s="55">
        <f t="shared" si="27"/>
        <v>9.8000000000000007</v>
      </c>
      <c r="AR21" s="55">
        <f t="shared" si="27"/>
        <v>23.2</v>
      </c>
      <c r="AS21" s="55">
        <f t="shared" si="27"/>
        <v>7.3</v>
      </c>
      <c r="AT21" s="55">
        <f t="shared" si="27"/>
        <v>8.1</v>
      </c>
      <c r="AU21" s="55">
        <f t="shared" si="27"/>
        <v>8.109</v>
      </c>
      <c r="AV21" s="55">
        <f t="shared" si="27"/>
        <v>12.497999999999999</v>
      </c>
      <c r="AW21" s="55">
        <f t="shared" si="27"/>
        <v>12.497999999999999</v>
      </c>
      <c r="AX21" s="55">
        <f t="shared" si="27"/>
        <v>0</v>
      </c>
      <c r="AY21" s="55">
        <f t="shared" si="27"/>
        <v>0</v>
      </c>
      <c r="AZ21" s="55">
        <f t="shared" si="27"/>
        <v>0</v>
      </c>
      <c r="BA21" s="55">
        <f t="shared" si="27"/>
        <v>0</v>
      </c>
      <c r="BB21" s="61">
        <f t="shared" ref="BB21:CG21" si="28">IFERROR(BB7/BB$15,"")</f>
        <v>0.16400000000000001</v>
      </c>
      <c r="BC21" s="58">
        <f t="shared" si="28"/>
        <v>-0.13124387855044076</v>
      </c>
      <c r="BD21" s="58">
        <f t="shared" si="28"/>
        <v>3.0817917151808105E-2</v>
      </c>
      <c r="BE21" s="58">
        <f t="shared" si="28"/>
        <v>0.44113158893167942</v>
      </c>
      <c r="BF21" s="58">
        <f t="shared" si="28"/>
        <v>1.4472512911500111</v>
      </c>
      <c r="BG21" s="58">
        <f t="shared" si="28"/>
        <v>-0.62717002317434212</v>
      </c>
      <c r="BH21" s="58">
        <f t="shared" si="28"/>
        <v>-0.14910401585255906</v>
      </c>
      <c r="BI21" s="58">
        <f t="shared" si="28"/>
        <v>0.17224496431272424</v>
      </c>
      <c r="BJ21" s="58">
        <f t="shared" si="28"/>
        <v>0.17143248806596609</v>
      </c>
      <c r="BK21" s="58">
        <f t="shared" si="28"/>
        <v>0</v>
      </c>
      <c r="BL21" s="58" t="str">
        <f t="shared" si="28"/>
        <v/>
      </c>
      <c r="BM21" s="58" t="str">
        <f t="shared" si="28"/>
        <v/>
      </c>
      <c r="BN21" s="58" t="str">
        <f t="shared" si="28"/>
        <v/>
      </c>
      <c r="BO21" s="61">
        <f t="shared" si="28"/>
        <v>0</v>
      </c>
      <c r="BP21" s="58">
        <f t="shared" si="28"/>
        <v>45.914789422135165</v>
      </c>
      <c r="BQ21" s="58">
        <f t="shared" si="28"/>
        <v>51.202043227907176</v>
      </c>
      <c r="BR21" s="58">
        <f t="shared" si="28"/>
        <v>16.902305091698032</v>
      </c>
      <c r="BS21" s="58">
        <f t="shared" si="28"/>
        <v>9.7712047222712357</v>
      </c>
      <c r="BT21" s="58">
        <f t="shared" si="28"/>
        <v>-0.30837307233641476</v>
      </c>
      <c r="BU21" s="58">
        <f t="shared" si="28"/>
        <v>0</v>
      </c>
      <c r="BV21" s="58">
        <f t="shared" si="28"/>
        <v>0</v>
      </c>
      <c r="BW21" s="58">
        <f t="shared" si="28"/>
        <v>0</v>
      </c>
      <c r="BX21" s="58">
        <f t="shared" si="28"/>
        <v>0</v>
      </c>
      <c r="BY21" s="58" t="str">
        <f t="shared" si="28"/>
        <v/>
      </c>
      <c r="BZ21" s="58" t="str">
        <f t="shared" si="28"/>
        <v/>
      </c>
      <c r="CA21" s="58" t="str">
        <f t="shared" si="28"/>
        <v/>
      </c>
      <c r="CB21" s="61">
        <f t="shared" si="28"/>
        <v>675.98900000000003</v>
      </c>
      <c r="CC21" s="58">
        <f t="shared" si="28"/>
        <v>647.10284035259554</v>
      </c>
      <c r="CD21" s="58">
        <f t="shared" si="28"/>
        <v>671.4241826269772</v>
      </c>
      <c r="CE21" s="58">
        <f t="shared" si="28"/>
        <v>711.2982192569973</v>
      </c>
      <c r="CF21" s="58">
        <f t="shared" si="28"/>
        <v>674.38386896656993</v>
      </c>
      <c r="CG21" s="58">
        <f t="shared" si="28"/>
        <v>649.56138285213308</v>
      </c>
      <c r="CH21" s="58">
        <f t="shared" ref="CH21:DA21" si="29">IFERROR(CH7/CH$15,"")</f>
        <v>624.74331343319136</v>
      </c>
      <c r="CI21" s="58">
        <f t="shared" si="29"/>
        <v>643.27661624376231</v>
      </c>
      <c r="CJ21" s="58">
        <f t="shared" si="29"/>
        <v>640.38077807481238</v>
      </c>
      <c r="CK21" s="58">
        <f t="shared" si="29"/>
        <v>0</v>
      </c>
      <c r="CL21" s="58" t="str">
        <f t="shared" si="29"/>
        <v/>
      </c>
      <c r="CM21" s="58" t="str">
        <f t="shared" si="29"/>
        <v/>
      </c>
      <c r="CN21" s="58" t="str">
        <f t="shared" si="29"/>
        <v/>
      </c>
      <c r="CO21" s="61">
        <f t="shared" si="29"/>
        <v>473.375</v>
      </c>
      <c r="CP21" s="58">
        <f t="shared" si="29"/>
        <v>465.02546523016656</v>
      </c>
      <c r="CQ21" s="58">
        <f t="shared" si="29"/>
        <v>467.53573193034771</v>
      </c>
      <c r="CR21" s="58">
        <f t="shared" si="29"/>
        <v>541.06600343730315</v>
      </c>
      <c r="CS21" s="58">
        <f t="shared" si="29"/>
        <v>510.36747638638946</v>
      </c>
      <c r="CT21" s="58">
        <f t="shared" si="29"/>
        <v>502.57340344576198</v>
      </c>
      <c r="CU21" s="58">
        <f t="shared" si="29"/>
        <v>473.30724375965741</v>
      </c>
      <c r="CV21" s="58">
        <f t="shared" si="29"/>
        <v>481.3294014710375</v>
      </c>
      <c r="CW21" s="58">
        <f t="shared" si="29"/>
        <v>490.61110043328438</v>
      </c>
      <c r="CX21" s="58">
        <f t="shared" si="29"/>
        <v>0</v>
      </c>
      <c r="CY21" s="58" t="str">
        <f t="shared" si="29"/>
        <v/>
      </c>
      <c r="CZ21" s="58" t="str">
        <f t="shared" si="29"/>
        <v/>
      </c>
      <c r="DA21" s="58" t="str">
        <f t="shared" si="29"/>
        <v/>
      </c>
      <c r="DB21" s="62">
        <f t="shared" si="24"/>
        <v>0.15154388606915201</v>
      </c>
      <c r="DC21" s="62">
        <f t="shared" si="24"/>
        <v>0.15806154758949709</v>
      </c>
      <c r="DD21" s="62">
        <f t="shared" si="24"/>
        <v>0.15204868770959495</v>
      </c>
      <c r="DE21" s="62">
        <f t="shared" si="24"/>
        <v>0.14704227264596706</v>
      </c>
      <c r="DF21" s="62">
        <f t="shared" si="24"/>
        <v>0.15155399983656917</v>
      </c>
      <c r="DG21" s="62">
        <f t="shared" si="24"/>
        <v>0.15210015820224476</v>
      </c>
      <c r="DH21" s="62">
        <f t="shared" si="24"/>
        <v>0.16250903371738643</v>
      </c>
      <c r="DI21" s="62">
        <f t="shared" si="24"/>
        <v>0.17745207759464154</v>
      </c>
      <c r="DJ21" s="62">
        <f t="shared" si="24"/>
        <v>0.17732407661155261</v>
      </c>
      <c r="DK21" s="62" t="str">
        <f t="shared" si="24"/>
        <v/>
      </c>
      <c r="DL21" s="62" t="str">
        <f t="shared" si="24"/>
        <v/>
      </c>
      <c r="DM21" s="62" t="str">
        <f t="shared" si="24"/>
        <v/>
      </c>
      <c r="DN21" s="62" t="str">
        <f t="shared" si="24"/>
        <v/>
      </c>
      <c r="DO21" s="60">
        <f t="shared" ref="DO21:FA21" si="30">IFERROR(DO7/DO$15,"")</f>
        <v>613716</v>
      </c>
      <c r="DP21" s="60">
        <f t="shared" si="30"/>
        <v>612621</v>
      </c>
      <c r="DQ21" s="60">
        <f t="shared" si="30"/>
        <v>613426</v>
      </c>
      <c r="DR21" s="60">
        <f t="shared" si="30"/>
        <v>594508</v>
      </c>
      <c r="DS21" s="60">
        <f t="shared" si="30"/>
        <v>556367</v>
      </c>
      <c r="DT21" s="60">
        <f t="shared" si="30"/>
        <v>547218</v>
      </c>
      <c r="DU21" s="60">
        <f t="shared" si="30"/>
        <v>551266</v>
      </c>
      <c r="DV21" s="60">
        <f t="shared" si="30"/>
        <v>548559</v>
      </c>
      <c r="DW21" s="60">
        <f t="shared" si="30"/>
        <v>552035</v>
      </c>
      <c r="DX21" s="60">
        <f t="shared" si="30"/>
        <v>0</v>
      </c>
      <c r="DY21" s="60">
        <f t="shared" si="30"/>
        <v>0</v>
      </c>
      <c r="DZ21" s="60">
        <f t="shared" si="30"/>
        <v>0</v>
      </c>
      <c r="EA21" s="60">
        <f t="shared" si="30"/>
        <v>0</v>
      </c>
      <c r="EB21" s="60">
        <f t="shared" si="30"/>
        <v>0</v>
      </c>
      <c r="EC21" s="60">
        <f t="shared" si="30"/>
        <v>0</v>
      </c>
      <c r="ED21" s="60">
        <f t="shared" si="30"/>
        <v>0</v>
      </c>
      <c r="EE21" s="60">
        <f t="shared" si="30"/>
        <v>0</v>
      </c>
      <c r="EF21" s="60">
        <f t="shared" si="30"/>
        <v>0</v>
      </c>
      <c r="EG21" s="60">
        <f t="shared" si="30"/>
        <v>0</v>
      </c>
      <c r="EH21" s="60">
        <f t="shared" si="30"/>
        <v>0</v>
      </c>
      <c r="EI21" s="60">
        <f t="shared" si="30"/>
        <v>0</v>
      </c>
      <c r="EJ21" s="60">
        <f t="shared" si="30"/>
        <v>0</v>
      </c>
      <c r="EK21" s="60">
        <f t="shared" si="30"/>
        <v>0</v>
      </c>
      <c r="EL21" s="60">
        <f t="shared" si="30"/>
        <v>0</v>
      </c>
      <c r="EM21" s="60">
        <f t="shared" si="30"/>
        <v>0</v>
      </c>
      <c r="EN21" s="60">
        <f t="shared" si="30"/>
        <v>0</v>
      </c>
      <c r="EO21" s="60">
        <f t="shared" si="30"/>
        <v>14521000</v>
      </c>
      <c r="EP21" s="60">
        <f t="shared" si="30"/>
        <v>9472000</v>
      </c>
      <c r="EQ21" s="60">
        <f t="shared" si="30"/>
        <v>8938000</v>
      </c>
      <c r="ER21" s="60">
        <f t="shared" si="30"/>
        <v>11162000</v>
      </c>
      <c r="ES21" s="60">
        <f t="shared" si="30"/>
        <v>11074000</v>
      </c>
      <c r="ET21" s="60">
        <f t="shared" si="30"/>
        <v>11301000</v>
      </c>
      <c r="EU21" s="60">
        <f t="shared" si="30"/>
        <v>10962000</v>
      </c>
      <c r="EV21" s="60">
        <f t="shared" si="30"/>
        <v>10971000</v>
      </c>
      <c r="EW21" s="60">
        <f t="shared" si="30"/>
        <v>10519000</v>
      </c>
      <c r="EX21" s="60">
        <f t="shared" si="30"/>
        <v>0</v>
      </c>
      <c r="EY21" s="60">
        <f t="shared" si="30"/>
        <v>0</v>
      </c>
      <c r="EZ21" s="60">
        <f t="shared" si="30"/>
        <v>0</v>
      </c>
      <c r="FA21" s="60">
        <f t="shared" si="30"/>
        <v>0</v>
      </c>
    </row>
    <row r="22" spans="1:158" x14ac:dyDescent="0.25">
      <c r="A22" s="45" t="s">
        <v>9</v>
      </c>
      <c r="B22" s="54">
        <f t="shared" ref="B22:AN22" si="31">IFERROR(B8/B$15,"")</f>
        <v>785.5</v>
      </c>
      <c r="C22" s="55">
        <f t="shared" si="31"/>
        <v>547.79627815866797</v>
      </c>
      <c r="D22" s="55">
        <f t="shared" si="31"/>
        <v>548.9441492665818</v>
      </c>
      <c r="E22" s="55">
        <f t="shared" si="31"/>
        <v>715.93335138406667</v>
      </c>
      <c r="F22" s="55">
        <f t="shared" si="31"/>
        <v>761.47822304016506</v>
      </c>
      <c r="G22" s="55">
        <f t="shared" si="31"/>
        <v>788.04521471435351</v>
      </c>
      <c r="H22" s="55">
        <f t="shared" si="31"/>
        <v>730.46717955595341</v>
      </c>
      <c r="I22" s="55">
        <f t="shared" si="31"/>
        <v>722.46687823728018</v>
      </c>
      <c r="J22" s="55">
        <f t="shared" si="31"/>
        <v>708.00959465484129</v>
      </c>
      <c r="K22" s="55">
        <f t="shared" si="31"/>
        <v>0</v>
      </c>
      <c r="L22" s="55" t="str">
        <f t="shared" si="31"/>
        <v/>
      </c>
      <c r="M22" s="55" t="str">
        <f t="shared" si="31"/>
        <v/>
      </c>
      <c r="N22" s="55" t="str">
        <f t="shared" si="31"/>
        <v/>
      </c>
      <c r="O22" s="54">
        <f t="shared" si="31"/>
        <v>1887.2999999999997</v>
      </c>
      <c r="P22" s="55">
        <f t="shared" si="31"/>
        <v>1853.5749265426055</v>
      </c>
      <c r="Q22" s="55">
        <f t="shared" si="31"/>
        <v>1922.4601943262294</v>
      </c>
      <c r="R22" s="55">
        <f t="shared" si="31"/>
        <v>2009.3311701317507</v>
      </c>
      <c r="S22" s="55">
        <f t="shared" si="31"/>
        <v>1962.010208564041</v>
      </c>
      <c r="T22" s="55">
        <f t="shared" si="31"/>
        <v>1954.5640846877941</v>
      </c>
      <c r="U22" s="55">
        <f t="shared" si="31"/>
        <v>1881.0567070355453</v>
      </c>
      <c r="V22" s="55">
        <f t="shared" si="31"/>
        <v>1883.4260493831794</v>
      </c>
      <c r="W22" s="55">
        <f t="shared" si="31"/>
        <v>1885.5201256615737</v>
      </c>
      <c r="X22" s="55">
        <f t="shared" si="31"/>
        <v>0</v>
      </c>
      <c r="Y22" s="55" t="str">
        <f t="shared" si="31"/>
        <v/>
      </c>
      <c r="Z22" s="55" t="str">
        <f t="shared" si="31"/>
        <v/>
      </c>
      <c r="AA22" s="55" t="str">
        <f t="shared" si="31"/>
        <v/>
      </c>
      <c r="AB22" s="54">
        <f t="shared" si="31"/>
        <v>253.9</v>
      </c>
      <c r="AC22" s="55">
        <f t="shared" si="31"/>
        <v>221.9392752203722</v>
      </c>
      <c r="AD22" s="55">
        <f t="shared" si="31"/>
        <v>259.73725799508264</v>
      </c>
      <c r="AE22" s="55">
        <f t="shared" si="31"/>
        <v>244.7119445968369</v>
      </c>
      <c r="AF22" s="55">
        <f t="shared" si="31"/>
        <v>248.97781263479592</v>
      </c>
      <c r="AG22" s="55">
        <f t="shared" si="31"/>
        <v>242.44204081434754</v>
      </c>
      <c r="AH22" s="55">
        <f t="shared" si="31"/>
        <v>248.36263459527862</v>
      </c>
      <c r="AI22" s="55">
        <f t="shared" si="31"/>
        <v>261.34229574754141</v>
      </c>
      <c r="AJ22" s="55">
        <f t="shared" si="31"/>
        <v>263.97715621577805</v>
      </c>
      <c r="AK22" s="55">
        <f t="shared" si="31"/>
        <v>0</v>
      </c>
      <c r="AL22" s="55" t="str">
        <f t="shared" si="31"/>
        <v/>
      </c>
      <c r="AM22" s="55" t="str">
        <f t="shared" si="31"/>
        <v/>
      </c>
      <c r="AN22" s="55" t="str">
        <f t="shared" si="31"/>
        <v/>
      </c>
      <c r="AO22" s="54">
        <f t="shared" ref="AO22:BA22" si="32">IFERROR(AO8,"")</f>
        <v>1.8</v>
      </c>
      <c r="AP22" s="55">
        <f t="shared" si="32"/>
        <v>1.8</v>
      </c>
      <c r="AQ22" s="55">
        <f t="shared" si="32"/>
        <v>1.8</v>
      </c>
      <c r="AR22" s="55">
        <f t="shared" si="32"/>
        <v>2.4</v>
      </c>
      <c r="AS22" s="55">
        <f t="shared" si="32"/>
        <v>2.6</v>
      </c>
      <c r="AT22" s="55">
        <f t="shared" si="32"/>
        <v>2.9</v>
      </c>
      <c r="AU22" s="55">
        <f t="shared" si="32"/>
        <v>3.3737399999999997</v>
      </c>
      <c r="AV22" s="55">
        <f t="shared" si="32"/>
        <v>3.2800000000000002</v>
      </c>
      <c r="AW22" s="55">
        <f t="shared" si="32"/>
        <v>3.2800000000000002</v>
      </c>
      <c r="AX22" s="55">
        <f t="shared" si="32"/>
        <v>0</v>
      </c>
      <c r="AY22" s="55">
        <f t="shared" si="32"/>
        <v>0</v>
      </c>
      <c r="AZ22" s="55">
        <f t="shared" si="32"/>
        <v>0</v>
      </c>
      <c r="BA22" s="55">
        <f t="shared" si="32"/>
        <v>0</v>
      </c>
      <c r="BB22" s="61">
        <f t="shared" ref="BB22:CG22" si="33">IFERROR(BB8/BB$15,"")</f>
        <v>2.9</v>
      </c>
      <c r="BC22" s="58">
        <f t="shared" si="33"/>
        <v>-1.1753183153770814</v>
      </c>
      <c r="BD22" s="58">
        <f t="shared" si="33"/>
        <v>4.1411576172742146</v>
      </c>
      <c r="BE22" s="58">
        <f t="shared" si="33"/>
        <v>12.816033531067738</v>
      </c>
      <c r="BF22" s="58">
        <f t="shared" si="33"/>
        <v>-9.3050488756835925</v>
      </c>
      <c r="BG22" s="58">
        <f t="shared" si="33"/>
        <v>-9.0340280346442636</v>
      </c>
      <c r="BH22" s="58">
        <f t="shared" si="33"/>
        <v>-4.7985422769950006</v>
      </c>
      <c r="BI22" s="58">
        <f t="shared" si="33"/>
        <v>0</v>
      </c>
      <c r="BJ22" s="58">
        <f t="shared" si="33"/>
        <v>-1.2471510387737346</v>
      </c>
      <c r="BK22" s="58">
        <f t="shared" si="33"/>
        <v>0</v>
      </c>
      <c r="BL22" s="58" t="str">
        <f t="shared" si="33"/>
        <v/>
      </c>
      <c r="BM22" s="58" t="str">
        <f t="shared" si="33"/>
        <v/>
      </c>
      <c r="BN22" s="58" t="str">
        <f t="shared" si="33"/>
        <v/>
      </c>
      <c r="BO22" s="61">
        <f t="shared" si="33"/>
        <v>0</v>
      </c>
      <c r="BP22" s="58">
        <f t="shared" si="33"/>
        <v>220.47012732615084</v>
      </c>
      <c r="BQ22" s="58">
        <f t="shared" si="33"/>
        <v>257.42591420869707</v>
      </c>
      <c r="BR22" s="58">
        <f t="shared" si="33"/>
        <v>58.600848971766254</v>
      </c>
      <c r="BS22" s="58">
        <f t="shared" si="33"/>
        <v>36.768494101002155</v>
      </c>
      <c r="BT22" s="58">
        <f t="shared" si="33"/>
        <v>0</v>
      </c>
      <c r="BU22" s="58">
        <f t="shared" si="33"/>
        <v>0</v>
      </c>
      <c r="BV22" s="58">
        <f t="shared" si="33"/>
        <v>0</v>
      </c>
      <c r="BW22" s="58">
        <f t="shared" si="33"/>
        <v>0</v>
      </c>
      <c r="BX22" s="58">
        <f t="shared" si="33"/>
        <v>0</v>
      </c>
      <c r="BY22" s="58" t="str">
        <f t="shared" si="33"/>
        <v/>
      </c>
      <c r="BZ22" s="58" t="str">
        <f t="shared" si="33"/>
        <v/>
      </c>
      <c r="CA22" s="58" t="str">
        <f t="shared" si="33"/>
        <v/>
      </c>
      <c r="CB22" s="61">
        <f t="shared" si="33"/>
        <v>2145.8999999999996</v>
      </c>
      <c r="CC22" s="58">
        <f t="shared" si="33"/>
        <v>2076.1018609206662</v>
      </c>
      <c r="CD22" s="58">
        <f t="shared" si="33"/>
        <v>2188.0721177783753</v>
      </c>
      <c r="CE22" s="58">
        <f t="shared" si="33"/>
        <v>2269.0880236563626</v>
      </c>
      <c r="CF22" s="58">
        <f t="shared" si="33"/>
        <v>2204.0318196121607</v>
      </c>
      <c r="CG22" s="58">
        <f t="shared" si="33"/>
        <v>2190.491201438696</v>
      </c>
      <c r="CH22" s="58">
        <f t="shared" ref="CH22:DA22" si="34">IFERROR(CH8/CH$15,"")</f>
        <v>2127.4468565585616</v>
      </c>
      <c r="CI22" s="58">
        <f t="shared" si="34"/>
        <v>2147.4332672200871</v>
      </c>
      <c r="CJ22" s="58">
        <f t="shared" si="34"/>
        <v>2150.915052927945</v>
      </c>
      <c r="CK22" s="58">
        <f t="shared" si="34"/>
        <v>0</v>
      </c>
      <c r="CL22" s="58" t="str">
        <f t="shared" si="34"/>
        <v/>
      </c>
      <c r="CM22" s="58" t="str">
        <f t="shared" si="34"/>
        <v/>
      </c>
      <c r="CN22" s="58" t="str">
        <f t="shared" si="34"/>
        <v/>
      </c>
      <c r="CO22" s="61">
        <f t="shared" si="34"/>
        <v>1360.3999999999996</v>
      </c>
      <c r="CP22" s="58">
        <f t="shared" si="34"/>
        <v>1307.8354554358473</v>
      </c>
      <c r="CQ22" s="58">
        <f t="shared" si="34"/>
        <v>1381.7020543030965</v>
      </c>
      <c r="CR22" s="58">
        <f t="shared" si="34"/>
        <v>1494.5538233005295</v>
      </c>
      <c r="CS22" s="58">
        <f t="shared" si="34"/>
        <v>1405.7851024709937</v>
      </c>
      <c r="CT22" s="58">
        <f t="shared" si="34"/>
        <v>1402.4459867243424</v>
      </c>
      <c r="CU22" s="58">
        <f t="shared" si="34"/>
        <v>1396.9796770026082</v>
      </c>
      <c r="CV22" s="58">
        <f t="shared" si="34"/>
        <v>1424.9663889828073</v>
      </c>
      <c r="CW22" s="58">
        <f t="shared" si="34"/>
        <v>1442.9054582731035</v>
      </c>
      <c r="CX22" s="58">
        <f t="shared" si="34"/>
        <v>0</v>
      </c>
      <c r="CY22" s="58" t="str">
        <f t="shared" si="34"/>
        <v/>
      </c>
      <c r="CZ22" s="58" t="str">
        <f t="shared" si="34"/>
        <v/>
      </c>
      <c r="DA22" s="58" t="str">
        <f t="shared" si="34"/>
        <v/>
      </c>
      <c r="DB22" s="62">
        <f t="shared" si="24"/>
        <v>0.11831865417773431</v>
      </c>
      <c r="DC22" s="62">
        <f t="shared" si="24"/>
        <v>0.10690192008303061</v>
      </c>
      <c r="DD22" s="62">
        <f t="shared" si="24"/>
        <v>0.11870598591549295</v>
      </c>
      <c r="DE22" s="62">
        <f t="shared" si="24"/>
        <v>0.10784594605656286</v>
      </c>
      <c r="DF22" s="62">
        <f t="shared" si="24"/>
        <v>0.11296470877566916</v>
      </c>
      <c r="DG22" s="62">
        <f t="shared" si="24"/>
        <v>0.11067930364436693</v>
      </c>
      <c r="DH22" s="62">
        <f t="shared" si="24"/>
        <v>0.11674210983443289</v>
      </c>
      <c r="DI22" s="62">
        <f t="shared" si="24"/>
        <v>0.12169984499022704</v>
      </c>
      <c r="DJ22" s="62">
        <f t="shared" si="24"/>
        <v>0.12272783895228112</v>
      </c>
      <c r="DK22" s="62" t="str">
        <f t="shared" si="24"/>
        <v/>
      </c>
      <c r="DL22" s="62" t="str">
        <f t="shared" si="24"/>
        <v/>
      </c>
      <c r="DM22" s="62" t="str">
        <f t="shared" si="24"/>
        <v/>
      </c>
      <c r="DN22" s="62" t="str">
        <f t="shared" si="24"/>
        <v/>
      </c>
      <c r="DO22" s="60">
        <f t="shared" ref="DO22:FA22" si="35">IFERROR(DO8/DO$15,"")</f>
        <v>1895043.8900000001</v>
      </c>
      <c r="DP22" s="60">
        <f t="shared" si="35"/>
        <v>1854608.2681637742</v>
      </c>
      <c r="DQ22" s="60">
        <f t="shared" si="35"/>
        <v>1854469.5999999999</v>
      </c>
      <c r="DR22" s="60">
        <f t="shared" si="35"/>
        <v>1847285.9966666664</v>
      </c>
      <c r="DS22" s="60">
        <f t="shared" si="35"/>
        <v>1791486.2067735051</v>
      </c>
      <c r="DT22" s="60">
        <f t="shared" si="35"/>
        <v>1713778.3827839969</v>
      </c>
      <c r="DU22" s="60">
        <f t="shared" si="35"/>
        <v>1655443</v>
      </c>
      <c r="DV22" s="60">
        <f t="shared" si="35"/>
        <v>1647967</v>
      </c>
      <c r="DW22" s="60">
        <f t="shared" si="35"/>
        <v>1647967</v>
      </c>
      <c r="DX22" s="60">
        <f t="shared" si="35"/>
        <v>0</v>
      </c>
      <c r="DY22" s="60">
        <f t="shared" si="35"/>
        <v>0</v>
      </c>
      <c r="DZ22" s="60">
        <f t="shared" si="35"/>
        <v>0</v>
      </c>
      <c r="EA22" s="60">
        <f t="shared" si="35"/>
        <v>0</v>
      </c>
      <c r="EB22" s="60">
        <f t="shared" si="35"/>
        <v>76318</v>
      </c>
      <c r="EC22" s="60">
        <f t="shared" si="35"/>
        <v>82955</v>
      </c>
      <c r="ED22" s="60">
        <f t="shared" si="35"/>
        <v>95564</v>
      </c>
      <c r="EE22" s="60">
        <f t="shared" si="35"/>
        <v>97239</v>
      </c>
      <c r="EF22" s="60">
        <f t="shared" si="35"/>
        <v>99206</v>
      </c>
      <c r="EG22" s="60">
        <f t="shared" si="35"/>
        <v>92455</v>
      </c>
      <c r="EH22" s="60">
        <f t="shared" si="35"/>
        <v>90277.33</v>
      </c>
      <c r="EI22" s="60">
        <f t="shared" si="35"/>
        <v>100700</v>
      </c>
      <c r="EJ22" s="60">
        <f t="shared" si="35"/>
        <v>0</v>
      </c>
      <c r="EK22" s="60">
        <f t="shared" si="35"/>
        <v>0</v>
      </c>
      <c r="EL22" s="60">
        <f t="shared" si="35"/>
        <v>0</v>
      </c>
      <c r="EM22" s="60">
        <f t="shared" si="35"/>
        <v>0</v>
      </c>
      <c r="EN22" s="60">
        <f t="shared" si="35"/>
        <v>0</v>
      </c>
      <c r="EO22" s="60">
        <f t="shared" si="35"/>
        <v>52753730</v>
      </c>
      <c r="EP22" s="60">
        <f t="shared" si="35"/>
        <v>34554824</v>
      </c>
      <c r="EQ22" s="60">
        <f t="shared" si="35"/>
        <v>34298387</v>
      </c>
      <c r="ER22" s="60">
        <f t="shared" si="35"/>
        <v>45544621</v>
      </c>
      <c r="ES22" s="60">
        <f t="shared" si="35"/>
        <v>49153595</v>
      </c>
      <c r="ET22" s="60">
        <f t="shared" si="35"/>
        <v>55626000</v>
      </c>
      <c r="EU22" s="60">
        <f t="shared" si="35"/>
        <v>54820000</v>
      </c>
      <c r="EV22" s="60">
        <f t="shared" si="35"/>
        <v>54904000</v>
      </c>
      <c r="EW22" s="60">
        <f t="shared" si="35"/>
        <v>0</v>
      </c>
      <c r="EX22" s="60">
        <f t="shared" si="35"/>
        <v>0</v>
      </c>
      <c r="EY22" s="60">
        <f t="shared" si="35"/>
        <v>0</v>
      </c>
      <c r="EZ22" s="60">
        <f t="shared" si="35"/>
        <v>0</v>
      </c>
      <c r="FA22" s="60">
        <f t="shared" si="35"/>
        <v>0</v>
      </c>
    </row>
    <row r="23" spans="1:158" x14ac:dyDescent="0.25">
      <c r="A23" s="45" t="s">
        <v>12</v>
      </c>
      <c r="B23" s="54">
        <f t="shared" ref="B23:AN23" si="36">IFERROR(B9/B$15,"")</f>
        <v>1930.1836000000001</v>
      </c>
      <c r="C23" s="55">
        <f t="shared" si="36"/>
        <v>1269.7568462291872</v>
      </c>
      <c r="D23" s="55">
        <f t="shared" si="36"/>
        <v>1365.2537518406484</v>
      </c>
      <c r="E23" s="55">
        <f t="shared" si="36"/>
        <v>1575.2575566052467</v>
      </c>
      <c r="F23" s="55">
        <f t="shared" si="36"/>
        <v>1747.733714701332</v>
      </c>
      <c r="G23" s="55">
        <f t="shared" si="36"/>
        <v>1861.3304657588171</v>
      </c>
      <c r="H23" s="55">
        <f t="shared" si="36"/>
        <v>1775.1783750997668</v>
      </c>
      <c r="I23" s="55">
        <f t="shared" si="36"/>
        <v>1672.2392204347748</v>
      </c>
      <c r="J23" s="55">
        <f t="shared" si="36"/>
        <v>1672.6170462638045</v>
      </c>
      <c r="K23" s="55">
        <f t="shared" si="36"/>
        <v>0</v>
      </c>
      <c r="L23" s="44" t="str">
        <f t="shared" si="36"/>
        <v/>
      </c>
      <c r="M23" s="55" t="str">
        <f t="shared" si="36"/>
        <v/>
      </c>
      <c r="N23" s="55" t="str">
        <f t="shared" si="36"/>
        <v/>
      </c>
      <c r="O23" s="54">
        <f t="shared" si="36"/>
        <v>4249.8941100000002</v>
      </c>
      <c r="P23" s="55">
        <f t="shared" si="36"/>
        <v>4068.8489911851129</v>
      </c>
      <c r="Q23" s="55">
        <f t="shared" si="36"/>
        <v>4183.6751425569446</v>
      </c>
      <c r="R23" s="55">
        <f t="shared" si="36"/>
        <v>4481.0790855799833</v>
      </c>
      <c r="S23" s="55">
        <f t="shared" si="36"/>
        <v>4425.6889466136608</v>
      </c>
      <c r="T23" s="55">
        <f t="shared" si="36"/>
        <v>4164.9651459747765</v>
      </c>
      <c r="U23" s="55">
        <f t="shared" si="36"/>
        <v>4075.4204354609751</v>
      </c>
      <c r="V23" s="55">
        <f t="shared" si="36"/>
        <v>3942.9274742196617</v>
      </c>
      <c r="W23" s="55">
        <f t="shared" si="36"/>
        <v>4078.7850723393749</v>
      </c>
      <c r="X23" s="55">
        <f t="shared" si="36"/>
        <v>0</v>
      </c>
      <c r="Y23" s="55" t="str">
        <f t="shared" si="36"/>
        <v/>
      </c>
      <c r="Z23" s="44" t="str">
        <f t="shared" si="36"/>
        <v/>
      </c>
      <c r="AA23" s="55" t="str">
        <f t="shared" si="36"/>
        <v/>
      </c>
      <c r="AB23" s="54">
        <f t="shared" si="36"/>
        <v>566.78859</v>
      </c>
      <c r="AC23" s="55">
        <f t="shared" si="36"/>
        <v>563.60073457394708</v>
      </c>
      <c r="AD23" s="55">
        <f t="shared" si="36"/>
        <v>590.89612724718006</v>
      </c>
      <c r="AE23" s="55">
        <f t="shared" si="36"/>
        <v>537.45961803656473</v>
      </c>
      <c r="AF23" s="55">
        <f t="shared" si="36"/>
        <v>548.95005752091652</v>
      </c>
      <c r="AG23" s="55">
        <f t="shared" si="36"/>
        <v>571.44032034778024</v>
      </c>
      <c r="AH23" s="55">
        <f t="shared" si="36"/>
        <v>556.99437726930728</v>
      </c>
      <c r="AI23" s="55">
        <f t="shared" si="36"/>
        <v>560.85234501237687</v>
      </c>
      <c r="AJ23" s="55">
        <f t="shared" si="36"/>
        <v>559.21551411613291</v>
      </c>
      <c r="AK23" s="55">
        <f t="shared" si="36"/>
        <v>0</v>
      </c>
      <c r="AL23" s="55" t="str">
        <f t="shared" si="36"/>
        <v/>
      </c>
      <c r="AM23" s="55" t="str">
        <f t="shared" si="36"/>
        <v/>
      </c>
      <c r="AN23" s="55" t="str">
        <f t="shared" si="36"/>
        <v/>
      </c>
      <c r="AO23" s="54">
        <f t="shared" ref="AO23:BA23" si="37">IFERROR(AO9,"")</f>
        <v>24.208850000000002</v>
      </c>
      <c r="AP23" s="55">
        <f t="shared" si="37"/>
        <v>26.486529999999998</v>
      </c>
      <c r="AQ23" s="55">
        <f t="shared" si="37"/>
        <v>27.36542</v>
      </c>
      <c r="AR23" s="55">
        <f t="shared" si="37"/>
        <v>28.866959999999999</v>
      </c>
      <c r="AS23" s="55">
        <f t="shared" si="37"/>
        <v>30.19313</v>
      </c>
      <c r="AT23" s="55">
        <f t="shared" si="37"/>
        <v>33.751220000000004</v>
      </c>
      <c r="AU23" s="55">
        <f t="shared" si="37"/>
        <v>32.085830000000001</v>
      </c>
      <c r="AV23" s="55">
        <f t="shared" si="37"/>
        <v>37.625120000000003</v>
      </c>
      <c r="AW23" s="55">
        <f t="shared" si="37"/>
        <v>36.310650000000003</v>
      </c>
      <c r="AX23" s="55">
        <f t="shared" si="37"/>
        <v>0</v>
      </c>
      <c r="AY23" s="55">
        <f t="shared" si="37"/>
        <v>38.183230000000002</v>
      </c>
      <c r="AZ23" s="55">
        <f t="shared" si="37"/>
        <v>0</v>
      </c>
      <c r="BA23" s="55">
        <f t="shared" si="37"/>
        <v>0</v>
      </c>
      <c r="BB23" s="61">
        <f t="shared" ref="BB23:CG23" si="38">IFERROR(BB9/BB$15,"")</f>
        <v>24.966940000000001</v>
      </c>
      <c r="BC23" s="58">
        <f t="shared" si="38"/>
        <v>48.295288932419197</v>
      </c>
      <c r="BD23" s="58">
        <f t="shared" si="38"/>
        <v>9.680293001347323</v>
      </c>
      <c r="BE23" s="58">
        <f t="shared" si="38"/>
        <v>9.2784182232986208</v>
      </c>
      <c r="BF23" s="58">
        <f t="shared" si="38"/>
        <v>16.189908742970086</v>
      </c>
      <c r="BG23" s="58">
        <f t="shared" si="38"/>
        <v>6.0233860727065558</v>
      </c>
      <c r="BH23" s="58">
        <f t="shared" si="38"/>
        <v>13.8058591397324</v>
      </c>
      <c r="BI23" s="58">
        <f t="shared" si="38"/>
        <v>3.3311444869458784</v>
      </c>
      <c r="BJ23" s="58">
        <f t="shared" si="38"/>
        <v>14.624572441646396</v>
      </c>
      <c r="BK23" s="58">
        <f t="shared" si="38"/>
        <v>0</v>
      </c>
      <c r="BL23" s="58" t="str">
        <f t="shared" si="38"/>
        <v/>
      </c>
      <c r="BM23" s="58" t="str">
        <f t="shared" si="38"/>
        <v/>
      </c>
      <c r="BN23" s="58" t="str">
        <f t="shared" si="38"/>
        <v/>
      </c>
      <c r="BO23" s="61">
        <f t="shared" si="38"/>
        <v>0</v>
      </c>
      <c r="BP23" s="58">
        <f t="shared" si="38"/>
        <v>445.95906953966704</v>
      </c>
      <c r="BQ23" s="58">
        <f t="shared" si="38"/>
        <v>446.8185701064279</v>
      </c>
      <c r="BR23" s="58">
        <f t="shared" si="38"/>
        <v>103.2272064250261</v>
      </c>
      <c r="BS23" s="58">
        <f t="shared" si="38"/>
        <v>74.280497743283561</v>
      </c>
      <c r="BT23" s="58">
        <f t="shared" si="38"/>
        <v>2.0528004529991324</v>
      </c>
      <c r="BU23" s="58">
        <f t="shared" si="38"/>
        <v>0</v>
      </c>
      <c r="BV23" s="58">
        <f t="shared" si="38"/>
        <v>0</v>
      </c>
      <c r="BW23" s="58">
        <f t="shared" si="38"/>
        <v>0</v>
      </c>
      <c r="BX23" s="58">
        <f t="shared" si="38"/>
        <v>0</v>
      </c>
      <c r="BY23" s="58" t="str">
        <f t="shared" si="38"/>
        <v/>
      </c>
      <c r="BZ23" s="58" t="str">
        <f t="shared" si="38"/>
        <v/>
      </c>
      <c r="CA23" s="58" t="str">
        <f t="shared" si="38"/>
        <v/>
      </c>
      <c r="CB23" s="61">
        <f t="shared" si="38"/>
        <v>4865.8584799999999</v>
      </c>
      <c r="CC23" s="58">
        <f t="shared" si="38"/>
        <v>4706.6867776689533</v>
      </c>
      <c r="CD23" s="58">
        <f t="shared" si="38"/>
        <v>4810.606111385584</v>
      </c>
      <c r="CE23" s="58">
        <f t="shared" si="38"/>
        <v>5054.6258122239042</v>
      </c>
      <c r="CF23" s="58">
        <f t="shared" si="38"/>
        <v>5018.1054711649131</v>
      </c>
      <c r="CG23" s="58">
        <f t="shared" si="38"/>
        <v>4771.7470704417483</v>
      </c>
      <c r="CH23" s="58">
        <f t="shared" ref="CH23:DA23" si="39">IFERROR(CH9/CH$15,"")</f>
        <v>4673.0977848192415</v>
      </c>
      <c r="CI23" s="58">
        <f t="shared" si="39"/>
        <v>4537.6804800004084</v>
      </c>
      <c r="CJ23" s="58">
        <f t="shared" si="39"/>
        <v>4682.1266914017406</v>
      </c>
      <c r="CK23" s="58">
        <f t="shared" si="39"/>
        <v>0</v>
      </c>
      <c r="CL23" s="58" t="str">
        <f t="shared" si="39"/>
        <v/>
      </c>
      <c r="CM23" s="58" t="str">
        <f t="shared" si="39"/>
        <v/>
      </c>
      <c r="CN23" s="58" t="str">
        <f t="shared" si="39"/>
        <v/>
      </c>
      <c r="CO23" s="61">
        <f t="shared" si="39"/>
        <v>2935.67488</v>
      </c>
      <c r="CP23" s="58">
        <f t="shared" si="39"/>
        <v>2990.970861900098</v>
      </c>
      <c r="CQ23" s="58">
        <f t="shared" si="39"/>
        <v>2998.5337798079086</v>
      </c>
      <c r="CR23" s="58">
        <f t="shared" si="39"/>
        <v>3376.1410491936313</v>
      </c>
      <c r="CS23" s="58">
        <f t="shared" si="39"/>
        <v>3196.0912587202974</v>
      </c>
      <c r="CT23" s="58">
        <f t="shared" si="39"/>
        <v>2908.3638042299317</v>
      </c>
      <c r="CU23" s="58">
        <f t="shared" si="39"/>
        <v>2897.919401342845</v>
      </c>
      <c r="CV23" s="58">
        <f t="shared" si="39"/>
        <v>2865.441259565634</v>
      </c>
      <c r="CW23" s="58">
        <f t="shared" si="39"/>
        <v>3009.5096451379359</v>
      </c>
      <c r="CX23" s="58">
        <f t="shared" si="39"/>
        <v>0</v>
      </c>
      <c r="CY23" s="58" t="str">
        <f t="shared" si="39"/>
        <v/>
      </c>
      <c r="CZ23" s="58" t="str">
        <f t="shared" si="39"/>
        <v/>
      </c>
      <c r="DA23" s="58" t="str">
        <f t="shared" si="39"/>
        <v/>
      </c>
      <c r="DB23" s="62">
        <f t="shared" si="24"/>
        <v>0.11648275270019773</v>
      </c>
      <c r="DC23" s="62">
        <f t="shared" si="24"/>
        <v>0.11974468690969012</v>
      </c>
      <c r="DD23" s="62">
        <f t="shared" si="24"/>
        <v>0.12283194956424859</v>
      </c>
      <c r="DE23" s="62">
        <f t="shared" si="24"/>
        <v>0.10633024837106517</v>
      </c>
      <c r="DF23" s="62">
        <f t="shared" si="24"/>
        <v>0.1093938859347016</v>
      </c>
      <c r="DG23" s="62">
        <f t="shared" si="24"/>
        <v>0.11975494759299526</v>
      </c>
      <c r="DH23" s="62">
        <f t="shared" si="24"/>
        <v>0.11919168031936489</v>
      </c>
      <c r="DI23" s="62">
        <f t="shared" si="24"/>
        <v>0.12359890642020842</v>
      </c>
      <c r="DJ23" s="62">
        <f t="shared" si="24"/>
        <v>0.11943622011405128</v>
      </c>
      <c r="DK23" s="62" t="str">
        <f t="shared" si="24"/>
        <v/>
      </c>
      <c r="DL23" s="62" t="str">
        <f t="shared" si="24"/>
        <v/>
      </c>
      <c r="DM23" s="62" t="str">
        <f t="shared" si="24"/>
        <v/>
      </c>
      <c r="DN23" s="62" t="str">
        <f t="shared" si="24"/>
        <v/>
      </c>
      <c r="DO23" s="60">
        <f t="shared" ref="DO23:FA23" si="40">IFERROR(DO9/DO$15,"")</f>
        <v>4232703.6165399998</v>
      </c>
      <c r="DP23" s="60">
        <f t="shared" si="40"/>
        <v>4084195.89928</v>
      </c>
      <c r="DQ23" s="60">
        <f t="shared" si="40"/>
        <v>4077598.3166200002</v>
      </c>
      <c r="DR23" s="60">
        <f t="shared" si="40"/>
        <v>4119023.9781499999</v>
      </c>
      <c r="DS23" s="60">
        <f t="shared" si="40"/>
        <v>4114493.9799700002</v>
      </c>
      <c r="DT23" s="60">
        <f t="shared" si="40"/>
        <v>4061247.3066400001</v>
      </c>
      <c r="DU23" s="60">
        <f t="shared" si="40"/>
        <v>4028943.2499799998</v>
      </c>
      <c r="DV23" s="60">
        <f t="shared" si="40"/>
        <v>3997256.3989900001</v>
      </c>
      <c r="DW23" s="60">
        <f t="shared" si="40"/>
        <v>4069893.3491699998</v>
      </c>
      <c r="DX23" s="60">
        <f t="shared" si="40"/>
        <v>0</v>
      </c>
      <c r="DY23" s="60">
        <f t="shared" si="40"/>
        <v>4074529.8714299998</v>
      </c>
      <c r="DZ23" s="60">
        <f t="shared" si="40"/>
        <v>0</v>
      </c>
      <c r="EA23" s="60">
        <f t="shared" si="40"/>
        <v>0</v>
      </c>
      <c r="EB23" s="60">
        <f t="shared" si="40"/>
        <v>151818</v>
      </c>
      <c r="EC23" s="60">
        <f t="shared" si="40"/>
        <v>151573</v>
      </c>
      <c r="ED23" s="60">
        <f t="shared" si="40"/>
        <v>158157</v>
      </c>
      <c r="EE23" s="60">
        <f t="shared" si="40"/>
        <v>156802</v>
      </c>
      <c r="EF23" s="60">
        <f t="shared" si="40"/>
        <v>154941</v>
      </c>
      <c r="EG23" s="60">
        <f t="shared" si="40"/>
        <v>157654.07999999999</v>
      </c>
      <c r="EH23" s="60">
        <f t="shared" si="40"/>
        <v>167419.1</v>
      </c>
      <c r="EI23" s="60">
        <f t="shared" si="40"/>
        <v>173653</v>
      </c>
      <c r="EJ23" s="60">
        <f t="shared" si="40"/>
        <v>172316.68</v>
      </c>
      <c r="EK23" s="60">
        <f t="shared" si="40"/>
        <v>0</v>
      </c>
      <c r="EL23" s="60">
        <f t="shared" si="40"/>
        <v>179803.34</v>
      </c>
      <c r="EM23" s="60">
        <f t="shared" si="40"/>
        <v>0</v>
      </c>
      <c r="EN23" s="60">
        <f t="shared" si="40"/>
        <v>0</v>
      </c>
      <c r="EO23" s="60">
        <f t="shared" si="40"/>
        <v>201646717.99000001</v>
      </c>
      <c r="EP23" s="60">
        <f t="shared" si="40"/>
        <v>130191006.76046</v>
      </c>
      <c r="EQ23" s="60">
        <f t="shared" si="40"/>
        <v>128773742.01592</v>
      </c>
      <c r="ER23" s="60">
        <f t="shared" si="40"/>
        <v>160129388.85870001</v>
      </c>
      <c r="ES23" s="60">
        <f t="shared" si="40"/>
        <v>173612062.22327</v>
      </c>
      <c r="ET23" s="60">
        <f t="shared" si="40"/>
        <v>175496165.10455</v>
      </c>
      <c r="EU23" s="60">
        <f t="shared" si="40"/>
        <v>172816719.25652</v>
      </c>
      <c r="EV23" s="60">
        <f t="shared" si="40"/>
        <v>170314824.59628001</v>
      </c>
      <c r="EW23" s="60">
        <f t="shared" si="40"/>
        <v>173856015.70901999</v>
      </c>
      <c r="EX23" s="60">
        <f t="shared" si="40"/>
        <v>0</v>
      </c>
      <c r="EY23" s="60">
        <f t="shared" si="40"/>
        <v>172969831.23730001</v>
      </c>
      <c r="EZ23" s="60">
        <f t="shared" si="40"/>
        <v>0</v>
      </c>
      <c r="FA23" s="60">
        <f t="shared" si="40"/>
        <v>0</v>
      </c>
    </row>
    <row r="24" spans="1:158" x14ac:dyDescent="0.25">
      <c r="A24" s="45" t="s">
        <v>14</v>
      </c>
      <c r="B24" s="54">
        <f t="shared" ref="B24:AN24" si="41">IFERROR(B10/B$15,"")</f>
        <v>382.59399579999996</v>
      </c>
      <c r="C24" s="55">
        <f t="shared" si="41"/>
        <v>259.82712899118513</v>
      </c>
      <c r="D24" s="55">
        <f t="shared" si="41"/>
        <v>266.47315200841331</v>
      </c>
      <c r="E24" s="55">
        <f t="shared" si="41"/>
        <v>326.07612795055735</v>
      </c>
      <c r="F24" s="55">
        <f t="shared" si="41"/>
        <v>357.03917479946705</v>
      </c>
      <c r="G24" s="55">
        <f t="shared" si="41"/>
        <v>357.44990209950191</v>
      </c>
      <c r="H24" s="55">
        <f t="shared" si="41"/>
        <v>354.6977051355355</v>
      </c>
      <c r="I24" s="55">
        <f t="shared" si="41"/>
        <v>369.42618155503527</v>
      </c>
      <c r="J24" s="55">
        <f t="shared" si="41"/>
        <v>345.21146659959282</v>
      </c>
      <c r="K24" s="55">
        <f t="shared" si="41"/>
        <v>0</v>
      </c>
      <c r="L24" s="55" t="str">
        <f t="shared" si="41"/>
        <v/>
      </c>
      <c r="M24" s="55" t="str">
        <f t="shared" si="41"/>
        <v/>
      </c>
      <c r="N24" s="55" t="str">
        <f t="shared" si="41"/>
        <v/>
      </c>
      <c r="O24" s="54">
        <f t="shared" si="41"/>
        <v>1136.2315403000002</v>
      </c>
      <c r="P24" s="55">
        <f t="shared" si="41"/>
        <v>1105.9695457394712</v>
      </c>
      <c r="Q24" s="55">
        <f t="shared" si="41"/>
        <v>1164.1919953349382</v>
      </c>
      <c r="R24" s="55">
        <f t="shared" si="41"/>
        <v>1235.5035103677708</v>
      </c>
      <c r="S24" s="55">
        <f t="shared" si="41"/>
        <v>1222.1529089962605</v>
      </c>
      <c r="T24" s="55">
        <f t="shared" si="41"/>
        <v>1200.8421707874902</v>
      </c>
      <c r="U24" s="55">
        <f t="shared" si="41"/>
        <v>1200.7691295136826</v>
      </c>
      <c r="V24" s="55">
        <f t="shared" si="41"/>
        <v>1220.2591181442936</v>
      </c>
      <c r="W24" s="55">
        <f t="shared" si="41"/>
        <v>1228.6533153660343</v>
      </c>
      <c r="X24" s="55">
        <f t="shared" si="41"/>
        <v>0</v>
      </c>
      <c r="Y24" s="55" t="str">
        <f t="shared" si="41"/>
        <v/>
      </c>
      <c r="Z24" s="55" t="str">
        <f t="shared" si="41"/>
        <v/>
      </c>
      <c r="AA24" s="55" t="str">
        <f t="shared" si="41"/>
        <v/>
      </c>
      <c r="AB24" s="54">
        <f t="shared" si="41"/>
        <v>137.13015569999999</v>
      </c>
      <c r="AC24" s="55">
        <f t="shared" si="41"/>
        <v>145.44832997061704</v>
      </c>
      <c r="AD24" s="55">
        <f t="shared" si="41"/>
        <v>133.92236321419321</v>
      </c>
      <c r="AE24" s="55">
        <f t="shared" si="41"/>
        <v>126.15403234638148</v>
      </c>
      <c r="AF24" s="55">
        <f t="shared" si="41"/>
        <v>132.64658358416642</v>
      </c>
      <c r="AG24" s="55">
        <f t="shared" si="41"/>
        <v>132.54720824729597</v>
      </c>
      <c r="AH24" s="55">
        <f t="shared" si="41"/>
        <v>129.14577663470408</v>
      </c>
      <c r="AI24" s="55">
        <f t="shared" si="41"/>
        <v>141.8515009092859</v>
      </c>
      <c r="AJ24" s="55">
        <f t="shared" si="41"/>
        <v>138.16833256397362</v>
      </c>
      <c r="AK24" s="55">
        <f t="shared" si="41"/>
        <v>0</v>
      </c>
      <c r="AL24" s="55" t="str">
        <f t="shared" si="41"/>
        <v/>
      </c>
      <c r="AM24" s="55" t="str">
        <f t="shared" si="41"/>
        <v/>
      </c>
      <c r="AN24" s="55" t="str">
        <f t="shared" si="41"/>
        <v/>
      </c>
      <c r="AO24" s="54">
        <f t="shared" ref="AO24:BA24" si="42">IFERROR(AO10,"")</f>
        <v>0</v>
      </c>
      <c r="AP24" s="55">
        <f t="shared" si="42"/>
        <v>0</v>
      </c>
      <c r="AQ24" s="55">
        <f t="shared" si="42"/>
        <v>0</v>
      </c>
      <c r="AR24" s="55">
        <f t="shared" si="42"/>
        <v>0</v>
      </c>
      <c r="AS24" s="55">
        <f t="shared" si="42"/>
        <v>0</v>
      </c>
      <c r="AT24" s="55">
        <f t="shared" si="42"/>
        <v>0</v>
      </c>
      <c r="AU24" s="55">
        <f t="shared" si="42"/>
        <v>0</v>
      </c>
      <c r="AV24" s="55">
        <f t="shared" si="42"/>
        <v>0</v>
      </c>
      <c r="AW24" s="55">
        <f t="shared" si="42"/>
        <v>0</v>
      </c>
      <c r="AX24" s="55">
        <f t="shared" si="42"/>
        <v>0</v>
      </c>
      <c r="AY24" s="55">
        <f t="shared" si="42"/>
        <v>0</v>
      </c>
      <c r="AZ24" s="55">
        <f t="shared" si="42"/>
        <v>0</v>
      </c>
      <c r="BA24" s="55">
        <f t="shared" si="42"/>
        <v>0</v>
      </c>
      <c r="BB24" s="61">
        <f t="shared" ref="BB24:CG24" si="43">IFERROR(BB10/BB$15,"")</f>
        <v>3.4847234999999999</v>
      </c>
      <c r="BC24" s="58">
        <f t="shared" si="43"/>
        <v>5.7991841332027434</v>
      </c>
      <c r="BD24" s="58">
        <f t="shared" si="43"/>
        <v>3.3042781047366185</v>
      </c>
      <c r="BE24" s="58">
        <f t="shared" si="43"/>
        <v>0.74867673826920533</v>
      </c>
      <c r="BF24" s="58">
        <f t="shared" si="43"/>
        <v>5.8429577351271451</v>
      </c>
      <c r="BG24" s="58">
        <f t="shared" si="43"/>
        <v>3.2614946828523097</v>
      </c>
      <c r="BH24" s="58">
        <f t="shared" si="43"/>
        <v>4.3321237811704441</v>
      </c>
      <c r="BI24" s="58">
        <f t="shared" si="43"/>
        <v>5.2247169834414473</v>
      </c>
      <c r="BJ24" s="58">
        <f t="shared" si="43"/>
        <v>4.5902529011384017</v>
      </c>
      <c r="BK24" s="58">
        <f t="shared" si="43"/>
        <v>0</v>
      </c>
      <c r="BL24" s="58" t="str">
        <f t="shared" si="43"/>
        <v/>
      </c>
      <c r="BM24" s="58" t="str">
        <f t="shared" si="43"/>
        <v/>
      </c>
      <c r="BN24" s="58" t="str">
        <f t="shared" si="43"/>
        <v/>
      </c>
      <c r="BO24" s="61">
        <f t="shared" si="43"/>
        <v>0</v>
      </c>
      <c r="BP24" s="58">
        <f t="shared" si="43"/>
        <v>110.5762540646425</v>
      </c>
      <c r="BQ24" s="58">
        <f t="shared" si="43"/>
        <v>150.48957121683588</v>
      </c>
      <c r="BR24" s="58">
        <f t="shared" si="43"/>
        <v>42.793997503709711</v>
      </c>
      <c r="BS24" s="58">
        <f t="shared" si="43"/>
        <v>16.954912585791053</v>
      </c>
      <c r="BT24" s="58">
        <f t="shared" si="43"/>
        <v>-0.82449230589489231</v>
      </c>
      <c r="BU24" s="58">
        <f t="shared" si="43"/>
        <v>0</v>
      </c>
      <c r="BV24" s="58">
        <f t="shared" si="43"/>
        <v>0</v>
      </c>
      <c r="BW24" s="58">
        <f t="shared" si="43"/>
        <v>0</v>
      </c>
      <c r="BX24" s="58">
        <f t="shared" si="43"/>
        <v>0</v>
      </c>
      <c r="BY24" s="58" t="str">
        <f t="shared" si="43"/>
        <v/>
      </c>
      <c r="BZ24" s="58" t="str">
        <f t="shared" si="43"/>
        <v/>
      </c>
      <c r="CA24" s="58" t="str">
        <f t="shared" si="43"/>
        <v/>
      </c>
      <c r="CB24" s="61">
        <f t="shared" si="43"/>
        <v>1276.8464195000001</v>
      </c>
      <c r="CC24" s="58">
        <f t="shared" si="43"/>
        <v>1257.2170598432911</v>
      </c>
      <c r="CD24" s="58">
        <f t="shared" si="43"/>
        <v>1301.4186366538681</v>
      </c>
      <c r="CE24" s="58">
        <f t="shared" si="43"/>
        <v>1362.4062194524215</v>
      </c>
      <c r="CF24" s="58">
        <f t="shared" si="43"/>
        <v>1360.6424503155542</v>
      </c>
      <c r="CG24" s="58">
        <f t="shared" si="43"/>
        <v>1336.6508737176384</v>
      </c>
      <c r="CH24" s="58">
        <f t="shared" ref="CH24:DA24" si="44">IFERROR(CH10/CH$15,"")</f>
        <v>1334.2470299295569</v>
      </c>
      <c r="CI24" s="58">
        <f t="shared" si="44"/>
        <v>1367.3353360370209</v>
      </c>
      <c r="CJ24" s="58">
        <f t="shared" si="44"/>
        <v>1371.4119008311463</v>
      </c>
      <c r="CK24" s="58">
        <f t="shared" si="44"/>
        <v>0</v>
      </c>
      <c r="CL24" s="58" t="str">
        <f t="shared" si="44"/>
        <v/>
      </c>
      <c r="CM24" s="58" t="str">
        <f t="shared" si="44"/>
        <v/>
      </c>
      <c r="CN24" s="58" t="str">
        <f t="shared" si="44"/>
        <v/>
      </c>
      <c r="CO24" s="61">
        <f t="shared" si="44"/>
        <v>894.25242370000001</v>
      </c>
      <c r="CP24" s="58">
        <f t="shared" si="44"/>
        <v>886.81367678746335</v>
      </c>
      <c r="CQ24" s="58">
        <f t="shared" si="44"/>
        <v>884.4559134286186</v>
      </c>
      <c r="CR24" s="58">
        <f t="shared" si="44"/>
        <v>993.53609399815446</v>
      </c>
      <c r="CS24" s="58">
        <f t="shared" si="44"/>
        <v>986.64836293029612</v>
      </c>
      <c r="CT24" s="58">
        <f t="shared" si="44"/>
        <v>980.02546392403156</v>
      </c>
      <c r="CU24" s="58">
        <f t="shared" si="44"/>
        <v>979.54932479402169</v>
      </c>
      <c r="CV24" s="58">
        <f t="shared" si="44"/>
        <v>997.90915448198552</v>
      </c>
      <c r="CW24" s="58">
        <f t="shared" si="44"/>
        <v>1026.2004342315533</v>
      </c>
      <c r="CX24" s="58">
        <f t="shared" si="44"/>
        <v>0</v>
      </c>
      <c r="CY24" s="58" t="str">
        <f t="shared" si="44"/>
        <v/>
      </c>
      <c r="CZ24" s="58" t="str">
        <f t="shared" si="44"/>
        <v/>
      </c>
      <c r="DA24" s="58" t="str">
        <f t="shared" si="44"/>
        <v/>
      </c>
      <c r="DB24" s="62">
        <f t="shared" si="24"/>
        <v>0.10739753317685516</v>
      </c>
      <c r="DC24" s="62">
        <f t="shared" si="24"/>
        <v>0.11569070657436577</v>
      </c>
      <c r="DD24" s="62">
        <f t="shared" si="24"/>
        <v>0.1029049065706686</v>
      </c>
      <c r="DE24" s="62">
        <f t="shared" si="24"/>
        <v>9.2596488877660393E-2</v>
      </c>
      <c r="DF24" s="62">
        <f t="shared" si="24"/>
        <v>9.7488200190581742E-2</v>
      </c>
      <c r="DG24" s="62">
        <f t="shared" si="24"/>
        <v>9.9163671571650791E-2</v>
      </c>
      <c r="DH24" s="62">
        <f t="shared" si="24"/>
        <v>9.6793002898063391E-2</v>
      </c>
      <c r="DI24" s="62">
        <f t="shared" si="24"/>
        <v>0.10374302277626887</v>
      </c>
      <c r="DJ24" s="62">
        <f t="shared" si="24"/>
        <v>0.10074896716313785</v>
      </c>
      <c r="DK24" s="62" t="str">
        <f t="shared" si="24"/>
        <v/>
      </c>
      <c r="DL24" s="62" t="str">
        <f t="shared" si="24"/>
        <v/>
      </c>
      <c r="DM24" s="62" t="str">
        <f t="shared" si="24"/>
        <v/>
      </c>
      <c r="DN24" s="62" t="str">
        <f t="shared" si="24"/>
        <v/>
      </c>
      <c r="DO24" s="60">
        <f t="shared" ref="DO24:FA24" si="45">IFERROR(DO10/DO$15,"")</f>
        <v>914096.1166666674</v>
      </c>
      <c r="DP24" s="60">
        <f t="shared" si="45"/>
        <v>908325.75999999989</v>
      </c>
      <c r="DQ24" s="60">
        <f t="shared" si="45"/>
        <v>902110.55</v>
      </c>
      <c r="DR24" s="60">
        <f t="shared" si="45"/>
        <v>899044.10000000009</v>
      </c>
      <c r="DS24" s="60">
        <f t="shared" si="45"/>
        <v>863332.1</v>
      </c>
      <c r="DT24" s="60">
        <f t="shared" si="45"/>
        <v>840986</v>
      </c>
      <c r="DU24" s="60">
        <f t="shared" si="45"/>
        <v>844435</v>
      </c>
      <c r="DV24" s="60">
        <f t="shared" si="45"/>
        <v>852061</v>
      </c>
      <c r="DW24" s="60">
        <f t="shared" si="45"/>
        <v>848772</v>
      </c>
      <c r="DX24" s="60">
        <f t="shared" si="45"/>
        <v>0</v>
      </c>
      <c r="DY24" s="60">
        <f t="shared" si="45"/>
        <v>0</v>
      </c>
      <c r="DZ24" s="60">
        <f t="shared" si="45"/>
        <v>0</v>
      </c>
      <c r="EA24" s="60">
        <f t="shared" si="45"/>
        <v>0</v>
      </c>
      <c r="EB24" s="60">
        <f t="shared" si="45"/>
        <v>44993</v>
      </c>
      <c r="EC24" s="60">
        <f t="shared" si="45"/>
        <v>43805</v>
      </c>
      <c r="ED24" s="60">
        <f t="shared" si="45"/>
        <v>43904</v>
      </c>
      <c r="EE24" s="60">
        <f t="shared" si="45"/>
        <v>45238</v>
      </c>
      <c r="EF24" s="60">
        <f t="shared" si="45"/>
        <v>45238</v>
      </c>
      <c r="EG24" s="60">
        <f t="shared" si="45"/>
        <v>0</v>
      </c>
      <c r="EH24" s="60">
        <f t="shared" si="45"/>
        <v>0</v>
      </c>
      <c r="EI24" s="60">
        <f t="shared" si="45"/>
        <v>0</v>
      </c>
      <c r="EJ24" s="60">
        <f t="shared" si="45"/>
        <v>0</v>
      </c>
      <c r="EK24" s="60">
        <f t="shared" si="45"/>
        <v>0</v>
      </c>
      <c r="EL24" s="60">
        <f t="shared" si="45"/>
        <v>0</v>
      </c>
      <c r="EM24" s="60">
        <f t="shared" si="45"/>
        <v>0</v>
      </c>
      <c r="EN24" s="60">
        <f t="shared" si="45"/>
        <v>0</v>
      </c>
      <c r="EO24" s="60">
        <f t="shared" si="45"/>
        <v>24021490</v>
      </c>
      <c r="EP24" s="60">
        <f t="shared" si="45"/>
        <v>14430098</v>
      </c>
      <c r="EQ24" s="60">
        <f t="shared" si="45"/>
        <v>13634360</v>
      </c>
      <c r="ER24" s="60">
        <f t="shared" si="45"/>
        <v>18523868</v>
      </c>
      <c r="ES24" s="60">
        <f t="shared" si="45"/>
        <v>20781764</v>
      </c>
      <c r="ET24" s="60">
        <f t="shared" si="45"/>
        <v>20736314</v>
      </c>
      <c r="EU24" s="60">
        <f t="shared" si="45"/>
        <v>21621168</v>
      </c>
      <c r="EV24" s="60">
        <f t="shared" si="45"/>
        <v>0</v>
      </c>
      <c r="EW24" s="60">
        <f t="shared" si="45"/>
        <v>0</v>
      </c>
      <c r="EX24" s="60">
        <f t="shared" si="45"/>
        <v>0</v>
      </c>
      <c r="EY24" s="60">
        <f t="shared" si="45"/>
        <v>0</v>
      </c>
      <c r="EZ24" s="60">
        <f t="shared" si="45"/>
        <v>0</v>
      </c>
      <c r="FA24" s="60">
        <f t="shared" si="45"/>
        <v>0</v>
      </c>
    </row>
    <row r="25" spans="1:158" x14ac:dyDescent="0.25">
      <c r="A25" s="45" t="s">
        <v>17</v>
      </c>
      <c r="B25" s="54">
        <f t="shared" ref="B25:AN25" si="46">IFERROR(B11/B$15,"")</f>
        <v>264.49999999999994</v>
      </c>
      <c r="C25" s="55">
        <f t="shared" si="46"/>
        <v>196.57198824681689</v>
      </c>
      <c r="D25" s="55">
        <f t="shared" si="46"/>
        <v>170.75052221923681</v>
      </c>
      <c r="E25" s="55">
        <f t="shared" si="46"/>
        <v>228.73833758710032</v>
      </c>
      <c r="F25" s="55">
        <f t="shared" si="46"/>
        <v>234.52336777936512</v>
      </c>
      <c r="G25" s="55">
        <f t="shared" si="46"/>
        <v>236.7957732926948</v>
      </c>
      <c r="H25" s="55">
        <f t="shared" si="46"/>
        <v>219.97030653304503</v>
      </c>
      <c r="I25" s="55">
        <f t="shared" si="46"/>
        <v>211.32507178179046</v>
      </c>
      <c r="J25" s="55">
        <f t="shared" si="46"/>
        <v>210.59384315970811</v>
      </c>
      <c r="K25" s="55">
        <f t="shared" si="46"/>
        <v>0</v>
      </c>
      <c r="L25" s="55" t="str">
        <f t="shared" si="46"/>
        <v/>
      </c>
      <c r="M25" s="55" t="str">
        <f t="shared" si="46"/>
        <v/>
      </c>
      <c r="N25" s="55" t="str">
        <f t="shared" si="46"/>
        <v/>
      </c>
      <c r="O25" s="54">
        <f t="shared" si="46"/>
        <v>892.5</v>
      </c>
      <c r="P25" s="55">
        <f t="shared" si="46"/>
        <v>845.24975514201776</v>
      </c>
      <c r="Q25" s="55">
        <f t="shared" si="46"/>
        <v>828.61674741924037</v>
      </c>
      <c r="R25" s="55">
        <f t="shared" si="46"/>
        <v>866.93965951099528</v>
      </c>
      <c r="S25" s="55">
        <f t="shared" si="46"/>
        <v>877.92684440672951</v>
      </c>
      <c r="T25" s="55">
        <f t="shared" si="46"/>
        <v>860.57803595404528</v>
      </c>
      <c r="U25" s="55">
        <f t="shared" si="46"/>
        <v>810.69026147250941</v>
      </c>
      <c r="V25" s="55">
        <f t="shared" si="46"/>
        <v>810.44505614123784</v>
      </c>
      <c r="W25" s="55">
        <f t="shared" si="46"/>
        <v>818.65106623349493</v>
      </c>
      <c r="X25" s="55">
        <f t="shared" si="46"/>
        <v>0</v>
      </c>
      <c r="Y25" s="55" t="str">
        <f t="shared" si="46"/>
        <v/>
      </c>
      <c r="Z25" s="55" t="str">
        <f t="shared" si="46"/>
        <v/>
      </c>
      <c r="AA25" s="55" t="str">
        <f t="shared" si="46"/>
        <v/>
      </c>
      <c r="AB25" s="54">
        <f t="shared" si="46"/>
        <v>114.59999999999998</v>
      </c>
      <c r="AC25" s="55">
        <f t="shared" si="46"/>
        <v>110.77375122428994</v>
      </c>
      <c r="AD25" s="55">
        <f t="shared" si="46"/>
        <v>112.67800958629839</v>
      </c>
      <c r="AE25" s="55">
        <f t="shared" si="46"/>
        <v>112.0009886845485</v>
      </c>
      <c r="AF25" s="55">
        <f t="shared" si="46"/>
        <v>105.06574604291279</v>
      </c>
      <c r="AG25" s="55">
        <f t="shared" si="46"/>
        <v>100.41669623123816</v>
      </c>
      <c r="AH25" s="55">
        <f t="shared" si="46"/>
        <v>100.51956124891623</v>
      </c>
      <c r="AI25" s="55">
        <f t="shared" si="46"/>
        <v>110.65926480845773</v>
      </c>
      <c r="AJ25" s="55">
        <f t="shared" si="46"/>
        <v>111.47174105521586</v>
      </c>
      <c r="AK25" s="55">
        <f t="shared" si="46"/>
        <v>0</v>
      </c>
      <c r="AL25" s="55" t="str">
        <f t="shared" si="46"/>
        <v/>
      </c>
      <c r="AM25" s="55" t="str">
        <f t="shared" si="46"/>
        <v/>
      </c>
      <c r="AN25" s="55" t="str">
        <f t="shared" si="46"/>
        <v/>
      </c>
      <c r="AO25" s="54">
        <f t="shared" ref="AO25:BA25" si="47">IFERROR(AO11,"")</f>
        <v>0</v>
      </c>
      <c r="AP25" s="55">
        <f t="shared" si="47"/>
        <v>0</v>
      </c>
      <c r="AQ25" s="55">
        <f t="shared" si="47"/>
        <v>0</v>
      </c>
      <c r="AR25" s="55">
        <f t="shared" si="47"/>
        <v>0</v>
      </c>
      <c r="AS25" s="55">
        <f t="shared" si="47"/>
        <v>0</v>
      </c>
      <c r="AT25" s="55">
        <f t="shared" si="47"/>
        <v>0</v>
      </c>
      <c r="AU25" s="55">
        <f t="shared" si="47"/>
        <v>0</v>
      </c>
      <c r="AV25" s="55">
        <f t="shared" si="47"/>
        <v>0</v>
      </c>
      <c r="AW25" s="55">
        <f t="shared" si="47"/>
        <v>0</v>
      </c>
      <c r="AX25" s="55">
        <f t="shared" si="47"/>
        <v>0</v>
      </c>
      <c r="AY25" s="55">
        <f t="shared" si="47"/>
        <v>0</v>
      </c>
      <c r="AZ25" s="55">
        <f t="shared" si="47"/>
        <v>0</v>
      </c>
      <c r="BA25" s="55">
        <f t="shared" si="47"/>
        <v>0</v>
      </c>
      <c r="BB25" s="63">
        <f t="shared" ref="BB25:CG25" si="48">IFERROR(BB11/BB$15,"")</f>
        <v>0.3</v>
      </c>
      <c r="BC25" s="64">
        <f t="shared" si="48"/>
        <v>0.68560235063663078</v>
      </c>
      <c r="BD25" s="64">
        <f t="shared" si="48"/>
        <v>0.19261198219880066</v>
      </c>
      <c r="BE25" s="64">
        <f t="shared" si="48"/>
        <v>0.74295846556914436</v>
      </c>
      <c r="BF25" s="64">
        <f t="shared" si="48"/>
        <v>-1.1744236445037544</v>
      </c>
      <c r="BG25" s="64">
        <f t="shared" si="48"/>
        <v>-1.8241787377647072</v>
      </c>
      <c r="BH25" s="58">
        <f t="shared" si="48"/>
        <v>0.9214293114483989</v>
      </c>
      <c r="BI25" s="58">
        <f t="shared" si="48"/>
        <v>-0.99122102104492249</v>
      </c>
      <c r="BJ25" s="58">
        <f t="shared" si="48"/>
        <v>-1.1374667454613863</v>
      </c>
      <c r="BK25" s="58">
        <f t="shared" si="48"/>
        <v>0</v>
      </c>
      <c r="BL25" s="58" t="str">
        <f t="shared" si="48"/>
        <v/>
      </c>
      <c r="BM25" s="58" t="str">
        <f t="shared" si="48"/>
        <v/>
      </c>
      <c r="BN25" s="58" t="str">
        <f t="shared" si="48"/>
        <v/>
      </c>
      <c r="BO25" s="63">
        <f t="shared" si="48"/>
        <v>0</v>
      </c>
      <c r="BP25" s="64">
        <f t="shared" si="48"/>
        <v>45.05386875612146</v>
      </c>
      <c r="BQ25" s="64">
        <f t="shared" si="48"/>
        <v>93.705729339716513</v>
      </c>
      <c r="BR25" s="64">
        <f t="shared" si="48"/>
        <v>24.42475955558562</v>
      </c>
      <c r="BS25" s="64">
        <f t="shared" si="48"/>
        <v>16.622611583745446</v>
      </c>
      <c r="BT25" s="64">
        <f t="shared" si="48"/>
        <v>0</v>
      </c>
      <c r="BU25" s="64">
        <f t="shared" si="48"/>
        <v>0</v>
      </c>
      <c r="BV25" s="64">
        <f t="shared" si="48"/>
        <v>0</v>
      </c>
      <c r="BW25" s="64">
        <f t="shared" si="48"/>
        <v>0</v>
      </c>
      <c r="BX25" s="64">
        <f t="shared" si="48"/>
        <v>0</v>
      </c>
      <c r="BY25" s="64" t="str">
        <f t="shared" si="48"/>
        <v/>
      </c>
      <c r="BZ25" s="64" t="str">
        <f t="shared" si="48"/>
        <v/>
      </c>
      <c r="CA25" s="64" t="str">
        <f t="shared" si="48"/>
        <v/>
      </c>
      <c r="CB25" s="63">
        <f t="shared" si="48"/>
        <v>1007.4</v>
      </c>
      <c r="CC25" s="64">
        <f t="shared" si="48"/>
        <v>956.70910871694434</v>
      </c>
      <c r="CD25" s="64">
        <f t="shared" si="48"/>
        <v>941.48736898773757</v>
      </c>
      <c r="CE25" s="64">
        <f t="shared" si="48"/>
        <v>979.683606661113</v>
      </c>
      <c r="CF25" s="64">
        <f t="shared" si="48"/>
        <v>981.8181668051385</v>
      </c>
      <c r="CG25" s="64">
        <f t="shared" si="48"/>
        <v>959.17055344751873</v>
      </c>
      <c r="CH25" s="64">
        <f t="shared" ref="CH25:DA25" si="49">IFERROR(CH11/CH$15,"")</f>
        <v>912.13125203287393</v>
      </c>
      <c r="CI25" s="64">
        <f t="shared" si="49"/>
        <v>920.11309992865063</v>
      </c>
      <c r="CJ25" s="64">
        <f t="shared" si="49"/>
        <v>928.98534054324932</v>
      </c>
      <c r="CK25" s="64">
        <f t="shared" si="49"/>
        <v>0</v>
      </c>
      <c r="CL25" s="64" t="str">
        <f t="shared" si="49"/>
        <v/>
      </c>
      <c r="CM25" s="64" t="str">
        <f t="shared" si="49"/>
        <v/>
      </c>
      <c r="CN25" s="64" t="str">
        <f t="shared" si="49"/>
        <v/>
      </c>
      <c r="CO25" s="63">
        <f t="shared" si="49"/>
        <v>742.90000000000009</v>
      </c>
      <c r="CP25" s="64">
        <f t="shared" si="49"/>
        <v>715.083251714006</v>
      </c>
      <c r="CQ25" s="64">
        <f t="shared" si="49"/>
        <v>677.03111742878434</v>
      </c>
      <c r="CR25" s="64">
        <f t="shared" si="49"/>
        <v>726.52050951842716</v>
      </c>
      <c r="CS25" s="64">
        <f t="shared" si="49"/>
        <v>730.67218744202796</v>
      </c>
      <c r="CT25" s="64">
        <f t="shared" si="49"/>
        <v>722.37478015482395</v>
      </c>
      <c r="CU25" s="64">
        <f t="shared" si="49"/>
        <v>692.16094549982893</v>
      </c>
      <c r="CV25" s="64">
        <f t="shared" si="49"/>
        <v>708.78802814686026</v>
      </c>
      <c r="CW25" s="64">
        <f t="shared" si="49"/>
        <v>718.39149738354115</v>
      </c>
      <c r="CX25" s="64">
        <f t="shared" si="49"/>
        <v>0</v>
      </c>
      <c r="CY25" s="64" t="str">
        <f t="shared" si="49"/>
        <v/>
      </c>
      <c r="CZ25" s="64" t="str">
        <f t="shared" si="49"/>
        <v/>
      </c>
      <c r="DA25" s="64" t="str">
        <f t="shared" si="49"/>
        <v/>
      </c>
      <c r="DB25" s="65">
        <f t="shared" si="24"/>
        <v>0.11375818939845145</v>
      </c>
      <c r="DC25" s="65">
        <f t="shared" si="24"/>
        <v>0.11578624078624079</v>
      </c>
      <c r="DD25" s="65">
        <f t="shared" si="24"/>
        <v>0.11968085106382979</v>
      </c>
      <c r="DE25" s="65">
        <f t="shared" si="24"/>
        <v>0.11432363257180775</v>
      </c>
      <c r="DF25" s="65">
        <f t="shared" si="24"/>
        <v>0.10701140964298861</v>
      </c>
      <c r="DG25" s="65">
        <f t="shared" si="24"/>
        <v>0.10469117913421483</v>
      </c>
      <c r="DH25" s="65">
        <f t="shared" si="24"/>
        <v>0.11020295711268253</v>
      </c>
      <c r="DI25" s="65">
        <f t="shared" si="24"/>
        <v>0.1202670245832156</v>
      </c>
      <c r="DJ25" s="65">
        <f t="shared" si="24"/>
        <v>0.11999300332342137</v>
      </c>
      <c r="DK25" s="65" t="str">
        <f t="shared" si="24"/>
        <v/>
      </c>
      <c r="DL25" s="65" t="str">
        <f t="shared" si="24"/>
        <v/>
      </c>
      <c r="DM25" s="65" t="str">
        <f t="shared" si="24"/>
        <v/>
      </c>
      <c r="DN25" s="65" t="str">
        <f t="shared" si="24"/>
        <v/>
      </c>
      <c r="DO25" s="60">
        <f t="shared" ref="DO25:FA25" si="50">IFERROR(DO11/DO$15,"")</f>
        <v>841838</v>
      </c>
      <c r="DP25" s="60">
        <f t="shared" si="50"/>
        <v>833700</v>
      </c>
      <c r="DQ25" s="60">
        <f t="shared" si="50"/>
        <v>804414</v>
      </c>
      <c r="DR25" s="60">
        <f t="shared" si="50"/>
        <v>796022</v>
      </c>
      <c r="DS25" s="60">
        <f t="shared" si="50"/>
        <v>785940</v>
      </c>
      <c r="DT25" s="60">
        <f t="shared" si="50"/>
        <v>773528</v>
      </c>
      <c r="DU25" s="60">
        <f t="shared" si="50"/>
        <v>771832</v>
      </c>
      <c r="DV25" s="60">
        <f t="shared" si="50"/>
        <v>778171</v>
      </c>
      <c r="DW25" s="60">
        <f t="shared" si="50"/>
        <v>783220</v>
      </c>
      <c r="DX25" s="60">
        <f t="shared" si="50"/>
        <v>0</v>
      </c>
      <c r="DY25" s="60">
        <f t="shared" si="50"/>
        <v>0</v>
      </c>
      <c r="DZ25" s="60">
        <f t="shared" si="50"/>
        <v>0</v>
      </c>
      <c r="EA25" s="60">
        <f t="shared" si="50"/>
        <v>0</v>
      </c>
      <c r="EB25" s="60">
        <f t="shared" si="50"/>
        <v>5851</v>
      </c>
      <c r="EC25" s="60">
        <f t="shared" si="50"/>
        <v>5752</v>
      </c>
      <c r="ED25" s="60">
        <f t="shared" si="50"/>
        <v>5743</v>
      </c>
      <c r="EE25" s="60">
        <f t="shared" si="50"/>
        <v>5848</v>
      </c>
      <c r="EF25" s="60">
        <f t="shared" si="50"/>
        <v>5774</v>
      </c>
      <c r="EG25" s="60">
        <f t="shared" si="50"/>
        <v>5747</v>
      </c>
      <c r="EH25" s="60">
        <f t="shared" si="50"/>
        <v>5615</v>
      </c>
      <c r="EI25" s="60">
        <f t="shared" si="50"/>
        <v>0</v>
      </c>
      <c r="EJ25" s="60">
        <f t="shared" si="50"/>
        <v>0</v>
      </c>
      <c r="EK25" s="60">
        <f t="shared" si="50"/>
        <v>0</v>
      </c>
      <c r="EL25" s="60">
        <f t="shared" si="50"/>
        <v>0</v>
      </c>
      <c r="EM25" s="60">
        <f t="shared" si="50"/>
        <v>0</v>
      </c>
      <c r="EN25" s="60">
        <f t="shared" si="50"/>
        <v>0</v>
      </c>
      <c r="EO25" s="60">
        <f t="shared" si="50"/>
        <v>14338372</v>
      </c>
      <c r="EP25" s="60">
        <f t="shared" si="50"/>
        <v>9420348</v>
      </c>
      <c r="EQ25" s="60">
        <f t="shared" si="50"/>
        <v>8490102</v>
      </c>
      <c r="ER25" s="60">
        <f t="shared" si="50"/>
        <v>11534884</v>
      </c>
      <c r="ES25" s="60">
        <f t="shared" si="50"/>
        <v>11772238</v>
      </c>
      <c r="ET25" s="60">
        <f t="shared" si="50"/>
        <v>11891197</v>
      </c>
      <c r="EU25" s="60">
        <f t="shared" si="50"/>
        <v>12221230</v>
      </c>
      <c r="EV25" s="60">
        <f t="shared" si="50"/>
        <v>0</v>
      </c>
      <c r="EW25" s="60">
        <f t="shared" si="50"/>
        <v>0</v>
      </c>
      <c r="EX25" s="60">
        <f t="shared" si="50"/>
        <v>0</v>
      </c>
      <c r="EY25" s="60">
        <f t="shared" si="50"/>
        <v>0</v>
      </c>
      <c r="EZ25" s="60">
        <f t="shared" si="50"/>
        <v>0</v>
      </c>
      <c r="FA25" s="60">
        <f t="shared" si="50"/>
        <v>0</v>
      </c>
    </row>
    <row r="26" spans="1:158" ht="16.5" customHeight="1" thickBot="1" x14ac:dyDescent="0.3">
      <c r="A26" s="66" t="s">
        <v>44</v>
      </c>
      <c r="B26" s="67">
        <f t="shared" ref="B26:AN26" si="51">IFERROR(SUBTOTAL(9,B20:B25),"")</f>
        <v>3594.7915957999999</v>
      </c>
      <c r="C26" s="68">
        <f t="shared" si="51"/>
        <v>2432.0541025465232</v>
      </c>
      <c r="D26" s="68">
        <f t="shared" si="51"/>
        <v>2525.3916068365697</v>
      </c>
      <c r="E26" s="68">
        <f t="shared" si="51"/>
        <v>3022.0326653781044</v>
      </c>
      <c r="F26" s="68">
        <f t="shared" si="51"/>
        <v>3279.0854154597273</v>
      </c>
      <c r="G26" s="68">
        <f t="shared" si="51"/>
        <v>3414.1021514445224</v>
      </c>
      <c r="H26" s="68">
        <f t="shared" si="51"/>
        <v>3253.8639394725965</v>
      </c>
      <c r="I26" s="68">
        <f t="shared" si="51"/>
        <v>3160.9663779375915</v>
      </c>
      <c r="J26" s="68">
        <f t="shared" si="51"/>
        <v>3105.7010582416701</v>
      </c>
      <c r="K26" s="68">
        <f t="shared" si="51"/>
        <v>0</v>
      </c>
      <c r="L26" s="68">
        <f t="shared" si="51"/>
        <v>0</v>
      </c>
      <c r="M26" s="68">
        <f t="shared" si="51"/>
        <v>0</v>
      </c>
      <c r="N26" s="68">
        <f t="shared" si="51"/>
        <v>0</v>
      </c>
      <c r="O26" s="67">
        <f t="shared" si="51"/>
        <v>8787.4086502999999</v>
      </c>
      <c r="P26" s="68">
        <f t="shared" si="51"/>
        <v>8456.6461569049952</v>
      </c>
      <c r="Q26" s="68">
        <f t="shared" si="51"/>
        <v>8707.8300408241121</v>
      </c>
      <c r="R26" s="68">
        <f t="shared" si="51"/>
        <v>9230.1381225075002</v>
      </c>
      <c r="S26" s="68">
        <f t="shared" si="51"/>
        <v>9102.5056700176847</v>
      </c>
      <c r="T26" s="68">
        <f t="shared" si="51"/>
        <v>8781.5924271051827</v>
      </c>
      <c r="U26" s="68">
        <f t="shared" si="51"/>
        <v>8535.6073530278009</v>
      </c>
      <c r="V26" s="68">
        <f t="shared" si="51"/>
        <v>8423.7930675740627</v>
      </c>
      <c r="W26" s="68">
        <f t="shared" si="51"/>
        <v>8577.6707179555833</v>
      </c>
      <c r="X26" s="68">
        <f t="shared" si="51"/>
        <v>0</v>
      </c>
      <c r="Y26" s="68">
        <f t="shared" si="51"/>
        <v>0</v>
      </c>
      <c r="Z26" s="68">
        <f t="shared" si="51"/>
        <v>0</v>
      </c>
      <c r="AA26" s="68">
        <f t="shared" si="51"/>
        <v>0</v>
      </c>
      <c r="AB26" s="67">
        <f t="shared" si="51"/>
        <v>1182.4607457</v>
      </c>
      <c r="AC26" s="68">
        <f t="shared" si="51"/>
        <v>1151.1940204701275</v>
      </c>
      <c r="AD26" s="68">
        <f t="shared" si="51"/>
        <v>1208.1830750888184</v>
      </c>
      <c r="AE26" s="68">
        <f t="shared" si="51"/>
        <v>1130.3968090364822</v>
      </c>
      <c r="AF26" s="68">
        <f t="shared" si="51"/>
        <v>1144.2599324545336</v>
      </c>
      <c r="AG26" s="68">
        <f t="shared" si="51"/>
        <v>1151.8989818354478</v>
      </c>
      <c r="AH26" s="68">
        <f t="shared" si="51"/>
        <v>1140.9381361101684</v>
      </c>
      <c r="AI26" s="68">
        <f t="shared" si="51"/>
        <v>1193.5685407293656</v>
      </c>
      <c r="AJ26" s="68">
        <f t="shared" si="51"/>
        <v>1191.262531583553</v>
      </c>
      <c r="AK26" s="68">
        <f t="shared" si="51"/>
        <v>0</v>
      </c>
      <c r="AL26" s="68">
        <f t="shared" si="51"/>
        <v>0</v>
      </c>
      <c r="AM26" s="68">
        <f t="shared" si="51"/>
        <v>0</v>
      </c>
      <c r="AN26" s="68">
        <f t="shared" si="51"/>
        <v>0</v>
      </c>
      <c r="AO26" s="67">
        <f t="shared" ref="AO26:BA26" si="52">IFERROR(SUM(AO20:AO25),"")</f>
        <v>31.508850000000002</v>
      </c>
      <c r="AP26" s="68">
        <f t="shared" si="52"/>
        <v>38.086529999999996</v>
      </c>
      <c r="AQ26" s="68">
        <f t="shared" si="52"/>
        <v>38.965420000000002</v>
      </c>
      <c r="AR26" s="68">
        <f t="shared" si="52"/>
        <v>54.46696</v>
      </c>
      <c r="AS26" s="68">
        <f t="shared" si="52"/>
        <v>40.093130000000002</v>
      </c>
      <c r="AT26" s="68">
        <f t="shared" si="52"/>
        <v>44.751220000000004</v>
      </c>
      <c r="AU26" s="68">
        <f t="shared" si="52"/>
        <v>43.568570000000001</v>
      </c>
      <c r="AV26" s="68">
        <f t="shared" si="52"/>
        <v>53.403120000000001</v>
      </c>
      <c r="AW26" s="68">
        <f t="shared" si="52"/>
        <v>52.088650000000001</v>
      </c>
      <c r="AX26" s="68">
        <f t="shared" si="52"/>
        <v>0</v>
      </c>
      <c r="AY26" s="68">
        <f t="shared" si="52"/>
        <v>38.183230000000002</v>
      </c>
      <c r="AZ26" s="68">
        <f t="shared" si="52"/>
        <v>0</v>
      </c>
      <c r="BA26" s="68">
        <f t="shared" si="52"/>
        <v>0</v>
      </c>
      <c r="BB26" s="69">
        <f t="shared" ref="BB26:CG26" si="53">IFERROR(SUBTOTAL(9,BB20:BB25),"")</f>
        <v>31.815663500000003</v>
      </c>
      <c r="BC26" s="70">
        <f t="shared" si="53"/>
        <v>53.47351322233105</v>
      </c>
      <c r="BD26" s="70">
        <f t="shared" si="53"/>
        <v>17.349158622708764</v>
      </c>
      <c r="BE26" s="70">
        <f t="shared" si="53"/>
        <v>24.027218547136385</v>
      </c>
      <c r="BF26" s="70">
        <f t="shared" si="53"/>
        <v>13.000645249059895</v>
      </c>
      <c r="BG26" s="70">
        <f t="shared" si="53"/>
        <v>-2.2004960400244471</v>
      </c>
      <c r="BH26" s="70">
        <f t="shared" si="53"/>
        <v>14.111765939503684</v>
      </c>
      <c r="BI26" s="70">
        <f t="shared" si="53"/>
        <v>7.7368854136551279</v>
      </c>
      <c r="BJ26" s="70">
        <f t="shared" si="53"/>
        <v>17.001640046615645</v>
      </c>
      <c r="BK26" s="70">
        <f t="shared" si="53"/>
        <v>0</v>
      </c>
      <c r="BL26" s="70">
        <f t="shared" si="53"/>
        <v>0</v>
      </c>
      <c r="BM26" s="70">
        <f t="shared" si="53"/>
        <v>0</v>
      </c>
      <c r="BN26" s="70">
        <f t="shared" si="53"/>
        <v>0</v>
      </c>
      <c r="BO26" s="69">
        <f t="shared" si="53"/>
        <v>0</v>
      </c>
      <c r="BP26" s="70">
        <f t="shared" si="53"/>
        <v>875.02601900097943</v>
      </c>
      <c r="BQ26" s="70">
        <f t="shared" si="53"/>
        <v>1008.2130613074312</v>
      </c>
      <c r="BR26" s="70">
        <f t="shared" si="53"/>
        <v>248.82808160186613</v>
      </c>
      <c r="BS26" s="70">
        <f t="shared" si="53"/>
        <v>153.49431793262903</v>
      </c>
      <c r="BT26" s="70">
        <f t="shared" si="53"/>
        <v>0.91993507476782543</v>
      </c>
      <c r="BU26" s="70">
        <f t="shared" si="53"/>
        <v>0</v>
      </c>
      <c r="BV26" s="70">
        <f t="shared" si="53"/>
        <v>0</v>
      </c>
      <c r="BW26" s="70">
        <f t="shared" si="53"/>
        <v>0</v>
      </c>
      <c r="BX26" s="70">
        <f t="shared" si="53"/>
        <v>0</v>
      </c>
      <c r="BY26" s="70">
        <f t="shared" si="53"/>
        <v>0</v>
      </c>
      <c r="BZ26" s="70">
        <f t="shared" si="53"/>
        <v>0</v>
      </c>
      <c r="CA26" s="70">
        <f t="shared" si="53"/>
        <v>0</v>
      </c>
      <c r="CB26" s="69">
        <f t="shared" si="53"/>
        <v>10033.1938995</v>
      </c>
      <c r="CC26" s="70">
        <f t="shared" si="53"/>
        <v>9698.6168639569078</v>
      </c>
      <c r="CD26" s="70">
        <f t="shared" si="53"/>
        <v>9970.8883180832818</v>
      </c>
      <c r="CE26" s="70">
        <f t="shared" si="53"/>
        <v>10435.145511373386</v>
      </c>
      <c r="CF26" s="70">
        <f t="shared" si="53"/>
        <v>10295.986493762941</v>
      </c>
      <c r="CG26" s="70">
        <f t="shared" si="53"/>
        <v>9970.1643529068097</v>
      </c>
      <c r="CH26" s="70">
        <f t="shared" ref="CH26:DA26" si="54">IFERROR(SUBTOTAL(9,CH20:CH25),"")</f>
        <v>9727.1530345828269</v>
      </c>
      <c r="CI26" s="70">
        <f t="shared" si="54"/>
        <v>9668.4872602198557</v>
      </c>
      <c r="CJ26" s="70">
        <f t="shared" si="54"/>
        <v>9828.2556723116886</v>
      </c>
      <c r="CK26" s="70">
        <f t="shared" si="54"/>
        <v>0</v>
      </c>
      <c r="CL26" s="70">
        <f t="shared" si="54"/>
        <v>0</v>
      </c>
      <c r="CM26" s="70">
        <f t="shared" si="54"/>
        <v>0</v>
      </c>
      <c r="CN26" s="70">
        <f t="shared" si="54"/>
        <v>0</v>
      </c>
      <c r="CO26" s="69">
        <f t="shared" si="54"/>
        <v>6438.4023036999988</v>
      </c>
      <c r="CP26" s="70">
        <f t="shared" si="54"/>
        <v>6391.5367424094029</v>
      </c>
      <c r="CQ26" s="70">
        <f t="shared" si="54"/>
        <v>6437.2836403086812</v>
      </c>
      <c r="CR26" s="70">
        <f t="shared" si="54"/>
        <v>7164.2847643934174</v>
      </c>
      <c r="CS26" s="70">
        <f t="shared" si="54"/>
        <v>6863.4067603705853</v>
      </c>
      <c r="CT26" s="70">
        <f t="shared" si="54"/>
        <v>6555.142266387521</v>
      </c>
      <c r="CU26" s="70">
        <f t="shared" si="54"/>
        <v>6473.2890867336009</v>
      </c>
      <c r="CV26" s="70">
        <f t="shared" si="54"/>
        <v>6507.520882282266</v>
      </c>
      <c r="CW26" s="70">
        <f t="shared" si="54"/>
        <v>6722.5546140700171</v>
      </c>
      <c r="CX26" s="70">
        <f t="shared" si="54"/>
        <v>0</v>
      </c>
      <c r="CY26" s="70">
        <f t="shared" si="54"/>
        <v>0</v>
      </c>
      <c r="CZ26" s="70">
        <f t="shared" si="54"/>
        <v>0</v>
      </c>
      <c r="DA26" s="70">
        <f t="shared" si="54"/>
        <v>0</v>
      </c>
      <c r="DB26" s="71">
        <f t="shared" si="24"/>
        <v>0.11785486830459116</v>
      </c>
      <c r="DC26" s="71">
        <f t="shared" si="24"/>
        <v>0.1186967210498153</v>
      </c>
      <c r="DD26" s="71">
        <f t="shared" si="24"/>
        <v>0.121171056835292</v>
      </c>
      <c r="DE26" s="71">
        <f t="shared" si="24"/>
        <v>0.10832592682147552</v>
      </c>
      <c r="DF26" s="71">
        <f t="shared" si="24"/>
        <v>0.11113650286426643</v>
      </c>
      <c r="DG26" s="71">
        <f t="shared" si="24"/>
        <v>0.11553460314820294</v>
      </c>
      <c r="DH26" s="71">
        <f t="shared" si="24"/>
        <v>0.11729414886902727</v>
      </c>
      <c r="DI26" s="71">
        <f t="shared" si="24"/>
        <v>0.12344935754740029</v>
      </c>
      <c r="DJ26" s="71">
        <f t="shared" si="24"/>
        <v>0.12120793061372996</v>
      </c>
      <c r="DK26" s="71" t="str">
        <f t="shared" si="24"/>
        <v/>
      </c>
      <c r="DL26" s="71" t="str">
        <f t="shared" si="24"/>
        <v/>
      </c>
      <c r="DM26" s="71" t="str">
        <f t="shared" si="24"/>
        <v/>
      </c>
      <c r="DN26" s="71" t="str">
        <f t="shared" si="24"/>
        <v/>
      </c>
      <c r="DO26" s="72">
        <f t="shared" ref="DO26:FA26" si="55">IFERROR(DO12/$DO$15,"")</f>
        <v>8586158.6232066676</v>
      </c>
      <c r="DP26" s="72">
        <f t="shared" si="55"/>
        <v>8382211.9274437744</v>
      </c>
      <c r="DQ26" s="72">
        <f t="shared" si="55"/>
        <v>8330758.4666199991</v>
      </c>
      <c r="DR26" s="72">
        <f t="shared" si="55"/>
        <v>8334624.0748166665</v>
      </c>
      <c r="DS26" s="72">
        <f t="shared" si="55"/>
        <v>8196206.2867435049</v>
      </c>
      <c r="DT26" s="72">
        <f t="shared" si="55"/>
        <v>8018514.689423997</v>
      </c>
      <c r="DU26" s="72">
        <f t="shared" si="55"/>
        <v>7924309.2499799998</v>
      </c>
      <c r="DV26" s="72">
        <f t="shared" si="55"/>
        <v>7896049.3989899997</v>
      </c>
      <c r="DW26" s="72">
        <f t="shared" si="55"/>
        <v>7901887.3491699994</v>
      </c>
      <c r="DX26" s="72">
        <f t="shared" si="55"/>
        <v>0</v>
      </c>
      <c r="DY26" s="72">
        <f t="shared" si="55"/>
        <v>4074529.8714299998</v>
      </c>
      <c r="DZ26" s="72">
        <f t="shared" si="55"/>
        <v>0</v>
      </c>
      <c r="EA26" s="72">
        <f t="shared" si="55"/>
        <v>0</v>
      </c>
      <c r="EB26" s="72">
        <f t="shared" si="55"/>
        <v>278980</v>
      </c>
      <c r="EC26" s="72">
        <f t="shared" si="55"/>
        <v>284085</v>
      </c>
      <c r="ED26" s="72">
        <f t="shared" si="55"/>
        <v>303368</v>
      </c>
      <c r="EE26" s="72">
        <f t="shared" si="55"/>
        <v>305127</v>
      </c>
      <c r="EF26" s="72">
        <f t="shared" si="55"/>
        <v>305159</v>
      </c>
      <c r="EG26" s="72">
        <f t="shared" si="55"/>
        <v>255856.08</v>
      </c>
      <c r="EH26" s="72">
        <f t="shared" si="55"/>
        <v>263311.43</v>
      </c>
      <c r="EI26" s="72">
        <f t="shared" si="55"/>
        <v>274353</v>
      </c>
      <c r="EJ26" s="72">
        <f t="shared" si="55"/>
        <v>172316.68</v>
      </c>
      <c r="EK26" s="72">
        <f t="shared" si="55"/>
        <v>0</v>
      </c>
      <c r="EL26" s="72">
        <f t="shared" si="55"/>
        <v>179803.34</v>
      </c>
      <c r="EM26" s="72">
        <f t="shared" si="55"/>
        <v>0</v>
      </c>
      <c r="EN26" s="72">
        <f t="shared" si="55"/>
        <v>0</v>
      </c>
      <c r="EO26" s="72">
        <f t="shared" si="55"/>
        <v>307281309.99000001</v>
      </c>
      <c r="EP26" s="72">
        <f t="shared" si="55"/>
        <v>198068276.76046002</v>
      </c>
      <c r="EQ26" s="72">
        <f t="shared" si="55"/>
        <v>194134591.01591998</v>
      </c>
      <c r="ER26" s="72">
        <f t="shared" si="55"/>
        <v>246894761.85870001</v>
      </c>
      <c r="ES26" s="72">
        <f t="shared" si="55"/>
        <v>266393659.22327</v>
      </c>
      <c r="ET26" s="72">
        <f t="shared" si="55"/>
        <v>275050676.10455</v>
      </c>
      <c r="EU26" s="72">
        <f t="shared" si="55"/>
        <v>272441117.25652003</v>
      </c>
      <c r="EV26" s="72">
        <f t="shared" si="55"/>
        <v>236189824.59628001</v>
      </c>
      <c r="EW26" s="72">
        <f t="shared" si="55"/>
        <v>184375015.70901999</v>
      </c>
      <c r="EX26" s="72">
        <f t="shared" si="55"/>
        <v>0</v>
      </c>
      <c r="EY26" s="72">
        <f t="shared" si="55"/>
        <v>172969831.23730001</v>
      </c>
      <c r="EZ26" s="72">
        <f t="shared" si="55"/>
        <v>0</v>
      </c>
      <c r="FA26" s="72">
        <f t="shared" si="55"/>
        <v>0</v>
      </c>
    </row>
    <row r="27" spans="1:158" ht="16.5" customHeight="1" thickTop="1" x14ac:dyDescent="0.25">
      <c r="A27" s="36" t="s">
        <v>45</v>
      </c>
    </row>
    <row r="28" spans="1:158" x14ac:dyDescent="0.25">
      <c r="I28" s="37">
        <f>+I26/B26-1</f>
        <v>-0.12068160456624832</v>
      </c>
      <c r="J28" s="37"/>
      <c r="K28" s="37"/>
      <c r="L28" s="37"/>
      <c r="M28" s="37"/>
      <c r="N28" s="37"/>
      <c r="V28" s="37">
        <f>+V26/O26-1</f>
        <v>-4.1379159339940741E-2</v>
      </c>
      <c r="W28" s="37"/>
      <c r="X28" s="37"/>
      <c r="Y28" s="37"/>
      <c r="Z28" s="37"/>
      <c r="AA28" s="37"/>
      <c r="AI28" s="37">
        <f>+AI26/AB26-1</f>
        <v>9.3937960052872249E-3</v>
      </c>
      <c r="AJ28" s="37"/>
      <c r="AK28" s="37"/>
      <c r="AL28" s="37"/>
      <c r="AM28" s="37"/>
      <c r="AN28" s="37"/>
      <c r="CI28" s="37">
        <f>+CI26/CB26-1</f>
        <v>-3.6350004089756416E-2</v>
      </c>
      <c r="CJ28" s="37"/>
      <c r="CK28" s="37"/>
      <c r="CL28" s="37"/>
      <c r="CM28" s="37"/>
      <c r="CN28" s="37"/>
      <c r="CV28" s="73">
        <f>+CV26/CO26-1</f>
        <v>1.0735361868043913E-2</v>
      </c>
      <c r="CW28" s="73"/>
      <c r="CX28" s="73"/>
      <c r="CY28" s="73"/>
      <c r="CZ28" s="73"/>
      <c r="DA28" s="73"/>
    </row>
    <row r="29" spans="1:158" ht="15.75" customHeight="1" x14ac:dyDescent="0.25">
      <c r="CI29" s="73">
        <f>+CI26/CG26-1</f>
        <v>-3.0257985927684361E-2</v>
      </c>
      <c r="CJ29" s="73"/>
      <c r="CK29" s="73"/>
      <c r="CL29" s="73"/>
      <c r="CM29" s="73"/>
      <c r="CN29" s="73"/>
      <c r="CV29" s="73">
        <f>+CV26/CT26-1</f>
        <v>-7.2647369301869213E-3</v>
      </c>
      <c r="CW29" s="73"/>
      <c r="CX29" s="73"/>
      <c r="CY29" s="73"/>
      <c r="CZ29" s="73"/>
      <c r="DA29" s="73"/>
    </row>
    <row r="30" spans="1:158" x14ac:dyDescent="0.25">
      <c r="EO30" s="74"/>
      <c r="EP30" s="23"/>
      <c r="EQ30" s="23"/>
      <c r="ER30" s="23"/>
      <c r="ES30" s="23"/>
      <c r="ET30" s="23"/>
      <c r="EU30" s="23"/>
      <c r="EV30" s="23"/>
      <c r="EW30" s="23"/>
      <c r="EX30" s="23"/>
      <c r="EY30" s="23"/>
      <c r="EZ30" s="23"/>
      <c r="FA30" s="23"/>
      <c r="FB30" s="23"/>
    </row>
    <row r="31" spans="1:158" x14ac:dyDescent="0.25">
      <c r="EO31" s="74"/>
      <c r="EP31" s="23"/>
      <c r="EQ31" s="23"/>
      <c r="ER31" s="23"/>
      <c r="ES31" s="23"/>
      <c r="ET31" s="23"/>
      <c r="EU31" s="23"/>
      <c r="EV31" s="23"/>
      <c r="EW31" s="23"/>
      <c r="EX31" s="23"/>
      <c r="EY31" s="23"/>
      <c r="EZ31" s="23"/>
      <c r="FA31" s="23"/>
      <c r="FB31" s="23"/>
    </row>
    <row r="32" spans="1:158" x14ac:dyDescent="0.25">
      <c r="EO32" s="74"/>
      <c r="EP32" s="23"/>
      <c r="EQ32" s="23"/>
      <c r="ER32" s="23"/>
      <c r="ES32" s="23"/>
      <c r="ET32" s="23"/>
      <c r="EU32" s="23"/>
      <c r="EV32" s="23"/>
      <c r="EW32" s="23"/>
      <c r="EX32" s="23"/>
      <c r="EY32" s="23"/>
      <c r="EZ32" s="23"/>
      <c r="FA32" s="23"/>
      <c r="FB32" s="23"/>
    </row>
    <row r="33" spans="145:158" x14ac:dyDescent="0.25">
      <c r="EO33" s="74"/>
      <c r="EP33" s="23"/>
      <c r="EQ33" s="23"/>
      <c r="ER33" s="23"/>
      <c r="ES33" s="23"/>
      <c r="ET33" s="23"/>
      <c r="EU33" s="23"/>
      <c r="EV33" s="23"/>
      <c r="EW33" s="23"/>
      <c r="EX33" s="23"/>
      <c r="EY33" s="23"/>
      <c r="EZ33" s="23"/>
      <c r="FA33" s="23"/>
      <c r="FB33" s="23"/>
    </row>
    <row r="34" spans="145:158" x14ac:dyDescent="0.25">
      <c r="EO34" s="4"/>
      <c r="EP34" s="23"/>
      <c r="EQ34" s="23"/>
      <c r="ER34" s="23"/>
      <c r="ES34" s="23"/>
      <c r="ET34" s="23"/>
      <c r="EU34" s="23"/>
      <c r="EV34" s="23"/>
      <c r="EW34" s="23"/>
      <c r="EX34" s="23"/>
      <c r="EY34" s="23"/>
      <c r="EZ34" s="23"/>
      <c r="FA34" s="23"/>
      <c r="FB34" s="23"/>
    </row>
    <row r="35" spans="145:158" x14ac:dyDescent="0.25">
      <c r="EO35" s="38"/>
    </row>
  </sheetData>
  <mergeCells count="25">
    <mergeCell ref="EB4:EN4"/>
    <mergeCell ref="EO4:FA4"/>
    <mergeCell ref="FB4:FN4"/>
    <mergeCell ref="B18:N18"/>
    <mergeCell ref="O18:AA18"/>
    <mergeCell ref="AB18:AN18"/>
    <mergeCell ref="AO18:BA18"/>
    <mergeCell ref="BB18:BN18"/>
    <mergeCell ref="BO18:CA18"/>
    <mergeCell ref="CB18:CN18"/>
    <mergeCell ref="CO18:DA18"/>
    <mergeCell ref="DB18:DN18"/>
    <mergeCell ref="DO18:EA18"/>
    <mergeCell ref="EB18:EN18"/>
    <mergeCell ref="EO18:FA18"/>
    <mergeCell ref="BO4:CA4"/>
    <mergeCell ref="CB4:CN4"/>
    <mergeCell ref="CO4:DA4"/>
    <mergeCell ref="DB4:DN4"/>
    <mergeCell ref="DO4:EA4"/>
    <mergeCell ref="B4:N4"/>
    <mergeCell ref="O4:AA4"/>
    <mergeCell ref="AB4:AN4"/>
    <mergeCell ref="AO4:BA4"/>
    <mergeCell ref="BB4:BN4"/>
  </mergeCells>
  <pageMargins left="0.70833333333333304" right="0.70833333333333304" top="0.74791666666666701" bottom="0.74791666666666701" header="0.511811023622047" footer="0.511811023622047"/>
  <pageSetup paperSize="8" fitToWidth="3" fitToHeight="0"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F4C19-5860-45DB-8388-24EED074200C}">
  <dimension ref="A1:ID51"/>
  <sheetViews>
    <sheetView zoomScale="76" workbookViewId="0">
      <pane xSplit="1" ySplit="4" topLeftCell="B5" activePane="bottomRight" state="frozen"/>
      <selection pane="topRight" activeCell="B1" sqref="B1"/>
      <selection pane="bottomLeft" activeCell="A5" sqref="A5"/>
      <selection pane="bottomRight" activeCell="CV3" sqref="CV3:DH3"/>
    </sheetView>
  </sheetViews>
  <sheetFormatPr defaultRowHeight="14.25" x14ac:dyDescent="0.2"/>
  <cols>
    <col min="1" max="1" width="29.375" customWidth="1"/>
    <col min="2" max="14" width="11.625" customWidth="1"/>
    <col min="15" max="15" width="2.375" customWidth="1"/>
    <col min="16" max="28" width="11.625" customWidth="1"/>
    <col min="29" max="29" width="2.375" customWidth="1"/>
    <col min="30" max="42" width="11.625" customWidth="1"/>
    <col min="43" max="43" width="2.375" customWidth="1"/>
    <col min="44" max="56" width="11.625" customWidth="1"/>
    <col min="57" max="57" width="2.375" customWidth="1"/>
    <col min="58" max="70" width="11.625" customWidth="1"/>
    <col min="71" max="71" width="2.375" customWidth="1"/>
    <col min="72" max="84" width="11.625" customWidth="1"/>
    <col min="85" max="85" width="2.375" customWidth="1"/>
    <col min="86" max="98" width="11.625" customWidth="1"/>
    <col min="99" max="99" width="2.375" customWidth="1"/>
    <col min="100" max="112" width="11.625" customWidth="1"/>
    <col min="113" max="113" width="2.375" customWidth="1"/>
    <col min="114" max="126" width="11.625" customWidth="1"/>
    <col min="127" max="127" width="2.375" customWidth="1"/>
    <col min="128" max="140" width="11.625" customWidth="1"/>
    <col min="141" max="141" width="2.375" customWidth="1"/>
    <col min="142" max="154" width="11.625" customWidth="1"/>
    <col min="155" max="155" width="2.375" customWidth="1"/>
    <col min="156" max="156" width="17.5" bestFit="1" customWidth="1"/>
    <col min="157" max="166" width="13.25" customWidth="1"/>
    <col min="167" max="168" width="11.625" customWidth="1"/>
    <col min="169" max="169" width="2.375" customWidth="1"/>
    <col min="170" max="170" width="19" bestFit="1" customWidth="1"/>
    <col min="171" max="172" width="14.125" bestFit="1" customWidth="1"/>
    <col min="173" max="182" width="11.625" customWidth="1"/>
    <col min="183" max="183" width="2.375" customWidth="1"/>
    <col min="184" max="196" width="11.625" customWidth="1"/>
    <col min="197" max="197" width="2.375" customWidth="1"/>
    <col min="198" max="210" width="11.625" customWidth="1"/>
    <col min="211" max="211" width="2.375" customWidth="1"/>
    <col min="212" max="224" width="11.625" customWidth="1"/>
    <col min="225" max="225" width="2.375" customWidth="1"/>
    <col min="226" max="238" width="11.625" customWidth="1"/>
  </cols>
  <sheetData>
    <row r="1" spans="1:238" ht="18" x14ac:dyDescent="0.25">
      <c r="A1" s="262" t="s">
        <v>295</v>
      </c>
      <c r="O1" s="291"/>
      <c r="AC1" s="291"/>
      <c r="AQ1" s="291"/>
      <c r="BE1" s="291"/>
      <c r="BS1" s="291"/>
      <c r="CG1" s="291"/>
      <c r="CU1" s="291"/>
      <c r="DI1" s="291"/>
      <c r="DW1" s="291"/>
      <c r="EK1" s="291"/>
      <c r="EY1" s="291"/>
      <c r="FM1" s="291"/>
      <c r="GA1" s="291"/>
      <c r="GO1" s="291"/>
      <c r="GP1" s="291"/>
      <c r="GQ1" s="291"/>
      <c r="GR1" s="291"/>
      <c r="GS1" s="291"/>
      <c r="GT1" s="291"/>
      <c r="GU1" s="291"/>
      <c r="GV1" s="291"/>
      <c r="GW1" s="291"/>
      <c r="GX1" s="291"/>
      <c r="GY1" s="291"/>
      <c r="GZ1" s="291"/>
      <c r="HA1" s="291"/>
      <c r="HB1" s="291"/>
      <c r="HC1" s="291"/>
      <c r="HQ1" s="291"/>
    </row>
    <row r="2" spans="1:238" x14ac:dyDescent="0.2">
      <c r="O2" s="291"/>
      <c r="AC2" s="291"/>
      <c r="AQ2" s="291"/>
      <c r="BE2" s="291"/>
      <c r="BS2" s="291"/>
      <c r="CG2" s="291"/>
      <c r="CU2" s="291"/>
      <c r="DI2" s="291"/>
      <c r="DW2" s="291"/>
      <c r="EK2" s="291"/>
      <c r="EY2" s="291"/>
      <c r="FM2" s="291"/>
      <c r="GA2" s="291"/>
      <c r="GO2" s="291"/>
      <c r="GP2" s="291"/>
      <c r="GQ2" s="291"/>
      <c r="GR2" s="291"/>
      <c r="GS2" s="291"/>
      <c r="GT2" s="291"/>
      <c r="GU2" s="291"/>
      <c r="GV2" s="291"/>
      <c r="GW2" s="291"/>
      <c r="GX2" s="291"/>
      <c r="GY2" s="291"/>
      <c r="GZ2" s="291"/>
      <c r="HA2" s="291"/>
      <c r="HB2" s="291"/>
      <c r="HC2" s="291"/>
      <c r="HQ2" s="291"/>
    </row>
    <row r="3" spans="1:238" ht="33.950000000000003" customHeight="1" x14ac:dyDescent="0.2">
      <c r="A3" s="309" t="s">
        <v>307</v>
      </c>
      <c r="B3" s="319" t="s">
        <v>26</v>
      </c>
      <c r="C3" s="319"/>
      <c r="D3" s="319"/>
      <c r="E3" s="319"/>
      <c r="F3" s="319"/>
      <c r="G3" s="319"/>
      <c r="H3" s="319"/>
      <c r="I3" s="319"/>
      <c r="J3" s="319"/>
      <c r="K3" s="319"/>
      <c r="L3" s="319"/>
      <c r="M3" s="319"/>
      <c r="N3" s="320"/>
      <c r="O3" s="292"/>
      <c r="P3" s="318" t="s">
        <v>27</v>
      </c>
      <c r="Q3" s="319"/>
      <c r="R3" s="319"/>
      <c r="S3" s="319"/>
      <c r="T3" s="319"/>
      <c r="U3" s="319"/>
      <c r="V3" s="319"/>
      <c r="W3" s="319"/>
      <c r="X3" s="319"/>
      <c r="Y3" s="319"/>
      <c r="Z3" s="319"/>
      <c r="AA3" s="319"/>
      <c r="AB3" s="320"/>
      <c r="AC3" s="292"/>
      <c r="AD3" s="318" t="s">
        <v>28</v>
      </c>
      <c r="AE3" s="319"/>
      <c r="AF3" s="319"/>
      <c r="AG3" s="319"/>
      <c r="AH3" s="319"/>
      <c r="AI3" s="319"/>
      <c r="AJ3" s="319"/>
      <c r="AK3" s="319"/>
      <c r="AL3" s="319"/>
      <c r="AM3" s="319"/>
      <c r="AN3" s="319"/>
      <c r="AO3" s="319"/>
      <c r="AP3" s="320"/>
      <c r="AQ3" s="292"/>
      <c r="AR3" s="318" t="s">
        <v>29</v>
      </c>
      <c r="AS3" s="319"/>
      <c r="AT3" s="319"/>
      <c r="AU3" s="319"/>
      <c r="AV3" s="319"/>
      <c r="AW3" s="319"/>
      <c r="AX3" s="319"/>
      <c r="AY3" s="319"/>
      <c r="AZ3" s="319"/>
      <c r="BA3" s="319"/>
      <c r="BB3" s="319"/>
      <c r="BC3" s="319"/>
      <c r="BD3" s="320"/>
      <c r="BE3" s="292"/>
      <c r="BF3" s="318" t="s">
        <v>30</v>
      </c>
      <c r="BG3" s="319"/>
      <c r="BH3" s="319"/>
      <c r="BI3" s="319"/>
      <c r="BJ3" s="319"/>
      <c r="BK3" s="319"/>
      <c r="BL3" s="319"/>
      <c r="BM3" s="319"/>
      <c r="BN3" s="319"/>
      <c r="BO3" s="319"/>
      <c r="BP3" s="319"/>
      <c r="BQ3" s="319"/>
      <c r="BR3" s="320"/>
      <c r="BS3" s="292"/>
      <c r="BT3" s="318" t="s">
        <v>31</v>
      </c>
      <c r="BU3" s="319"/>
      <c r="BV3" s="319"/>
      <c r="BW3" s="319"/>
      <c r="BX3" s="319"/>
      <c r="BY3" s="319"/>
      <c r="BZ3" s="319"/>
      <c r="CA3" s="319"/>
      <c r="CB3" s="319"/>
      <c r="CC3" s="319"/>
      <c r="CD3" s="319"/>
      <c r="CE3" s="319"/>
      <c r="CF3" s="320"/>
      <c r="CG3" s="292"/>
      <c r="CH3" s="318" t="s">
        <v>32</v>
      </c>
      <c r="CI3" s="319"/>
      <c r="CJ3" s="319"/>
      <c r="CK3" s="319"/>
      <c r="CL3" s="319"/>
      <c r="CM3" s="319"/>
      <c r="CN3" s="319"/>
      <c r="CO3" s="319"/>
      <c r="CP3" s="319"/>
      <c r="CQ3" s="319"/>
      <c r="CR3" s="319"/>
      <c r="CS3" s="319"/>
      <c r="CT3" s="320"/>
      <c r="CU3" s="292"/>
      <c r="CV3" s="318" t="s">
        <v>33</v>
      </c>
      <c r="CW3" s="319"/>
      <c r="CX3" s="319"/>
      <c r="CY3" s="319"/>
      <c r="CZ3" s="319"/>
      <c r="DA3" s="319"/>
      <c r="DB3" s="319"/>
      <c r="DC3" s="319"/>
      <c r="DD3" s="319"/>
      <c r="DE3" s="319"/>
      <c r="DF3" s="319"/>
      <c r="DG3" s="319"/>
      <c r="DH3" s="320"/>
      <c r="DI3" s="292"/>
      <c r="DJ3" s="318" t="s">
        <v>34</v>
      </c>
      <c r="DK3" s="319"/>
      <c r="DL3" s="319"/>
      <c r="DM3" s="319"/>
      <c r="DN3" s="319"/>
      <c r="DO3" s="319"/>
      <c r="DP3" s="319"/>
      <c r="DQ3" s="319"/>
      <c r="DR3" s="319"/>
      <c r="DS3" s="319"/>
      <c r="DT3" s="319"/>
      <c r="DU3" s="319"/>
      <c r="DV3" s="320"/>
      <c r="DW3" s="292"/>
      <c r="DX3" s="318" t="s">
        <v>35</v>
      </c>
      <c r="DY3" s="319"/>
      <c r="DZ3" s="319"/>
      <c r="EA3" s="319"/>
      <c r="EB3" s="319"/>
      <c r="EC3" s="319"/>
      <c r="ED3" s="319"/>
      <c r="EE3" s="319"/>
      <c r="EF3" s="319"/>
      <c r="EG3" s="319"/>
      <c r="EH3" s="319"/>
      <c r="EI3" s="319"/>
      <c r="EJ3" s="320"/>
      <c r="EK3" s="292"/>
      <c r="EL3" s="318" t="s">
        <v>36</v>
      </c>
      <c r="EM3" s="319"/>
      <c r="EN3" s="319"/>
      <c r="EO3" s="319"/>
      <c r="EP3" s="319"/>
      <c r="EQ3" s="319"/>
      <c r="ER3" s="319"/>
      <c r="ES3" s="319"/>
      <c r="ET3" s="319"/>
      <c r="EU3" s="319"/>
      <c r="EV3" s="319"/>
      <c r="EW3" s="319"/>
      <c r="EX3" s="320"/>
      <c r="EY3" s="292"/>
      <c r="EZ3" s="318" t="s">
        <v>49</v>
      </c>
      <c r="FA3" s="319"/>
      <c r="FB3" s="319"/>
      <c r="FC3" s="319"/>
      <c r="FD3" s="319"/>
      <c r="FE3" s="319"/>
      <c r="FF3" s="319"/>
      <c r="FG3" s="319"/>
      <c r="FH3" s="319"/>
      <c r="FI3" s="319"/>
      <c r="FJ3" s="319"/>
      <c r="FK3" s="319"/>
      <c r="FL3" s="320"/>
      <c r="FM3" s="292"/>
      <c r="FN3" s="318" t="s">
        <v>50</v>
      </c>
      <c r="FO3" s="319"/>
      <c r="FP3" s="319"/>
      <c r="FQ3" s="319"/>
      <c r="FR3" s="319"/>
      <c r="FS3" s="319"/>
      <c r="FT3" s="319"/>
      <c r="FU3" s="319"/>
      <c r="FV3" s="319"/>
      <c r="FW3" s="319"/>
      <c r="FX3" s="319"/>
      <c r="FY3" s="319"/>
      <c r="FZ3" s="320"/>
      <c r="GA3" s="292"/>
      <c r="GB3" s="318" t="s">
        <v>305</v>
      </c>
      <c r="GC3" s="319"/>
      <c r="GD3" s="319"/>
      <c r="GE3" s="319"/>
      <c r="GF3" s="319"/>
      <c r="GG3" s="319"/>
      <c r="GH3" s="319"/>
      <c r="GI3" s="319"/>
      <c r="GJ3" s="319"/>
      <c r="GK3" s="319"/>
      <c r="GL3" s="319"/>
      <c r="GM3" s="319"/>
      <c r="GN3" s="320"/>
      <c r="GO3" s="292"/>
      <c r="GP3" s="318" t="s">
        <v>308</v>
      </c>
      <c r="GQ3" s="319"/>
      <c r="GR3" s="319"/>
      <c r="GS3" s="319"/>
      <c r="GT3" s="319"/>
      <c r="GU3" s="319"/>
      <c r="GV3" s="319"/>
      <c r="GW3" s="319"/>
      <c r="GX3" s="319"/>
      <c r="GY3" s="319"/>
      <c r="GZ3" s="319"/>
      <c r="HA3" s="319"/>
      <c r="HB3" s="320"/>
      <c r="HC3" s="292"/>
      <c r="HD3" s="318" t="s">
        <v>302</v>
      </c>
      <c r="HE3" s="319"/>
      <c r="HF3" s="319"/>
      <c r="HG3" s="319"/>
      <c r="HH3" s="319"/>
      <c r="HI3" s="319"/>
      <c r="HJ3" s="319"/>
      <c r="HK3" s="319"/>
      <c r="HL3" s="319"/>
      <c r="HM3" s="319"/>
      <c r="HN3" s="319"/>
      <c r="HO3" s="319"/>
      <c r="HP3" s="320"/>
      <c r="HQ3" s="292"/>
      <c r="HR3" s="318" t="s">
        <v>303</v>
      </c>
      <c r="HS3" s="319"/>
      <c r="HT3" s="319"/>
      <c r="HU3" s="319"/>
      <c r="HV3" s="319"/>
      <c r="HW3" s="319"/>
      <c r="HX3" s="319"/>
      <c r="HY3" s="319"/>
      <c r="HZ3" s="319"/>
      <c r="IA3" s="319"/>
      <c r="IB3" s="319"/>
      <c r="IC3" s="319"/>
      <c r="ID3" s="320"/>
    </row>
    <row r="4" spans="1:238" ht="15" x14ac:dyDescent="0.25">
      <c r="A4" s="263"/>
      <c r="B4" s="263" t="s">
        <v>310</v>
      </c>
      <c r="C4" s="263" t="s">
        <v>311</v>
      </c>
      <c r="D4" s="263" t="s">
        <v>312</v>
      </c>
      <c r="E4" s="263" t="s">
        <v>313</v>
      </c>
      <c r="F4" s="263" t="s">
        <v>314</v>
      </c>
      <c r="G4" s="263" t="s">
        <v>315</v>
      </c>
      <c r="H4" s="263" t="s">
        <v>42</v>
      </c>
      <c r="I4" s="263" t="s">
        <v>43</v>
      </c>
      <c r="J4" s="263" t="s">
        <v>37</v>
      </c>
      <c r="K4" s="263" t="s">
        <v>38</v>
      </c>
      <c r="L4" s="263" t="s">
        <v>39</v>
      </c>
      <c r="M4" s="263" t="s">
        <v>40</v>
      </c>
      <c r="N4" s="263" t="s">
        <v>41</v>
      </c>
      <c r="O4" s="293"/>
      <c r="P4" s="273" t="s">
        <v>310</v>
      </c>
      <c r="Q4" s="263" t="s">
        <v>311</v>
      </c>
      <c r="R4" s="263" t="s">
        <v>312</v>
      </c>
      <c r="S4" s="263" t="s">
        <v>313</v>
      </c>
      <c r="T4" s="263" t="s">
        <v>314</v>
      </c>
      <c r="U4" s="263" t="s">
        <v>315</v>
      </c>
      <c r="V4" s="263" t="s">
        <v>42</v>
      </c>
      <c r="W4" s="263" t="s">
        <v>43</v>
      </c>
      <c r="X4" s="263" t="s">
        <v>37</v>
      </c>
      <c r="Y4" s="263" t="s">
        <v>38</v>
      </c>
      <c r="Z4" s="263" t="s">
        <v>39</v>
      </c>
      <c r="AA4" s="263" t="s">
        <v>40</v>
      </c>
      <c r="AB4" s="263" t="s">
        <v>41</v>
      </c>
      <c r="AC4" s="293"/>
      <c r="AD4" s="273" t="s">
        <v>310</v>
      </c>
      <c r="AE4" s="263" t="s">
        <v>311</v>
      </c>
      <c r="AF4" s="263" t="s">
        <v>312</v>
      </c>
      <c r="AG4" s="263" t="s">
        <v>313</v>
      </c>
      <c r="AH4" s="263" t="s">
        <v>314</v>
      </c>
      <c r="AI4" s="263" t="s">
        <v>315</v>
      </c>
      <c r="AJ4" s="263" t="s">
        <v>42</v>
      </c>
      <c r="AK4" s="263" t="s">
        <v>43</v>
      </c>
      <c r="AL4" s="263" t="s">
        <v>37</v>
      </c>
      <c r="AM4" s="263" t="s">
        <v>38</v>
      </c>
      <c r="AN4" s="263" t="s">
        <v>39</v>
      </c>
      <c r="AO4" s="263" t="s">
        <v>40</v>
      </c>
      <c r="AP4" s="263" t="s">
        <v>41</v>
      </c>
      <c r="AQ4" s="293"/>
      <c r="AR4" s="273" t="s">
        <v>310</v>
      </c>
      <c r="AS4" s="263" t="s">
        <v>311</v>
      </c>
      <c r="AT4" s="263" t="s">
        <v>312</v>
      </c>
      <c r="AU4" s="263" t="s">
        <v>313</v>
      </c>
      <c r="AV4" s="263" t="s">
        <v>314</v>
      </c>
      <c r="AW4" s="263" t="s">
        <v>315</v>
      </c>
      <c r="AX4" s="263" t="s">
        <v>42</v>
      </c>
      <c r="AY4" s="263" t="s">
        <v>43</v>
      </c>
      <c r="AZ4" s="263" t="s">
        <v>37</v>
      </c>
      <c r="BA4" s="263" t="s">
        <v>38</v>
      </c>
      <c r="BB4" s="263" t="s">
        <v>39</v>
      </c>
      <c r="BC4" s="263" t="s">
        <v>40</v>
      </c>
      <c r="BD4" s="263" t="s">
        <v>41</v>
      </c>
      <c r="BE4" s="293"/>
      <c r="BF4" s="273" t="s">
        <v>310</v>
      </c>
      <c r="BG4" s="263" t="s">
        <v>311</v>
      </c>
      <c r="BH4" s="263" t="s">
        <v>312</v>
      </c>
      <c r="BI4" s="263" t="s">
        <v>313</v>
      </c>
      <c r="BJ4" s="263" t="s">
        <v>314</v>
      </c>
      <c r="BK4" s="263" t="s">
        <v>315</v>
      </c>
      <c r="BL4" s="263" t="s">
        <v>42</v>
      </c>
      <c r="BM4" s="263" t="s">
        <v>43</v>
      </c>
      <c r="BN4" s="263" t="s">
        <v>37</v>
      </c>
      <c r="BO4" s="263" t="s">
        <v>38</v>
      </c>
      <c r="BP4" s="263" t="s">
        <v>39</v>
      </c>
      <c r="BQ4" s="263" t="s">
        <v>40</v>
      </c>
      <c r="BR4" s="263" t="s">
        <v>41</v>
      </c>
      <c r="BS4" s="293"/>
      <c r="BT4" s="273" t="s">
        <v>310</v>
      </c>
      <c r="BU4" s="263" t="s">
        <v>311</v>
      </c>
      <c r="BV4" s="263" t="s">
        <v>312</v>
      </c>
      <c r="BW4" s="263" t="s">
        <v>313</v>
      </c>
      <c r="BX4" s="263" t="s">
        <v>314</v>
      </c>
      <c r="BY4" s="263" t="s">
        <v>315</v>
      </c>
      <c r="BZ4" s="263" t="s">
        <v>42</v>
      </c>
      <c r="CA4" s="263" t="s">
        <v>43</v>
      </c>
      <c r="CB4" s="263" t="s">
        <v>37</v>
      </c>
      <c r="CC4" s="263" t="s">
        <v>38</v>
      </c>
      <c r="CD4" s="263" t="s">
        <v>39</v>
      </c>
      <c r="CE4" s="263" t="s">
        <v>40</v>
      </c>
      <c r="CF4" s="263" t="s">
        <v>41</v>
      </c>
      <c r="CG4" s="293"/>
      <c r="CH4" s="273" t="s">
        <v>310</v>
      </c>
      <c r="CI4" s="263" t="s">
        <v>311</v>
      </c>
      <c r="CJ4" s="263" t="s">
        <v>312</v>
      </c>
      <c r="CK4" s="263" t="s">
        <v>313</v>
      </c>
      <c r="CL4" s="263" t="s">
        <v>314</v>
      </c>
      <c r="CM4" s="263" t="s">
        <v>315</v>
      </c>
      <c r="CN4" s="263" t="s">
        <v>42</v>
      </c>
      <c r="CO4" s="263" t="s">
        <v>43</v>
      </c>
      <c r="CP4" s="263" t="s">
        <v>37</v>
      </c>
      <c r="CQ4" s="263" t="s">
        <v>38</v>
      </c>
      <c r="CR4" s="263" t="s">
        <v>39</v>
      </c>
      <c r="CS4" s="263" t="s">
        <v>40</v>
      </c>
      <c r="CT4" s="263" t="s">
        <v>41</v>
      </c>
      <c r="CU4" s="293"/>
      <c r="CV4" s="273" t="s">
        <v>310</v>
      </c>
      <c r="CW4" s="263" t="s">
        <v>311</v>
      </c>
      <c r="CX4" s="263" t="s">
        <v>312</v>
      </c>
      <c r="CY4" s="263" t="s">
        <v>313</v>
      </c>
      <c r="CZ4" s="263" t="s">
        <v>314</v>
      </c>
      <c r="DA4" s="263" t="s">
        <v>315</v>
      </c>
      <c r="DB4" s="263" t="s">
        <v>42</v>
      </c>
      <c r="DC4" s="263" t="s">
        <v>43</v>
      </c>
      <c r="DD4" s="263" t="s">
        <v>37</v>
      </c>
      <c r="DE4" s="263" t="s">
        <v>38</v>
      </c>
      <c r="DF4" s="263" t="s">
        <v>39</v>
      </c>
      <c r="DG4" s="263" t="s">
        <v>40</v>
      </c>
      <c r="DH4" s="263" t="s">
        <v>41</v>
      </c>
      <c r="DI4" s="293"/>
      <c r="DJ4" s="273" t="s">
        <v>310</v>
      </c>
      <c r="DK4" s="263" t="s">
        <v>311</v>
      </c>
      <c r="DL4" s="263" t="s">
        <v>312</v>
      </c>
      <c r="DM4" s="263" t="s">
        <v>313</v>
      </c>
      <c r="DN4" s="263" t="s">
        <v>314</v>
      </c>
      <c r="DO4" s="263" t="s">
        <v>315</v>
      </c>
      <c r="DP4" s="263" t="s">
        <v>42</v>
      </c>
      <c r="DQ4" s="263" t="s">
        <v>43</v>
      </c>
      <c r="DR4" s="263" t="s">
        <v>37</v>
      </c>
      <c r="DS4" s="263" t="s">
        <v>38</v>
      </c>
      <c r="DT4" s="263" t="s">
        <v>39</v>
      </c>
      <c r="DU4" s="263" t="s">
        <v>40</v>
      </c>
      <c r="DV4" s="263" t="s">
        <v>41</v>
      </c>
      <c r="DW4" s="293"/>
      <c r="DX4" s="273" t="s">
        <v>310</v>
      </c>
      <c r="DY4" s="263" t="s">
        <v>311</v>
      </c>
      <c r="DZ4" s="263" t="s">
        <v>312</v>
      </c>
      <c r="EA4" s="263" t="s">
        <v>313</v>
      </c>
      <c r="EB4" s="263" t="s">
        <v>314</v>
      </c>
      <c r="EC4" s="263" t="s">
        <v>315</v>
      </c>
      <c r="ED4" s="263" t="s">
        <v>42</v>
      </c>
      <c r="EE4" s="263" t="s">
        <v>43</v>
      </c>
      <c r="EF4" s="263" t="s">
        <v>37</v>
      </c>
      <c r="EG4" s="263" t="s">
        <v>38</v>
      </c>
      <c r="EH4" s="263" t="s">
        <v>39</v>
      </c>
      <c r="EI4" s="263" t="s">
        <v>40</v>
      </c>
      <c r="EJ4" s="263" t="s">
        <v>41</v>
      </c>
      <c r="EK4" s="293"/>
      <c r="EL4" s="273" t="s">
        <v>310</v>
      </c>
      <c r="EM4" s="263" t="s">
        <v>311</v>
      </c>
      <c r="EN4" s="263" t="s">
        <v>312</v>
      </c>
      <c r="EO4" s="263" t="s">
        <v>313</v>
      </c>
      <c r="EP4" s="263" t="s">
        <v>314</v>
      </c>
      <c r="EQ4" s="263" t="s">
        <v>315</v>
      </c>
      <c r="ER4" s="263" t="s">
        <v>42</v>
      </c>
      <c r="ES4" s="263" t="s">
        <v>43</v>
      </c>
      <c r="ET4" s="263" t="s">
        <v>37</v>
      </c>
      <c r="EU4" s="263" t="s">
        <v>38</v>
      </c>
      <c r="EV4" s="263" t="s">
        <v>39</v>
      </c>
      <c r="EW4" s="263" t="s">
        <v>40</v>
      </c>
      <c r="EX4" s="263" t="s">
        <v>41</v>
      </c>
      <c r="EY4" s="293"/>
      <c r="EZ4" s="273" t="s">
        <v>310</v>
      </c>
      <c r="FA4" s="263" t="s">
        <v>311</v>
      </c>
      <c r="FB4" s="263" t="s">
        <v>312</v>
      </c>
      <c r="FC4" s="263" t="s">
        <v>313</v>
      </c>
      <c r="FD4" s="263" t="s">
        <v>314</v>
      </c>
      <c r="FE4" s="263" t="s">
        <v>315</v>
      </c>
      <c r="FF4" s="263" t="s">
        <v>42</v>
      </c>
      <c r="FG4" s="263" t="s">
        <v>43</v>
      </c>
      <c r="FH4" s="263" t="s">
        <v>37</v>
      </c>
      <c r="FI4" s="263" t="s">
        <v>38</v>
      </c>
      <c r="FJ4" s="263" t="s">
        <v>39</v>
      </c>
      <c r="FK4" s="263" t="s">
        <v>40</v>
      </c>
      <c r="FL4" s="263" t="s">
        <v>41</v>
      </c>
      <c r="FM4" s="293"/>
      <c r="FN4" s="273" t="s">
        <v>310</v>
      </c>
      <c r="FO4" s="263" t="s">
        <v>311</v>
      </c>
      <c r="FP4" s="263" t="s">
        <v>312</v>
      </c>
      <c r="FQ4" s="263" t="s">
        <v>313</v>
      </c>
      <c r="FR4" s="263" t="s">
        <v>314</v>
      </c>
      <c r="FS4" s="263" t="s">
        <v>315</v>
      </c>
      <c r="FT4" s="263" t="s">
        <v>42</v>
      </c>
      <c r="FU4" s="263" t="s">
        <v>43</v>
      </c>
      <c r="FV4" s="263" t="s">
        <v>37</v>
      </c>
      <c r="FW4" s="263" t="s">
        <v>38</v>
      </c>
      <c r="FX4" s="263" t="s">
        <v>39</v>
      </c>
      <c r="FY4" s="263" t="s">
        <v>40</v>
      </c>
      <c r="FZ4" s="263" t="s">
        <v>41</v>
      </c>
      <c r="GA4" s="293"/>
      <c r="GB4" s="273" t="s">
        <v>310</v>
      </c>
      <c r="GC4" s="263" t="s">
        <v>311</v>
      </c>
      <c r="GD4" s="263" t="s">
        <v>312</v>
      </c>
      <c r="GE4" s="263" t="s">
        <v>313</v>
      </c>
      <c r="GF4" s="263" t="s">
        <v>314</v>
      </c>
      <c r="GG4" s="263" t="s">
        <v>315</v>
      </c>
      <c r="GH4" s="263" t="s">
        <v>42</v>
      </c>
      <c r="GI4" s="263" t="s">
        <v>43</v>
      </c>
      <c r="GJ4" s="263" t="s">
        <v>37</v>
      </c>
      <c r="GK4" s="263" t="s">
        <v>38</v>
      </c>
      <c r="GL4" s="263" t="s">
        <v>39</v>
      </c>
      <c r="GM4" s="263" t="s">
        <v>40</v>
      </c>
      <c r="GN4" s="263" t="s">
        <v>41</v>
      </c>
      <c r="GO4" s="293"/>
      <c r="GP4" s="273" t="s">
        <v>310</v>
      </c>
      <c r="GQ4" s="263" t="s">
        <v>311</v>
      </c>
      <c r="GR4" s="263" t="s">
        <v>312</v>
      </c>
      <c r="GS4" s="263" t="s">
        <v>313</v>
      </c>
      <c r="GT4" s="263" t="s">
        <v>314</v>
      </c>
      <c r="GU4" s="263" t="s">
        <v>315</v>
      </c>
      <c r="GV4" s="263" t="s">
        <v>42</v>
      </c>
      <c r="GW4" s="263" t="s">
        <v>43</v>
      </c>
      <c r="GX4" s="263" t="s">
        <v>37</v>
      </c>
      <c r="GY4" s="263" t="s">
        <v>38</v>
      </c>
      <c r="GZ4" s="263" t="s">
        <v>39</v>
      </c>
      <c r="HA4" s="263" t="s">
        <v>40</v>
      </c>
      <c r="HB4" s="263" t="s">
        <v>41</v>
      </c>
      <c r="HC4" s="293"/>
      <c r="HD4" s="273" t="s">
        <v>310</v>
      </c>
      <c r="HE4" s="263" t="s">
        <v>311</v>
      </c>
      <c r="HF4" s="263" t="s">
        <v>312</v>
      </c>
      <c r="HG4" s="263" t="s">
        <v>313</v>
      </c>
      <c r="HH4" s="263" t="s">
        <v>314</v>
      </c>
      <c r="HI4" s="263" t="s">
        <v>315</v>
      </c>
      <c r="HJ4" s="263" t="s">
        <v>42</v>
      </c>
      <c r="HK4" s="263" t="s">
        <v>43</v>
      </c>
      <c r="HL4" s="263" t="s">
        <v>37</v>
      </c>
      <c r="HM4" s="263" t="s">
        <v>38</v>
      </c>
      <c r="HN4" s="263" t="s">
        <v>39</v>
      </c>
      <c r="HO4" s="263" t="s">
        <v>40</v>
      </c>
      <c r="HP4" s="263" t="s">
        <v>41</v>
      </c>
      <c r="HQ4" s="293"/>
      <c r="HR4" s="273" t="s">
        <v>310</v>
      </c>
      <c r="HS4" s="263" t="s">
        <v>311</v>
      </c>
      <c r="HT4" s="263" t="s">
        <v>312</v>
      </c>
      <c r="HU4" s="263" t="s">
        <v>313</v>
      </c>
      <c r="HV4" s="263" t="s">
        <v>314</v>
      </c>
      <c r="HW4" s="263" t="s">
        <v>315</v>
      </c>
      <c r="HX4" s="263" t="s">
        <v>42</v>
      </c>
      <c r="HY4" s="263" t="s">
        <v>43</v>
      </c>
      <c r="HZ4" s="263" t="s">
        <v>37</v>
      </c>
      <c r="IA4" s="263" t="s">
        <v>38</v>
      </c>
      <c r="IB4" s="263" t="s">
        <v>39</v>
      </c>
      <c r="IC4" s="263" t="s">
        <v>40</v>
      </c>
      <c r="ID4" s="286" t="s">
        <v>41</v>
      </c>
    </row>
    <row r="5" spans="1:238" ht="15" x14ac:dyDescent="0.25">
      <c r="A5" s="264" t="s">
        <v>296</v>
      </c>
      <c r="B5" s="264"/>
      <c r="C5" s="264"/>
      <c r="D5" s="264"/>
      <c r="E5" s="264"/>
      <c r="F5" s="264"/>
      <c r="G5" s="264"/>
      <c r="H5" s="264"/>
      <c r="I5" s="264"/>
      <c r="J5" s="264"/>
      <c r="K5" s="264"/>
      <c r="L5" s="264"/>
      <c r="M5" s="264"/>
      <c r="N5" s="264"/>
      <c r="O5" s="294"/>
      <c r="P5" s="274"/>
      <c r="Q5" s="264"/>
      <c r="R5" s="264"/>
      <c r="S5" s="264"/>
      <c r="T5" s="264"/>
      <c r="U5" s="264"/>
      <c r="V5" s="264"/>
      <c r="W5" s="264"/>
      <c r="X5" s="264"/>
      <c r="Y5" s="264"/>
      <c r="Z5" s="264"/>
      <c r="AA5" s="264"/>
      <c r="AB5" s="264"/>
      <c r="AC5" s="294"/>
      <c r="AD5" s="274"/>
      <c r="AE5" s="264"/>
      <c r="AF5" s="264"/>
      <c r="AG5" s="264"/>
      <c r="AH5" s="264"/>
      <c r="AI5" s="264"/>
      <c r="AJ5" s="264"/>
      <c r="AK5" s="264"/>
      <c r="AL5" s="264"/>
      <c r="AM5" s="264"/>
      <c r="AN5" s="264"/>
      <c r="AO5" s="264"/>
      <c r="AP5" s="264"/>
      <c r="AQ5" s="294"/>
      <c r="AR5" s="274"/>
      <c r="AS5" s="264"/>
      <c r="AT5" s="264"/>
      <c r="AU5" s="264"/>
      <c r="AV5" s="264"/>
      <c r="AW5" s="264"/>
      <c r="AX5" s="264"/>
      <c r="AY5" s="264"/>
      <c r="AZ5" s="264"/>
      <c r="BA5" s="264"/>
      <c r="BB5" s="264"/>
      <c r="BC5" s="264"/>
      <c r="BD5" s="264"/>
      <c r="BE5" s="294"/>
      <c r="BF5" s="274"/>
      <c r="BG5" s="264"/>
      <c r="BH5" s="264"/>
      <c r="BI5" s="264"/>
      <c r="BJ5" s="264"/>
      <c r="BK5" s="264"/>
      <c r="BL5" s="264"/>
      <c r="BM5" s="264"/>
      <c r="BN5" s="264"/>
      <c r="BO5" s="264"/>
      <c r="BP5" s="264"/>
      <c r="BQ5" s="264"/>
      <c r="BR5" s="264"/>
      <c r="BS5" s="294"/>
      <c r="BT5" s="274"/>
      <c r="BU5" s="264"/>
      <c r="BV5" s="264"/>
      <c r="BW5" s="264"/>
      <c r="BX5" s="264"/>
      <c r="BY5" s="264"/>
      <c r="BZ5" s="264"/>
      <c r="CA5" s="264"/>
      <c r="CB5" s="264"/>
      <c r="CC5" s="264"/>
      <c r="CD5" s="264"/>
      <c r="CE5" s="264"/>
      <c r="CF5" s="264"/>
      <c r="CG5" s="294"/>
      <c r="CH5" s="274"/>
      <c r="CI5" s="264"/>
      <c r="CJ5" s="264"/>
      <c r="CK5" s="264"/>
      <c r="CL5" s="264"/>
      <c r="CM5" s="264"/>
      <c r="CN5" s="264"/>
      <c r="CO5" s="264"/>
      <c r="CP5" s="264"/>
      <c r="CQ5" s="264"/>
      <c r="CR5" s="264"/>
      <c r="CS5" s="264"/>
      <c r="CT5" s="264"/>
      <c r="CU5" s="294"/>
      <c r="CV5" s="274"/>
      <c r="CW5" s="264"/>
      <c r="CX5" s="264"/>
      <c r="CY5" s="264"/>
      <c r="CZ5" s="264"/>
      <c r="DA5" s="264"/>
      <c r="DB5" s="264"/>
      <c r="DC5" s="264"/>
      <c r="DD5" s="264"/>
      <c r="DE5" s="264"/>
      <c r="DF5" s="264"/>
      <c r="DG5" s="264"/>
      <c r="DH5" s="264"/>
      <c r="DI5" s="294"/>
      <c r="DJ5" s="274"/>
      <c r="DK5" s="264"/>
      <c r="DL5" s="264"/>
      <c r="DM5" s="264"/>
      <c r="DN5" s="264"/>
      <c r="DO5" s="264"/>
      <c r="DP5" s="264"/>
      <c r="DQ5" s="264"/>
      <c r="DR5" s="264"/>
      <c r="DS5" s="264"/>
      <c r="DT5" s="264"/>
      <c r="DU5" s="264"/>
      <c r="DV5" s="264"/>
      <c r="DW5" s="294"/>
      <c r="DX5" s="274"/>
      <c r="DY5" s="264"/>
      <c r="DZ5" s="264"/>
      <c r="EA5" s="264"/>
      <c r="EB5" s="264"/>
      <c r="EC5" s="264"/>
      <c r="ED5" s="264"/>
      <c r="EE5" s="264"/>
      <c r="EF5" s="264"/>
      <c r="EG5" s="264"/>
      <c r="EH5" s="264"/>
      <c r="EI5" s="264"/>
      <c r="EJ5" s="264"/>
      <c r="EK5" s="294"/>
      <c r="EL5" s="274"/>
      <c r="EM5" s="264"/>
      <c r="EN5" s="264"/>
      <c r="EO5" s="264"/>
      <c r="EP5" s="264"/>
      <c r="EQ5" s="264"/>
      <c r="ER5" s="264"/>
      <c r="ES5" s="264"/>
      <c r="ET5" s="264"/>
      <c r="EU5" s="264"/>
      <c r="EV5" s="264"/>
      <c r="EW5" s="264"/>
      <c r="EX5" s="264"/>
      <c r="EY5" s="294"/>
      <c r="EZ5" s="274"/>
      <c r="FA5" s="264"/>
      <c r="FB5" s="264"/>
      <c r="FC5" s="264"/>
      <c r="FD5" s="264"/>
      <c r="FE5" s="264"/>
      <c r="FF5" s="264"/>
      <c r="FG5" s="264"/>
      <c r="FH5" s="264"/>
      <c r="FI5" s="264"/>
      <c r="FJ5" s="264"/>
      <c r="FK5" s="264"/>
      <c r="FL5" s="264"/>
      <c r="FM5" s="294"/>
      <c r="FN5" s="274"/>
      <c r="FO5" s="264"/>
      <c r="FP5" s="264"/>
      <c r="FQ5" s="264"/>
      <c r="FR5" s="264"/>
      <c r="FS5" s="264"/>
      <c r="FT5" s="264"/>
      <c r="FU5" s="264"/>
      <c r="FV5" s="264"/>
      <c r="FW5" s="264"/>
      <c r="FX5" s="264"/>
      <c r="FY5" s="264"/>
      <c r="FZ5" s="264"/>
      <c r="GA5" s="294"/>
      <c r="GB5" s="274"/>
      <c r="GC5" s="264"/>
      <c r="GD5" s="264"/>
      <c r="GE5" s="264"/>
      <c r="GF5" s="264"/>
      <c r="GG5" s="264"/>
      <c r="GH5" s="264"/>
      <c r="GI5" s="264"/>
      <c r="GJ5" s="264"/>
      <c r="GK5" s="264"/>
      <c r="GL5" s="264"/>
      <c r="GM5" s="264"/>
      <c r="GN5" s="264"/>
      <c r="GO5" s="294"/>
      <c r="GP5" s="274"/>
      <c r="GQ5" s="264"/>
      <c r="GR5" s="264"/>
      <c r="GS5" s="264"/>
      <c r="GT5" s="264"/>
      <c r="GU5" s="264"/>
      <c r="GV5" s="264"/>
      <c r="GW5" s="264"/>
      <c r="GX5" s="264"/>
      <c r="GY5" s="264"/>
      <c r="GZ5" s="264"/>
      <c r="HA5" s="264"/>
      <c r="HB5" s="264"/>
      <c r="HC5" s="294"/>
      <c r="HD5" s="274"/>
      <c r="HE5" s="264"/>
      <c r="HF5" s="264"/>
      <c r="HG5" s="264"/>
      <c r="HH5" s="264"/>
      <c r="HI5" s="264"/>
      <c r="HJ5" s="264"/>
      <c r="HK5" s="264"/>
      <c r="HL5" s="264"/>
      <c r="HM5" s="264"/>
      <c r="HN5" s="264"/>
      <c r="HO5" s="264"/>
      <c r="HP5" s="264"/>
      <c r="HQ5" s="294"/>
      <c r="HR5" s="274"/>
      <c r="HS5" s="264"/>
      <c r="HT5" s="264"/>
      <c r="HU5" s="264"/>
      <c r="HV5" s="264"/>
      <c r="HW5" s="264"/>
      <c r="HX5" s="264"/>
      <c r="HY5" s="264"/>
      <c r="HZ5" s="264"/>
      <c r="IA5" s="264"/>
      <c r="IB5" s="264"/>
      <c r="IC5" s="264"/>
      <c r="ID5" s="287"/>
    </row>
    <row r="6" spans="1:238" x14ac:dyDescent="0.2">
      <c r="A6" s="305" t="s">
        <v>4</v>
      </c>
      <c r="B6" s="258">
        <f>+BAT!F6</f>
        <v>29.4</v>
      </c>
      <c r="C6" s="258">
        <f>+BAT!G6</f>
        <v>22.4</v>
      </c>
      <c r="D6" s="258">
        <f>+BAT!H6</f>
        <v>22.1</v>
      </c>
      <c r="E6" s="258">
        <f>+BAT!I6</f>
        <v>24.44</v>
      </c>
      <c r="F6" s="258">
        <f>+BAT!J6</f>
        <v>26.638999999999999</v>
      </c>
      <c r="G6" s="258">
        <f>+BAT!K6</f>
        <v>26.69</v>
      </c>
      <c r="H6" s="258">
        <f>+BAT!L6</f>
        <v>26.4</v>
      </c>
      <c r="I6" s="258">
        <f>+BAT!M6</f>
        <v>29</v>
      </c>
      <c r="J6" s="258">
        <f>+BAT!N6</f>
        <v>24</v>
      </c>
      <c r="K6" s="258">
        <f>+BAT!O6</f>
        <v>0</v>
      </c>
      <c r="L6" s="258">
        <f>+BAT!P6</f>
        <v>0</v>
      </c>
      <c r="M6" s="258">
        <f>+BAT!Q6</f>
        <v>0</v>
      </c>
      <c r="N6" s="258">
        <f>+BAT!R6</f>
        <v>0</v>
      </c>
      <c r="O6" s="295"/>
      <c r="P6" s="275">
        <f>+BAT!S6</f>
        <v>53.6</v>
      </c>
      <c r="Q6" s="258">
        <f>+BAT!T6</f>
        <v>48.65</v>
      </c>
      <c r="R6" s="258">
        <f>+BAT!U6</f>
        <v>50.9</v>
      </c>
      <c r="S6" s="258">
        <f>+BAT!V6</f>
        <v>56.6</v>
      </c>
      <c r="T6" s="258">
        <f>+BAT!W6</f>
        <v>56</v>
      </c>
      <c r="U6" s="258">
        <f>+BAT!X6</f>
        <v>64.8</v>
      </c>
      <c r="V6" s="258">
        <f>+BAT!Y6</f>
        <v>61</v>
      </c>
      <c r="W6" s="258">
        <f>+BAT!Z6</f>
        <v>59</v>
      </c>
      <c r="X6" s="258">
        <f>+BAT!AA6</f>
        <v>61</v>
      </c>
      <c r="Y6" s="258">
        <f>+BAT!AB6</f>
        <v>0</v>
      </c>
      <c r="Z6" s="258">
        <f>+BAT!AC6</f>
        <v>0</v>
      </c>
      <c r="AA6" s="258">
        <f>+BAT!AD6</f>
        <v>0</v>
      </c>
      <c r="AB6" s="258">
        <f>+BAT!AE6</f>
        <v>0</v>
      </c>
      <c r="AC6" s="295"/>
      <c r="AD6" s="275">
        <f>+BAT!AF6</f>
        <v>7.6</v>
      </c>
      <c r="AE6" s="258">
        <f>+BAT!AG6</f>
        <v>7.3</v>
      </c>
      <c r="AF6" s="258">
        <f>+BAT!AH6</f>
        <v>9.1999999999999993</v>
      </c>
      <c r="AG6" s="258">
        <f>+BAT!AI6</f>
        <v>5.9</v>
      </c>
      <c r="AH6" s="258">
        <f>+BAT!AJ6</f>
        <v>7.1</v>
      </c>
      <c r="AI6" s="258">
        <f>+BAT!AK6</f>
        <v>7.2</v>
      </c>
      <c r="AJ6" s="258">
        <f>+BAT!AL6</f>
        <v>5.24</v>
      </c>
      <c r="AK6" s="258">
        <f>+BAT!AM6</f>
        <v>5.8</v>
      </c>
      <c r="AL6" s="258">
        <f>+BAT!AN6</f>
        <v>6</v>
      </c>
      <c r="AM6" s="258">
        <f>+BAT!AO6</f>
        <v>0</v>
      </c>
      <c r="AN6" s="258">
        <f>+BAT!AP6</f>
        <v>0</v>
      </c>
      <c r="AO6" s="258">
        <f>+BAT!AQ6</f>
        <v>0</v>
      </c>
      <c r="AP6" s="258">
        <f>+BAT!AR6</f>
        <v>0</v>
      </c>
      <c r="AQ6" s="295"/>
      <c r="AR6" s="275">
        <f>+BAT!AS6</f>
        <v>0</v>
      </c>
      <c r="AS6" s="258">
        <f>+BAT!AT6</f>
        <v>0</v>
      </c>
      <c r="AT6" s="258">
        <f>+BAT!AU6</f>
        <v>0</v>
      </c>
      <c r="AU6" s="258">
        <f>+BAT!AV6</f>
        <v>0</v>
      </c>
      <c r="AV6" s="258">
        <f>+BAT!AW6</f>
        <v>0</v>
      </c>
      <c r="AW6" s="258">
        <f>+BAT!AX6</f>
        <v>0</v>
      </c>
      <c r="AX6" s="258">
        <f>+BAT!AY6</f>
        <v>0</v>
      </c>
      <c r="AY6" s="258">
        <f>+BAT!AZ6</f>
        <v>0</v>
      </c>
      <c r="AZ6" s="258">
        <f>+BAT!BA6</f>
        <v>0</v>
      </c>
      <c r="BA6" s="258">
        <f>+BAT!BB6</f>
        <v>0</v>
      </c>
      <c r="BB6" s="258">
        <f>+BAT!BC6</f>
        <v>0</v>
      </c>
      <c r="BC6" s="258">
        <f>+BAT!BD6</f>
        <v>0</v>
      </c>
      <c r="BD6" s="258">
        <f>+BAT!BE6</f>
        <v>0</v>
      </c>
      <c r="BE6" s="295"/>
      <c r="BF6" s="275">
        <f>+BAT!BF6</f>
        <v>0</v>
      </c>
      <c r="BG6" s="258">
        <f>+BAT!BG6</f>
        <v>0</v>
      </c>
      <c r="BH6" s="258">
        <f>+BAT!BH6</f>
        <v>0</v>
      </c>
      <c r="BI6" s="258">
        <f>+BAT!BI6</f>
        <v>0</v>
      </c>
      <c r="BJ6" s="258">
        <f>+BAT!BJ6</f>
        <v>0</v>
      </c>
      <c r="BK6" s="258">
        <f>+BAT!BK6</f>
        <v>0</v>
      </c>
      <c r="BL6" s="258">
        <f>+BAT!BL6</f>
        <v>0</v>
      </c>
      <c r="BM6" s="258">
        <f>+BAT!BM6</f>
        <v>0</v>
      </c>
      <c r="BN6" s="258">
        <f>+BAT!BN6</f>
        <v>0</v>
      </c>
      <c r="BO6" s="258">
        <f>+BAT!BO6</f>
        <v>0</v>
      </c>
      <c r="BP6" s="258">
        <f>+BAT!BP6</f>
        <v>0</v>
      </c>
      <c r="BQ6" s="258">
        <f>+BAT!BQ6</f>
        <v>0</v>
      </c>
      <c r="BR6" s="258">
        <f>+BAT!BR6</f>
        <v>0</v>
      </c>
      <c r="BS6" s="295"/>
      <c r="BT6" s="278">
        <f>+BAT!BS6</f>
        <v>0</v>
      </c>
      <c r="BU6" s="259">
        <f>+BAT!BT6</f>
        <v>7.2</v>
      </c>
      <c r="BV6" s="259">
        <f>+BAT!BU6</f>
        <v>8.9</v>
      </c>
      <c r="BW6" s="259">
        <f>+BAT!BV6</f>
        <v>3.1</v>
      </c>
      <c r="BX6" s="259">
        <f>+BAT!BW6</f>
        <v>-1</v>
      </c>
      <c r="BY6" s="259">
        <f>+BAT!BX6</f>
        <v>0</v>
      </c>
      <c r="BZ6" s="259">
        <f>+BAT!BY6</f>
        <v>0</v>
      </c>
      <c r="CA6" s="259">
        <f>+BAT!BZ6</f>
        <v>0</v>
      </c>
      <c r="CB6" s="259">
        <f>+BAT!CA6</f>
        <v>0</v>
      </c>
      <c r="CC6" s="259">
        <f>+BAT!CB6</f>
        <v>0</v>
      </c>
      <c r="CD6" s="259">
        <f>+BAT!CC6</f>
        <v>0</v>
      </c>
      <c r="CE6" s="259">
        <f>+BAT!CD6</f>
        <v>0</v>
      </c>
      <c r="CF6" s="259">
        <f>+BAT!CE6</f>
        <v>0</v>
      </c>
      <c r="CG6" s="297"/>
      <c r="CH6" s="278">
        <f>+BAT!CF6</f>
        <v>61.2</v>
      </c>
      <c r="CI6" s="259">
        <f>+BAT!CG6</f>
        <v>55.949999999999996</v>
      </c>
      <c r="CJ6" s="259">
        <f>+BAT!CH6</f>
        <v>60.099999999999994</v>
      </c>
      <c r="CK6" s="259">
        <f>+BAT!CI6</f>
        <v>62.5</v>
      </c>
      <c r="CL6" s="259">
        <f>+BAT!CJ6</f>
        <v>63.1</v>
      </c>
      <c r="CM6" s="259">
        <f>+BAT!CK6</f>
        <v>72</v>
      </c>
      <c r="CN6" s="259">
        <f>+BAT!CL6</f>
        <v>66.239999999999995</v>
      </c>
      <c r="CO6" s="259">
        <f>+BAT!CM6</f>
        <v>64.8</v>
      </c>
      <c r="CP6" s="259">
        <f>+BAT!CN6</f>
        <v>67</v>
      </c>
      <c r="CQ6" s="259">
        <f>+BAT!CO6</f>
        <v>0</v>
      </c>
      <c r="CR6" s="259">
        <f>+BAT!CP6</f>
        <v>0</v>
      </c>
      <c r="CS6" s="259">
        <f>+BAT!CQ6</f>
        <v>0</v>
      </c>
      <c r="CT6" s="259">
        <f>+BAT!CR6</f>
        <v>0</v>
      </c>
      <c r="CU6" s="297"/>
      <c r="CV6" s="278">
        <f>+BAT!CS6</f>
        <v>31.800000000000004</v>
      </c>
      <c r="CW6" s="259">
        <f>+BAT!CT6</f>
        <v>26.349999999999994</v>
      </c>
      <c r="CX6" s="259">
        <f>+BAT!CU6</f>
        <v>29.099999999999994</v>
      </c>
      <c r="CY6" s="259">
        <f>+BAT!CV6</f>
        <v>34.959999999999994</v>
      </c>
      <c r="CZ6" s="259">
        <f>+BAT!CW6</f>
        <v>37.460999999999999</v>
      </c>
      <c r="DA6" s="259">
        <f>+BAT!CX6</f>
        <v>45.31</v>
      </c>
      <c r="DB6" s="259">
        <f>+BAT!CY6</f>
        <v>39.839999999999996</v>
      </c>
      <c r="DC6" s="259">
        <f>+BAT!CZ6</f>
        <v>35.799999999999997</v>
      </c>
      <c r="DD6" s="259">
        <f>+BAT!DA6</f>
        <v>43</v>
      </c>
      <c r="DE6" s="259">
        <f>+BAT!DB6</f>
        <v>0</v>
      </c>
      <c r="DF6" s="259">
        <f>+BAT!DC6</f>
        <v>0</v>
      </c>
      <c r="DG6" s="259">
        <f>+BAT!DD6</f>
        <v>0</v>
      </c>
      <c r="DH6" s="259">
        <f>+BAT!DE6</f>
        <v>0</v>
      </c>
      <c r="DI6" s="297"/>
      <c r="DJ6" s="280">
        <f>+BAT!DF6</f>
        <v>0.1241830065359477</v>
      </c>
      <c r="DK6" s="260">
        <f>+BAT!DG6</f>
        <v>0.13047363717605004</v>
      </c>
      <c r="DL6" s="260">
        <f>+BAT!DH6</f>
        <v>0.15307820299500832</v>
      </c>
      <c r="DM6" s="260">
        <f>+BAT!DI6</f>
        <v>9.4400000000000012E-2</v>
      </c>
      <c r="DN6" s="260">
        <f>+BAT!DJ6</f>
        <v>0.11251980982567353</v>
      </c>
      <c r="DO6" s="260">
        <f>+BAT!DK6</f>
        <v>0.1</v>
      </c>
      <c r="DP6" s="260">
        <f>+BAT!DL6</f>
        <v>7.9106280193236719E-2</v>
      </c>
      <c r="DQ6" s="260">
        <f>+BAT!DM6</f>
        <v>8.9506172839506168E-2</v>
      </c>
      <c r="DR6" s="260">
        <f>+BAT!DN6</f>
        <v>8.9552238805970144E-2</v>
      </c>
      <c r="DS6" s="260">
        <f>+BAT!DO6</f>
        <v>0</v>
      </c>
      <c r="DT6" s="260">
        <f>+BAT!DP6</f>
        <v>0</v>
      </c>
      <c r="DU6" s="260">
        <f>+BAT!DQ6</f>
        <v>0</v>
      </c>
      <c r="DV6" s="260">
        <f>+BAT!DR6</f>
        <v>0</v>
      </c>
      <c r="DW6" s="299"/>
      <c r="DX6" s="282">
        <f>+BAT!DS6</f>
        <v>88761</v>
      </c>
      <c r="DY6" s="261">
        <f>+BAT!DT6</f>
        <v>88761</v>
      </c>
      <c r="DZ6" s="261">
        <f>+BAT!DU6</f>
        <v>78740</v>
      </c>
      <c r="EA6" s="261">
        <f>+BAT!DV6</f>
        <v>78740</v>
      </c>
      <c r="EB6" s="261">
        <f>+BAT!DW6</f>
        <v>84587</v>
      </c>
      <c r="EC6" s="261">
        <f>+BAT!DX6</f>
        <v>81757</v>
      </c>
      <c r="ED6" s="261">
        <f>+BAT!DY6</f>
        <v>72390</v>
      </c>
      <c r="EE6" s="261">
        <f>+BAT!DZ6</f>
        <v>72035</v>
      </c>
      <c r="EF6" s="261">
        <f>+BAT!EA6</f>
        <v>0</v>
      </c>
      <c r="EG6" s="261">
        <f>+BAT!EB6</f>
        <v>0</v>
      </c>
      <c r="EH6" s="261">
        <f>+BAT!EC6</f>
        <v>0</v>
      </c>
      <c r="EI6" s="261">
        <f>+BAT!ED6</f>
        <v>0</v>
      </c>
      <c r="EJ6" s="261">
        <f>+BAT!EE6</f>
        <v>0</v>
      </c>
      <c r="EK6" s="301"/>
      <c r="EL6" s="282">
        <f>+BAT!EF6</f>
        <v>0</v>
      </c>
      <c r="EM6" s="261">
        <f>+BAT!EG6</f>
        <v>0</v>
      </c>
      <c r="EN6" s="261">
        <f>+BAT!EH6</f>
        <v>0</v>
      </c>
      <c r="EO6" s="261">
        <f>+BAT!EI6</f>
        <v>0</v>
      </c>
      <c r="EP6" s="261">
        <f>+BAT!EJ6</f>
        <v>0</v>
      </c>
      <c r="EQ6" s="261">
        <f>+BAT!EK6</f>
        <v>0</v>
      </c>
      <c r="ER6" s="261">
        <f>+BAT!EL6</f>
        <v>0</v>
      </c>
      <c r="ES6" s="261">
        <f>+BAT!EM6</f>
        <v>0</v>
      </c>
      <c r="ET6" s="261">
        <f>+BAT!EN6</f>
        <v>0</v>
      </c>
      <c r="EU6" s="261">
        <f>+BAT!EO6</f>
        <v>0</v>
      </c>
      <c r="EV6" s="261">
        <f>+BAT!EP6</f>
        <v>0</v>
      </c>
      <c r="EW6" s="261">
        <f>+BAT!EQ6</f>
        <v>0</v>
      </c>
      <c r="EX6" s="261">
        <f>+BAT!ER6</f>
        <v>0</v>
      </c>
      <c r="EY6" s="301"/>
      <c r="EZ6" s="282">
        <f>+BAT!ES6</f>
        <v>0</v>
      </c>
      <c r="FA6" s="261">
        <f>+BAT!ET6</f>
        <v>0</v>
      </c>
      <c r="FB6" s="261">
        <f>+BAT!EU6</f>
        <v>0</v>
      </c>
      <c r="FC6" s="261">
        <f>+BAT!EV6</f>
        <v>0</v>
      </c>
      <c r="FD6" s="261">
        <f>+BAT!EW6</f>
        <v>0</v>
      </c>
      <c r="FE6" s="261">
        <f>+BAT!EX6</f>
        <v>0</v>
      </c>
      <c r="FF6" s="261">
        <f>+BAT!EY6</f>
        <v>0</v>
      </c>
      <c r="FG6" s="261">
        <f>+BAT!EZ6</f>
        <v>0</v>
      </c>
      <c r="FH6" s="261">
        <f>+BAT!FA6</f>
        <v>0</v>
      </c>
      <c r="FI6" s="261">
        <f>+BAT!FB6</f>
        <v>0</v>
      </c>
      <c r="FJ6" s="261">
        <f>+BAT!FC6</f>
        <v>0</v>
      </c>
      <c r="FK6" s="261">
        <f>+BAT!FD6</f>
        <v>0</v>
      </c>
      <c r="FL6" s="261">
        <f>+BAT!FE6</f>
        <v>0</v>
      </c>
      <c r="FM6" s="301"/>
      <c r="FN6" s="282">
        <f>+BAT!FF6</f>
        <v>0</v>
      </c>
      <c r="FO6" s="261">
        <f>+BAT!FG6</f>
        <v>0</v>
      </c>
      <c r="FP6" s="261">
        <f>+BAT!FH6</f>
        <v>0</v>
      </c>
      <c r="FQ6" s="261">
        <f>+BAT!FI6</f>
        <v>0</v>
      </c>
      <c r="FR6" s="261">
        <f>+BAT!FJ6</f>
        <v>0</v>
      </c>
      <c r="FS6" s="261">
        <f>+BAT!FK6</f>
        <v>0</v>
      </c>
      <c r="FT6" s="261">
        <f>+BAT!FL6</f>
        <v>0</v>
      </c>
      <c r="FU6" s="261">
        <f>+BAT!FM6</f>
        <v>0</v>
      </c>
      <c r="FV6" s="261">
        <f>+BAT!FN6</f>
        <v>0</v>
      </c>
      <c r="FW6" s="261">
        <f>+BAT!FO6</f>
        <v>0</v>
      </c>
      <c r="FX6" s="261">
        <f>+BAT!FP6</f>
        <v>0</v>
      </c>
      <c r="FY6" s="261">
        <f>+BAT!FQ6</f>
        <v>0</v>
      </c>
      <c r="FZ6" s="261">
        <f>+BAT!FR6</f>
        <v>0</v>
      </c>
      <c r="GA6" s="301"/>
      <c r="GB6" s="284">
        <f t="shared" ref="GB6:GN12" si="0">IFERROR(P6*1000000/(DX6+EL6),"")</f>
        <v>603.86881625939316</v>
      </c>
      <c r="GC6" s="270">
        <f t="shared" si="0"/>
        <v>548.10108042946786</v>
      </c>
      <c r="GD6" s="270">
        <f t="shared" si="0"/>
        <v>646.43129286258568</v>
      </c>
      <c r="GE6" s="270">
        <f t="shared" si="0"/>
        <v>718.82143764287525</v>
      </c>
      <c r="GF6" s="270">
        <f t="shared" si="0"/>
        <v>662.0402662347642</v>
      </c>
      <c r="GG6" s="270">
        <f t="shared" si="0"/>
        <v>792.59268319532271</v>
      </c>
      <c r="GH6" s="270">
        <f t="shared" si="0"/>
        <v>842.65782566652854</v>
      </c>
      <c r="GI6" s="270">
        <f t="shared" si="0"/>
        <v>819.04629693898801</v>
      </c>
      <c r="GJ6" s="270" t="str">
        <f t="shared" si="0"/>
        <v/>
      </c>
      <c r="GK6" s="270" t="str">
        <f t="shared" si="0"/>
        <v/>
      </c>
      <c r="GL6" s="270" t="str">
        <f t="shared" si="0"/>
        <v/>
      </c>
      <c r="GM6" s="270" t="str">
        <f t="shared" si="0"/>
        <v/>
      </c>
      <c r="GN6" s="270" t="str">
        <f t="shared" si="0"/>
        <v/>
      </c>
      <c r="GO6" s="303"/>
      <c r="GP6" s="284">
        <f t="shared" ref="GP6:HB12" si="1">IFERROR((DX6+EL6)/($DX6+$EL6)*100,"")</f>
        <v>100</v>
      </c>
      <c r="GQ6" s="270">
        <f t="shared" si="1"/>
        <v>100</v>
      </c>
      <c r="GR6" s="270">
        <f t="shared" si="1"/>
        <v>88.710131701986228</v>
      </c>
      <c r="GS6" s="270">
        <f t="shared" si="1"/>
        <v>88.710131701986228</v>
      </c>
      <c r="GT6" s="270">
        <f t="shared" si="1"/>
        <v>95.297484255472568</v>
      </c>
      <c r="GU6" s="270">
        <f t="shared" si="1"/>
        <v>92.109147035297028</v>
      </c>
      <c r="GV6" s="270">
        <f t="shared" si="1"/>
        <v>81.556088822793797</v>
      </c>
      <c r="GW6" s="270">
        <f t="shared" si="1"/>
        <v>81.156138394114535</v>
      </c>
      <c r="GX6" s="270">
        <f t="shared" si="1"/>
        <v>0</v>
      </c>
      <c r="GY6" s="270">
        <f t="shared" si="1"/>
        <v>0</v>
      </c>
      <c r="GZ6" s="270">
        <f t="shared" si="1"/>
        <v>0</v>
      </c>
      <c r="HA6" s="270">
        <f t="shared" si="1"/>
        <v>0</v>
      </c>
      <c r="HB6" s="270">
        <f t="shared" si="1"/>
        <v>0</v>
      </c>
      <c r="HC6" s="303"/>
      <c r="HD6" s="284">
        <f t="shared" ref="HD6:HP6" si="2">IFERROR((P6/(DX6+EL6))/($P$6/($DX$6+$EL$6))*100,"")</f>
        <v>100</v>
      </c>
      <c r="HE6" s="270">
        <f t="shared" si="2"/>
        <v>90.764925373134318</v>
      </c>
      <c r="HF6" s="270">
        <f t="shared" si="2"/>
        <v>107.04829848092533</v>
      </c>
      <c r="HG6" s="270">
        <f t="shared" si="2"/>
        <v>119.03602542279712</v>
      </c>
      <c r="HH6" s="270">
        <f t="shared" si="2"/>
        <v>109.63312699862668</v>
      </c>
      <c r="HI6" s="270">
        <f t="shared" si="2"/>
        <v>131.25246110652989</v>
      </c>
      <c r="HJ6" s="270">
        <f t="shared" si="2"/>
        <v>139.54319265669167</v>
      </c>
      <c r="HK6" s="270">
        <f t="shared" si="2"/>
        <v>135.63314993022669</v>
      </c>
      <c r="HL6" s="270" t="str">
        <f t="shared" si="2"/>
        <v/>
      </c>
      <c r="HM6" s="270" t="str">
        <f t="shared" si="2"/>
        <v/>
      </c>
      <c r="HN6" s="270" t="str">
        <f t="shared" si="2"/>
        <v/>
      </c>
      <c r="HO6" s="270" t="str">
        <f t="shared" si="2"/>
        <v/>
      </c>
      <c r="HP6" s="270" t="str">
        <f t="shared" si="2"/>
        <v/>
      </c>
      <c r="HQ6" s="303"/>
      <c r="HR6" s="284" t="str">
        <f t="shared" ref="HR6:ID6" si="3">IFERROR(EZ6/$EZ$6*100,"")</f>
        <v/>
      </c>
      <c r="HS6" s="270" t="str">
        <f t="shared" si="3"/>
        <v/>
      </c>
      <c r="HT6" s="270" t="str">
        <f t="shared" si="3"/>
        <v/>
      </c>
      <c r="HU6" s="270" t="str">
        <f t="shared" si="3"/>
        <v/>
      </c>
      <c r="HV6" s="270" t="str">
        <f t="shared" si="3"/>
        <v/>
      </c>
      <c r="HW6" s="270" t="str">
        <f t="shared" si="3"/>
        <v/>
      </c>
      <c r="HX6" s="270" t="str">
        <f t="shared" si="3"/>
        <v/>
      </c>
      <c r="HY6" s="270" t="str">
        <f t="shared" si="3"/>
        <v/>
      </c>
      <c r="HZ6" s="270" t="str">
        <f t="shared" si="3"/>
        <v/>
      </c>
      <c r="IA6" s="270" t="str">
        <f t="shared" si="3"/>
        <v/>
      </c>
      <c r="IB6" s="270" t="str">
        <f t="shared" si="3"/>
        <v/>
      </c>
      <c r="IC6" s="270" t="str">
        <f t="shared" si="3"/>
        <v/>
      </c>
      <c r="ID6" s="288" t="str">
        <f t="shared" si="3"/>
        <v/>
      </c>
    </row>
    <row r="7" spans="1:238" x14ac:dyDescent="0.2">
      <c r="A7" s="305" t="s">
        <v>7</v>
      </c>
      <c r="B7" s="258">
        <f>+FynBus!F6</f>
        <v>202.614</v>
      </c>
      <c r="C7" s="258">
        <f>+FynBus!G6</f>
        <v>139.02199999999999</v>
      </c>
      <c r="D7" s="258">
        <f>+FynBus!H6</f>
        <v>158.54300000000001</v>
      </c>
      <c r="E7" s="258">
        <f>+FynBus!I6</f>
        <v>165.102</v>
      </c>
      <c r="F7" s="258">
        <f>+FynBus!J6</f>
        <v>170.738</v>
      </c>
      <c r="G7" s="258">
        <f>+FynBus!K6</f>
        <v>169.56800000000001</v>
      </c>
      <c r="H7" s="258">
        <f>+FynBus!L6</f>
        <v>180.78399999999999</v>
      </c>
      <c r="I7" s="258">
        <f>+FynBus!M6</f>
        <v>199.32547618334866</v>
      </c>
      <c r="J7" s="258">
        <f>+FynBus!N6</f>
        <v>184.3373</v>
      </c>
      <c r="K7" s="258">
        <f>+FynBus!O6</f>
        <v>0</v>
      </c>
      <c r="L7" s="258">
        <f>+FynBus!P6</f>
        <v>0</v>
      </c>
      <c r="M7" s="258">
        <f>+FynBus!Q6</f>
        <v>0</v>
      </c>
      <c r="N7" s="258">
        <f>+FynBus!R6</f>
        <v>0</v>
      </c>
      <c r="O7" s="295"/>
      <c r="P7" s="275">
        <f>+FynBus!S6</f>
        <v>567.88300000000004</v>
      </c>
      <c r="Q7" s="258">
        <f>+FynBus!T6</f>
        <v>546.596</v>
      </c>
      <c r="R7" s="258">
        <f>+FynBus!U6</f>
        <v>581.34100000000001</v>
      </c>
      <c r="S7" s="258">
        <f>+FynBus!V6</f>
        <v>629.61300000000006</v>
      </c>
      <c r="T7" s="258">
        <f>+FynBus!W6</f>
        <v>624.45699999999999</v>
      </c>
      <c r="U7" s="258">
        <f>+FynBus!X6</f>
        <v>626.66200000000003</v>
      </c>
      <c r="V7" s="258">
        <f>+FynBus!Y6</f>
        <v>616.68399999999997</v>
      </c>
      <c r="W7" s="258">
        <f>+FynBus!Z6</f>
        <v>638.54084743649332</v>
      </c>
      <c r="X7" s="258">
        <f>+FynBus!AA6</f>
        <v>635.71100000000001</v>
      </c>
      <c r="Y7" s="258">
        <f>+FynBus!AB6</f>
        <v>0</v>
      </c>
      <c r="Z7" s="258">
        <f>+FynBus!AC6</f>
        <v>0</v>
      </c>
      <c r="AA7" s="258">
        <f>+FynBus!AD6</f>
        <v>0</v>
      </c>
      <c r="AB7" s="258">
        <f>+FynBus!AE6</f>
        <v>0</v>
      </c>
      <c r="AC7" s="295"/>
      <c r="AD7" s="275">
        <f>+FynBus!AF6</f>
        <v>102.44199999999999</v>
      </c>
      <c r="AE7" s="258">
        <f>+FynBus!AG6</f>
        <v>104.43</v>
      </c>
      <c r="AF7" s="258">
        <f>+FynBus!AH6</f>
        <v>106.005</v>
      </c>
      <c r="AG7" s="258">
        <f>+FynBus!AI6</f>
        <v>112.62100000000001</v>
      </c>
      <c r="AH7" s="258">
        <f>+FynBus!AJ6</f>
        <v>113.134</v>
      </c>
      <c r="AI7" s="258">
        <f>+FynBus!AK6</f>
        <v>113.73699999999999</v>
      </c>
      <c r="AJ7" s="258">
        <f>+FynBus!AL6</f>
        <v>121.202</v>
      </c>
      <c r="AK7" s="258">
        <f>+FynBus!AM6</f>
        <v>140.49736527803773</v>
      </c>
      <c r="AL7" s="258">
        <f>+FynBus!AN6</f>
        <v>139.76399999999998</v>
      </c>
      <c r="AM7" s="258">
        <f>+FynBus!AO6</f>
        <v>0</v>
      </c>
      <c r="AN7" s="258">
        <f>+FynBus!AP6</f>
        <v>0</v>
      </c>
      <c r="AO7" s="258">
        <f>+FynBus!AQ6</f>
        <v>0</v>
      </c>
      <c r="AP7" s="258">
        <f>+FynBus!AR6</f>
        <v>0</v>
      </c>
      <c r="AQ7" s="295"/>
      <c r="AR7" s="275">
        <f>+FynBus!AS6</f>
        <v>5.5</v>
      </c>
      <c r="AS7" s="258">
        <f>+FynBus!AT6</f>
        <v>9.8000000000000007</v>
      </c>
      <c r="AT7" s="258">
        <f>+FynBus!AU6</f>
        <v>9.8000000000000007</v>
      </c>
      <c r="AU7" s="258">
        <f>+FynBus!AV6</f>
        <v>23.2</v>
      </c>
      <c r="AV7" s="258">
        <f>+FynBus!AW6</f>
        <v>7.3</v>
      </c>
      <c r="AW7" s="258">
        <f>+FynBus!AX6</f>
        <v>8.1</v>
      </c>
      <c r="AX7" s="258">
        <f>+FynBus!AY6</f>
        <v>8.109</v>
      </c>
      <c r="AY7" s="258">
        <f>+FynBus!AZ6</f>
        <v>12.497999999999999</v>
      </c>
      <c r="AZ7" s="258">
        <f>+FynBus!BA6</f>
        <v>12.497999999999999</v>
      </c>
      <c r="BA7" s="258">
        <f>+FynBus!BB6</f>
        <v>0</v>
      </c>
      <c r="BB7" s="258">
        <f>+FynBus!BC6</f>
        <v>0</v>
      </c>
      <c r="BC7" s="258">
        <f>+FynBus!BD6</f>
        <v>0</v>
      </c>
      <c r="BD7" s="258">
        <f>+FynBus!BE6</f>
        <v>0</v>
      </c>
      <c r="BE7" s="295"/>
      <c r="BF7" s="275">
        <f>+FynBus!BF6</f>
        <v>0.16400000000000001</v>
      </c>
      <c r="BG7" s="258">
        <f>+FynBus!BG6</f>
        <v>-0.13400000000000001</v>
      </c>
      <c r="BH7" s="258">
        <f>+FynBus!BH6</f>
        <v>3.2000000000000001E-2</v>
      </c>
      <c r="BI7" s="258">
        <f>+FynBus!BI6</f>
        <v>0.47499999999999998</v>
      </c>
      <c r="BJ7" s="258">
        <f>+FynBus!BJ6</f>
        <v>1.6020000000000001</v>
      </c>
      <c r="BK7" s="258">
        <f>+FynBus!BK6</f>
        <v>-0.72199999999999998</v>
      </c>
      <c r="BL7" s="258">
        <f>+FynBus!BL6</f>
        <v>-0.17799999999999999</v>
      </c>
      <c r="BM7" s="258">
        <f>+FynBus!BM6</f>
        <v>0.21199999999999999</v>
      </c>
      <c r="BN7" s="258">
        <f>+FynBus!BN6</f>
        <v>0.21099999999999999</v>
      </c>
      <c r="BO7" s="258">
        <f>+FynBus!BO6</f>
        <v>0</v>
      </c>
      <c r="BP7" s="258">
        <f>+FynBus!BP6</f>
        <v>0</v>
      </c>
      <c r="BQ7" s="258">
        <f>+FynBus!BQ6</f>
        <v>0</v>
      </c>
      <c r="BR7" s="258">
        <f>+FynBus!BR6</f>
        <v>0</v>
      </c>
      <c r="BS7" s="295"/>
      <c r="BT7" s="278">
        <f>+FynBus!BS6</f>
        <v>0</v>
      </c>
      <c r="BU7" s="259">
        <f>+FynBus!BT6</f>
        <v>46.878999999999998</v>
      </c>
      <c r="BV7" s="259">
        <f>+FynBus!BU6</f>
        <v>53.165999999999997</v>
      </c>
      <c r="BW7" s="259">
        <f>+FynBus!BV6</f>
        <v>18.2</v>
      </c>
      <c r="BX7" s="259">
        <f>+FynBus!BW6</f>
        <v>10.816000000000001</v>
      </c>
      <c r="BY7" s="259">
        <f>+FynBus!BX6</f>
        <v>-0.35499999999999998</v>
      </c>
      <c r="BZ7" s="259">
        <f>+FynBus!BY6</f>
        <v>0</v>
      </c>
      <c r="CA7" s="259">
        <f>+FynBus!BZ6</f>
        <v>0</v>
      </c>
      <c r="CB7" s="259">
        <f>+FynBus!CA6</f>
        <v>0</v>
      </c>
      <c r="CC7" s="259">
        <f>+FynBus!CB6</f>
        <v>0</v>
      </c>
      <c r="CD7" s="259">
        <f>+FynBus!CC6</f>
        <v>0</v>
      </c>
      <c r="CE7" s="259">
        <f>+FynBus!CD6</f>
        <v>0</v>
      </c>
      <c r="CF7" s="259">
        <f>+FynBus!CE6</f>
        <v>0</v>
      </c>
      <c r="CG7" s="297"/>
      <c r="CH7" s="278">
        <f>+FynBus!CF6</f>
        <v>675.98900000000003</v>
      </c>
      <c r="CI7" s="259">
        <f>+FynBus!CG6</f>
        <v>660.69200000000001</v>
      </c>
      <c r="CJ7" s="259">
        <f>+FynBus!CH6</f>
        <v>697.178</v>
      </c>
      <c r="CK7" s="259">
        <f>+FynBus!CI6</f>
        <v>765.90900000000011</v>
      </c>
      <c r="CL7" s="259">
        <f>+FynBus!CJ6</f>
        <v>746.49299999999994</v>
      </c>
      <c r="CM7" s="259">
        <f>+FynBus!CK6</f>
        <v>747.77700000000004</v>
      </c>
      <c r="CN7" s="259">
        <f>+FynBus!CL6</f>
        <v>745.81700000000001</v>
      </c>
      <c r="CO7" s="259">
        <f>+FynBus!CM6</f>
        <v>791.74821271453106</v>
      </c>
      <c r="CP7" s="259">
        <f>+FynBus!CN6</f>
        <v>788.18399999999997</v>
      </c>
      <c r="CQ7" s="259">
        <f>+FynBus!CO6</f>
        <v>0</v>
      </c>
      <c r="CR7" s="259">
        <f>+FynBus!CP6</f>
        <v>0</v>
      </c>
      <c r="CS7" s="259">
        <f>+FynBus!CQ6</f>
        <v>0</v>
      </c>
      <c r="CT7" s="259">
        <f>+FynBus!CR6</f>
        <v>0</v>
      </c>
      <c r="CU7" s="297"/>
      <c r="CV7" s="278">
        <f>+FynBus!CS6</f>
        <v>473.375</v>
      </c>
      <c r="CW7" s="259">
        <f>+FynBus!CT6</f>
        <v>474.791</v>
      </c>
      <c r="CX7" s="259">
        <f>+FynBus!CU6</f>
        <v>485.46899999999994</v>
      </c>
      <c r="CY7" s="259">
        <f>+FynBus!CV6</f>
        <v>582.60700000000008</v>
      </c>
      <c r="CZ7" s="259">
        <f>+FynBus!CW6</f>
        <v>564.93899999999985</v>
      </c>
      <c r="DA7" s="259">
        <f>+FynBus!CX6</f>
        <v>578.56400000000008</v>
      </c>
      <c r="DB7" s="259">
        <f>+FynBus!CY6</f>
        <v>565.03300000000002</v>
      </c>
      <c r="DC7" s="259">
        <f>+FynBus!CZ6</f>
        <v>592.42273653118241</v>
      </c>
      <c r="DD7" s="259">
        <f>+FynBus!DA6</f>
        <v>603.84669999999994</v>
      </c>
      <c r="DE7" s="259">
        <f>+FynBus!DB6</f>
        <v>0</v>
      </c>
      <c r="DF7" s="259">
        <f>+FynBus!DC6</f>
        <v>0</v>
      </c>
      <c r="DG7" s="259">
        <f>+FynBus!DD6</f>
        <v>0</v>
      </c>
      <c r="DH7" s="259">
        <f>+FynBus!DE6</f>
        <v>0</v>
      </c>
      <c r="DI7" s="297"/>
      <c r="DJ7" s="280">
        <f>+FynBus!DF6</f>
        <v>0.15154388606915201</v>
      </c>
      <c r="DK7" s="260">
        <f>+FynBus!DG6</f>
        <v>0.15806154758949709</v>
      </c>
      <c r="DL7" s="260">
        <f>+FynBus!DH6</f>
        <v>0.15204868770959495</v>
      </c>
      <c r="DM7" s="260">
        <f>+FynBus!DI6</f>
        <v>0.14704227264596706</v>
      </c>
      <c r="DN7" s="260">
        <f>+FynBus!DJ6</f>
        <v>0.15155399983656914</v>
      </c>
      <c r="DO7" s="260">
        <f>+FynBus!DK6</f>
        <v>0.15210015820224476</v>
      </c>
      <c r="DP7" s="260">
        <f>+FynBus!DL6</f>
        <v>0.16250903371738643</v>
      </c>
      <c r="DQ7" s="260">
        <f>+FynBus!DM6</f>
        <v>0.17745207759464154</v>
      </c>
      <c r="DR7" s="260">
        <f>+FynBus!DN6</f>
        <v>0.17732407661155261</v>
      </c>
      <c r="DS7" s="260">
        <f>+FynBus!DO6</f>
        <v>0</v>
      </c>
      <c r="DT7" s="260">
        <f>+FynBus!DP6</f>
        <v>0</v>
      </c>
      <c r="DU7" s="260">
        <f>+FynBus!DQ6</f>
        <v>0</v>
      </c>
      <c r="DV7" s="260">
        <f>+FynBus!DR6</f>
        <v>0</v>
      </c>
      <c r="DW7" s="299"/>
      <c r="DX7" s="282">
        <f>+FynBus!DS6</f>
        <v>613716</v>
      </c>
      <c r="DY7" s="261">
        <f>+FynBus!DT6</f>
        <v>612621</v>
      </c>
      <c r="DZ7" s="261">
        <f>+FynBus!DU6</f>
        <v>613426</v>
      </c>
      <c r="EA7" s="261">
        <f>+FynBus!DV6</f>
        <v>594508</v>
      </c>
      <c r="EB7" s="261">
        <f>+FynBus!DW6</f>
        <v>556367</v>
      </c>
      <c r="EC7" s="261">
        <f>+FynBus!DX6</f>
        <v>547218</v>
      </c>
      <c r="ED7" s="261">
        <f>+FynBus!DY6</f>
        <v>551266</v>
      </c>
      <c r="EE7" s="261">
        <f>+FynBus!DZ6</f>
        <v>548559</v>
      </c>
      <c r="EF7" s="261">
        <f>+FynBus!EA6</f>
        <v>552035</v>
      </c>
      <c r="EG7" s="261">
        <f>+FynBus!EB6</f>
        <v>0</v>
      </c>
      <c r="EH7" s="261">
        <f>+FynBus!EC6</f>
        <v>0</v>
      </c>
      <c r="EI7" s="261">
        <f>+FynBus!ED6</f>
        <v>0</v>
      </c>
      <c r="EJ7" s="261">
        <f>+FynBus!EE6</f>
        <v>0</v>
      </c>
      <c r="EK7" s="301"/>
      <c r="EL7" s="282">
        <f>+FynBus!EF6</f>
        <v>0</v>
      </c>
      <c r="EM7" s="261">
        <f>+FynBus!EG6</f>
        <v>0</v>
      </c>
      <c r="EN7" s="261">
        <f>+FynBus!EH6</f>
        <v>0</v>
      </c>
      <c r="EO7" s="261">
        <f>+FynBus!EI6</f>
        <v>0</v>
      </c>
      <c r="EP7" s="261">
        <f>+FynBus!EJ6</f>
        <v>0</v>
      </c>
      <c r="EQ7" s="261">
        <f>+FynBus!EK6</f>
        <v>0</v>
      </c>
      <c r="ER7" s="261">
        <f>+FynBus!EL6</f>
        <v>0</v>
      </c>
      <c r="ES7" s="261">
        <f>+FynBus!EM6</f>
        <v>0</v>
      </c>
      <c r="ET7" s="261">
        <f>+FynBus!EN6</f>
        <v>0</v>
      </c>
      <c r="EU7" s="261">
        <f>+FynBus!EO6</f>
        <v>0</v>
      </c>
      <c r="EV7" s="261">
        <f>+FynBus!EP6</f>
        <v>0</v>
      </c>
      <c r="EW7" s="261">
        <f>+FynBus!EQ6</f>
        <v>0</v>
      </c>
      <c r="EX7" s="261">
        <f>+FynBus!ER6</f>
        <v>0</v>
      </c>
      <c r="EY7" s="301"/>
      <c r="EZ7" s="282">
        <f>+FynBus!ES6</f>
        <v>14521000</v>
      </c>
      <c r="FA7" s="261">
        <f>+FynBus!ET6</f>
        <v>9472000</v>
      </c>
      <c r="FB7" s="261">
        <f>+FynBus!EU6</f>
        <v>8938000</v>
      </c>
      <c r="FC7" s="261">
        <f>+FynBus!EV6</f>
        <v>11162000</v>
      </c>
      <c r="FD7" s="261">
        <f>+FynBus!EW6</f>
        <v>11074000</v>
      </c>
      <c r="FE7" s="261">
        <f>+FynBus!EX6</f>
        <v>11301000</v>
      </c>
      <c r="FF7" s="261">
        <f>+FynBus!EY6</f>
        <v>10962000</v>
      </c>
      <c r="FG7" s="261">
        <f>+FynBus!EZ6</f>
        <v>10971000</v>
      </c>
      <c r="FH7" s="261">
        <f>+FynBus!FA6</f>
        <v>10519000</v>
      </c>
      <c r="FI7" s="261">
        <f>+FynBus!FB6</f>
        <v>0</v>
      </c>
      <c r="FJ7" s="261">
        <f>+FynBus!FC6</f>
        <v>0</v>
      </c>
      <c r="FK7" s="261">
        <f>+FynBus!FD6</f>
        <v>0</v>
      </c>
      <c r="FL7" s="261">
        <f>+FynBus!FE6</f>
        <v>0</v>
      </c>
      <c r="FM7" s="301"/>
      <c r="FN7" s="282">
        <f>+FynBus!FF6</f>
        <v>0</v>
      </c>
      <c r="FO7" s="261">
        <f>+FynBus!FG6</f>
        <v>0</v>
      </c>
      <c r="FP7" s="261">
        <f>+FynBus!FH6</f>
        <v>0</v>
      </c>
      <c r="FQ7" s="261">
        <f>+FynBus!FI6</f>
        <v>0</v>
      </c>
      <c r="FR7" s="261">
        <f>+FynBus!FJ6</f>
        <v>0</v>
      </c>
      <c r="FS7" s="261">
        <f>+FynBus!FK6</f>
        <v>0</v>
      </c>
      <c r="FT7" s="261">
        <f>+FynBus!FL6</f>
        <v>0</v>
      </c>
      <c r="FU7" s="261">
        <f>+FynBus!FM6</f>
        <v>0</v>
      </c>
      <c r="FV7" s="261">
        <f>+FynBus!FN6</f>
        <v>0</v>
      </c>
      <c r="FW7" s="261">
        <f>+FynBus!FO6</f>
        <v>0</v>
      </c>
      <c r="FX7" s="261">
        <f>+FynBus!FP6</f>
        <v>0</v>
      </c>
      <c r="FY7" s="261">
        <f>+FynBus!FQ6</f>
        <v>0</v>
      </c>
      <c r="FZ7" s="261">
        <f>+FynBus!FR6</f>
        <v>0</v>
      </c>
      <c r="GA7" s="301"/>
      <c r="GB7" s="284">
        <f t="shared" si="0"/>
        <v>925.31887713535252</v>
      </c>
      <c r="GC7" s="270">
        <f t="shared" si="0"/>
        <v>892.22537262026606</v>
      </c>
      <c r="GD7" s="270">
        <f t="shared" si="0"/>
        <v>947.69540254244191</v>
      </c>
      <c r="GE7" s="270">
        <f t="shared" si="0"/>
        <v>1059.0488269291582</v>
      </c>
      <c r="GF7" s="270">
        <f t="shared" si="0"/>
        <v>1122.3832470293889</v>
      </c>
      <c r="GG7" s="270">
        <f t="shared" si="0"/>
        <v>1145.1779729467964</v>
      </c>
      <c r="GH7" s="270">
        <f t="shared" si="0"/>
        <v>1118.6686644922777</v>
      </c>
      <c r="GI7" s="270">
        <f t="shared" si="0"/>
        <v>1164.0331257649466</v>
      </c>
      <c r="GJ7" s="270">
        <f t="shared" si="0"/>
        <v>1151.5773456393163</v>
      </c>
      <c r="GK7" s="270" t="str">
        <f t="shared" si="0"/>
        <v/>
      </c>
      <c r="GL7" s="270" t="str">
        <f t="shared" si="0"/>
        <v/>
      </c>
      <c r="GM7" s="270" t="str">
        <f t="shared" si="0"/>
        <v/>
      </c>
      <c r="GN7" s="270" t="str">
        <f t="shared" si="0"/>
        <v/>
      </c>
      <c r="GO7" s="303"/>
      <c r="GP7" s="284">
        <f t="shared" si="1"/>
        <v>100</v>
      </c>
      <c r="GQ7" s="270">
        <f t="shared" si="1"/>
        <v>99.821578710674004</v>
      </c>
      <c r="GR7" s="270">
        <f t="shared" si="1"/>
        <v>99.952746873146538</v>
      </c>
      <c r="GS7" s="270">
        <f t="shared" si="1"/>
        <v>96.870213584133381</v>
      </c>
      <c r="GT7" s="270">
        <f t="shared" si="1"/>
        <v>90.655449752002554</v>
      </c>
      <c r="GU7" s="270">
        <f t="shared" si="1"/>
        <v>89.164695070684161</v>
      </c>
      <c r="GV7" s="270">
        <f t="shared" si="1"/>
        <v>89.8242835448318</v>
      </c>
      <c r="GW7" s="270">
        <f t="shared" si="1"/>
        <v>89.383200046927243</v>
      </c>
      <c r="GX7" s="270">
        <f t="shared" si="1"/>
        <v>89.949585801901861</v>
      </c>
      <c r="GY7" s="270">
        <f t="shared" si="1"/>
        <v>0</v>
      </c>
      <c r="GZ7" s="270">
        <f t="shared" si="1"/>
        <v>0</v>
      </c>
      <c r="HA7" s="270">
        <f t="shared" si="1"/>
        <v>0</v>
      </c>
      <c r="HB7" s="270">
        <f t="shared" si="1"/>
        <v>0</v>
      </c>
      <c r="HC7" s="303"/>
      <c r="HD7" s="284">
        <f t="shared" ref="HD7:HP7" si="4">IFERROR((P7/(DX7+EL7))/($P$7/($DX$7+$EL$7))*100,"")</f>
        <v>100</v>
      </c>
      <c r="HE7" s="270">
        <f t="shared" si="4"/>
        <v>96.423556750777749</v>
      </c>
      <c r="HF7" s="270">
        <f t="shared" si="4"/>
        <v>102.41825017948017</v>
      </c>
      <c r="HG7" s="270">
        <f t="shared" si="4"/>
        <v>114.45230969542234</v>
      </c>
      <c r="HH7" s="270">
        <f t="shared" si="4"/>
        <v>121.29691447602559</v>
      </c>
      <c r="HI7" s="270">
        <f t="shared" si="4"/>
        <v>123.7603599412231</v>
      </c>
      <c r="HJ7" s="270">
        <f t="shared" si="4"/>
        <v>120.89547637410219</v>
      </c>
      <c r="HK7" s="270">
        <f t="shared" si="4"/>
        <v>125.79805238261399</v>
      </c>
      <c r="HL7" s="270">
        <f t="shared" si="4"/>
        <v>124.45194560435489</v>
      </c>
      <c r="HM7" s="270" t="str">
        <f t="shared" si="4"/>
        <v/>
      </c>
      <c r="HN7" s="270" t="str">
        <f t="shared" si="4"/>
        <v/>
      </c>
      <c r="HO7" s="270" t="str">
        <f t="shared" si="4"/>
        <v/>
      </c>
      <c r="HP7" s="270" t="str">
        <f t="shared" si="4"/>
        <v/>
      </c>
      <c r="HQ7" s="303"/>
      <c r="HR7" s="284">
        <f t="shared" ref="HR7:ID7" si="5">IFERROR(EZ7/$EZ$7*100,"")</f>
        <v>100</v>
      </c>
      <c r="HS7" s="270">
        <f t="shared" si="5"/>
        <v>65.229667378279728</v>
      </c>
      <c r="HT7" s="270">
        <f t="shared" si="5"/>
        <v>61.552234694580264</v>
      </c>
      <c r="HU7" s="270">
        <f t="shared" si="5"/>
        <v>76.867984298602025</v>
      </c>
      <c r="HV7" s="270">
        <f t="shared" si="5"/>
        <v>76.261965429378137</v>
      </c>
      <c r="HW7" s="270">
        <f t="shared" si="5"/>
        <v>77.825218648853394</v>
      </c>
      <c r="HX7" s="270">
        <f t="shared" si="5"/>
        <v>75.490668686729563</v>
      </c>
      <c r="HY7" s="270">
        <f t="shared" si="5"/>
        <v>75.552647889263824</v>
      </c>
      <c r="HZ7" s="270">
        <f t="shared" si="5"/>
        <v>72.439914606432069</v>
      </c>
      <c r="IA7" s="270">
        <f t="shared" si="5"/>
        <v>0</v>
      </c>
      <c r="IB7" s="270">
        <f t="shared" si="5"/>
        <v>0</v>
      </c>
      <c r="IC7" s="270">
        <f t="shared" si="5"/>
        <v>0</v>
      </c>
      <c r="ID7" s="288">
        <f t="shared" si="5"/>
        <v>0</v>
      </c>
    </row>
    <row r="8" spans="1:238" x14ac:dyDescent="0.2">
      <c r="A8" s="305" t="s">
        <v>9</v>
      </c>
      <c r="B8" s="258">
        <f>+'Midttrafik '!F6</f>
        <v>785.5</v>
      </c>
      <c r="C8" s="258">
        <f>+'Midttrafik '!G6</f>
        <v>559.29999999999995</v>
      </c>
      <c r="D8" s="258">
        <f>+'Midttrafik '!H6</f>
        <v>570</v>
      </c>
      <c r="E8" s="258">
        <f>+'Midttrafik '!I6</f>
        <v>770.9</v>
      </c>
      <c r="F8" s="258">
        <f>+'Midttrafik '!J6</f>
        <v>842.90000000000009</v>
      </c>
      <c r="G8" s="258">
        <f>+'Midttrafik '!K6</f>
        <v>907.2</v>
      </c>
      <c r="H8" s="258">
        <f>+'Midttrafik '!L6</f>
        <v>872.02988610000011</v>
      </c>
      <c r="I8" s="258">
        <f>+'Midttrafik '!M6</f>
        <v>889.21600000000001</v>
      </c>
      <c r="J8" s="258">
        <f>+'Midttrafik '!N6</f>
        <v>871.42190000000005</v>
      </c>
      <c r="K8" s="258">
        <f>+'Midttrafik '!O6</f>
        <v>0</v>
      </c>
      <c r="L8" s="258">
        <f>+'Midttrafik '!P6</f>
        <v>0</v>
      </c>
      <c r="M8" s="258">
        <f>+'Midttrafik '!Q6</f>
        <v>0</v>
      </c>
      <c r="N8" s="258">
        <f>+'Midttrafik '!R6</f>
        <v>0</v>
      </c>
      <c r="O8" s="295"/>
      <c r="P8" s="275">
        <f>+'Midttrafik '!S6</f>
        <v>1887.2999999999997</v>
      </c>
      <c r="Q8" s="258">
        <f>+'Midttrafik '!T6</f>
        <v>1892.5</v>
      </c>
      <c r="R8" s="258">
        <f>+'Midttrafik '!U6</f>
        <v>1996.2</v>
      </c>
      <c r="S8" s="258">
        <f>+'Midttrafik '!V6</f>
        <v>2163.6</v>
      </c>
      <c r="T8" s="258">
        <f>+'Midttrafik '!W6</f>
        <v>2171.7999999999997</v>
      </c>
      <c r="U8" s="258">
        <f>+'Midttrafik '!X6</f>
        <v>2250.1</v>
      </c>
      <c r="V8" s="258">
        <f>+'Midttrafik '!Y6</f>
        <v>2245.6007770000006</v>
      </c>
      <c r="W8" s="258">
        <f>+'Midttrafik '!Z6</f>
        <v>2318.1306</v>
      </c>
      <c r="X8" s="258">
        <f>+'Midttrafik '!AA6</f>
        <v>2320.7080000000001</v>
      </c>
      <c r="Y8" s="258">
        <f>+'Midttrafik '!AB6</f>
        <v>0</v>
      </c>
      <c r="Z8" s="258">
        <f>+'Midttrafik '!AC6</f>
        <v>0</v>
      </c>
      <c r="AA8" s="258">
        <f>+'Midttrafik '!AD6</f>
        <v>0</v>
      </c>
      <c r="AB8" s="258">
        <f>+'Midttrafik '!AE6</f>
        <v>0</v>
      </c>
      <c r="AC8" s="295"/>
      <c r="AD8" s="275">
        <f>+'Midttrafik '!AF6</f>
        <v>253.9</v>
      </c>
      <c r="AE8" s="258">
        <f>+'Midttrafik '!AG6</f>
        <v>226.6</v>
      </c>
      <c r="AF8" s="258">
        <f>+'Midttrafik '!AH6</f>
        <v>269.7</v>
      </c>
      <c r="AG8" s="258">
        <f>+'Midttrafik '!AI6</f>
        <v>263.5</v>
      </c>
      <c r="AH8" s="258">
        <f>+'Midttrafik '!AJ6</f>
        <v>275.60000000000002</v>
      </c>
      <c r="AI8" s="258">
        <f>+'Midttrafik '!AK6</f>
        <v>279.10000000000002</v>
      </c>
      <c r="AJ8" s="258">
        <f>+'Midttrafik '!AL6</f>
        <v>296.49469000000005</v>
      </c>
      <c r="AK8" s="258">
        <f>+'Midttrafik '!AM6</f>
        <v>321.66146000000003</v>
      </c>
      <c r="AL8" s="258">
        <f>+'Midttrafik '!AN6</f>
        <v>324.90446000000003</v>
      </c>
      <c r="AM8" s="258">
        <f>+'Midttrafik '!AO6</f>
        <v>0</v>
      </c>
      <c r="AN8" s="258">
        <f>+'Midttrafik '!AP6</f>
        <v>0</v>
      </c>
      <c r="AO8" s="258">
        <f>+'Midttrafik '!AQ6</f>
        <v>0</v>
      </c>
      <c r="AP8" s="258">
        <f>+'Midttrafik '!AR6</f>
        <v>0</v>
      </c>
      <c r="AQ8" s="295"/>
      <c r="AR8" s="275">
        <f>+'Midttrafik '!AS6</f>
        <v>1.8</v>
      </c>
      <c r="AS8" s="258">
        <f>+'Midttrafik '!AT6</f>
        <v>1.8</v>
      </c>
      <c r="AT8" s="258">
        <f>+'Midttrafik '!AU6</f>
        <v>1.8</v>
      </c>
      <c r="AU8" s="258">
        <f>+'Midttrafik '!AV6</f>
        <v>2.4</v>
      </c>
      <c r="AV8" s="258">
        <f>+'Midttrafik '!AW6</f>
        <v>2.6</v>
      </c>
      <c r="AW8" s="258">
        <f>+'Midttrafik '!AX6</f>
        <v>2.9</v>
      </c>
      <c r="AX8" s="258">
        <f>+'Midttrafik '!AY6</f>
        <v>3.3737399999999997</v>
      </c>
      <c r="AY8" s="258">
        <f>+'Midttrafik '!AZ6</f>
        <v>3.2800000000000002</v>
      </c>
      <c r="AZ8" s="258">
        <f>+'Midttrafik '!BA6</f>
        <v>3.2800000000000002</v>
      </c>
      <c r="BA8" s="258">
        <f>+'Midttrafik '!BB6</f>
        <v>0</v>
      </c>
      <c r="BB8" s="258">
        <f>+'Midttrafik '!BC6</f>
        <v>0</v>
      </c>
      <c r="BC8" s="258">
        <f>+'Midttrafik '!BD6</f>
        <v>0</v>
      </c>
      <c r="BD8" s="258">
        <f>+'Midttrafik '!BE6</f>
        <v>0</v>
      </c>
      <c r="BE8" s="295"/>
      <c r="BF8" s="275">
        <f>+'Midttrafik '!BF6</f>
        <v>2.9</v>
      </c>
      <c r="BG8" s="258">
        <f>+'Midttrafik '!BG6</f>
        <v>-1.2</v>
      </c>
      <c r="BH8" s="258">
        <f>+'Midttrafik '!BH6</f>
        <v>4.3000000000000007</v>
      </c>
      <c r="BI8" s="258">
        <f>+'Midttrafik '!BI6</f>
        <v>13.799999999999999</v>
      </c>
      <c r="BJ8" s="258">
        <f>+'Midttrafik '!BJ6</f>
        <v>-10.3</v>
      </c>
      <c r="BK8" s="258">
        <f>+'Midttrafik '!BK6</f>
        <v>-10.4</v>
      </c>
      <c r="BL8" s="258">
        <f>+'Midttrafik '!BL6</f>
        <v>-5.7284877299999994</v>
      </c>
      <c r="BM8" s="258">
        <f>+'Midttrafik '!BM6</f>
        <v>0</v>
      </c>
      <c r="BN8" s="258">
        <f>+'Midttrafik '!BN6</f>
        <v>-1.5350000000000001</v>
      </c>
      <c r="BO8" s="258">
        <f>+'Midttrafik '!BO6</f>
        <v>0</v>
      </c>
      <c r="BP8" s="258">
        <f>+'Midttrafik '!BP6</f>
        <v>0</v>
      </c>
      <c r="BQ8" s="258">
        <f>+'Midttrafik '!BQ6</f>
        <v>0</v>
      </c>
      <c r="BR8" s="258">
        <f>+'Midttrafik '!BR6</f>
        <v>0</v>
      </c>
      <c r="BS8" s="295"/>
      <c r="BT8" s="278">
        <f>+'Midttrafik '!BS6</f>
        <v>0</v>
      </c>
      <c r="BU8" s="259">
        <f>+'Midttrafik '!BT6</f>
        <v>225.1</v>
      </c>
      <c r="BV8" s="259">
        <f>+'Midttrafik '!BU6</f>
        <v>267.3</v>
      </c>
      <c r="BW8" s="259">
        <f>+'Midttrafik '!BV6</f>
        <v>63.1</v>
      </c>
      <c r="BX8" s="259">
        <f>+'Midttrafik '!BW6</f>
        <v>40.700000000000003</v>
      </c>
      <c r="BY8" s="259">
        <f>+'Midttrafik '!BX6</f>
        <v>0</v>
      </c>
      <c r="BZ8" s="259">
        <f>+'Midttrafik '!BY6</f>
        <v>0</v>
      </c>
      <c r="CA8" s="259">
        <f>+'Midttrafik '!BZ6</f>
        <v>0</v>
      </c>
      <c r="CB8" s="259">
        <f>+'Midttrafik '!CA6</f>
        <v>0</v>
      </c>
      <c r="CC8" s="259">
        <f>+'Midttrafik '!CB6</f>
        <v>0</v>
      </c>
      <c r="CD8" s="259">
        <f>+'Midttrafik '!CC6</f>
        <v>0</v>
      </c>
      <c r="CE8" s="259">
        <f>+'Midttrafik '!CD6</f>
        <v>0</v>
      </c>
      <c r="CF8" s="259">
        <f>+'Midttrafik '!CE6</f>
        <v>0</v>
      </c>
      <c r="CG8" s="297"/>
      <c r="CH8" s="278">
        <f>+'Midttrafik '!CF6</f>
        <v>2145.8999999999996</v>
      </c>
      <c r="CI8" s="259">
        <f>+'Midttrafik '!CG6</f>
        <v>2119.6999999999998</v>
      </c>
      <c r="CJ8" s="259">
        <f>+'Midttrafik '!CH6</f>
        <v>2272</v>
      </c>
      <c r="CK8" s="259">
        <f>+'Midttrafik '!CI6</f>
        <v>2443.2999999999997</v>
      </c>
      <c r="CL8" s="259">
        <f>+'Midttrafik '!CJ6</f>
        <v>2439.6999999999998</v>
      </c>
      <c r="CM8" s="259">
        <f>+'Midttrafik '!CK6</f>
        <v>2521.6999999999998</v>
      </c>
      <c r="CN8" s="259">
        <f>+'Midttrafik '!CL6</f>
        <v>2539.7407192700007</v>
      </c>
      <c r="CO8" s="259">
        <f>+'Midttrafik '!CM6</f>
        <v>2643.07206</v>
      </c>
      <c r="CP8" s="259">
        <f>+'Midttrafik '!CN6</f>
        <v>2647.3574600000002</v>
      </c>
      <c r="CQ8" s="259">
        <f>+'Midttrafik '!CO6</f>
        <v>0</v>
      </c>
      <c r="CR8" s="259">
        <f>+'Midttrafik '!CP6</f>
        <v>0</v>
      </c>
      <c r="CS8" s="259">
        <f>+'Midttrafik '!CQ6</f>
        <v>0</v>
      </c>
      <c r="CT8" s="259">
        <f>+'Midttrafik '!CR6</f>
        <v>0</v>
      </c>
      <c r="CU8" s="297"/>
      <c r="CV8" s="278">
        <f>+'Midttrafik '!CS6</f>
        <v>1360.3999999999996</v>
      </c>
      <c r="CW8" s="259">
        <f>+'Midttrafik '!CT6</f>
        <v>1335.3</v>
      </c>
      <c r="CX8" s="259">
        <f>+'Midttrafik '!CU6</f>
        <v>1434.7</v>
      </c>
      <c r="CY8" s="259">
        <f>+'Midttrafik '!CV6</f>
        <v>1609.2999999999997</v>
      </c>
      <c r="CZ8" s="259">
        <f>+'Midttrafik '!CW6</f>
        <v>1556.1</v>
      </c>
      <c r="DA8" s="259">
        <f>+'Midttrafik '!CX6</f>
        <v>1614.4999999999998</v>
      </c>
      <c r="DB8" s="259">
        <f>+'Midttrafik '!CY6</f>
        <v>1667.7108331700006</v>
      </c>
      <c r="DC8" s="259">
        <f>+'Midttrafik '!CZ6</f>
        <v>1753.8560600000001</v>
      </c>
      <c r="DD8" s="259">
        <f>+'Midttrafik '!DA6</f>
        <v>1775.9355600000001</v>
      </c>
      <c r="DE8" s="259">
        <f>+'Midttrafik '!DB6</f>
        <v>0</v>
      </c>
      <c r="DF8" s="259">
        <f>+'Midttrafik '!DC6</f>
        <v>0</v>
      </c>
      <c r="DG8" s="259">
        <f>+'Midttrafik '!DD6</f>
        <v>0</v>
      </c>
      <c r="DH8" s="259">
        <f>+'Midttrafik '!DE6</f>
        <v>0</v>
      </c>
      <c r="DI8" s="297"/>
      <c r="DJ8" s="280">
        <f>+'Midttrafik '!DF6</f>
        <v>0.11831865417773431</v>
      </c>
      <c r="DK8" s="260">
        <f>+'Midttrafik '!DG6</f>
        <v>0.10690192008303062</v>
      </c>
      <c r="DL8" s="260">
        <f>+'Midttrafik '!DH6</f>
        <v>0.11870598591549296</v>
      </c>
      <c r="DM8" s="260">
        <f>+'Midttrafik '!DI6</f>
        <v>0.10784594605656286</v>
      </c>
      <c r="DN8" s="260">
        <f>+'Midttrafik '!DJ6</f>
        <v>0.11296470877566915</v>
      </c>
      <c r="DO8" s="260">
        <f>+'Midttrafik '!DK6</f>
        <v>0.11067930364436691</v>
      </c>
      <c r="DP8" s="260">
        <f>+'Midttrafik '!DL6</f>
        <v>0.11674210983443291</v>
      </c>
      <c r="DQ8" s="260">
        <f>+'Midttrafik '!DM6</f>
        <v>0.12169984499022703</v>
      </c>
      <c r="DR8" s="260">
        <f>+'Midttrafik '!DN6</f>
        <v>0.12272783895228112</v>
      </c>
      <c r="DS8" s="260">
        <f>+'Midttrafik '!DO6</f>
        <v>0</v>
      </c>
      <c r="DT8" s="260">
        <f>+'Midttrafik '!DP6</f>
        <v>0</v>
      </c>
      <c r="DU8" s="260">
        <f>+'Midttrafik '!DQ6</f>
        <v>0</v>
      </c>
      <c r="DV8" s="260">
        <f>+'Midttrafik '!DR6</f>
        <v>0</v>
      </c>
      <c r="DW8" s="299"/>
      <c r="DX8" s="282">
        <f>+'Midttrafik '!DS6</f>
        <v>1895043.8900000001</v>
      </c>
      <c r="DY8" s="261">
        <f>+'Midttrafik '!DT6</f>
        <v>1854608.2681637742</v>
      </c>
      <c r="DZ8" s="261">
        <f>+'Midttrafik '!DU6</f>
        <v>1854469.5999999999</v>
      </c>
      <c r="EA8" s="261">
        <f>+'Midttrafik '!DV6</f>
        <v>1847285.9966666664</v>
      </c>
      <c r="EB8" s="261">
        <f>+'Midttrafik '!DW6</f>
        <v>1791486.2067735051</v>
      </c>
      <c r="EC8" s="261">
        <f>+'Midttrafik '!DX6</f>
        <v>1713778.3827839969</v>
      </c>
      <c r="ED8" s="261">
        <f>+'Midttrafik '!DY6</f>
        <v>1655443</v>
      </c>
      <c r="EE8" s="261">
        <f>+'Midttrafik '!DZ6</f>
        <v>1647967</v>
      </c>
      <c r="EF8" s="261">
        <f>+'Midttrafik '!EA6</f>
        <v>1647967</v>
      </c>
      <c r="EG8" s="261">
        <f>+'Midttrafik '!EB6</f>
        <v>0</v>
      </c>
      <c r="EH8" s="261">
        <f>+'Midttrafik '!EC6</f>
        <v>0</v>
      </c>
      <c r="EI8" s="261">
        <f>+'Midttrafik '!ED6</f>
        <v>0</v>
      </c>
      <c r="EJ8" s="261">
        <f>+'Midttrafik '!EE6</f>
        <v>0</v>
      </c>
      <c r="EK8" s="301"/>
      <c r="EL8" s="282">
        <f>+'Midttrafik '!EF6</f>
        <v>76318</v>
      </c>
      <c r="EM8" s="261">
        <f>+'Midttrafik '!EG6</f>
        <v>82955</v>
      </c>
      <c r="EN8" s="261">
        <f>+'Midttrafik '!EH6</f>
        <v>95564</v>
      </c>
      <c r="EO8" s="261">
        <f>+'Midttrafik '!EI6</f>
        <v>97239</v>
      </c>
      <c r="EP8" s="261">
        <f>+'Midttrafik '!EJ6</f>
        <v>99206</v>
      </c>
      <c r="EQ8" s="261">
        <f>+'Midttrafik '!EK6</f>
        <v>92455</v>
      </c>
      <c r="ER8" s="261">
        <f>+'Midttrafik '!EL6</f>
        <v>90277.33</v>
      </c>
      <c r="ES8" s="261">
        <f>+'Midttrafik '!EM6</f>
        <v>100700</v>
      </c>
      <c r="ET8" s="261">
        <f>+'Midttrafik '!EN6</f>
        <v>0</v>
      </c>
      <c r="EU8" s="261">
        <f>+'Midttrafik '!EO6</f>
        <v>0</v>
      </c>
      <c r="EV8" s="261">
        <f>+'Midttrafik '!EP6</f>
        <v>0</v>
      </c>
      <c r="EW8" s="261">
        <f>+'Midttrafik '!EQ6</f>
        <v>0</v>
      </c>
      <c r="EX8" s="261">
        <f>+'Midttrafik '!ER6</f>
        <v>0</v>
      </c>
      <c r="EY8" s="301"/>
      <c r="EZ8" s="282">
        <f>+'Midttrafik '!ES6</f>
        <v>52753730</v>
      </c>
      <c r="FA8" s="261">
        <f>+'Midttrafik '!ET6</f>
        <v>34554824</v>
      </c>
      <c r="FB8" s="261">
        <f>+'Midttrafik '!EU6</f>
        <v>34298387</v>
      </c>
      <c r="FC8" s="261">
        <f>+'Midttrafik '!EV6</f>
        <v>45544621</v>
      </c>
      <c r="FD8" s="261">
        <f>+'Midttrafik '!EW6</f>
        <v>49153595</v>
      </c>
      <c r="FE8" s="261">
        <f>+'Midttrafik '!EX6</f>
        <v>55626000</v>
      </c>
      <c r="FF8" s="261">
        <f>+'Midttrafik '!EY6</f>
        <v>54820000</v>
      </c>
      <c r="FG8" s="261">
        <f>+'Midttrafik '!EZ6</f>
        <v>54904000</v>
      </c>
      <c r="FH8" s="261">
        <f>+'Midttrafik '!FA6</f>
        <v>0</v>
      </c>
      <c r="FI8" s="261">
        <f>+'Midttrafik '!FB6</f>
        <v>0</v>
      </c>
      <c r="FJ8" s="261">
        <f>+'Midttrafik '!FC6</f>
        <v>0</v>
      </c>
      <c r="FK8" s="261">
        <f>+'Midttrafik '!FD6</f>
        <v>0</v>
      </c>
      <c r="FL8" s="261">
        <f>+'Midttrafik '!FE6</f>
        <v>0</v>
      </c>
      <c r="FM8" s="301"/>
      <c r="FN8" s="282">
        <f>+'Midttrafik '!FF6</f>
        <v>2967950</v>
      </c>
      <c r="FO8" s="261">
        <f>+'Midttrafik '!FG6</f>
        <v>3186555</v>
      </c>
      <c r="FP8" s="261">
        <f>+'Midttrafik '!FH6</f>
        <v>3989278</v>
      </c>
      <c r="FQ8" s="261">
        <f>+'Midttrafik '!FI6</f>
        <v>4125086</v>
      </c>
      <c r="FR8" s="261">
        <f>+'Midttrafik '!FJ6</f>
        <v>4214795</v>
      </c>
      <c r="FS8" s="261">
        <f>+'Midttrafik '!FK6</f>
        <v>4190000</v>
      </c>
      <c r="FT8" s="261">
        <f>+'Midttrafik '!FL6</f>
        <v>4136815</v>
      </c>
      <c r="FU8" s="261">
        <f>+'Midttrafik '!FM6</f>
        <v>4305000</v>
      </c>
      <c r="FV8" s="261">
        <f>+'Midttrafik '!FN6</f>
        <v>0</v>
      </c>
      <c r="FW8" s="261">
        <f>+'Midttrafik '!FO6</f>
        <v>0</v>
      </c>
      <c r="FX8" s="261">
        <f>+'Midttrafik '!FP6</f>
        <v>0</v>
      </c>
      <c r="FY8" s="261">
        <f>+'Midttrafik '!FQ6</f>
        <v>0</v>
      </c>
      <c r="FZ8" s="261">
        <f>+'Midttrafik '!FR6</f>
        <v>0</v>
      </c>
      <c r="GA8" s="301"/>
      <c r="GB8" s="284">
        <f t="shared" si="0"/>
        <v>957.35846856611374</v>
      </c>
      <c r="GC8" s="270">
        <f t="shared" si="0"/>
        <v>976.74229848170035</v>
      </c>
      <c r="GD8" s="270">
        <f t="shared" si="0"/>
        <v>1023.674668990319</v>
      </c>
      <c r="GE8" s="270">
        <f t="shared" si="0"/>
        <v>1112.6624773190756</v>
      </c>
      <c r="GF8" s="270">
        <f t="shared" si="0"/>
        <v>1148.6798285936816</v>
      </c>
      <c r="GG8" s="270">
        <f t="shared" si="0"/>
        <v>1245.7415644327532</v>
      </c>
      <c r="GH8" s="270">
        <f t="shared" si="0"/>
        <v>1286.3462367995683</v>
      </c>
      <c r="GI8" s="270">
        <f t="shared" si="0"/>
        <v>1325.6558281250805</v>
      </c>
      <c r="GJ8" s="270">
        <f t="shared" si="0"/>
        <v>1408.2248006179736</v>
      </c>
      <c r="GK8" s="270" t="str">
        <f t="shared" si="0"/>
        <v/>
      </c>
      <c r="GL8" s="270" t="str">
        <f t="shared" si="0"/>
        <v/>
      </c>
      <c r="GM8" s="270" t="str">
        <f t="shared" si="0"/>
        <v/>
      </c>
      <c r="GN8" s="270" t="str">
        <f t="shared" si="0"/>
        <v/>
      </c>
      <c r="GO8" s="303"/>
      <c r="GP8" s="284">
        <f t="shared" si="1"/>
        <v>100</v>
      </c>
      <c r="GQ8" s="270">
        <f t="shared" si="1"/>
        <v>98.285519162784169</v>
      </c>
      <c r="GR8" s="270">
        <f t="shared" si="1"/>
        <v>98.918093623084076</v>
      </c>
      <c r="GS8" s="270">
        <f t="shared" si="1"/>
        <v>98.638662263409486</v>
      </c>
      <c r="GT8" s="270">
        <f t="shared" si="1"/>
        <v>95.907921136362489</v>
      </c>
      <c r="GU8" s="270">
        <f t="shared" si="1"/>
        <v>91.623632979127777</v>
      </c>
      <c r="GV8" s="270">
        <f t="shared" si="1"/>
        <v>88.554026475575228</v>
      </c>
      <c r="GW8" s="270">
        <f t="shared" si="1"/>
        <v>88.70350029948078</v>
      </c>
      <c r="GX8" s="270">
        <f t="shared" si="1"/>
        <v>83.595356507576597</v>
      </c>
      <c r="GY8" s="270">
        <f t="shared" si="1"/>
        <v>0</v>
      </c>
      <c r="GZ8" s="270">
        <f t="shared" si="1"/>
        <v>0</v>
      </c>
      <c r="HA8" s="270">
        <f t="shared" si="1"/>
        <v>0</v>
      </c>
      <c r="HB8" s="270">
        <f t="shared" si="1"/>
        <v>0</v>
      </c>
      <c r="HC8" s="303"/>
      <c r="HD8" s="284">
        <f t="shared" ref="HD8:HP8" si="6">IFERROR((P8/(DX8+EL8))/($P$8/($DX$8+$EL$8))*100,"")</f>
        <v>100</v>
      </c>
      <c r="HE8" s="270">
        <f t="shared" si="6"/>
        <v>102.02472015990193</v>
      </c>
      <c r="HF8" s="270">
        <f t="shared" si="6"/>
        <v>106.92699783849311</v>
      </c>
      <c r="HG8" s="270">
        <f t="shared" si="6"/>
        <v>116.22213766861735</v>
      </c>
      <c r="HH8" s="270">
        <f t="shared" si="6"/>
        <v>119.98429703286797</v>
      </c>
      <c r="HI8" s="270">
        <f t="shared" si="6"/>
        <v>130.12279154939381</v>
      </c>
      <c r="HJ8" s="270">
        <f t="shared" si="6"/>
        <v>134.36411532727098</v>
      </c>
      <c r="HK8" s="270">
        <f t="shared" si="6"/>
        <v>138.47016260383484</v>
      </c>
      <c r="HL8" s="270">
        <f t="shared" si="6"/>
        <v>147.09482882907449</v>
      </c>
      <c r="HM8" s="270" t="str">
        <f t="shared" si="6"/>
        <v/>
      </c>
      <c r="HN8" s="270" t="str">
        <f t="shared" si="6"/>
        <v/>
      </c>
      <c r="HO8" s="270" t="str">
        <f t="shared" si="6"/>
        <v/>
      </c>
      <c r="HP8" s="270" t="str">
        <f t="shared" si="6"/>
        <v/>
      </c>
      <c r="HQ8" s="303"/>
      <c r="HR8" s="284">
        <f t="shared" ref="HR8:ID8" si="7">IFERROR(EZ8/$EZ$8*100,"")</f>
        <v>100</v>
      </c>
      <c r="HS8" s="270">
        <f t="shared" si="7"/>
        <v>65.502143639890491</v>
      </c>
      <c r="HT8" s="270">
        <f t="shared" si="7"/>
        <v>65.016041519718129</v>
      </c>
      <c r="HU8" s="270">
        <f t="shared" si="7"/>
        <v>86.334408960276363</v>
      </c>
      <c r="HV8" s="270">
        <f t="shared" si="7"/>
        <v>93.175582086802194</v>
      </c>
      <c r="HW8" s="270">
        <f t="shared" si="7"/>
        <v>105.44467661338828</v>
      </c>
      <c r="HX8" s="270">
        <f t="shared" si="7"/>
        <v>103.91682256401585</v>
      </c>
      <c r="HY8" s="270">
        <f t="shared" si="7"/>
        <v>104.0760530108487</v>
      </c>
      <c r="HZ8" s="270">
        <f t="shared" si="7"/>
        <v>0</v>
      </c>
      <c r="IA8" s="270">
        <f t="shared" si="7"/>
        <v>0</v>
      </c>
      <c r="IB8" s="270">
        <f t="shared" si="7"/>
        <v>0</v>
      </c>
      <c r="IC8" s="270">
        <f t="shared" si="7"/>
        <v>0</v>
      </c>
      <c r="ID8" s="288">
        <f t="shared" si="7"/>
        <v>0</v>
      </c>
    </row>
    <row r="9" spans="1:238" x14ac:dyDescent="0.2">
      <c r="A9" s="305" t="s">
        <v>12</v>
      </c>
      <c r="B9" s="258">
        <f>+Movia!F6</f>
        <v>1930.1836000000001</v>
      </c>
      <c r="C9" s="258">
        <f>+Movia!G6</f>
        <v>1296.42174</v>
      </c>
      <c r="D9" s="258">
        <f>+Movia!H6</f>
        <v>1417.6207899999999</v>
      </c>
      <c r="E9" s="258">
        <f>+Movia!I6</f>
        <v>1696.1998599999999</v>
      </c>
      <c r="F9" s="258">
        <f>+Movia!J6</f>
        <v>1934.6117899999999</v>
      </c>
      <c r="G9" s="258">
        <f>+Movia!K6</f>
        <v>2142.7691799999998</v>
      </c>
      <c r="H9" s="258">
        <f>+Movia!L6</f>
        <v>2119.2034899999999</v>
      </c>
      <c r="I9" s="258">
        <f>+Movia!M6</f>
        <v>2058.20075</v>
      </c>
      <c r="J9" s="258">
        <f>+Movia!N6</f>
        <v>2058.6657799999998</v>
      </c>
      <c r="K9" s="258">
        <f>+Movia!O6</f>
        <v>0</v>
      </c>
      <c r="L9" s="258">
        <f>+Movia!P6</f>
        <v>2130.6514200000001</v>
      </c>
      <c r="M9" s="258">
        <f>+Movia!Q6</f>
        <v>0</v>
      </c>
      <c r="N9" s="258">
        <f>+Movia!R6</f>
        <v>0</v>
      </c>
      <c r="O9" s="295"/>
      <c r="P9" s="275">
        <f>+Movia!S6</f>
        <v>4249.8941100000002</v>
      </c>
      <c r="Q9" s="258">
        <f>+Movia!T6</f>
        <v>4154.2948200000001</v>
      </c>
      <c r="R9" s="258">
        <f>+Movia!U6</f>
        <v>4344.1483699999999</v>
      </c>
      <c r="S9" s="258">
        <f>+Movia!V6</f>
        <v>4825.1193499999999</v>
      </c>
      <c r="T9" s="258">
        <f>+Movia!W6</f>
        <v>4898.9099100000003</v>
      </c>
      <c r="U9" s="258">
        <f>+Movia!X6</f>
        <v>4794.7202900000002</v>
      </c>
      <c r="V9" s="258">
        <f>+Movia!Y6</f>
        <v>4865.2266900000004</v>
      </c>
      <c r="W9" s="258">
        <f>+Movia!Z6</f>
        <v>4852.9756900000002</v>
      </c>
      <c r="X9" s="258">
        <f>+Movia!AA6</f>
        <v>5020.1899299999995</v>
      </c>
      <c r="Y9" s="258">
        <f>+Movia!AB6</f>
        <v>0</v>
      </c>
      <c r="Z9" s="258">
        <f>+Movia!AC6</f>
        <v>4989.7258300000003</v>
      </c>
      <c r="AA9" s="258">
        <f>+Movia!AD6</f>
        <v>0</v>
      </c>
      <c r="AB9" s="258">
        <f>+Movia!AE6</f>
        <v>0</v>
      </c>
      <c r="AC9" s="295"/>
      <c r="AD9" s="275">
        <f>+Movia!AF6</f>
        <v>566.78859</v>
      </c>
      <c r="AE9" s="258">
        <f>+Movia!AG6</f>
        <v>575.43634999999995</v>
      </c>
      <c r="AF9" s="258">
        <f>+Movia!AH6</f>
        <v>613.56113000000005</v>
      </c>
      <c r="AG9" s="258">
        <f>+Movia!AI6</f>
        <v>578.72373000000005</v>
      </c>
      <c r="AH9" s="258">
        <f>+Movia!AJ6</f>
        <v>607.64706000000001</v>
      </c>
      <c r="AI9" s="258">
        <f>+Movia!AK6</f>
        <v>657.84379999999999</v>
      </c>
      <c r="AJ9" s="258">
        <f>+Movia!AL6</f>
        <v>664.93849</v>
      </c>
      <c r="AK9" s="258">
        <f>+Movia!AM6</f>
        <v>690.29998999999998</v>
      </c>
      <c r="AL9" s="258">
        <f>+Movia!AN6</f>
        <v>688.28536999999994</v>
      </c>
      <c r="AM9" s="258">
        <f>+Movia!AO6</f>
        <v>0</v>
      </c>
      <c r="AN9" s="258">
        <f>+Movia!AP6</f>
        <v>682.5</v>
      </c>
      <c r="AO9" s="258">
        <f>+Movia!AQ6</f>
        <v>0</v>
      </c>
      <c r="AP9" s="258">
        <f>+Movia!AR6</f>
        <v>0</v>
      </c>
      <c r="AQ9" s="295"/>
      <c r="AR9" s="275">
        <f>+Movia!AS6</f>
        <v>24.208850000000002</v>
      </c>
      <c r="AS9" s="258">
        <f>+Movia!AT6</f>
        <v>26.486529999999998</v>
      </c>
      <c r="AT9" s="258">
        <f>+Movia!AU6</f>
        <v>27.36542</v>
      </c>
      <c r="AU9" s="258">
        <f>+Movia!AV6</f>
        <v>28.866959999999999</v>
      </c>
      <c r="AV9" s="258">
        <f>+Movia!AW6</f>
        <v>30.19313</v>
      </c>
      <c r="AW9" s="258">
        <f>+Movia!AX6</f>
        <v>33.751220000000004</v>
      </c>
      <c r="AX9" s="258">
        <f>+Movia!AY6</f>
        <v>32.085830000000001</v>
      </c>
      <c r="AY9" s="258">
        <f>+Movia!AZ6</f>
        <v>37.625120000000003</v>
      </c>
      <c r="AZ9" s="258">
        <f>+Movia!BA6</f>
        <v>36.310650000000003</v>
      </c>
      <c r="BA9" s="258">
        <f>+Movia!BB6</f>
        <v>0</v>
      </c>
      <c r="BB9" s="258">
        <f>+Movia!BC6</f>
        <v>38.183230000000002</v>
      </c>
      <c r="BC9" s="258">
        <f>+Movia!BD6</f>
        <v>0</v>
      </c>
      <c r="BD9" s="258">
        <f>+Movia!BE6</f>
        <v>0</v>
      </c>
      <c r="BE9" s="295"/>
      <c r="BF9" s="275">
        <f>+Movia!BF6</f>
        <v>24.966940000000001</v>
      </c>
      <c r="BG9" s="258">
        <f>+Movia!BG6</f>
        <v>49.309489999999997</v>
      </c>
      <c r="BH9" s="258">
        <f>+Movia!BH6</f>
        <v>10.051600000000001</v>
      </c>
      <c r="BI9" s="258">
        <f>+Movia!BI6</f>
        <v>9.9907800000000009</v>
      </c>
      <c r="BJ9" s="258">
        <f>+Movia!BJ6</f>
        <v>17.921029999999998</v>
      </c>
      <c r="BK9" s="258">
        <f>+Movia!BK6</f>
        <v>6.9341400000000002</v>
      </c>
      <c r="BL9" s="258">
        <f>+Movia!BL6</f>
        <v>16.481400000000001</v>
      </c>
      <c r="BM9" s="258">
        <f>+Movia!BM6</f>
        <v>4.09999</v>
      </c>
      <c r="BN9" s="258">
        <f>+Movia!BN6</f>
        <v>18</v>
      </c>
      <c r="BO9" s="258">
        <f>+Movia!BO6</f>
        <v>0</v>
      </c>
      <c r="BP9" s="258">
        <f>+Movia!BP6</f>
        <v>-1.8</v>
      </c>
      <c r="BQ9" s="258">
        <f>+Movia!BQ6</f>
        <v>0</v>
      </c>
      <c r="BR9" s="258">
        <f>+Movia!BR6</f>
        <v>0</v>
      </c>
      <c r="BS9" s="295"/>
      <c r="BT9" s="278">
        <f>+Movia!BS6</f>
        <v>0</v>
      </c>
      <c r="BU9" s="259">
        <f>+Movia!BT6</f>
        <v>455.32420999999999</v>
      </c>
      <c r="BV9" s="259">
        <f>+Movia!BU6</f>
        <v>463.95719000000003</v>
      </c>
      <c r="BW9" s="259">
        <f>+Movia!BV6</f>
        <v>111.15260000000001</v>
      </c>
      <c r="BX9" s="259">
        <f>+Movia!BW6</f>
        <v>82.223010000000002</v>
      </c>
      <c r="BY9" s="259">
        <f>+Movia!BX6</f>
        <v>2.3631899999999999</v>
      </c>
      <c r="BZ9" s="259">
        <f>+Movia!BY6</f>
        <v>0</v>
      </c>
      <c r="CA9" s="259">
        <f>+Movia!BZ6</f>
        <v>0</v>
      </c>
      <c r="CB9" s="259">
        <f>+Movia!CA6</f>
        <v>0</v>
      </c>
      <c r="CC9" s="259">
        <f>+Movia!CB6</f>
        <v>0</v>
      </c>
      <c r="CD9" s="259">
        <f>+Movia!CC6</f>
        <v>0</v>
      </c>
      <c r="CE9" s="259">
        <f>+Movia!CD6</f>
        <v>0</v>
      </c>
      <c r="CF9" s="259">
        <f>+Movia!CE6</f>
        <v>0</v>
      </c>
      <c r="CG9" s="297"/>
      <c r="CH9" s="278">
        <f>+Movia!CF6</f>
        <v>4865.8584799999999</v>
      </c>
      <c r="CI9" s="259">
        <f>+Movia!CG6</f>
        <v>4805.5272000000004</v>
      </c>
      <c r="CJ9" s="259">
        <f>+Movia!CH6</f>
        <v>4995.1265299999995</v>
      </c>
      <c r="CK9" s="259">
        <f>+Movia!CI6</f>
        <v>5442.70082</v>
      </c>
      <c r="CL9" s="259">
        <f>+Movia!CJ6</f>
        <v>5554.6711299999997</v>
      </c>
      <c r="CM9" s="259">
        <f>+Movia!CK6</f>
        <v>5493.2494500000003</v>
      </c>
      <c r="CN9" s="259">
        <f>+Movia!CL6</f>
        <v>5578.7324099999996</v>
      </c>
      <c r="CO9" s="259">
        <f>+Movia!CM6</f>
        <v>5585.0007900000001</v>
      </c>
      <c r="CP9" s="259">
        <f>+Movia!CN6</f>
        <v>5762.7859399999998</v>
      </c>
      <c r="CQ9" s="259">
        <f>+Movia!CO6</f>
        <v>0</v>
      </c>
      <c r="CR9" s="259">
        <f>+Movia!CP6</f>
        <v>5708.6090599999998</v>
      </c>
      <c r="CS9" s="259">
        <f>+Movia!CQ6</f>
        <v>0</v>
      </c>
      <c r="CT9" s="259">
        <f>+Movia!CR6</f>
        <v>0</v>
      </c>
      <c r="CU9" s="297"/>
      <c r="CV9" s="278">
        <f>+Movia!CS6</f>
        <v>2935.67488</v>
      </c>
      <c r="CW9" s="259">
        <f>+Movia!CT6</f>
        <v>3053.78125</v>
      </c>
      <c r="CX9" s="259">
        <f>+Movia!CU6</f>
        <v>3113.5485399999998</v>
      </c>
      <c r="CY9" s="259">
        <f>+Movia!CV6</f>
        <v>3635.34836</v>
      </c>
      <c r="CZ9" s="259">
        <f>+Movia!CW6</f>
        <v>3537.8363300000001</v>
      </c>
      <c r="DA9" s="259">
        <f>+Movia!CX6</f>
        <v>3348.11708</v>
      </c>
      <c r="DB9" s="259">
        <f>+Movia!CY6</f>
        <v>3459.52891</v>
      </c>
      <c r="DC9" s="259">
        <f>+Movia!CZ6</f>
        <v>3526.8000400000001</v>
      </c>
      <c r="DD9" s="259">
        <f>+Movia!DA6</f>
        <v>3704.1201599999999</v>
      </c>
      <c r="DE9" s="259">
        <f>+Movia!DB6</f>
        <v>0</v>
      </c>
      <c r="DF9" s="259">
        <f>+Movia!DC6</f>
        <v>3577.9576400000001</v>
      </c>
      <c r="DG9" s="259">
        <f>+Movia!DD6</f>
        <v>0</v>
      </c>
      <c r="DH9" s="259">
        <f>+Movia!DE6</f>
        <v>0</v>
      </c>
      <c r="DI9" s="297"/>
      <c r="DJ9" s="280">
        <f>+Movia!DF6</f>
        <v>0.11650000000000001</v>
      </c>
      <c r="DK9" s="260">
        <f>+Movia!DG6</f>
        <v>0.1197</v>
      </c>
      <c r="DL9" s="260">
        <f>+Movia!DH6</f>
        <v>0.12280000000000001</v>
      </c>
      <c r="DM9" s="260">
        <f>+Movia!DI6</f>
        <v>0.10630000000000001</v>
      </c>
      <c r="DN9" s="260">
        <f>+Movia!DJ6</f>
        <v>0.1094</v>
      </c>
      <c r="DO9" s="260">
        <f>+Movia!DK6</f>
        <v>0.1198</v>
      </c>
      <c r="DP9" s="260">
        <f>+Movia!DL6</f>
        <v>0.1192</v>
      </c>
      <c r="DQ9" s="260">
        <f>+Movia!DM6</f>
        <v>0.1236</v>
      </c>
      <c r="DR9" s="260">
        <f>+Movia!DN6</f>
        <v>0.11940000000000001</v>
      </c>
      <c r="DS9" s="260">
        <f>+Movia!DO6</f>
        <v>0</v>
      </c>
      <c r="DT9" s="260">
        <f>+Movia!DP6</f>
        <v>0.1196</v>
      </c>
      <c r="DU9" s="260">
        <f>+Movia!DQ6</f>
        <v>0</v>
      </c>
      <c r="DV9" s="260">
        <f>+Movia!DR6</f>
        <v>0</v>
      </c>
      <c r="DW9" s="299"/>
      <c r="DX9" s="282">
        <f>+Movia!DS6</f>
        <v>4232703.6165399998</v>
      </c>
      <c r="DY9" s="261">
        <f>+Movia!DT6</f>
        <v>4084195.89928</v>
      </c>
      <c r="DZ9" s="261">
        <f>+Movia!DU6</f>
        <v>4077598.3166200002</v>
      </c>
      <c r="EA9" s="261">
        <f>+Movia!DV6</f>
        <v>4119023.9781499999</v>
      </c>
      <c r="EB9" s="261">
        <f>+Movia!DW6</f>
        <v>4114493.9799700002</v>
      </c>
      <c r="EC9" s="261">
        <f>+Movia!DX6</f>
        <v>4061247.3066400001</v>
      </c>
      <c r="ED9" s="261">
        <f>+Movia!DY6</f>
        <v>4028943.2499799998</v>
      </c>
      <c r="EE9" s="261">
        <f>+Movia!DZ6</f>
        <v>3997256.3989900001</v>
      </c>
      <c r="EF9" s="261">
        <f>+Movia!EA6</f>
        <v>4069893.3491699998</v>
      </c>
      <c r="EG9" s="261">
        <f>+Movia!EB6</f>
        <v>0</v>
      </c>
      <c r="EH9" s="261">
        <f>+Movia!EC6</f>
        <v>4074529.8714299998</v>
      </c>
      <c r="EI9" s="261">
        <f>+Movia!ED6</f>
        <v>0</v>
      </c>
      <c r="EJ9" s="261">
        <f>+Movia!EE6</f>
        <v>0</v>
      </c>
      <c r="EK9" s="301"/>
      <c r="EL9" s="282">
        <f>+Movia!EF6</f>
        <v>151818</v>
      </c>
      <c r="EM9" s="261">
        <f>+Movia!EG6</f>
        <v>151573</v>
      </c>
      <c r="EN9" s="261">
        <f>+Movia!EH6</f>
        <v>158157</v>
      </c>
      <c r="EO9" s="261">
        <f>+Movia!EI6</f>
        <v>156802</v>
      </c>
      <c r="EP9" s="261">
        <f>+Movia!EJ6</f>
        <v>154941</v>
      </c>
      <c r="EQ9" s="261">
        <f>+Movia!EK6</f>
        <v>157654.07999999999</v>
      </c>
      <c r="ER9" s="261">
        <f>+Movia!EL6</f>
        <v>167419.1</v>
      </c>
      <c r="ES9" s="261">
        <f>+Movia!EM6</f>
        <v>173653</v>
      </c>
      <c r="ET9" s="261">
        <f>+Movia!EN6</f>
        <v>172316.68</v>
      </c>
      <c r="EU9" s="261">
        <f>+Movia!EO6</f>
        <v>0</v>
      </c>
      <c r="EV9" s="261">
        <f>+Movia!EP6</f>
        <v>179803.34</v>
      </c>
      <c r="EW9" s="261">
        <f>+Movia!EQ6</f>
        <v>0</v>
      </c>
      <c r="EX9" s="261">
        <f>+Movia!ER6</f>
        <v>0</v>
      </c>
      <c r="EY9" s="301"/>
      <c r="EZ9" s="282">
        <f>+Movia!ES6</f>
        <v>201646717.99000001</v>
      </c>
      <c r="FA9" s="261">
        <f>+Movia!ET6</f>
        <v>130191006.76046</v>
      </c>
      <c r="FB9" s="261">
        <f>+Movia!EU6</f>
        <v>128773742.01592</v>
      </c>
      <c r="FC9" s="261">
        <f>+Movia!EV6</f>
        <v>160129388.85870001</v>
      </c>
      <c r="FD9" s="261">
        <f>+Movia!EW6</f>
        <v>173612062.22327</v>
      </c>
      <c r="FE9" s="261">
        <f>+Movia!EX6</f>
        <v>175496165.10455</v>
      </c>
      <c r="FF9" s="261">
        <f>+Movia!EY6</f>
        <v>172816719.25652</v>
      </c>
      <c r="FG9" s="261">
        <f>+Movia!EZ6</f>
        <v>170314824.59628001</v>
      </c>
      <c r="FH9" s="261">
        <f>+Movia!FA6</f>
        <v>173856015.70901999</v>
      </c>
      <c r="FI9" s="261">
        <f>+Movia!FB6</f>
        <v>0</v>
      </c>
      <c r="FJ9" s="261">
        <f>+Movia!FC6</f>
        <v>172969831.23730001</v>
      </c>
      <c r="FK9" s="261">
        <f>+Movia!FD6</f>
        <v>0</v>
      </c>
      <c r="FL9" s="261">
        <f>+Movia!FE7</f>
        <v>0</v>
      </c>
      <c r="FM9" s="301"/>
      <c r="FN9" s="282">
        <f>+Movia!FF6</f>
        <v>7825683</v>
      </c>
      <c r="FO9" s="261">
        <f>+Movia!FG6</f>
        <v>7629001</v>
      </c>
      <c r="FP9" s="261">
        <f>+Movia!FH6</f>
        <v>8034836</v>
      </c>
      <c r="FQ9" s="261">
        <f>+Movia!FI6</f>
        <v>7998171</v>
      </c>
      <c r="FR9" s="261">
        <f>+Movia!FJ6</f>
        <v>7987375</v>
      </c>
      <c r="FS9" s="261">
        <f>+Movia!FK6</f>
        <v>8076229</v>
      </c>
      <c r="FT9" s="261">
        <f>+Movia!FL6</f>
        <v>8442977</v>
      </c>
      <c r="FU9" s="261">
        <f>+Movia!FM6</f>
        <v>8932495.0099999998</v>
      </c>
      <c r="FV9" s="261">
        <f>+Movia!FN6</f>
        <v>8657460</v>
      </c>
      <c r="FW9" s="261">
        <f>+Movia!FO6</f>
        <v>0</v>
      </c>
      <c r="FX9" s="261">
        <f>+Movia!FP6</f>
        <v>9116589.5999999996</v>
      </c>
      <c r="FY9" s="261">
        <f>+Movia!FQ6</f>
        <v>0</v>
      </c>
      <c r="FZ9" s="261">
        <f>+Movia!FR6</f>
        <v>0</v>
      </c>
      <c r="GA9" s="301"/>
      <c r="GB9" s="284">
        <f t="shared" si="0"/>
        <v>969.29482431284271</v>
      </c>
      <c r="GC9" s="270">
        <f t="shared" si="0"/>
        <v>980.76522085663134</v>
      </c>
      <c r="GD9" s="270">
        <f t="shared" si="0"/>
        <v>1025.5900176657265</v>
      </c>
      <c r="GE9" s="270">
        <f t="shared" si="0"/>
        <v>1128.4648567684833</v>
      </c>
      <c r="GF9" s="270">
        <f t="shared" si="0"/>
        <v>1147.4375258045088</v>
      </c>
      <c r="GG9" s="270">
        <f t="shared" si="0"/>
        <v>1136.4855090435265</v>
      </c>
      <c r="GH9" s="270">
        <f t="shared" si="0"/>
        <v>1159.3914643770427</v>
      </c>
      <c r="GI9" s="270">
        <f t="shared" si="0"/>
        <v>1163.5293950943083</v>
      </c>
      <c r="GJ9" s="270">
        <f t="shared" si="0"/>
        <v>1183.390236570209</v>
      </c>
      <c r="GK9" s="270" t="str">
        <f t="shared" si="0"/>
        <v/>
      </c>
      <c r="GL9" s="270">
        <f t="shared" si="0"/>
        <v>1172.857315593955</v>
      </c>
      <c r="GM9" s="270" t="str">
        <f t="shared" si="0"/>
        <v/>
      </c>
      <c r="GN9" s="270" t="str">
        <f t="shared" si="0"/>
        <v/>
      </c>
      <c r="GO9" s="303"/>
      <c r="GP9" s="284">
        <f t="shared" si="1"/>
        <v>100</v>
      </c>
      <c r="GQ9" s="270">
        <f t="shared" si="1"/>
        <v>96.607321612947459</v>
      </c>
      <c r="GR9" s="270">
        <f t="shared" si="1"/>
        <v>96.607011826357521</v>
      </c>
      <c r="GS9" s="270">
        <f t="shared" si="1"/>
        <v>97.520923651511708</v>
      </c>
      <c r="GT9" s="270">
        <f t="shared" si="1"/>
        <v>97.375160926659575</v>
      </c>
      <c r="GU9" s="270">
        <f t="shared" si="1"/>
        <v>96.222615729040527</v>
      </c>
      <c r="GV9" s="270">
        <f t="shared" si="1"/>
        <v>95.708556530997697</v>
      </c>
      <c r="GW9" s="270">
        <f t="shared" si="1"/>
        <v>95.128038216434447</v>
      </c>
      <c r="GX9" s="270">
        <f t="shared" si="1"/>
        <v>96.754227717041033</v>
      </c>
      <c r="GY9" s="270">
        <f t="shared" si="1"/>
        <v>0</v>
      </c>
      <c r="GZ9" s="270">
        <f t="shared" si="1"/>
        <v>97.030727260668939</v>
      </c>
      <c r="HA9" s="270">
        <f t="shared" si="1"/>
        <v>0</v>
      </c>
      <c r="HB9" s="270">
        <f t="shared" si="1"/>
        <v>0</v>
      </c>
      <c r="HC9" s="303"/>
      <c r="HD9" s="284">
        <f t="shared" ref="HD9:HP9" si="8">IFERROR((P9/(DX9+EL9))/($P$9/($DX$9+$EL$9))*100,"")</f>
        <v>100</v>
      </c>
      <c r="HE9" s="270">
        <f t="shared" si="8"/>
        <v>101.18337540406452</v>
      </c>
      <c r="HF9" s="270">
        <f t="shared" si="8"/>
        <v>105.80785040225432</v>
      </c>
      <c r="HG9" s="270">
        <f t="shared" si="8"/>
        <v>116.42121968086236</v>
      </c>
      <c r="HH9" s="270">
        <f t="shared" si="8"/>
        <v>118.37858792013627</v>
      </c>
      <c r="HI9" s="270">
        <f t="shared" si="8"/>
        <v>117.24869261003323</v>
      </c>
      <c r="HJ9" s="270">
        <f t="shared" si="8"/>
        <v>119.61184928424275</v>
      </c>
      <c r="HK9" s="270">
        <f t="shared" si="8"/>
        <v>120.03875043067143</v>
      </c>
      <c r="HL9" s="270">
        <f t="shared" si="8"/>
        <v>122.08774945323204</v>
      </c>
      <c r="HM9" s="270" t="str">
        <f t="shared" si="8"/>
        <v/>
      </c>
      <c r="HN9" s="270">
        <f t="shared" si="8"/>
        <v>121.00109132692656</v>
      </c>
      <c r="HO9" s="270" t="str">
        <f t="shared" si="8"/>
        <v/>
      </c>
      <c r="HP9" s="270" t="str">
        <f t="shared" si="8"/>
        <v/>
      </c>
      <c r="HQ9" s="303"/>
      <c r="HR9" s="284">
        <f t="shared" ref="HR9:ID9" si="9">IFERROR(EZ9/$EZ$9*100,"")</f>
        <v>100</v>
      </c>
      <c r="HS9" s="270">
        <f t="shared" si="9"/>
        <v>64.563910614660429</v>
      </c>
      <c r="HT9" s="270">
        <f t="shared" si="9"/>
        <v>63.861065183469087</v>
      </c>
      <c r="HU9" s="270">
        <f t="shared" si="9"/>
        <v>79.410857987106482</v>
      </c>
      <c r="HV9" s="270">
        <f t="shared" si="9"/>
        <v>86.097142544060503</v>
      </c>
      <c r="HW9" s="270">
        <f t="shared" si="9"/>
        <v>87.031500861448748</v>
      </c>
      <c r="HX9" s="270">
        <f t="shared" si="9"/>
        <v>85.702718585824073</v>
      </c>
      <c r="HY9" s="270">
        <f t="shared" si="9"/>
        <v>84.461986931384729</v>
      </c>
      <c r="HZ9" s="270">
        <f t="shared" si="9"/>
        <v>86.218123181971052</v>
      </c>
      <c r="IA9" s="270">
        <f t="shared" si="9"/>
        <v>0</v>
      </c>
      <c r="IB9" s="270">
        <f t="shared" si="9"/>
        <v>85.778649393082546</v>
      </c>
      <c r="IC9" s="270">
        <f t="shared" si="9"/>
        <v>0</v>
      </c>
      <c r="ID9" s="288">
        <f t="shared" si="9"/>
        <v>0</v>
      </c>
    </row>
    <row r="10" spans="1:238" x14ac:dyDescent="0.2">
      <c r="A10" s="305" t="s">
        <v>14</v>
      </c>
      <c r="B10" s="258">
        <f>+NT!F6</f>
        <v>382.59399579999996</v>
      </c>
      <c r="C10" s="258">
        <f>+NT!G6</f>
        <v>265.2834987</v>
      </c>
      <c r="D10" s="258">
        <f>+NT!H6</f>
        <v>276.69426269999997</v>
      </c>
      <c r="E10" s="258">
        <f>+NT!I6</f>
        <v>351.11101689999998</v>
      </c>
      <c r="F10" s="258">
        <f>+NT!J6</f>
        <v>395.21592520000002</v>
      </c>
      <c r="G10" s="258">
        <f>+NT!K6</f>
        <v>411.49739269999998</v>
      </c>
      <c r="H10" s="258">
        <f>+NT!L6</f>
        <v>423.43723040000003</v>
      </c>
      <c r="I10" s="258">
        <f>+NT!M6</f>
        <v>454.69167009999995</v>
      </c>
      <c r="J10" s="258">
        <f>+NT!N6</f>
        <v>424.88807270000001</v>
      </c>
      <c r="K10" s="258">
        <f>+NT!O6</f>
        <v>0</v>
      </c>
      <c r="L10" s="258">
        <f>+NT!P6</f>
        <v>0</v>
      </c>
      <c r="M10" s="258">
        <f>+NT!Q6</f>
        <v>0</v>
      </c>
      <c r="N10" s="258">
        <f>+NT!R6</f>
        <v>0</v>
      </c>
      <c r="O10" s="295"/>
      <c r="P10" s="275">
        <f>+NT!S6</f>
        <v>1136.2315403000002</v>
      </c>
      <c r="Q10" s="258">
        <f>+NT!T6</f>
        <v>1129.1949061999999</v>
      </c>
      <c r="R10" s="258">
        <f>+NT!U6</f>
        <v>1208.8469077</v>
      </c>
      <c r="S10" s="258">
        <f>+NT!V6</f>
        <v>1330.3607861</v>
      </c>
      <c r="T10" s="258">
        <f>+NT!W6</f>
        <v>1352.8327611</v>
      </c>
      <c r="U10" s="258">
        <f>+NT!X6</f>
        <v>1382.4130862</v>
      </c>
      <c r="V10" s="258">
        <f>+NT!Y6</f>
        <v>1433.4751739000001</v>
      </c>
      <c r="W10" s="258">
        <f>+NT!Z6</f>
        <v>1501.9012839000002</v>
      </c>
      <c r="X10" s="258">
        <f>+NT!AA6</f>
        <v>1512.2329056000001</v>
      </c>
      <c r="Y10" s="258">
        <f>+NT!AB6</f>
        <v>0</v>
      </c>
      <c r="Z10" s="258">
        <f>+NT!AC6</f>
        <v>0</v>
      </c>
      <c r="AA10" s="258">
        <f>+NT!AD6</f>
        <v>0</v>
      </c>
      <c r="AB10" s="258">
        <f>+NT!AE6</f>
        <v>0</v>
      </c>
      <c r="AC10" s="295"/>
      <c r="AD10" s="275">
        <f>+NT!AF6</f>
        <v>137.13015569999999</v>
      </c>
      <c r="AE10" s="258">
        <f>+NT!AG6</f>
        <v>148.50274489999998</v>
      </c>
      <c r="AF10" s="258">
        <f>+NT!AH6</f>
        <v>139.05922329999999</v>
      </c>
      <c r="AG10" s="258">
        <f>+NT!AI6</f>
        <v>135.8396607</v>
      </c>
      <c r="AH10" s="258">
        <f>+NT!AJ6</f>
        <v>146.8299446</v>
      </c>
      <c r="AI10" s="258">
        <f>+NT!AK6</f>
        <v>152.58874119999999</v>
      </c>
      <c r="AJ10" s="258">
        <f>+NT!AL6</f>
        <v>154.17390410000002</v>
      </c>
      <c r="AK10" s="258">
        <f>+NT!AM6</f>
        <v>174.59156680000001</v>
      </c>
      <c r="AL10" s="258">
        <f>+NT!AN6</f>
        <v>170.05830399999999</v>
      </c>
      <c r="AM10" s="258">
        <f>+NT!AO6</f>
        <v>0</v>
      </c>
      <c r="AN10" s="258">
        <f>+NT!AP6</f>
        <v>0</v>
      </c>
      <c r="AO10" s="258">
        <f>+NT!AQ6</f>
        <v>0</v>
      </c>
      <c r="AP10" s="258">
        <f>+NT!AR6</f>
        <v>0</v>
      </c>
      <c r="AQ10" s="295"/>
      <c r="AR10" s="275">
        <f>+NT!AS6</f>
        <v>0</v>
      </c>
      <c r="AS10" s="258">
        <f>+NT!AT6</f>
        <v>0</v>
      </c>
      <c r="AT10" s="258">
        <f>+NT!AU6</f>
        <v>0</v>
      </c>
      <c r="AU10" s="258">
        <f>+NT!AV6</f>
        <v>0</v>
      </c>
      <c r="AV10" s="258">
        <f>+NT!AW6</f>
        <v>0</v>
      </c>
      <c r="AW10" s="258">
        <f>+NT!AX6</f>
        <v>0</v>
      </c>
      <c r="AX10" s="258">
        <f>+NT!AY6</f>
        <v>0</v>
      </c>
      <c r="AY10" s="258">
        <f>+NT!AZ6</f>
        <v>0</v>
      </c>
      <c r="AZ10" s="258">
        <f>+NT!BA6</f>
        <v>0</v>
      </c>
      <c r="BA10" s="258">
        <f>+NT!BB6</f>
        <v>0</v>
      </c>
      <c r="BB10" s="258">
        <f>+NT!BC6</f>
        <v>0</v>
      </c>
      <c r="BC10" s="258">
        <f>+NT!BD6</f>
        <v>0</v>
      </c>
      <c r="BD10" s="258">
        <f>+NT!BE6</f>
        <v>0</v>
      </c>
      <c r="BE10" s="295"/>
      <c r="BF10" s="275">
        <f>+NT!BF6</f>
        <v>3.4847234999999999</v>
      </c>
      <c r="BG10" s="258">
        <f>+NT!BG6</f>
        <v>5.9209670000000001</v>
      </c>
      <c r="BH10" s="258">
        <f>+NT!BH6</f>
        <v>3.4310203000000001</v>
      </c>
      <c r="BI10" s="258">
        <f>+NT!BI6</f>
        <v>0.80615729999999997</v>
      </c>
      <c r="BJ10" s="258">
        <f>+NT!BJ6</f>
        <v>6.4677214999999997</v>
      </c>
      <c r="BK10" s="258">
        <f>+NT!BK6</f>
        <v>3.7546423999999998</v>
      </c>
      <c r="BL10" s="258">
        <f>+NT!BL6</f>
        <v>5.1716785000000005</v>
      </c>
      <c r="BM10" s="258">
        <f>+NT!BM6</f>
        <v>6.4306089000000002</v>
      </c>
      <c r="BN10" s="258">
        <f>+NT!BN6</f>
        <v>5.6497071999999999</v>
      </c>
      <c r="BO10" s="258">
        <f>+NT!BO6</f>
        <v>0</v>
      </c>
      <c r="BP10" s="258">
        <f>+NT!BP6</f>
        <v>0</v>
      </c>
      <c r="BQ10" s="258">
        <f>+NT!BQ6</f>
        <v>0</v>
      </c>
      <c r="BR10" s="258">
        <f>+NT!BR6</f>
        <v>0</v>
      </c>
      <c r="BS10" s="295"/>
      <c r="BT10" s="278">
        <f>+NT!BS6</f>
        <v>0</v>
      </c>
      <c r="BU10" s="259">
        <f>+NT!BT6</f>
        <v>112.89835539999999</v>
      </c>
      <c r="BV10" s="259">
        <f>+NT!BU6</f>
        <v>156.26189970000001</v>
      </c>
      <c r="BW10" s="259">
        <f>+NT!BV6</f>
        <v>46.079558399999996</v>
      </c>
      <c r="BX10" s="259">
        <f>+NT!BW6</f>
        <v>18.767832599999998</v>
      </c>
      <c r="BY10" s="259">
        <f>+NT!BX6</f>
        <v>-0.94915799999999995</v>
      </c>
      <c r="BZ10" s="259">
        <f>+NT!BY6</f>
        <v>0</v>
      </c>
      <c r="CA10" s="259">
        <f>+NT!BZ6</f>
        <v>0</v>
      </c>
      <c r="CB10" s="259">
        <f>+NT!CA6</f>
        <v>0</v>
      </c>
      <c r="CC10" s="259">
        <f>+NT!CB6</f>
        <v>0</v>
      </c>
      <c r="CD10" s="259">
        <f>+NT!CC6</f>
        <v>0</v>
      </c>
      <c r="CE10" s="259">
        <f>+NT!CD6</f>
        <v>0</v>
      </c>
      <c r="CF10" s="259">
        <f>+NT!CE6</f>
        <v>0</v>
      </c>
      <c r="CG10" s="297"/>
      <c r="CH10" s="278">
        <f>+NT!CF6</f>
        <v>1276.8464195000001</v>
      </c>
      <c r="CI10" s="259">
        <f>+NT!CG6</f>
        <v>1283.6186181</v>
      </c>
      <c r="CJ10" s="259">
        <f>+NT!CH6</f>
        <v>1351.3371513000002</v>
      </c>
      <c r="CK10" s="259">
        <f>+NT!CI6</f>
        <v>1467.0066041</v>
      </c>
      <c r="CL10" s="259">
        <f>+NT!CJ6</f>
        <v>1506.1304272000002</v>
      </c>
      <c r="CM10" s="259">
        <f>+NT!CK6</f>
        <v>1538.7564698000001</v>
      </c>
      <c r="CN10" s="259">
        <f>+NT!CL6</f>
        <v>1592.8207565</v>
      </c>
      <c r="CO10" s="259">
        <f>+NT!CM6</f>
        <v>1682.9234596000001</v>
      </c>
      <c r="CP10" s="259">
        <f>+NT!CN6</f>
        <v>1687.9409168</v>
      </c>
      <c r="CQ10" s="259">
        <f>+NT!CO6</f>
        <v>0</v>
      </c>
      <c r="CR10" s="259">
        <f>+NT!CP6</f>
        <v>0</v>
      </c>
      <c r="CS10" s="259">
        <f>+NT!CQ6</f>
        <v>0</v>
      </c>
      <c r="CT10" s="259">
        <f>+NT!CR6</f>
        <v>0</v>
      </c>
      <c r="CU10" s="297"/>
      <c r="CV10" s="278">
        <f>+NT!CS6</f>
        <v>894.25242370000001</v>
      </c>
      <c r="CW10" s="259">
        <f>+NT!CT6</f>
        <v>905.43676400000004</v>
      </c>
      <c r="CX10" s="259">
        <f>+NT!CU6</f>
        <v>918.38098889999992</v>
      </c>
      <c r="CY10" s="259">
        <f>+NT!CV6</f>
        <v>1069.8160288000001</v>
      </c>
      <c r="CZ10" s="259">
        <f>+NT!CW6</f>
        <v>1092.1466694000001</v>
      </c>
      <c r="DA10" s="259">
        <f>+NT!CX6</f>
        <v>1128.2082351000001</v>
      </c>
      <c r="DB10" s="259">
        <f>+NT!CY6</f>
        <v>1169.3835261000002</v>
      </c>
      <c r="DC10" s="259">
        <f>+NT!CZ6</f>
        <v>1228.2317895000001</v>
      </c>
      <c r="DD10" s="259">
        <f>+NT!DA6</f>
        <v>1263.0528440999999</v>
      </c>
      <c r="DE10" s="259">
        <f>+NT!DB6</f>
        <v>0</v>
      </c>
      <c r="DF10" s="259">
        <f>+NT!DC6</f>
        <v>0</v>
      </c>
      <c r="DG10" s="259">
        <f>+NT!DD6</f>
        <v>0</v>
      </c>
      <c r="DH10" s="259">
        <f>+NT!DE6</f>
        <v>0</v>
      </c>
      <c r="DI10" s="297"/>
      <c r="DJ10" s="280">
        <f>+NT!DF6</f>
        <v>0.10739753317685516</v>
      </c>
      <c r="DK10" s="260">
        <f>+NT!DG6</f>
        <v>0.11569070657436577</v>
      </c>
      <c r="DL10" s="260">
        <f>+NT!DH6</f>
        <v>0.1029049065706686</v>
      </c>
      <c r="DM10" s="260">
        <f>+NT!DI6</f>
        <v>9.2596488877660393E-2</v>
      </c>
      <c r="DN10" s="260">
        <f>+NT!DJ6</f>
        <v>9.7488200190581728E-2</v>
      </c>
      <c r="DO10" s="260">
        <f>+NT!DK6</f>
        <v>9.9163671571650777E-2</v>
      </c>
      <c r="DP10" s="260">
        <f>+NT!DL6</f>
        <v>9.6793002898063391E-2</v>
      </c>
      <c r="DQ10" s="260">
        <f>+NT!DM6</f>
        <v>0.10374302277626887</v>
      </c>
      <c r="DR10" s="260">
        <f>+NT!DN6</f>
        <v>0.10074896716313785</v>
      </c>
      <c r="DS10" s="260">
        <f>+NT!DO6</f>
        <v>0</v>
      </c>
      <c r="DT10" s="260">
        <f>+NT!DP6</f>
        <v>0</v>
      </c>
      <c r="DU10" s="260">
        <f>+NT!DQ6</f>
        <v>0</v>
      </c>
      <c r="DV10" s="260">
        <f>+NT!DR6</f>
        <v>0</v>
      </c>
      <c r="DW10" s="299"/>
      <c r="DX10" s="282">
        <f>+NT!DS6</f>
        <v>914096.1166666674</v>
      </c>
      <c r="DY10" s="261">
        <f>+NT!DT6</f>
        <v>908325.75999999989</v>
      </c>
      <c r="DZ10" s="261">
        <f>+NT!DU6</f>
        <v>902110.55</v>
      </c>
      <c r="EA10" s="261">
        <f>+NT!DV6</f>
        <v>899044.10000000009</v>
      </c>
      <c r="EB10" s="261">
        <f>+NT!DW6</f>
        <v>863332.1</v>
      </c>
      <c r="EC10" s="261">
        <f>+NT!DX6</f>
        <v>840986</v>
      </c>
      <c r="ED10" s="261">
        <f>+NT!DY6</f>
        <v>844435</v>
      </c>
      <c r="EE10" s="261">
        <f>+NT!DZ6</f>
        <v>852061</v>
      </c>
      <c r="EF10" s="261">
        <f>+NT!EA6</f>
        <v>848772</v>
      </c>
      <c r="EG10" s="261">
        <f>+NT!EB6</f>
        <v>0</v>
      </c>
      <c r="EH10" s="261">
        <f>+NT!EC6</f>
        <v>0</v>
      </c>
      <c r="EI10" s="261">
        <f>+NT!ED6</f>
        <v>0</v>
      </c>
      <c r="EJ10" s="261">
        <f>+NT!EE6</f>
        <v>0</v>
      </c>
      <c r="EK10" s="301"/>
      <c r="EL10" s="282">
        <f>+NT!EF6</f>
        <v>44993</v>
      </c>
      <c r="EM10" s="261">
        <f>+NT!EG6</f>
        <v>43805</v>
      </c>
      <c r="EN10" s="261">
        <f>+NT!EH6</f>
        <v>43904</v>
      </c>
      <c r="EO10" s="261">
        <f>+NT!EI6</f>
        <v>45238</v>
      </c>
      <c r="EP10" s="261">
        <f>+NT!EJ6</f>
        <v>45238</v>
      </c>
      <c r="EQ10" s="261">
        <f>+NT!EK6</f>
        <v>0</v>
      </c>
      <c r="ER10" s="261">
        <f>+NT!EL6</f>
        <v>0</v>
      </c>
      <c r="ES10" s="261">
        <f>+NT!EM6</f>
        <v>0</v>
      </c>
      <c r="ET10" s="261">
        <f>+NT!EN6</f>
        <v>0</v>
      </c>
      <c r="EU10" s="261">
        <f>+NT!EO6</f>
        <v>0</v>
      </c>
      <c r="EV10" s="261">
        <f>+NT!EP6</f>
        <v>0</v>
      </c>
      <c r="EW10" s="261">
        <f>+NT!EQ6</f>
        <v>0</v>
      </c>
      <c r="EX10" s="261">
        <f>+NT!ER6</f>
        <v>0</v>
      </c>
      <c r="EY10" s="301"/>
      <c r="EZ10" s="282">
        <f>+NT!ES6</f>
        <v>24021490</v>
      </c>
      <c r="FA10" s="261">
        <f>+NT!ET6</f>
        <v>14430098</v>
      </c>
      <c r="FB10" s="261">
        <f>+NT!EU6</f>
        <v>13634360</v>
      </c>
      <c r="FC10" s="261">
        <f>+NT!EV6</f>
        <v>18523868</v>
      </c>
      <c r="FD10" s="261">
        <f>+NT!EW6</f>
        <v>20781764</v>
      </c>
      <c r="FE10" s="261">
        <f>+NT!EX6</f>
        <v>20736314</v>
      </c>
      <c r="FF10" s="261">
        <f>+NT!EY6</f>
        <v>21621168</v>
      </c>
      <c r="FG10" s="261">
        <f>+NT!EZ6</f>
        <v>0</v>
      </c>
      <c r="FH10" s="261">
        <f>+NT!FA6</f>
        <v>0</v>
      </c>
      <c r="FI10" s="261">
        <f>+NT!FB6</f>
        <v>0</v>
      </c>
      <c r="FJ10" s="261">
        <f>+NT!FC6</f>
        <v>0</v>
      </c>
      <c r="FK10" s="261">
        <f>+NT!FD6</f>
        <v>0</v>
      </c>
      <c r="FL10" s="261">
        <f>+NT!FE6</f>
        <v>0</v>
      </c>
      <c r="FM10" s="301"/>
      <c r="FN10" s="282">
        <f>+NT!FF6</f>
        <v>2978604</v>
      </c>
      <c r="FO10" s="261">
        <f>+NT!FG6</f>
        <v>2785257</v>
      </c>
      <c r="FP10" s="261">
        <f>+NT!FH6</f>
        <v>3095161.5</v>
      </c>
      <c r="FQ10" s="261">
        <f>+NT!FI6</f>
        <v>3070974</v>
      </c>
      <c r="FR10" s="261">
        <f>+NT!FJ6</f>
        <v>3113098</v>
      </c>
      <c r="FS10" s="261">
        <f>+NT!FK6</f>
        <v>2804180</v>
      </c>
      <c r="FT10" s="261">
        <f>+NT!FL6</f>
        <v>3088580</v>
      </c>
      <c r="FU10" s="261">
        <f>+NT!FM6</f>
        <v>3504902</v>
      </c>
      <c r="FV10" s="261">
        <f>+NT!FN6</f>
        <v>3537578</v>
      </c>
      <c r="FW10" s="261">
        <f>+NT!FO6</f>
        <v>0</v>
      </c>
      <c r="FX10" s="261">
        <f>+NT!FP6</f>
        <v>0</v>
      </c>
      <c r="FY10" s="261">
        <f>+NT!FQ6</f>
        <v>0</v>
      </c>
      <c r="FZ10" s="261">
        <f>+NT!FR6</f>
        <v>0</v>
      </c>
      <c r="GA10" s="301"/>
      <c r="GB10" s="284">
        <f t="shared" si="0"/>
        <v>1184.6986067874429</v>
      </c>
      <c r="GC10" s="270">
        <f t="shared" si="0"/>
        <v>1185.9662072045651</v>
      </c>
      <c r="GD10" s="270">
        <f t="shared" si="0"/>
        <v>1277.831200059238</v>
      </c>
      <c r="GE10" s="270">
        <f t="shared" si="0"/>
        <v>1408.8594775862002</v>
      </c>
      <c r="GF10" s="270">
        <f t="shared" si="0"/>
        <v>1488.9690526905958</v>
      </c>
      <c r="GG10" s="270">
        <f t="shared" si="0"/>
        <v>1643.8003560106827</v>
      </c>
      <c r="GH10" s="270">
        <f t="shared" si="0"/>
        <v>1697.5553759614418</v>
      </c>
      <c r="GI10" s="270">
        <f t="shared" si="0"/>
        <v>1762.6687336939492</v>
      </c>
      <c r="GJ10" s="270">
        <f t="shared" si="0"/>
        <v>1781.6715273359632</v>
      </c>
      <c r="GK10" s="270" t="str">
        <f t="shared" si="0"/>
        <v/>
      </c>
      <c r="GL10" s="270" t="str">
        <f t="shared" si="0"/>
        <v/>
      </c>
      <c r="GM10" s="270" t="str">
        <f t="shared" si="0"/>
        <v/>
      </c>
      <c r="GN10" s="270" t="str">
        <f t="shared" si="0"/>
        <v/>
      </c>
      <c r="GO10" s="303"/>
      <c r="GP10" s="284">
        <f t="shared" si="1"/>
        <v>100</v>
      </c>
      <c r="GQ10" s="270">
        <f t="shared" si="1"/>
        <v>99.274482783117023</v>
      </c>
      <c r="GR10" s="270">
        <f t="shared" si="1"/>
        <v>98.636772491788022</v>
      </c>
      <c r="GS10" s="270">
        <f t="shared" si="1"/>
        <v>98.456137557046901</v>
      </c>
      <c r="GT10" s="270">
        <f t="shared" si="1"/>
        <v>94.732604531865888</v>
      </c>
      <c r="GU10" s="270">
        <f t="shared" si="1"/>
        <v>87.6859079501249</v>
      </c>
      <c r="GV10" s="270">
        <f t="shared" si="1"/>
        <v>88.045519996603645</v>
      </c>
      <c r="GW10" s="270">
        <f t="shared" si="1"/>
        <v>88.840649444689177</v>
      </c>
      <c r="GX10" s="270">
        <f t="shared" si="1"/>
        <v>88.497719893842955</v>
      </c>
      <c r="GY10" s="270">
        <f t="shared" si="1"/>
        <v>0</v>
      </c>
      <c r="GZ10" s="270">
        <f t="shared" si="1"/>
        <v>0</v>
      </c>
      <c r="HA10" s="270">
        <f t="shared" si="1"/>
        <v>0</v>
      </c>
      <c r="HB10" s="270">
        <f t="shared" si="1"/>
        <v>0</v>
      </c>
      <c r="HC10" s="303"/>
      <c r="HD10" s="284">
        <f t="shared" ref="HD10:HP10" si="10">IFERROR((P10/(DX10+EL10))/($P$10/($DX$10+$EL$10))*100,"")</f>
        <v>100</v>
      </c>
      <c r="HE10" s="270">
        <f t="shared" si="10"/>
        <v>100.10699771316179</v>
      </c>
      <c r="HF10" s="270">
        <f t="shared" si="10"/>
        <v>107.86129001403515</v>
      </c>
      <c r="HG10" s="270">
        <f t="shared" si="10"/>
        <v>118.92134164035323</v>
      </c>
      <c r="HH10" s="270">
        <f t="shared" si="10"/>
        <v>125.68336319127154</v>
      </c>
      <c r="HI10" s="270">
        <f t="shared" si="10"/>
        <v>138.75261999912277</v>
      </c>
      <c r="HJ10" s="270">
        <f t="shared" si="10"/>
        <v>143.29006265692473</v>
      </c>
      <c r="HK10" s="270">
        <f t="shared" si="10"/>
        <v>148.78625868175811</v>
      </c>
      <c r="HL10" s="270">
        <f t="shared" si="10"/>
        <v>150.3902779262429</v>
      </c>
      <c r="HM10" s="270" t="str">
        <f t="shared" si="10"/>
        <v/>
      </c>
      <c r="HN10" s="270" t="str">
        <f t="shared" si="10"/>
        <v/>
      </c>
      <c r="HO10" s="270" t="str">
        <f t="shared" si="10"/>
        <v/>
      </c>
      <c r="HP10" s="270" t="str">
        <f t="shared" si="10"/>
        <v/>
      </c>
      <c r="HQ10" s="303"/>
      <c r="HR10" s="284">
        <f t="shared" ref="HR10:ID10" si="11">IFERROR(EZ10/$EZ$10*100,"")</f>
        <v>100</v>
      </c>
      <c r="HS10" s="270">
        <f t="shared" si="11"/>
        <v>60.071619204304149</v>
      </c>
      <c r="HT10" s="270">
        <f t="shared" si="11"/>
        <v>56.75901036946501</v>
      </c>
      <c r="HU10" s="270">
        <f t="shared" si="11"/>
        <v>77.113734410313427</v>
      </c>
      <c r="HV10" s="270">
        <f t="shared" si="11"/>
        <v>86.513217956088482</v>
      </c>
      <c r="HW10" s="270">
        <f t="shared" si="11"/>
        <v>86.324012373920183</v>
      </c>
      <c r="HX10" s="270">
        <f t="shared" si="11"/>
        <v>90.007605689738639</v>
      </c>
      <c r="HY10" s="270">
        <f t="shared" si="11"/>
        <v>0</v>
      </c>
      <c r="HZ10" s="270">
        <f t="shared" si="11"/>
        <v>0</v>
      </c>
      <c r="IA10" s="270">
        <f t="shared" si="11"/>
        <v>0</v>
      </c>
      <c r="IB10" s="270">
        <f t="shared" si="11"/>
        <v>0</v>
      </c>
      <c r="IC10" s="270">
        <f t="shared" si="11"/>
        <v>0</v>
      </c>
      <c r="ID10" s="288">
        <f t="shared" si="11"/>
        <v>0</v>
      </c>
    </row>
    <row r="11" spans="1:238" x14ac:dyDescent="0.2">
      <c r="A11" s="305" t="s">
        <v>17</v>
      </c>
      <c r="B11" s="258">
        <f>+Sydtrafik!F6</f>
        <v>264.49999999999994</v>
      </c>
      <c r="C11" s="258">
        <f>+Sydtrafik!G6</f>
        <v>200.70000000000002</v>
      </c>
      <c r="D11" s="258">
        <f>+Sydtrafik!H6</f>
        <v>177.30000000000004</v>
      </c>
      <c r="E11" s="258">
        <f>+Sydtrafik!I6</f>
        <v>246.3</v>
      </c>
      <c r="F11" s="258">
        <f>+Sydtrafik!J6</f>
        <v>259.60000000000002</v>
      </c>
      <c r="G11" s="258">
        <f>+Sydtrafik!K6</f>
        <v>272.59999999999997</v>
      </c>
      <c r="H11" s="258">
        <f>+Sydtrafik!L6</f>
        <v>262.60000000000002</v>
      </c>
      <c r="I11" s="258">
        <f>+Sydtrafik!M6</f>
        <v>260.10000000000002</v>
      </c>
      <c r="J11" s="258">
        <f>+Sydtrafik!N6</f>
        <v>259.2</v>
      </c>
      <c r="K11" s="258">
        <f>+Sydtrafik!O6</f>
        <v>0</v>
      </c>
      <c r="L11" s="258">
        <f>+Sydtrafik!P6</f>
        <v>0</v>
      </c>
      <c r="M11" s="258">
        <f>+Sydtrafik!Q6</f>
        <v>0</v>
      </c>
      <c r="N11" s="258">
        <f>+Sydtrafik!R6</f>
        <v>0</v>
      </c>
      <c r="O11" s="295"/>
      <c r="P11" s="275">
        <f>+Sydtrafik!S6</f>
        <v>892.5</v>
      </c>
      <c r="Q11" s="258">
        <f>+Sydtrafik!T6</f>
        <v>863</v>
      </c>
      <c r="R11" s="258">
        <f>+Sydtrafik!U6</f>
        <v>860.4</v>
      </c>
      <c r="S11" s="258">
        <f>+Sydtrafik!V6</f>
        <v>933.5</v>
      </c>
      <c r="T11" s="258">
        <f>+Sydtrafik!W6</f>
        <v>971.8</v>
      </c>
      <c r="U11" s="258">
        <f>+Sydtrafik!X6</f>
        <v>990.69999999999982</v>
      </c>
      <c r="V11" s="258">
        <f>+Sydtrafik!Y6</f>
        <v>967.8</v>
      </c>
      <c r="W11" s="258">
        <f>+Sydtrafik!Z6</f>
        <v>997.5</v>
      </c>
      <c r="X11" s="258">
        <f>+Sydtrafik!AA6</f>
        <v>1007.5999999999999</v>
      </c>
      <c r="Y11" s="258">
        <f>+Sydtrafik!AB6</f>
        <v>0</v>
      </c>
      <c r="Z11" s="258">
        <f>+Sydtrafik!AC6</f>
        <v>0</v>
      </c>
      <c r="AA11" s="258">
        <f>+Sydtrafik!AD6</f>
        <v>0</v>
      </c>
      <c r="AB11" s="258">
        <f>+Sydtrafik!AE6</f>
        <v>0</v>
      </c>
      <c r="AC11" s="295"/>
      <c r="AD11" s="275">
        <f>+Sydtrafik!AF6</f>
        <v>114.59999999999998</v>
      </c>
      <c r="AE11" s="258">
        <f>+Sydtrafik!AG6</f>
        <v>113.10000000000002</v>
      </c>
      <c r="AF11" s="258">
        <f>+Sydtrafik!AH6</f>
        <v>117</v>
      </c>
      <c r="AG11" s="258">
        <f>+Sydtrafik!AI6</f>
        <v>120.6</v>
      </c>
      <c r="AH11" s="258">
        <f>+Sydtrafik!AJ6</f>
        <v>116.3</v>
      </c>
      <c r="AI11" s="258">
        <f>+Sydtrafik!AK6</f>
        <v>115.6</v>
      </c>
      <c r="AJ11" s="258">
        <f>+Sydtrafik!AL6</f>
        <v>120</v>
      </c>
      <c r="AK11" s="258">
        <f>+Sydtrafik!AM6</f>
        <v>136.19999999999999</v>
      </c>
      <c r="AL11" s="258">
        <f>+Sydtrafik!AN6</f>
        <v>137.19999999999999</v>
      </c>
      <c r="AM11" s="258">
        <f>+Sydtrafik!AO6</f>
        <v>0</v>
      </c>
      <c r="AN11" s="258">
        <f>+Sydtrafik!AP6</f>
        <v>0</v>
      </c>
      <c r="AO11" s="258">
        <f>+Sydtrafik!AQ6</f>
        <v>0</v>
      </c>
      <c r="AP11" s="258">
        <f>+Sydtrafik!AR6</f>
        <v>0</v>
      </c>
      <c r="AQ11" s="295"/>
      <c r="AR11" s="275">
        <f>+Sydtrafik!AS6</f>
        <v>0</v>
      </c>
      <c r="AS11" s="258">
        <f>+Sydtrafik!AT6</f>
        <v>0</v>
      </c>
      <c r="AT11" s="258">
        <f>+Sydtrafik!AU6</f>
        <v>0</v>
      </c>
      <c r="AU11" s="258">
        <f>+Sydtrafik!AV6</f>
        <v>0</v>
      </c>
      <c r="AV11" s="258">
        <f>+Sydtrafik!AW6</f>
        <v>0</v>
      </c>
      <c r="AW11" s="258">
        <f>+Sydtrafik!AX6</f>
        <v>0</v>
      </c>
      <c r="AX11" s="258">
        <f>+Sydtrafik!AY6</f>
        <v>0</v>
      </c>
      <c r="AY11" s="258">
        <f>+Sydtrafik!AZ6</f>
        <v>0</v>
      </c>
      <c r="AZ11" s="258">
        <f>+Sydtrafik!BA6</f>
        <v>0</v>
      </c>
      <c r="BA11" s="258">
        <f>+Sydtrafik!BB6</f>
        <v>0</v>
      </c>
      <c r="BB11" s="258">
        <f>+Sydtrafik!BC6</f>
        <v>0</v>
      </c>
      <c r="BC11" s="258">
        <f>+Sydtrafik!BD6</f>
        <v>0</v>
      </c>
      <c r="BD11" s="258">
        <f>+Sydtrafik!BE6</f>
        <v>0</v>
      </c>
      <c r="BE11" s="295"/>
      <c r="BF11" s="275">
        <f>+Sydtrafik!BF6</f>
        <v>0.3</v>
      </c>
      <c r="BG11" s="258">
        <f>+Sydtrafik!BG6</f>
        <v>0.7</v>
      </c>
      <c r="BH11" s="258">
        <f>+Sydtrafik!BH6</f>
        <v>0.2</v>
      </c>
      <c r="BI11" s="258">
        <f>+Sydtrafik!BI6</f>
        <v>0.8</v>
      </c>
      <c r="BJ11" s="258">
        <f>+Sydtrafik!BJ6</f>
        <v>-1.3</v>
      </c>
      <c r="BK11" s="258">
        <f>+Sydtrafik!BK6</f>
        <v>-2.1</v>
      </c>
      <c r="BL11" s="258">
        <f>+Sydtrafik!BL6</f>
        <v>1.1000000000000001</v>
      </c>
      <c r="BM11" s="258">
        <f>+Sydtrafik!BM6</f>
        <v>-1.22</v>
      </c>
      <c r="BN11" s="258">
        <f>+Sydtrafik!BN6</f>
        <v>-1.4</v>
      </c>
      <c r="BO11" s="258">
        <f>+Sydtrafik!BO6</f>
        <v>0</v>
      </c>
      <c r="BP11" s="258">
        <f>+Sydtrafik!BP6</f>
        <v>0</v>
      </c>
      <c r="BQ11" s="258">
        <f>+Sydtrafik!BQ6</f>
        <v>0</v>
      </c>
      <c r="BR11" s="258">
        <f>+Sydtrafik!BR6</f>
        <v>0</v>
      </c>
      <c r="BS11" s="295"/>
      <c r="BT11" s="278">
        <f>+Sydtrafik!BS6</f>
        <v>0</v>
      </c>
      <c r="BU11" s="259">
        <f>+Sydtrafik!BT6</f>
        <v>46.000000000000007</v>
      </c>
      <c r="BV11" s="259">
        <f>+Sydtrafik!BU6</f>
        <v>97.3</v>
      </c>
      <c r="BW11" s="259">
        <f>+Sydtrafik!BV6</f>
        <v>26.3</v>
      </c>
      <c r="BX11" s="259">
        <f>+Sydtrafik!BW6</f>
        <v>18.399999999999999</v>
      </c>
      <c r="BY11" s="259">
        <f>+Sydtrafik!BX6</f>
        <v>0</v>
      </c>
      <c r="BZ11" s="259">
        <f>+Sydtrafik!BY6</f>
        <v>0</v>
      </c>
      <c r="CA11" s="259">
        <f>+Sydtrafik!BZ6</f>
        <v>0</v>
      </c>
      <c r="CB11" s="259">
        <f>+Sydtrafik!CA6</f>
        <v>0</v>
      </c>
      <c r="CC11" s="259">
        <f>+Sydtrafik!CB6</f>
        <v>0</v>
      </c>
      <c r="CD11" s="259">
        <f>+Sydtrafik!CC6</f>
        <v>0</v>
      </c>
      <c r="CE11" s="259">
        <f>+Sydtrafik!CD6</f>
        <v>0</v>
      </c>
      <c r="CF11" s="259">
        <f>+Sydtrafik!CE6</f>
        <v>0</v>
      </c>
      <c r="CG11" s="297"/>
      <c r="CH11" s="278">
        <f>+Sydtrafik!CF6</f>
        <v>1007.4</v>
      </c>
      <c r="CI11" s="259">
        <f>+Sydtrafik!CG6</f>
        <v>976.80000000000007</v>
      </c>
      <c r="CJ11" s="259">
        <f>+Sydtrafik!CH6</f>
        <v>977.6</v>
      </c>
      <c r="CK11" s="259">
        <f>+Sydtrafik!CI6</f>
        <v>1054.9000000000001</v>
      </c>
      <c r="CL11" s="259">
        <f>+Sydtrafik!CJ6</f>
        <v>1086.8</v>
      </c>
      <c r="CM11" s="259">
        <f>+Sydtrafik!CK6</f>
        <v>1104.1999999999998</v>
      </c>
      <c r="CN11" s="259">
        <f>+Sydtrafik!CL6</f>
        <v>1088.8999999999999</v>
      </c>
      <c r="CO11" s="259">
        <f>+Sydtrafik!CM6</f>
        <v>1132.48</v>
      </c>
      <c r="CP11" s="259">
        <f>+Sydtrafik!CN6</f>
        <v>1143.3999999999999</v>
      </c>
      <c r="CQ11" s="259">
        <f>+Sydtrafik!CO6</f>
        <v>0</v>
      </c>
      <c r="CR11" s="259">
        <f>+Sydtrafik!CP6</f>
        <v>0</v>
      </c>
      <c r="CS11" s="259">
        <f>+Sydtrafik!CQ6</f>
        <v>0</v>
      </c>
      <c r="CT11" s="259">
        <f>+Sydtrafik!CR6</f>
        <v>0</v>
      </c>
      <c r="CU11" s="297"/>
      <c r="CV11" s="278">
        <f>+Sydtrafik!CS6</f>
        <v>742.90000000000009</v>
      </c>
      <c r="CW11" s="259">
        <f>+Sydtrafik!CT6</f>
        <v>730.1</v>
      </c>
      <c r="CX11" s="259">
        <f>+Sydtrafik!CU6</f>
        <v>703</v>
      </c>
      <c r="CY11" s="259">
        <f>+Sydtrafik!CV6</f>
        <v>782.30000000000018</v>
      </c>
      <c r="CZ11" s="259">
        <f>+Sydtrafik!CW6</f>
        <v>808.79999999999984</v>
      </c>
      <c r="DA11" s="259">
        <f>+Sydtrafik!CX6</f>
        <v>831.59999999999991</v>
      </c>
      <c r="DB11" s="259">
        <f>+Sydtrafik!CY6</f>
        <v>826.29999999999984</v>
      </c>
      <c r="DC11" s="259">
        <f>+Sydtrafik!CZ6</f>
        <v>872.38</v>
      </c>
      <c r="DD11" s="259">
        <f>+Sydtrafik!DA6</f>
        <v>884.19999999999982</v>
      </c>
      <c r="DE11" s="259">
        <f>+Sydtrafik!DB6</f>
        <v>0</v>
      </c>
      <c r="DF11" s="259">
        <f>+Sydtrafik!DC6</f>
        <v>0</v>
      </c>
      <c r="DG11" s="259">
        <f>+Sydtrafik!DD6</f>
        <v>0</v>
      </c>
      <c r="DH11" s="259">
        <f>+Sydtrafik!DE6</f>
        <v>0</v>
      </c>
      <c r="DI11" s="297"/>
      <c r="DJ11" s="280">
        <f>+Sydtrafik!DF6</f>
        <v>0.11375818939845145</v>
      </c>
      <c r="DK11" s="260">
        <f>+Sydtrafik!DG6</f>
        <v>0.11578624078624081</v>
      </c>
      <c r="DL11" s="260">
        <f>+Sydtrafik!DH6</f>
        <v>0.11968085106382978</v>
      </c>
      <c r="DM11" s="260">
        <f>+Sydtrafik!DI6</f>
        <v>0.11432363257180773</v>
      </c>
      <c r="DN11" s="260">
        <f>+Sydtrafik!DJ6</f>
        <v>0.10701140964298859</v>
      </c>
      <c r="DO11" s="260">
        <f>+Sydtrafik!DK6</f>
        <v>0.10469117913421483</v>
      </c>
      <c r="DP11" s="260">
        <f>+Sydtrafik!DL6</f>
        <v>0.11020295711268253</v>
      </c>
      <c r="DQ11" s="260">
        <f>+Sydtrafik!DM6</f>
        <v>0.12026702458321559</v>
      </c>
      <c r="DR11" s="260">
        <f>+Sydtrafik!DN6</f>
        <v>0.11999300332342137</v>
      </c>
      <c r="DS11" s="260">
        <f>+Sydtrafik!DO6</f>
        <v>0</v>
      </c>
      <c r="DT11" s="260">
        <f>+Sydtrafik!DP6</f>
        <v>0</v>
      </c>
      <c r="DU11" s="260">
        <f>+Sydtrafik!DQ6</f>
        <v>0</v>
      </c>
      <c r="DV11" s="260">
        <f>+Sydtrafik!DR6</f>
        <v>0</v>
      </c>
      <c r="DW11" s="299"/>
      <c r="DX11" s="282">
        <f>+Sydtrafik!DS6</f>
        <v>841838</v>
      </c>
      <c r="DY11" s="261">
        <f>+Sydtrafik!DT6</f>
        <v>833700</v>
      </c>
      <c r="DZ11" s="261">
        <f>+Sydtrafik!DU6</f>
        <v>804414</v>
      </c>
      <c r="EA11" s="261">
        <f>+Sydtrafik!DV6</f>
        <v>796022</v>
      </c>
      <c r="EB11" s="261">
        <f>+Sydtrafik!DW6</f>
        <v>785940</v>
      </c>
      <c r="EC11" s="261">
        <f>+Sydtrafik!DX6</f>
        <v>773528</v>
      </c>
      <c r="ED11" s="261">
        <f>+Sydtrafik!DY6</f>
        <v>771832</v>
      </c>
      <c r="EE11" s="261">
        <f>+Sydtrafik!DZ6</f>
        <v>778171</v>
      </c>
      <c r="EF11" s="261">
        <f>+Sydtrafik!EA6</f>
        <v>783220</v>
      </c>
      <c r="EG11" s="261">
        <f>+Sydtrafik!EB6</f>
        <v>0</v>
      </c>
      <c r="EH11" s="261">
        <f>+Sydtrafik!EC6</f>
        <v>0</v>
      </c>
      <c r="EI11" s="261">
        <f>+Sydtrafik!ED6</f>
        <v>0</v>
      </c>
      <c r="EJ11" s="261">
        <f>+Sydtrafik!EE6</f>
        <v>0</v>
      </c>
      <c r="EK11" s="301"/>
      <c r="EL11" s="282">
        <f>+Sydtrafik!EF6</f>
        <v>5851</v>
      </c>
      <c r="EM11" s="261">
        <f>+Sydtrafik!EG6</f>
        <v>5752</v>
      </c>
      <c r="EN11" s="261">
        <f>+Sydtrafik!EH6</f>
        <v>5743</v>
      </c>
      <c r="EO11" s="261">
        <f>+Sydtrafik!EI6</f>
        <v>5848</v>
      </c>
      <c r="EP11" s="261">
        <f>+Sydtrafik!EJ6</f>
        <v>5774</v>
      </c>
      <c r="EQ11" s="261">
        <f>+Sydtrafik!EK6</f>
        <v>5747</v>
      </c>
      <c r="ER11" s="261">
        <f>+Sydtrafik!EL6</f>
        <v>5615</v>
      </c>
      <c r="ES11" s="261">
        <f>+Sydtrafik!EM6</f>
        <v>0</v>
      </c>
      <c r="ET11" s="261">
        <f>+Sydtrafik!EN6</f>
        <v>0</v>
      </c>
      <c r="EU11" s="261">
        <f>+Sydtrafik!EO6</f>
        <v>0</v>
      </c>
      <c r="EV11" s="261">
        <f>+Sydtrafik!EP6</f>
        <v>0</v>
      </c>
      <c r="EW11" s="261">
        <f>+Sydtrafik!EQ6</f>
        <v>0</v>
      </c>
      <c r="EX11" s="261">
        <f>+Sydtrafik!ER6</f>
        <v>0</v>
      </c>
      <c r="EY11" s="301"/>
      <c r="EZ11" s="282">
        <f>+Sydtrafik!ES6</f>
        <v>14338372</v>
      </c>
      <c r="FA11" s="261">
        <f>+Sydtrafik!ET6</f>
        <v>9420348</v>
      </c>
      <c r="FB11" s="261">
        <f>+Sydtrafik!EU6</f>
        <v>8490102</v>
      </c>
      <c r="FC11" s="261">
        <f>+Sydtrafik!EV6</f>
        <v>11534884</v>
      </c>
      <c r="FD11" s="261">
        <f>+Sydtrafik!EW6</f>
        <v>11772238</v>
      </c>
      <c r="FE11" s="261">
        <f>+Sydtrafik!EX6</f>
        <v>11891197</v>
      </c>
      <c r="FF11" s="261">
        <f>+Sydtrafik!EY6</f>
        <v>12221230</v>
      </c>
      <c r="FG11" s="261">
        <f>+Sydtrafik!EZ6</f>
        <v>0</v>
      </c>
      <c r="FH11" s="261">
        <f>+Sydtrafik!FA6</f>
        <v>0</v>
      </c>
      <c r="FI11" s="261">
        <f>+Sydtrafik!FB6</f>
        <v>0</v>
      </c>
      <c r="FJ11" s="261">
        <f>+Sydtrafik!FC6</f>
        <v>0</v>
      </c>
      <c r="FK11" s="261">
        <f>+Sydtrafik!FD6</f>
        <v>0</v>
      </c>
      <c r="FL11" s="261">
        <f>+Sydtrafik!FE6</f>
        <v>0</v>
      </c>
      <c r="FM11" s="301"/>
      <c r="FN11" s="282">
        <f>+Sydtrafik!FF6</f>
        <v>310000</v>
      </c>
      <c r="FO11" s="261">
        <f>+Sydtrafik!FG6</f>
        <v>305000</v>
      </c>
      <c r="FP11" s="261">
        <f>+Sydtrafik!FH6</f>
        <v>304000</v>
      </c>
      <c r="FQ11" s="261">
        <f>+Sydtrafik!FI6</f>
        <v>310000</v>
      </c>
      <c r="FR11" s="261">
        <f>+Sydtrafik!FJ6</f>
        <v>306000</v>
      </c>
      <c r="FS11" s="261">
        <f>+Sydtrafik!FK6</f>
        <v>316000</v>
      </c>
      <c r="FT11" s="261">
        <f>+Sydtrafik!FL6</f>
        <v>297581</v>
      </c>
      <c r="FU11" s="261">
        <f>+Sydtrafik!FM6</f>
        <v>297581</v>
      </c>
      <c r="FV11" s="261">
        <f>+Sydtrafik!FN6</f>
        <v>0</v>
      </c>
      <c r="FW11" s="261">
        <f>+Sydtrafik!FO6</f>
        <v>0</v>
      </c>
      <c r="FX11" s="261">
        <f>+Sydtrafik!FP6</f>
        <v>0</v>
      </c>
      <c r="FY11" s="261">
        <f>+Sydtrafik!FQ6</f>
        <v>0</v>
      </c>
      <c r="FZ11" s="261">
        <f>+Sydtrafik!FR6</f>
        <v>0</v>
      </c>
      <c r="GA11" s="301"/>
      <c r="GB11" s="284">
        <f t="shared" si="0"/>
        <v>1052.8625474672904</v>
      </c>
      <c r="GC11" s="270">
        <f t="shared" si="0"/>
        <v>1028.0516336848325</v>
      </c>
      <c r="GD11" s="270">
        <f t="shared" si="0"/>
        <v>1062.0163746039348</v>
      </c>
      <c r="GE11" s="270">
        <f t="shared" si="0"/>
        <v>1164.153790514672</v>
      </c>
      <c r="GF11" s="270">
        <f t="shared" si="0"/>
        <v>1227.463452711459</v>
      </c>
      <c r="GG11" s="270">
        <f t="shared" si="0"/>
        <v>1271.3098713547845</v>
      </c>
      <c r="GH11" s="270">
        <f t="shared" si="0"/>
        <v>1244.8436999563958</v>
      </c>
      <c r="GI11" s="270">
        <f t="shared" si="0"/>
        <v>1281.8519322873765</v>
      </c>
      <c r="GJ11" s="270">
        <f t="shared" si="0"/>
        <v>1286.4840019407061</v>
      </c>
      <c r="GK11" s="270" t="str">
        <f t="shared" si="0"/>
        <v/>
      </c>
      <c r="GL11" s="270" t="str">
        <f t="shared" si="0"/>
        <v/>
      </c>
      <c r="GM11" s="270" t="str">
        <f t="shared" si="0"/>
        <v/>
      </c>
      <c r="GN11" s="270" t="str">
        <f t="shared" si="0"/>
        <v/>
      </c>
      <c r="GO11" s="303"/>
      <c r="GP11" s="284">
        <f t="shared" si="1"/>
        <v>100</v>
      </c>
      <c r="GQ11" s="270">
        <f t="shared" si="1"/>
        <v>99.028299293726832</v>
      </c>
      <c r="GR11" s="270">
        <f t="shared" si="1"/>
        <v>95.572432814393011</v>
      </c>
      <c r="GS11" s="270">
        <f t="shared" si="1"/>
        <v>94.594833718498165</v>
      </c>
      <c r="GT11" s="270">
        <f t="shared" si="1"/>
        <v>93.39675281854548</v>
      </c>
      <c r="GU11" s="270">
        <f t="shared" si="1"/>
        <v>91.929351448467543</v>
      </c>
      <c r="GV11" s="270">
        <f t="shared" si="1"/>
        <v>91.713706323899444</v>
      </c>
      <c r="GW11" s="270">
        <f t="shared" si="1"/>
        <v>91.799115005621161</v>
      </c>
      <c r="GX11" s="270">
        <f t="shared" si="1"/>
        <v>92.394734389616957</v>
      </c>
      <c r="GY11" s="270">
        <f t="shared" si="1"/>
        <v>0</v>
      </c>
      <c r="GZ11" s="270">
        <f t="shared" si="1"/>
        <v>0</v>
      </c>
      <c r="HA11" s="270">
        <f t="shared" si="1"/>
        <v>0</v>
      </c>
      <c r="HB11" s="270">
        <f t="shared" si="1"/>
        <v>0</v>
      </c>
      <c r="HC11" s="303"/>
      <c r="HD11" s="284">
        <f t="shared" ref="HD11:HP11" si="12">IFERROR((P11/(DX11+EL11))/($P$11/($DX$11+$EL$11))*100,"")</f>
        <v>100</v>
      </c>
      <c r="HE11" s="270">
        <f t="shared" si="12"/>
        <v>97.643480258449529</v>
      </c>
      <c r="HF11" s="270">
        <f t="shared" si="12"/>
        <v>100.86942280914674</v>
      </c>
      <c r="HG11" s="270">
        <f t="shared" si="12"/>
        <v>110.57034874258731</v>
      </c>
      <c r="HH11" s="270">
        <f t="shared" si="12"/>
        <v>116.58344725664132</v>
      </c>
      <c r="HI11" s="270">
        <f t="shared" si="12"/>
        <v>120.74794325365446</v>
      </c>
      <c r="HJ11" s="270">
        <f t="shared" si="12"/>
        <v>118.23420853471562</v>
      </c>
      <c r="HK11" s="270">
        <f t="shared" si="12"/>
        <v>121.74921934215728</v>
      </c>
      <c r="HL11" s="270">
        <f t="shared" si="12"/>
        <v>122.18916942533502</v>
      </c>
      <c r="HM11" s="270" t="str">
        <f t="shared" si="12"/>
        <v/>
      </c>
      <c r="HN11" s="270" t="str">
        <f t="shared" si="12"/>
        <v/>
      </c>
      <c r="HO11" s="270" t="str">
        <f t="shared" si="12"/>
        <v/>
      </c>
      <c r="HP11" s="270" t="str">
        <f t="shared" si="12"/>
        <v/>
      </c>
      <c r="HQ11" s="303"/>
      <c r="HR11" s="284">
        <f t="shared" ref="HR11:ID11" si="13">IFERROR(EZ11/$EZ$11*100,"")</f>
        <v>100</v>
      </c>
      <c r="HS11" s="270">
        <f t="shared" si="13"/>
        <v>65.700262205500039</v>
      </c>
      <c r="HT11" s="270">
        <f t="shared" si="13"/>
        <v>59.212454524125889</v>
      </c>
      <c r="HU11" s="270">
        <f t="shared" si="13"/>
        <v>80.447654726770935</v>
      </c>
      <c r="HV11" s="270">
        <f t="shared" si="13"/>
        <v>82.103030943819846</v>
      </c>
      <c r="HW11" s="270">
        <f t="shared" si="13"/>
        <v>82.932685802823357</v>
      </c>
      <c r="HX11" s="270">
        <f t="shared" si="13"/>
        <v>85.234432472528965</v>
      </c>
      <c r="HY11" s="270">
        <f t="shared" si="13"/>
        <v>0</v>
      </c>
      <c r="HZ11" s="270">
        <f t="shared" si="13"/>
        <v>0</v>
      </c>
      <c r="IA11" s="270">
        <f t="shared" si="13"/>
        <v>0</v>
      </c>
      <c r="IB11" s="270">
        <f t="shared" si="13"/>
        <v>0</v>
      </c>
      <c r="IC11" s="270">
        <f t="shared" si="13"/>
        <v>0</v>
      </c>
      <c r="ID11" s="288">
        <f t="shared" si="13"/>
        <v>0</v>
      </c>
    </row>
    <row r="12" spans="1:238" ht="15.75" thickBot="1" x14ac:dyDescent="0.3">
      <c r="A12" s="306" t="s">
        <v>44</v>
      </c>
      <c r="B12" s="265">
        <f t="shared" ref="B12:N12" si="14">SUM(B6:B11)</f>
        <v>3594.7915957999999</v>
      </c>
      <c r="C12" s="265">
        <f t="shared" si="14"/>
        <v>2483.1272386999999</v>
      </c>
      <c r="D12" s="265">
        <f t="shared" si="14"/>
        <v>2622.2580527</v>
      </c>
      <c r="E12" s="265">
        <f t="shared" si="14"/>
        <v>3254.0528768999998</v>
      </c>
      <c r="F12" s="265">
        <f t="shared" si="14"/>
        <v>3629.7047152</v>
      </c>
      <c r="G12" s="265">
        <f t="shared" si="14"/>
        <v>3930.3245726999999</v>
      </c>
      <c r="H12" s="265">
        <f t="shared" si="14"/>
        <v>3884.4546065</v>
      </c>
      <c r="I12" s="265">
        <f t="shared" si="14"/>
        <v>3890.5338962833484</v>
      </c>
      <c r="J12" s="265">
        <f t="shared" si="14"/>
        <v>3822.5130526999997</v>
      </c>
      <c r="K12" s="265">
        <f t="shared" si="14"/>
        <v>0</v>
      </c>
      <c r="L12" s="265">
        <f t="shared" si="14"/>
        <v>2130.6514200000001</v>
      </c>
      <c r="M12" s="265">
        <f t="shared" si="14"/>
        <v>0</v>
      </c>
      <c r="N12" s="265">
        <f t="shared" si="14"/>
        <v>0</v>
      </c>
      <c r="O12" s="296"/>
      <c r="P12" s="276">
        <f t="shared" ref="P12:AB12" si="15">SUM(P6:P11)</f>
        <v>8787.4086502999999</v>
      </c>
      <c r="Q12" s="265">
        <f t="shared" si="15"/>
        <v>8634.2357262000005</v>
      </c>
      <c r="R12" s="265">
        <f t="shared" si="15"/>
        <v>9041.8362777000002</v>
      </c>
      <c r="S12" s="265">
        <f t="shared" si="15"/>
        <v>9938.793136100001</v>
      </c>
      <c r="T12" s="265">
        <f t="shared" si="15"/>
        <v>10075.7996711</v>
      </c>
      <c r="U12" s="265">
        <f t="shared" si="15"/>
        <v>10109.395376199998</v>
      </c>
      <c r="V12" s="265">
        <f t="shared" si="15"/>
        <v>10189.7866409</v>
      </c>
      <c r="W12" s="265">
        <f t="shared" si="15"/>
        <v>10368.048421336494</v>
      </c>
      <c r="X12" s="265">
        <f t="shared" si="15"/>
        <v>10557.441835600001</v>
      </c>
      <c r="Y12" s="265">
        <f t="shared" si="15"/>
        <v>0</v>
      </c>
      <c r="Z12" s="265">
        <f t="shared" si="15"/>
        <v>4989.7258300000003</v>
      </c>
      <c r="AA12" s="265">
        <f t="shared" si="15"/>
        <v>0</v>
      </c>
      <c r="AB12" s="265">
        <f t="shared" si="15"/>
        <v>0</v>
      </c>
      <c r="AC12" s="296"/>
      <c r="AD12" s="276">
        <f t="shared" ref="AD12:AP12" si="16">SUM(AD6:AD11)</f>
        <v>1182.4607457</v>
      </c>
      <c r="AE12" s="265">
        <f t="shared" si="16"/>
        <v>1175.3690948999997</v>
      </c>
      <c r="AF12" s="265">
        <f t="shared" si="16"/>
        <v>1254.5253533</v>
      </c>
      <c r="AG12" s="265">
        <f t="shared" si="16"/>
        <v>1217.1843907</v>
      </c>
      <c r="AH12" s="265">
        <f t="shared" si="16"/>
        <v>1266.6110046000001</v>
      </c>
      <c r="AI12" s="265">
        <f t="shared" si="16"/>
        <v>1326.0695411999998</v>
      </c>
      <c r="AJ12" s="265">
        <f t="shared" si="16"/>
        <v>1362.0490841000001</v>
      </c>
      <c r="AK12" s="265">
        <f t="shared" si="16"/>
        <v>1469.0503820780377</v>
      </c>
      <c r="AL12" s="265">
        <f t="shared" si="16"/>
        <v>1466.2121339999999</v>
      </c>
      <c r="AM12" s="265">
        <f t="shared" si="16"/>
        <v>0</v>
      </c>
      <c r="AN12" s="265">
        <f t="shared" si="16"/>
        <v>682.5</v>
      </c>
      <c r="AO12" s="265">
        <f t="shared" si="16"/>
        <v>0</v>
      </c>
      <c r="AP12" s="265">
        <f t="shared" si="16"/>
        <v>0</v>
      </c>
      <c r="AQ12" s="296"/>
      <c r="AR12" s="276">
        <f t="shared" ref="AR12:BD12" si="17">SUM(AR6:AR11)</f>
        <v>31.508850000000002</v>
      </c>
      <c r="AS12" s="265">
        <f t="shared" si="17"/>
        <v>38.086529999999996</v>
      </c>
      <c r="AT12" s="265">
        <f t="shared" si="17"/>
        <v>38.965420000000002</v>
      </c>
      <c r="AU12" s="265">
        <f t="shared" si="17"/>
        <v>54.46696</v>
      </c>
      <c r="AV12" s="265">
        <f t="shared" si="17"/>
        <v>40.093130000000002</v>
      </c>
      <c r="AW12" s="265">
        <f t="shared" si="17"/>
        <v>44.751220000000004</v>
      </c>
      <c r="AX12" s="265">
        <f t="shared" si="17"/>
        <v>43.568570000000001</v>
      </c>
      <c r="AY12" s="265">
        <f t="shared" si="17"/>
        <v>53.403120000000001</v>
      </c>
      <c r="AZ12" s="265">
        <f t="shared" si="17"/>
        <v>52.088650000000001</v>
      </c>
      <c r="BA12" s="265">
        <f t="shared" si="17"/>
        <v>0</v>
      </c>
      <c r="BB12" s="265">
        <f t="shared" si="17"/>
        <v>38.183230000000002</v>
      </c>
      <c r="BC12" s="265">
        <f t="shared" si="17"/>
        <v>0</v>
      </c>
      <c r="BD12" s="265">
        <f t="shared" si="17"/>
        <v>0</v>
      </c>
      <c r="BE12" s="296"/>
      <c r="BF12" s="276">
        <f t="shared" ref="BF12:BR12" si="18">SUM(BF6:BF11)</f>
        <v>31.815663500000003</v>
      </c>
      <c r="BG12" s="265">
        <f t="shared" si="18"/>
        <v>54.596456999999994</v>
      </c>
      <c r="BH12" s="265">
        <f t="shared" si="18"/>
        <v>18.014620300000001</v>
      </c>
      <c r="BI12" s="265">
        <f t="shared" si="18"/>
        <v>25.871937299999999</v>
      </c>
      <c r="BJ12" s="265">
        <f t="shared" si="18"/>
        <v>14.390751499999997</v>
      </c>
      <c r="BK12" s="265">
        <f t="shared" si="18"/>
        <v>-2.5332176</v>
      </c>
      <c r="BL12" s="265">
        <f t="shared" si="18"/>
        <v>16.846590770000002</v>
      </c>
      <c r="BM12" s="265">
        <f t="shared" si="18"/>
        <v>9.5225989000000002</v>
      </c>
      <c r="BN12" s="265">
        <f t="shared" si="18"/>
        <v>20.925707199999998</v>
      </c>
      <c r="BO12" s="265">
        <f t="shared" si="18"/>
        <v>0</v>
      </c>
      <c r="BP12" s="265">
        <f t="shared" si="18"/>
        <v>-1.8</v>
      </c>
      <c r="BQ12" s="265">
        <f t="shared" si="18"/>
        <v>0</v>
      </c>
      <c r="BR12" s="265">
        <f t="shared" si="18"/>
        <v>0</v>
      </c>
      <c r="BS12" s="296"/>
      <c r="BT12" s="279">
        <f t="shared" ref="BT12:CF12" si="19">SUM(BT6:BT11)</f>
        <v>0</v>
      </c>
      <c r="BU12" s="266">
        <f t="shared" si="19"/>
        <v>893.40156539999998</v>
      </c>
      <c r="BV12" s="266">
        <f t="shared" si="19"/>
        <v>1046.8850897</v>
      </c>
      <c r="BW12" s="266">
        <f t="shared" si="19"/>
        <v>267.93215839999999</v>
      </c>
      <c r="BX12" s="266">
        <f t="shared" si="19"/>
        <v>169.9068426</v>
      </c>
      <c r="BY12" s="266">
        <f t="shared" si="19"/>
        <v>1.059032</v>
      </c>
      <c r="BZ12" s="266">
        <f t="shared" si="19"/>
        <v>0</v>
      </c>
      <c r="CA12" s="266">
        <f t="shared" si="19"/>
        <v>0</v>
      </c>
      <c r="CB12" s="266">
        <f t="shared" si="19"/>
        <v>0</v>
      </c>
      <c r="CC12" s="266">
        <f t="shared" si="19"/>
        <v>0</v>
      </c>
      <c r="CD12" s="266">
        <f t="shared" si="19"/>
        <v>0</v>
      </c>
      <c r="CE12" s="266">
        <f t="shared" si="19"/>
        <v>0</v>
      </c>
      <c r="CF12" s="266">
        <f t="shared" si="19"/>
        <v>0</v>
      </c>
      <c r="CG12" s="298"/>
      <c r="CH12" s="279">
        <f t="shared" ref="CH12:CT12" si="20">SUM(CH6:CH11)</f>
        <v>10033.1938995</v>
      </c>
      <c r="CI12" s="266">
        <f t="shared" si="20"/>
        <v>9902.2878180999996</v>
      </c>
      <c r="CJ12" s="266">
        <f t="shared" si="20"/>
        <v>10353.3416813</v>
      </c>
      <c r="CK12" s="266">
        <f t="shared" si="20"/>
        <v>11236.316424099999</v>
      </c>
      <c r="CL12" s="266">
        <f t="shared" si="20"/>
        <v>11396.894557199999</v>
      </c>
      <c r="CM12" s="266">
        <f t="shared" si="20"/>
        <v>11477.682919800001</v>
      </c>
      <c r="CN12" s="266">
        <f t="shared" si="20"/>
        <v>11612.25088577</v>
      </c>
      <c r="CO12" s="266">
        <f t="shared" si="20"/>
        <v>11900.02452231453</v>
      </c>
      <c r="CP12" s="266">
        <f t="shared" si="20"/>
        <v>12096.6683168</v>
      </c>
      <c r="CQ12" s="266">
        <f t="shared" si="20"/>
        <v>0</v>
      </c>
      <c r="CR12" s="266">
        <f t="shared" si="20"/>
        <v>5708.6090599999998</v>
      </c>
      <c r="CS12" s="266">
        <f t="shared" si="20"/>
        <v>0</v>
      </c>
      <c r="CT12" s="266">
        <f t="shared" si="20"/>
        <v>0</v>
      </c>
      <c r="CU12" s="298"/>
      <c r="CV12" s="279">
        <f t="shared" ref="CV12:DH12" si="21">SUM(CV6:CV11)</f>
        <v>6438.4023036999988</v>
      </c>
      <c r="CW12" s="266">
        <f t="shared" si="21"/>
        <v>6525.7590140000002</v>
      </c>
      <c r="CX12" s="266">
        <f t="shared" si="21"/>
        <v>6684.1985289000004</v>
      </c>
      <c r="CY12" s="266">
        <f t="shared" si="21"/>
        <v>7714.3313888000002</v>
      </c>
      <c r="CZ12" s="266">
        <f t="shared" si="21"/>
        <v>7597.2829994000003</v>
      </c>
      <c r="DA12" s="266">
        <f t="shared" si="21"/>
        <v>7546.2993150999991</v>
      </c>
      <c r="DB12" s="266">
        <f t="shared" si="21"/>
        <v>7727.7962692700012</v>
      </c>
      <c r="DC12" s="266">
        <f t="shared" si="21"/>
        <v>8009.4906260311827</v>
      </c>
      <c r="DD12" s="266">
        <f t="shared" si="21"/>
        <v>8274.1552640999998</v>
      </c>
      <c r="DE12" s="266">
        <f t="shared" si="21"/>
        <v>0</v>
      </c>
      <c r="DF12" s="266">
        <f t="shared" si="21"/>
        <v>3577.9576400000001</v>
      </c>
      <c r="DG12" s="266">
        <f t="shared" si="21"/>
        <v>0</v>
      </c>
      <c r="DH12" s="266">
        <f t="shared" si="21"/>
        <v>0</v>
      </c>
      <c r="DI12" s="298"/>
      <c r="DJ12" s="281">
        <f t="shared" ref="DJ12:DV12" si="22">IFERROR(AD12/CH12,"")</f>
        <v>0.11785486830459116</v>
      </c>
      <c r="DK12" s="267">
        <f t="shared" si="22"/>
        <v>0.11869672104981528</v>
      </c>
      <c r="DL12" s="267">
        <f t="shared" si="22"/>
        <v>0.121171056835292</v>
      </c>
      <c r="DM12" s="267">
        <f t="shared" si="22"/>
        <v>0.10832592682147552</v>
      </c>
      <c r="DN12" s="267">
        <f t="shared" si="22"/>
        <v>0.11113650286426642</v>
      </c>
      <c r="DO12" s="267">
        <f t="shared" si="22"/>
        <v>0.11553460314820289</v>
      </c>
      <c r="DP12" s="267">
        <f t="shared" si="22"/>
        <v>0.11729414886902727</v>
      </c>
      <c r="DQ12" s="267">
        <f t="shared" si="22"/>
        <v>0.12344935754740029</v>
      </c>
      <c r="DR12" s="267">
        <f t="shared" si="22"/>
        <v>0.12120793061372995</v>
      </c>
      <c r="DS12" s="267" t="str">
        <f t="shared" si="22"/>
        <v/>
      </c>
      <c r="DT12" s="267">
        <f t="shared" si="22"/>
        <v>0.11955626893112208</v>
      </c>
      <c r="DU12" s="267" t="str">
        <f t="shared" si="22"/>
        <v/>
      </c>
      <c r="DV12" s="267" t="str">
        <f t="shared" si="22"/>
        <v/>
      </c>
      <c r="DW12" s="300"/>
      <c r="DX12" s="283">
        <f t="shared" ref="DX12:EJ12" si="23">SUM(DX6:DX11)</f>
        <v>8586158.6232066676</v>
      </c>
      <c r="DY12" s="268">
        <f t="shared" si="23"/>
        <v>8382211.9274437744</v>
      </c>
      <c r="DZ12" s="268">
        <f t="shared" si="23"/>
        <v>8330758.4666199991</v>
      </c>
      <c r="EA12" s="268">
        <f t="shared" si="23"/>
        <v>8334624.0748166665</v>
      </c>
      <c r="EB12" s="268">
        <f t="shared" si="23"/>
        <v>8196206.2867435049</v>
      </c>
      <c r="EC12" s="268">
        <f t="shared" si="23"/>
        <v>8018514.689423997</v>
      </c>
      <c r="ED12" s="268">
        <f t="shared" si="23"/>
        <v>7924309.2499799998</v>
      </c>
      <c r="EE12" s="268">
        <f t="shared" si="23"/>
        <v>7896049.3989899997</v>
      </c>
      <c r="EF12" s="268">
        <f t="shared" si="23"/>
        <v>7901887.3491699994</v>
      </c>
      <c r="EG12" s="268">
        <f t="shared" si="23"/>
        <v>0</v>
      </c>
      <c r="EH12" s="268">
        <f t="shared" si="23"/>
        <v>4074529.8714299998</v>
      </c>
      <c r="EI12" s="268">
        <f t="shared" si="23"/>
        <v>0</v>
      </c>
      <c r="EJ12" s="268">
        <f t="shared" si="23"/>
        <v>0</v>
      </c>
      <c r="EK12" s="302"/>
      <c r="EL12" s="283">
        <f t="shared" ref="EL12:EX12" si="24">SUM(EL6:EL11)</f>
        <v>278980</v>
      </c>
      <c r="EM12" s="268">
        <f t="shared" si="24"/>
        <v>284085</v>
      </c>
      <c r="EN12" s="268">
        <f t="shared" si="24"/>
        <v>303368</v>
      </c>
      <c r="EO12" s="268">
        <f t="shared" si="24"/>
        <v>305127</v>
      </c>
      <c r="EP12" s="268">
        <f t="shared" si="24"/>
        <v>305159</v>
      </c>
      <c r="EQ12" s="268">
        <f t="shared" si="24"/>
        <v>255856.08</v>
      </c>
      <c r="ER12" s="268">
        <f t="shared" si="24"/>
        <v>263311.43</v>
      </c>
      <c r="ES12" s="268">
        <f t="shared" si="24"/>
        <v>274353</v>
      </c>
      <c r="ET12" s="268">
        <f t="shared" si="24"/>
        <v>172316.68</v>
      </c>
      <c r="EU12" s="268">
        <f t="shared" si="24"/>
        <v>0</v>
      </c>
      <c r="EV12" s="268">
        <f t="shared" si="24"/>
        <v>179803.34</v>
      </c>
      <c r="EW12" s="268">
        <f t="shared" si="24"/>
        <v>0</v>
      </c>
      <c r="EX12" s="268">
        <f t="shared" si="24"/>
        <v>0</v>
      </c>
      <c r="EY12" s="302"/>
      <c r="EZ12" s="283">
        <f t="shared" ref="EZ12:FL12" si="25">SUM(EZ6:EZ11)</f>
        <v>307281309.99000001</v>
      </c>
      <c r="FA12" s="268">
        <f t="shared" si="25"/>
        <v>198068276.76046002</v>
      </c>
      <c r="FB12" s="268">
        <f t="shared" si="25"/>
        <v>194134591.01591998</v>
      </c>
      <c r="FC12" s="268">
        <f t="shared" si="25"/>
        <v>246894761.85870001</v>
      </c>
      <c r="FD12" s="268">
        <f t="shared" si="25"/>
        <v>266393659.22327</v>
      </c>
      <c r="FE12" s="268">
        <f t="shared" si="25"/>
        <v>275050676.10455</v>
      </c>
      <c r="FF12" s="268">
        <f t="shared" si="25"/>
        <v>272441117.25652003</v>
      </c>
      <c r="FG12" s="268">
        <f t="shared" si="25"/>
        <v>236189824.59628001</v>
      </c>
      <c r="FH12" s="268">
        <f t="shared" si="25"/>
        <v>184375015.70901999</v>
      </c>
      <c r="FI12" s="268">
        <f t="shared" si="25"/>
        <v>0</v>
      </c>
      <c r="FJ12" s="268">
        <f t="shared" si="25"/>
        <v>172969831.23730001</v>
      </c>
      <c r="FK12" s="268">
        <f t="shared" si="25"/>
        <v>0</v>
      </c>
      <c r="FL12" s="268">
        <f t="shared" si="25"/>
        <v>0</v>
      </c>
      <c r="FM12" s="302"/>
      <c r="FN12" s="283">
        <f t="shared" ref="FN12:FZ12" si="26">SUM(FN6:FN11)</f>
        <v>14082237</v>
      </c>
      <c r="FO12" s="268">
        <f t="shared" si="26"/>
        <v>13905813</v>
      </c>
      <c r="FP12" s="268">
        <f t="shared" si="26"/>
        <v>15423275.5</v>
      </c>
      <c r="FQ12" s="268">
        <f t="shared" si="26"/>
        <v>15504231</v>
      </c>
      <c r="FR12" s="268">
        <f t="shared" si="26"/>
        <v>15621268</v>
      </c>
      <c r="FS12" s="268">
        <f t="shared" si="26"/>
        <v>15386409</v>
      </c>
      <c r="FT12" s="268">
        <f t="shared" si="26"/>
        <v>15965953</v>
      </c>
      <c r="FU12" s="268">
        <f t="shared" si="26"/>
        <v>17039978.009999998</v>
      </c>
      <c r="FV12" s="268">
        <f t="shared" si="26"/>
        <v>12195038</v>
      </c>
      <c r="FW12" s="268">
        <f t="shared" si="26"/>
        <v>0</v>
      </c>
      <c r="FX12" s="268">
        <f t="shared" si="26"/>
        <v>9116589.5999999996</v>
      </c>
      <c r="FY12" s="268">
        <f t="shared" si="26"/>
        <v>0</v>
      </c>
      <c r="FZ12" s="268">
        <f t="shared" si="26"/>
        <v>0</v>
      </c>
      <c r="GA12" s="302"/>
      <c r="GB12" s="285">
        <f t="shared" si="0"/>
        <v>991.23195065408322</v>
      </c>
      <c r="GC12" s="271">
        <f t="shared" si="0"/>
        <v>996.30047279568225</v>
      </c>
      <c r="GD12" s="271">
        <f t="shared" si="0"/>
        <v>1047.2207365338265</v>
      </c>
      <c r="GE12" s="271">
        <f t="shared" si="0"/>
        <v>1150.3564223128847</v>
      </c>
      <c r="GF12" s="271">
        <f t="shared" si="0"/>
        <v>1185.1978277902692</v>
      </c>
      <c r="GG12" s="271">
        <f t="shared" si="0"/>
        <v>1221.7721030288981</v>
      </c>
      <c r="GH12" s="271">
        <f t="shared" si="0"/>
        <v>1244.5357496611446</v>
      </c>
      <c r="GI12" s="271">
        <f t="shared" si="0"/>
        <v>1268.9764732540175</v>
      </c>
      <c r="GJ12" s="271">
        <f t="shared" si="0"/>
        <v>1307.5520258664146</v>
      </c>
      <c r="GK12" s="271" t="str">
        <f t="shared" si="0"/>
        <v/>
      </c>
      <c r="GL12" s="271">
        <f t="shared" si="0"/>
        <v>1172.857315593955</v>
      </c>
      <c r="GM12" s="271" t="str">
        <f t="shared" si="0"/>
        <v/>
      </c>
      <c r="GN12" s="271" t="str">
        <f t="shared" si="0"/>
        <v/>
      </c>
      <c r="GO12" s="304"/>
      <c r="GP12" s="285">
        <f t="shared" si="1"/>
        <v>100</v>
      </c>
      <c r="GQ12" s="271">
        <f t="shared" si="1"/>
        <v>97.757037941376609</v>
      </c>
      <c r="GR12" s="271">
        <f t="shared" si="1"/>
        <v>97.394150656799226</v>
      </c>
      <c r="GS12" s="271">
        <f t="shared" si="1"/>
        <v>97.457597021664228</v>
      </c>
      <c r="GT12" s="271">
        <f t="shared" si="1"/>
        <v>95.896586032948235</v>
      </c>
      <c r="GU12" s="271">
        <f t="shared" si="1"/>
        <v>93.336056220980097</v>
      </c>
      <c r="GV12" s="271">
        <f t="shared" si="1"/>
        <v>92.357503113903945</v>
      </c>
      <c r="GW12" s="271">
        <f t="shared" si="1"/>
        <v>92.163278503079169</v>
      </c>
      <c r="GX12" s="271">
        <f t="shared" si="1"/>
        <v>91.078147475706643</v>
      </c>
      <c r="GY12" s="271">
        <f t="shared" si="1"/>
        <v>0</v>
      </c>
      <c r="GZ12" s="271">
        <f t="shared" si="1"/>
        <v>47.989471933278551</v>
      </c>
      <c r="HA12" s="271">
        <f t="shared" si="1"/>
        <v>0</v>
      </c>
      <c r="HB12" s="271">
        <f t="shared" si="1"/>
        <v>0</v>
      </c>
      <c r="HC12" s="304"/>
      <c r="HD12" s="285">
        <f t="shared" ref="HD12:HP12" si="27">IFERROR((P12/(DX12+EL12))/($P$12/($DX$12+$EL$12))*100,"")</f>
        <v>100</v>
      </c>
      <c r="HE12" s="271">
        <f t="shared" si="27"/>
        <v>100.51133563019778</v>
      </c>
      <c r="HF12" s="271">
        <f t="shared" si="27"/>
        <v>105.64840407361746</v>
      </c>
      <c r="HG12" s="271">
        <f t="shared" si="27"/>
        <v>116.05320243700781</v>
      </c>
      <c r="HH12" s="271">
        <f t="shared" si="27"/>
        <v>119.56816232650628</v>
      </c>
      <c r="HI12" s="271">
        <f t="shared" si="27"/>
        <v>123.25794202080434</v>
      </c>
      <c r="HJ12" s="271">
        <f t="shared" si="27"/>
        <v>125.55444251367341</v>
      </c>
      <c r="HK12" s="271">
        <f t="shared" si="27"/>
        <v>128.02013417915546</v>
      </c>
      <c r="HL12" s="271">
        <f t="shared" si="27"/>
        <v>131.91181186235991</v>
      </c>
      <c r="HM12" s="271" t="str">
        <f t="shared" si="27"/>
        <v/>
      </c>
      <c r="HN12" s="271">
        <f t="shared" si="27"/>
        <v>118.32319517344277</v>
      </c>
      <c r="HO12" s="271" t="str">
        <f t="shared" si="27"/>
        <v/>
      </c>
      <c r="HP12" s="271" t="str">
        <f t="shared" si="27"/>
        <v/>
      </c>
      <c r="HQ12" s="304"/>
      <c r="HR12" s="285">
        <f t="shared" ref="HR12:ID12" si="28">IFERROR(EZ12/$EZ$12*100,"")</f>
        <v>100</v>
      </c>
      <c r="HS12" s="271">
        <f t="shared" si="28"/>
        <v>64.458289626175386</v>
      </c>
      <c r="HT12" s="271">
        <f t="shared" si="28"/>
        <v>63.178131797940395</v>
      </c>
      <c r="HU12" s="271">
        <f t="shared" si="28"/>
        <v>80.348122008050154</v>
      </c>
      <c r="HV12" s="271">
        <f t="shared" si="28"/>
        <v>86.693739763065764</v>
      </c>
      <c r="HW12" s="271">
        <f t="shared" si="28"/>
        <v>89.511033428457168</v>
      </c>
      <c r="HX12" s="271">
        <f t="shared" si="28"/>
        <v>88.661792435532831</v>
      </c>
      <c r="HY12" s="271">
        <f t="shared" si="28"/>
        <v>76.86436399401137</v>
      </c>
      <c r="HZ12" s="271">
        <f t="shared" si="28"/>
        <v>60.002027365419721</v>
      </c>
      <c r="IA12" s="271">
        <f t="shared" si="28"/>
        <v>0</v>
      </c>
      <c r="IB12" s="271">
        <f t="shared" si="28"/>
        <v>56.29038461302089</v>
      </c>
      <c r="IC12" s="271">
        <f t="shared" si="28"/>
        <v>0</v>
      </c>
      <c r="ID12" s="289">
        <f t="shared" si="28"/>
        <v>0</v>
      </c>
    </row>
    <row r="13" spans="1:238" ht="15" thickTop="1" x14ac:dyDescent="0.2">
      <c r="O13" s="291"/>
      <c r="P13" s="277"/>
      <c r="AC13" s="291"/>
      <c r="AD13" s="277"/>
      <c r="AQ13" s="291"/>
      <c r="AR13" s="277"/>
      <c r="BE13" s="291"/>
      <c r="BF13" s="277"/>
      <c r="BS13" s="291"/>
      <c r="BT13" s="277"/>
      <c r="CG13" s="291"/>
      <c r="CH13" s="277"/>
      <c r="CU13" s="291"/>
      <c r="CV13" s="277"/>
      <c r="DI13" s="291"/>
      <c r="DJ13" s="277"/>
      <c r="DW13" s="291"/>
      <c r="DX13" s="277"/>
      <c r="EK13" s="291"/>
      <c r="EL13" s="277"/>
      <c r="EY13" s="291"/>
      <c r="EZ13" s="277"/>
      <c r="FM13" s="291"/>
      <c r="FN13" s="277"/>
      <c r="GA13" s="291"/>
      <c r="GB13" s="277"/>
      <c r="GO13" s="291"/>
      <c r="GP13" s="277"/>
      <c r="HC13" s="291"/>
      <c r="HD13" s="277"/>
      <c r="HQ13" s="291"/>
      <c r="HR13" s="277"/>
      <c r="ID13" s="290"/>
    </row>
    <row r="14" spans="1:238" ht="15" x14ac:dyDescent="0.25">
      <c r="A14" s="264" t="s">
        <v>297</v>
      </c>
      <c r="B14" s="264"/>
      <c r="C14" s="264"/>
      <c r="D14" s="264"/>
      <c r="E14" s="264"/>
      <c r="F14" s="264"/>
      <c r="G14" s="264"/>
      <c r="H14" s="264"/>
      <c r="I14" s="264"/>
      <c r="J14" s="264"/>
      <c r="K14" s="264"/>
      <c r="L14" s="264"/>
      <c r="M14" s="264"/>
      <c r="N14" s="264"/>
      <c r="O14" s="294"/>
      <c r="P14" s="274"/>
      <c r="Q14" s="264"/>
      <c r="R14" s="264"/>
      <c r="S14" s="264"/>
      <c r="T14" s="264"/>
      <c r="U14" s="264"/>
      <c r="V14" s="264"/>
      <c r="W14" s="264"/>
      <c r="X14" s="264"/>
      <c r="Y14" s="264"/>
      <c r="Z14" s="264"/>
      <c r="AA14" s="264"/>
      <c r="AB14" s="264"/>
      <c r="AC14" s="294"/>
      <c r="AD14" s="274"/>
      <c r="AE14" s="264"/>
      <c r="AF14" s="264"/>
      <c r="AG14" s="264"/>
      <c r="AH14" s="264"/>
      <c r="AI14" s="264"/>
      <c r="AJ14" s="264"/>
      <c r="AK14" s="264"/>
      <c r="AL14" s="264"/>
      <c r="AM14" s="264"/>
      <c r="AN14" s="264"/>
      <c r="AO14" s="264"/>
      <c r="AP14" s="264"/>
      <c r="AQ14" s="294"/>
      <c r="AR14" s="274"/>
      <c r="AS14" s="264"/>
      <c r="AT14" s="264"/>
      <c r="AU14" s="264"/>
      <c r="AV14" s="264"/>
      <c r="AW14" s="264"/>
      <c r="AX14" s="264"/>
      <c r="AY14" s="264"/>
      <c r="AZ14" s="264"/>
      <c r="BA14" s="264"/>
      <c r="BB14" s="264"/>
      <c r="BC14" s="264"/>
      <c r="BD14" s="264"/>
      <c r="BE14" s="294"/>
      <c r="BF14" s="274"/>
      <c r="BG14" s="264"/>
      <c r="BH14" s="264"/>
      <c r="BI14" s="264"/>
      <c r="BJ14" s="264"/>
      <c r="BK14" s="264"/>
      <c r="BL14" s="264"/>
      <c r="BM14" s="264"/>
      <c r="BN14" s="264"/>
      <c r="BO14" s="264"/>
      <c r="BP14" s="264"/>
      <c r="BQ14" s="264"/>
      <c r="BR14" s="264"/>
      <c r="BS14" s="294"/>
      <c r="BT14" s="274"/>
      <c r="BU14" s="264"/>
      <c r="BV14" s="264"/>
      <c r="BW14" s="264"/>
      <c r="BX14" s="264"/>
      <c r="BY14" s="264"/>
      <c r="BZ14" s="264"/>
      <c r="CA14" s="264"/>
      <c r="CB14" s="264"/>
      <c r="CC14" s="264"/>
      <c r="CD14" s="264"/>
      <c r="CE14" s="264"/>
      <c r="CF14" s="264"/>
      <c r="CG14" s="294"/>
      <c r="CH14" s="274"/>
      <c r="CI14" s="264"/>
      <c r="CJ14" s="264"/>
      <c r="CK14" s="264"/>
      <c r="CL14" s="264"/>
      <c r="CM14" s="264"/>
      <c r="CN14" s="264"/>
      <c r="CO14" s="264"/>
      <c r="CP14" s="264"/>
      <c r="CQ14" s="264"/>
      <c r="CR14" s="264"/>
      <c r="CS14" s="264"/>
      <c r="CT14" s="264"/>
      <c r="CU14" s="294"/>
      <c r="CV14" s="274"/>
      <c r="CW14" s="264"/>
      <c r="CX14" s="264"/>
      <c r="CY14" s="264"/>
      <c r="CZ14" s="264"/>
      <c r="DA14" s="264"/>
      <c r="DB14" s="264"/>
      <c r="DC14" s="264"/>
      <c r="DD14" s="264"/>
      <c r="DE14" s="264"/>
      <c r="DF14" s="264"/>
      <c r="DG14" s="264"/>
      <c r="DH14" s="264"/>
      <c r="DI14" s="294"/>
      <c r="DJ14" s="274"/>
      <c r="DK14" s="264"/>
      <c r="DL14" s="264"/>
      <c r="DM14" s="264"/>
      <c r="DN14" s="264"/>
      <c r="DO14" s="264"/>
      <c r="DP14" s="264"/>
      <c r="DQ14" s="264"/>
      <c r="DR14" s="264"/>
      <c r="DS14" s="264"/>
      <c r="DT14" s="264"/>
      <c r="DU14" s="264"/>
      <c r="DV14" s="264"/>
      <c r="DW14" s="294"/>
      <c r="DX14" s="274"/>
      <c r="DY14" s="264"/>
      <c r="DZ14" s="264"/>
      <c r="EA14" s="264"/>
      <c r="EB14" s="264"/>
      <c r="EC14" s="264"/>
      <c r="ED14" s="264"/>
      <c r="EE14" s="264"/>
      <c r="EF14" s="264"/>
      <c r="EG14" s="264"/>
      <c r="EH14" s="264"/>
      <c r="EI14" s="264"/>
      <c r="EJ14" s="264"/>
      <c r="EK14" s="294"/>
      <c r="EL14" s="274"/>
      <c r="EM14" s="264"/>
      <c r="EN14" s="264"/>
      <c r="EO14" s="264"/>
      <c r="EP14" s="264"/>
      <c r="EQ14" s="264"/>
      <c r="ER14" s="264"/>
      <c r="ES14" s="264"/>
      <c r="ET14" s="264"/>
      <c r="EU14" s="264"/>
      <c r="EV14" s="264"/>
      <c r="EW14" s="264"/>
      <c r="EX14" s="264"/>
      <c r="EY14" s="294"/>
      <c r="EZ14" s="274"/>
      <c r="FA14" s="264"/>
      <c r="FB14" s="264"/>
      <c r="FC14" s="264"/>
      <c r="FD14" s="264"/>
      <c r="FE14" s="264"/>
      <c r="FF14" s="264"/>
      <c r="FG14" s="264"/>
      <c r="FH14" s="264"/>
      <c r="FI14" s="264"/>
      <c r="FJ14" s="264"/>
      <c r="FK14" s="264"/>
      <c r="FL14" s="264"/>
      <c r="FM14" s="294"/>
      <c r="FN14" s="274"/>
      <c r="FO14" s="264"/>
      <c r="FP14" s="264"/>
      <c r="FQ14" s="264"/>
      <c r="FR14" s="264"/>
      <c r="FS14" s="264"/>
      <c r="FT14" s="264"/>
      <c r="FU14" s="264"/>
      <c r="FV14" s="264"/>
      <c r="FW14" s="264"/>
      <c r="FX14" s="264"/>
      <c r="FY14" s="264"/>
      <c r="FZ14" s="264"/>
      <c r="GA14" s="294"/>
      <c r="GB14" s="274"/>
      <c r="GC14" s="264"/>
      <c r="GD14" s="264"/>
      <c r="GE14" s="264"/>
      <c r="GF14" s="264"/>
      <c r="GG14" s="264"/>
      <c r="GH14" s="264"/>
      <c r="GI14" s="264"/>
      <c r="GJ14" s="264"/>
      <c r="GK14" s="264"/>
      <c r="GL14" s="264"/>
      <c r="GM14" s="264"/>
      <c r="GN14" s="264"/>
      <c r="GO14" s="294"/>
      <c r="GP14" s="274"/>
      <c r="GQ14" s="264"/>
      <c r="GR14" s="264"/>
      <c r="GS14" s="264"/>
      <c r="GT14" s="264"/>
      <c r="GU14" s="264"/>
      <c r="GV14" s="264"/>
      <c r="GW14" s="264"/>
      <c r="GX14" s="264"/>
      <c r="GY14" s="264"/>
      <c r="GZ14" s="264"/>
      <c r="HA14" s="264"/>
      <c r="HB14" s="264"/>
      <c r="HC14" s="294"/>
      <c r="HD14" s="274"/>
      <c r="HE14" s="264"/>
      <c r="HF14" s="264"/>
      <c r="HG14" s="264"/>
      <c r="HH14" s="264"/>
      <c r="HI14" s="264"/>
      <c r="HJ14" s="264"/>
      <c r="HK14" s="264"/>
      <c r="HL14" s="264"/>
      <c r="HM14" s="264"/>
      <c r="HN14" s="264"/>
      <c r="HO14" s="264"/>
      <c r="HP14" s="264"/>
      <c r="HQ14" s="294"/>
      <c r="HR14" s="274"/>
      <c r="HS14" s="264"/>
      <c r="HT14" s="264"/>
      <c r="HU14" s="264"/>
      <c r="HV14" s="264"/>
      <c r="HW14" s="264"/>
      <c r="HX14" s="264"/>
      <c r="HY14" s="264"/>
      <c r="HZ14" s="264"/>
      <c r="IA14" s="264"/>
      <c r="IB14" s="264"/>
      <c r="IC14" s="264"/>
      <c r="ID14" s="287"/>
    </row>
    <row r="15" spans="1:238" x14ac:dyDescent="0.2">
      <c r="A15" s="307" t="s">
        <v>4</v>
      </c>
      <c r="B15" s="258">
        <f>+BAT!F35</f>
        <v>29.4</v>
      </c>
      <c r="C15" s="258">
        <f>+BAT!G35</f>
        <v>22.4</v>
      </c>
      <c r="D15" s="258">
        <f>+BAT!H35</f>
        <v>22.1</v>
      </c>
      <c r="E15" s="258">
        <f>+BAT!I35</f>
        <v>24.44</v>
      </c>
      <c r="F15" s="258">
        <f>+BAT!J35</f>
        <v>26.638999999999999</v>
      </c>
      <c r="G15" s="258">
        <f>+BAT!K35</f>
        <v>26.69</v>
      </c>
      <c r="H15" s="258">
        <f>+BAT!L35</f>
        <v>26.4</v>
      </c>
      <c r="I15" s="258">
        <f>+BAT!M35</f>
        <v>29</v>
      </c>
      <c r="J15" s="258">
        <f>+BAT!N35</f>
        <v>24</v>
      </c>
      <c r="K15" s="258">
        <f>+BAT!O35</f>
        <v>0</v>
      </c>
      <c r="L15" s="258">
        <f>+BAT!P35</f>
        <v>0</v>
      </c>
      <c r="M15" s="258">
        <f>+BAT!Q35</f>
        <v>0</v>
      </c>
      <c r="N15" s="258">
        <f>+BAT!R35</f>
        <v>0</v>
      </c>
      <c r="O15" s="295"/>
      <c r="P15" s="275">
        <f>+BAT!S35</f>
        <v>53.6</v>
      </c>
      <c r="Q15" s="258">
        <f>+BAT!T35</f>
        <v>48.65</v>
      </c>
      <c r="R15" s="258">
        <f>+BAT!U35</f>
        <v>50.9</v>
      </c>
      <c r="S15" s="258">
        <f>+BAT!V35</f>
        <v>56.6</v>
      </c>
      <c r="T15" s="258">
        <f>+BAT!W35</f>
        <v>56</v>
      </c>
      <c r="U15" s="258">
        <f>+BAT!X35</f>
        <v>64.8</v>
      </c>
      <c r="V15" s="258">
        <f>+BAT!Y35</f>
        <v>61</v>
      </c>
      <c r="W15" s="258">
        <f>+BAT!Z35</f>
        <v>59</v>
      </c>
      <c r="X15" s="258">
        <f>+BAT!AA35</f>
        <v>61</v>
      </c>
      <c r="Y15" s="258">
        <f>+BAT!AB35</f>
        <v>0</v>
      </c>
      <c r="Z15" s="258">
        <f>+BAT!AC35</f>
        <v>0</v>
      </c>
      <c r="AA15" s="258">
        <f>+BAT!AD35</f>
        <v>0</v>
      </c>
      <c r="AB15" s="258">
        <f>+BAT!AE35</f>
        <v>0</v>
      </c>
      <c r="AC15" s="295"/>
      <c r="AD15" s="275">
        <f>+BAT!AF35</f>
        <v>7.6</v>
      </c>
      <c r="AE15" s="258">
        <f>+BAT!AG35</f>
        <v>7.3</v>
      </c>
      <c r="AF15" s="258">
        <f>+BAT!AH35</f>
        <v>9.1999999999999993</v>
      </c>
      <c r="AG15" s="258">
        <f>+BAT!AI35</f>
        <v>5.9</v>
      </c>
      <c r="AH15" s="258">
        <f>+BAT!AJ35</f>
        <v>7.1</v>
      </c>
      <c r="AI15" s="258">
        <f>+BAT!AK35</f>
        <v>7.2</v>
      </c>
      <c r="AJ15" s="258">
        <f>+BAT!AL35</f>
        <v>5.24</v>
      </c>
      <c r="AK15" s="258">
        <f>+BAT!AM35</f>
        <v>5.8</v>
      </c>
      <c r="AL15" s="258">
        <f>+BAT!AN35</f>
        <v>6</v>
      </c>
      <c r="AM15" s="258">
        <f>+BAT!AO35</f>
        <v>0</v>
      </c>
      <c r="AN15" s="258">
        <f>+BAT!AP35</f>
        <v>0</v>
      </c>
      <c r="AO15" s="258">
        <f>+BAT!AQ35</f>
        <v>0</v>
      </c>
      <c r="AP15" s="258">
        <f>+BAT!AR35</f>
        <v>0</v>
      </c>
      <c r="AQ15" s="295"/>
      <c r="AR15" s="275">
        <f>+BAT!AS35</f>
        <v>0</v>
      </c>
      <c r="AS15" s="258">
        <f>+BAT!AT35</f>
        <v>0</v>
      </c>
      <c r="AT15" s="258">
        <f>+BAT!AU35</f>
        <v>0</v>
      </c>
      <c r="AU15" s="258">
        <f>+BAT!AV35</f>
        <v>0</v>
      </c>
      <c r="AV15" s="258">
        <f>+BAT!AW35</f>
        <v>0</v>
      </c>
      <c r="AW15" s="258">
        <f>+BAT!AX35</f>
        <v>0</v>
      </c>
      <c r="AX15" s="258">
        <f>+BAT!AY35</f>
        <v>0</v>
      </c>
      <c r="AY15" s="258">
        <f>+BAT!AZ35</f>
        <v>0</v>
      </c>
      <c r="AZ15" s="258">
        <f>+BAT!BA35</f>
        <v>0</v>
      </c>
      <c r="BA15" s="258">
        <f>+BAT!BB35</f>
        <v>0</v>
      </c>
      <c r="BB15" s="258">
        <f>+BAT!BC35</f>
        <v>0</v>
      </c>
      <c r="BC15" s="258">
        <f>+BAT!BD35</f>
        <v>0</v>
      </c>
      <c r="BD15" s="258">
        <f>+BAT!BE35</f>
        <v>0</v>
      </c>
      <c r="BE15" s="295"/>
      <c r="BF15" s="275">
        <f>+BAT!BF35</f>
        <v>0</v>
      </c>
      <c r="BG15" s="258">
        <f>+BAT!BG35</f>
        <v>0</v>
      </c>
      <c r="BH15" s="258">
        <f>+BAT!BH35</f>
        <v>0</v>
      </c>
      <c r="BI15" s="258">
        <f>+BAT!BI35</f>
        <v>0</v>
      </c>
      <c r="BJ15" s="258">
        <f>+BAT!BJ35</f>
        <v>0</v>
      </c>
      <c r="BK15" s="258">
        <f>+BAT!BK35</f>
        <v>0</v>
      </c>
      <c r="BL15" s="258">
        <f>+BAT!BL35</f>
        <v>0</v>
      </c>
      <c r="BM15" s="258">
        <f>+BAT!BM35</f>
        <v>0</v>
      </c>
      <c r="BN15" s="258">
        <f>+BAT!BN35</f>
        <v>0</v>
      </c>
      <c r="BO15" s="258">
        <f>+BAT!BO35</f>
        <v>0</v>
      </c>
      <c r="BP15" s="258">
        <f>+BAT!BP35</f>
        <v>0</v>
      </c>
      <c r="BQ15" s="258">
        <f>+BAT!BQ35</f>
        <v>0</v>
      </c>
      <c r="BR15" s="258">
        <f>+BAT!BR35</f>
        <v>0</v>
      </c>
      <c r="BS15" s="295"/>
      <c r="BT15" s="278">
        <f>+BAT!BS35</f>
        <v>0</v>
      </c>
      <c r="BU15" s="259">
        <f>+BAT!BT35</f>
        <v>0</v>
      </c>
      <c r="BV15" s="259">
        <f>+BAT!BU35</f>
        <v>0</v>
      </c>
      <c r="BW15" s="259">
        <f>+BAT!BV35</f>
        <v>0</v>
      </c>
      <c r="BX15" s="259">
        <f>+BAT!BW35</f>
        <v>0</v>
      </c>
      <c r="BY15" s="259">
        <f>+BAT!BX35</f>
        <v>0</v>
      </c>
      <c r="BZ15" s="259">
        <f>+BAT!BY35</f>
        <v>0</v>
      </c>
      <c r="CA15" s="259">
        <f>+BAT!BZ35</f>
        <v>0</v>
      </c>
      <c r="CB15" s="259">
        <f>+BAT!CA35</f>
        <v>1.2</v>
      </c>
      <c r="CC15" s="259">
        <f>+BAT!CB35</f>
        <v>0</v>
      </c>
      <c r="CD15" s="259">
        <f>+BAT!CC35</f>
        <v>0</v>
      </c>
      <c r="CE15" s="259">
        <f>+BAT!CD35</f>
        <v>0</v>
      </c>
      <c r="CF15" s="259">
        <f>+BAT!CE35</f>
        <v>0</v>
      </c>
      <c r="CG15" s="297"/>
      <c r="CH15" s="278">
        <f>+BAT!CF35</f>
        <v>0</v>
      </c>
      <c r="CI15" s="259">
        <f>+BAT!CG35</f>
        <v>0</v>
      </c>
      <c r="CJ15" s="259">
        <f>+BAT!CH35</f>
        <v>0</v>
      </c>
      <c r="CK15" s="259">
        <f>+BAT!CI35</f>
        <v>0</v>
      </c>
      <c r="CL15" s="259">
        <f>+BAT!CJ35</f>
        <v>0</v>
      </c>
      <c r="CM15" s="259">
        <f>+BAT!CK35</f>
        <v>0</v>
      </c>
      <c r="CN15" s="259">
        <f>+BAT!CL35</f>
        <v>0</v>
      </c>
      <c r="CO15" s="259">
        <f>+BAT!CM35</f>
        <v>0</v>
      </c>
      <c r="CP15" s="259">
        <f>+BAT!CN35</f>
        <v>0</v>
      </c>
      <c r="CQ15" s="259">
        <f>+BAT!CO35</f>
        <v>0</v>
      </c>
      <c r="CR15" s="259">
        <f>+BAT!CP35</f>
        <v>0</v>
      </c>
      <c r="CS15" s="259">
        <f>+BAT!CQ35</f>
        <v>0</v>
      </c>
      <c r="CT15" s="259">
        <f>+BAT!CR35</f>
        <v>0</v>
      </c>
      <c r="CU15" s="297"/>
      <c r="CV15" s="278">
        <f>+BAT!CS35</f>
        <v>0</v>
      </c>
      <c r="CW15" s="259">
        <f>+BAT!CT35</f>
        <v>0</v>
      </c>
      <c r="CX15" s="259">
        <f>+BAT!CU35</f>
        <v>0</v>
      </c>
      <c r="CY15" s="259">
        <f>+BAT!CV35</f>
        <v>0</v>
      </c>
      <c r="CZ15" s="259">
        <f>+BAT!CW35</f>
        <v>0</v>
      </c>
      <c r="DA15" s="259">
        <f>+BAT!CX35</f>
        <v>0</v>
      </c>
      <c r="DB15" s="259">
        <f>+BAT!CY35</f>
        <v>0</v>
      </c>
      <c r="DC15" s="259">
        <f>+BAT!CZ35</f>
        <v>0</v>
      </c>
      <c r="DD15" s="259">
        <f>+BAT!DA35</f>
        <v>0</v>
      </c>
      <c r="DE15" s="259">
        <f>+BAT!DB35</f>
        <v>0</v>
      </c>
      <c r="DF15" s="259">
        <f>+BAT!DC35</f>
        <v>0</v>
      </c>
      <c r="DG15" s="259">
        <f>+BAT!DD35</f>
        <v>0</v>
      </c>
      <c r="DH15" s="259">
        <f>+BAT!DE35</f>
        <v>0</v>
      </c>
      <c r="DI15" s="297"/>
      <c r="DJ15" s="280">
        <f>+BAT!DF35</f>
        <v>0</v>
      </c>
      <c r="DK15" s="260">
        <f>+BAT!DG35</f>
        <v>0</v>
      </c>
      <c r="DL15" s="260">
        <f>+BAT!DH35</f>
        <v>0</v>
      </c>
      <c r="DM15" s="260">
        <f>+BAT!DI35</f>
        <v>0</v>
      </c>
      <c r="DN15" s="260">
        <f>+BAT!DJ35</f>
        <v>0</v>
      </c>
      <c r="DO15" s="260">
        <f>+BAT!DK35</f>
        <v>0</v>
      </c>
      <c r="DP15" s="260">
        <f>+BAT!DL35</f>
        <v>0</v>
      </c>
      <c r="DQ15" s="260">
        <f>+BAT!DM35</f>
        <v>0</v>
      </c>
      <c r="DR15" s="260">
        <f>+BAT!DN35</f>
        <v>0</v>
      </c>
      <c r="DS15" s="260">
        <f>+BAT!DO35</f>
        <v>0</v>
      </c>
      <c r="DT15" s="260">
        <f>+BAT!DP35</f>
        <v>0</v>
      </c>
      <c r="DU15" s="260">
        <f>+BAT!DQ35</f>
        <v>0</v>
      </c>
      <c r="DV15" s="260">
        <f>+BAT!DR35</f>
        <v>0</v>
      </c>
      <c r="DW15" s="299"/>
      <c r="DX15" s="282">
        <f>+BAT!DS35</f>
        <v>88761</v>
      </c>
      <c r="DY15" s="261">
        <f>+BAT!DT35</f>
        <v>88761</v>
      </c>
      <c r="DZ15" s="261">
        <f>+BAT!DU35</f>
        <v>78740</v>
      </c>
      <c r="EA15" s="261">
        <f>+BAT!DV35</f>
        <v>78740</v>
      </c>
      <c r="EB15" s="261">
        <f>+BAT!DW35</f>
        <v>84587</v>
      </c>
      <c r="EC15" s="261">
        <f>+BAT!DX35</f>
        <v>81757</v>
      </c>
      <c r="ED15" s="261">
        <f>+BAT!DY35</f>
        <v>72390</v>
      </c>
      <c r="EE15" s="261">
        <f>+BAT!DZ35</f>
        <v>72035</v>
      </c>
      <c r="EF15" s="261">
        <f>+BAT!EA35</f>
        <v>0</v>
      </c>
      <c r="EG15" s="261">
        <f>+BAT!EB35</f>
        <v>0</v>
      </c>
      <c r="EH15" s="261">
        <f>+BAT!EC35</f>
        <v>0</v>
      </c>
      <c r="EI15" s="261">
        <f>+BAT!ED35</f>
        <v>0</v>
      </c>
      <c r="EJ15" s="261">
        <f>+BAT!EE35</f>
        <v>0</v>
      </c>
      <c r="EK15" s="301"/>
      <c r="EL15" s="282">
        <f>+BAT!EF35</f>
        <v>0</v>
      </c>
      <c r="EM15" s="261">
        <f>+BAT!EG35</f>
        <v>0</v>
      </c>
      <c r="EN15" s="261">
        <f>+BAT!EH35</f>
        <v>0</v>
      </c>
      <c r="EO15" s="261">
        <f>+BAT!EI35</f>
        <v>0</v>
      </c>
      <c r="EP15" s="261">
        <f>+BAT!EJ35</f>
        <v>0</v>
      </c>
      <c r="EQ15" s="261">
        <f>+BAT!EK35</f>
        <v>0</v>
      </c>
      <c r="ER15" s="261">
        <f>+BAT!EL35</f>
        <v>0</v>
      </c>
      <c r="ES15" s="261">
        <f>+BAT!EM35</f>
        <v>0</v>
      </c>
      <c r="ET15" s="261">
        <f>+BAT!EN35</f>
        <v>0</v>
      </c>
      <c r="EU15" s="261">
        <f>+BAT!EO35</f>
        <v>0</v>
      </c>
      <c r="EV15" s="261">
        <f>+BAT!EP35</f>
        <v>0</v>
      </c>
      <c r="EW15" s="261">
        <f>+BAT!EQ35</f>
        <v>0</v>
      </c>
      <c r="EX15" s="261">
        <f>+BAT!ER35</f>
        <v>0</v>
      </c>
      <c r="EY15" s="301"/>
      <c r="EZ15" s="282">
        <f>+BAT!ES35</f>
        <v>0</v>
      </c>
      <c r="FA15" s="261">
        <f>+BAT!ET35</f>
        <v>0</v>
      </c>
      <c r="FB15" s="261">
        <f>+BAT!EU35</f>
        <v>0</v>
      </c>
      <c r="FC15" s="261">
        <f>+BAT!EV35</f>
        <v>0</v>
      </c>
      <c r="FD15" s="261">
        <f>+BAT!EW35</f>
        <v>0</v>
      </c>
      <c r="FE15" s="261">
        <f>+BAT!EX35</f>
        <v>0</v>
      </c>
      <c r="FF15" s="261">
        <f>+BAT!EY35</f>
        <v>0</v>
      </c>
      <c r="FG15" s="261">
        <f>+BAT!EZ35</f>
        <v>0</v>
      </c>
      <c r="FH15" s="261">
        <f>+BAT!FA35</f>
        <v>0</v>
      </c>
      <c r="FI15" s="261">
        <f>+BAT!FB35</f>
        <v>0</v>
      </c>
      <c r="FJ15" s="261">
        <f>+BAT!FC35</f>
        <v>0</v>
      </c>
      <c r="FK15" s="261">
        <f>+BAT!FD35</f>
        <v>0</v>
      </c>
      <c r="FL15" s="261">
        <f>+BAT!FE35</f>
        <v>0</v>
      </c>
      <c r="FM15" s="301"/>
      <c r="FN15" s="282">
        <f>+BAT!FF35</f>
        <v>0</v>
      </c>
      <c r="FO15" s="261">
        <f>+BAT!FG35</f>
        <v>0</v>
      </c>
      <c r="FP15" s="261">
        <f>+BAT!FH35</f>
        <v>0</v>
      </c>
      <c r="FQ15" s="261">
        <f>+BAT!FI35</f>
        <v>0</v>
      </c>
      <c r="FR15" s="261">
        <f>+BAT!FJ35</f>
        <v>0</v>
      </c>
      <c r="FS15" s="261">
        <f>+BAT!FK35</f>
        <v>0</v>
      </c>
      <c r="FT15" s="261">
        <f>+BAT!FL35</f>
        <v>0</v>
      </c>
      <c r="FU15" s="261">
        <f>+BAT!FM35</f>
        <v>0</v>
      </c>
      <c r="FV15" s="261">
        <f>+BAT!FN35</f>
        <v>0</v>
      </c>
      <c r="FW15" s="261">
        <f>+BAT!FO35</f>
        <v>0</v>
      </c>
      <c r="FX15" s="261">
        <f>+BAT!FP35</f>
        <v>0</v>
      </c>
      <c r="FY15" s="261">
        <f>+BAT!FQ35</f>
        <v>0</v>
      </c>
      <c r="FZ15" s="261">
        <f>+BAT!FR35</f>
        <v>0</v>
      </c>
      <c r="GA15" s="301"/>
      <c r="GB15" s="284">
        <f t="shared" ref="GB15:GN21" si="29">IFERROR(P15*1000000/DX15,"")</f>
        <v>603.86881625939316</v>
      </c>
      <c r="GC15" s="270">
        <f t="shared" si="29"/>
        <v>548.10108042946786</v>
      </c>
      <c r="GD15" s="270">
        <f t="shared" si="29"/>
        <v>646.43129286258568</v>
      </c>
      <c r="GE15" s="270">
        <f t="shared" si="29"/>
        <v>718.82143764287525</v>
      </c>
      <c r="GF15" s="270">
        <f t="shared" si="29"/>
        <v>662.0402662347642</v>
      </c>
      <c r="GG15" s="270">
        <f t="shared" si="29"/>
        <v>792.59268319532271</v>
      </c>
      <c r="GH15" s="270">
        <f t="shared" si="29"/>
        <v>842.65782566652854</v>
      </c>
      <c r="GI15" s="270">
        <f t="shared" si="29"/>
        <v>819.04629693898801</v>
      </c>
      <c r="GJ15" s="270" t="str">
        <f t="shared" si="29"/>
        <v/>
      </c>
      <c r="GK15" s="270" t="str">
        <f t="shared" si="29"/>
        <v/>
      </c>
      <c r="GL15" s="270" t="str">
        <f t="shared" si="29"/>
        <v/>
      </c>
      <c r="GM15" s="270" t="str">
        <f t="shared" si="29"/>
        <v/>
      </c>
      <c r="GN15" s="270" t="str">
        <f t="shared" si="29"/>
        <v/>
      </c>
      <c r="GO15" s="303"/>
      <c r="GP15" s="284">
        <f t="shared" ref="GP15:HB21" si="30">IFERROR(DX15/$DX15*100,"")</f>
        <v>100</v>
      </c>
      <c r="GQ15" s="270">
        <f t="shared" si="30"/>
        <v>100</v>
      </c>
      <c r="GR15" s="270">
        <f t="shared" si="30"/>
        <v>88.710131701986228</v>
      </c>
      <c r="GS15" s="270">
        <f t="shared" si="30"/>
        <v>88.710131701986228</v>
      </c>
      <c r="GT15" s="270">
        <f t="shared" si="30"/>
        <v>95.297484255472568</v>
      </c>
      <c r="GU15" s="270">
        <f t="shared" si="30"/>
        <v>92.109147035297028</v>
      </c>
      <c r="GV15" s="270">
        <f t="shared" si="30"/>
        <v>81.556088822793797</v>
      </c>
      <c r="GW15" s="270">
        <f t="shared" si="30"/>
        <v>81.156138394114535</v>
      </c>
      <c r="GX15" s="270">
        <f t="shared" si="30"/>
        <v>0</v>
      </c>
      <c r="GY15" s="270">
        <f t="shared" si="30"/>
        <v>0</v>
      </c>
      <c r="GZ15" s="270">
        <f t="shared" si="30"/>
        <v>0</v>
      </c>
      <c r="HA15" s="270">
        <f t="shared" si="30"/>
        <v>0</v>
      </c>
      <c r="HB15" s="270">
        <f t="shared" si="30"/>
        <v>0</v>
      </c>
      <c r="HC15" s="303"/>
      <c r="HD15" s="284">
        <f t="shared" ref="HD15:HP15" si="31">IFERROR((P15/DX15)/($P$15/$DX$15)*100,"")</f>
        <v>100</v>
      </c>
      <c r="HE15" s="270">
        <f t="shared" si="31"/>
        <v>90.764925373134318</v>
      </c>
      <c r="HF15" s="270">
        <f t="shared" si="31"/>
        <v>107.04829848092533</v>
      </c>
      <c r="HG15" s="270">
        <f t="shared" si="31"/>
        <v>119.03602542279712</v>
      </c>
      <c r="HH15" s="270">
        <f t="shared" si="31"/>
        <v>109.63312699862668</v>
      </c>
      <c r="HI15" s="270">
        <f t="shared" si="31"/>
        <v>131.25246110652989</v>
      </c>
      <c r="HJ15" s="270">
        <f t="shared" si="31"/>
        <v>139.54319265669167</v>
      </c>
      <c r="HK15" s="270">
        <f t="shared" si="31"/>
        <v>135.63314993022669</v>
      </c>
      <c r="HL15" s="270" t="str">
        <f t="shared" si="31"/>
        <v/>
      </c>
      <c r="HM15" s="270" t="str">
        <f t="shared" si="31"/>
        <v/>
      </c>
      <c r="HN15" s="270" t="str">
        <f t="shared" si="31"/>
        <v/>
      </c>
      <c r="HO15" s="270" t="str">
        <f t="shared" si="31"/>
        <v/>
      </c>
      <c r="HP15" s="270" t="str">
        <f t="shared" si="31"/>
        <v/>
      </c>
      <c r="HQ15" s="303"/>
      <c r="HR15" s="284" t="str">
        <f t="shared" ref="HR15:ID15" si="32">IFERROR(EZ15/$EZ$15*100,"")</f>
        <v/>
      </c>
      <c r="HS15" s="270" t="str">
        <f t="shared" si="32"/>
        <v/>
      </c>
      <c r="HT15" s="270" t="str">
        <f t="shared" si="32"/>
        <v/>
      </c>
      <c r="HU15" s="270" t="str">
        <f t="shared" si="32"/>
        <v/>
      </c>
      <c r="HV15" s="270" t="str">
        <f t="shared" si="32"/>
        <v/>
      </c>
      <c r="HW15" s="270" t="str">
        <f t="shared" si="32"/>
        <v/>
      </c>
      <c r="HX15" s="270" t="str">
        <f t="shared" si="32"/>
        <v/>
      </c>
      <c r="HY15" s="270" t="str">
        <f t="shared" si="32"/>
        <v/>
      </c>
      <c r="HZ15" s="270" t="str">
        <f t="shared" si="32"/>
        <v/>
      </c>
      <c r="IA15" s="270" t="str">
        <f t="shared" si="32"/>
        <v/>
      </c>
      <c r="IB15" s="270" t="str">
        <f t="shared" si="32"/>
        <v/>
      </c>
      <c r="IC15" s="270" t="str">
        <f t="shared" si="32"/>
        <v/>
      </c>
      <c r="ID15" s="288" t="str">
        <f t="shared" si="32"/>
        <v/>
      </c>
    </row>
    <row r="16" spans="1:238" x14ac:dyDescent="0.2">
      <c r="A16" s="307" t="s">
        <v>7</v>
      </c>
      <c r="B16" s="258">
        <f>+FynBus!F35</f>
        <v>195.798</v>
      </c>
      <c r="C16" s="258">
        <f>+FynBus!G35</f>
        <v>131.727</v>
      </c>
      <c r="D16" s="258">
        <f>+FynBus!H35</f>
        <v>150.04300000000001</v>
      </c>
      <c r="E16" s="258">
        <f>+FynBus!I35</f>
        <v>155.78700000000001</v>
      </c>
      <c r="F16" s="258">
        <f>+FynBus!J35</f>
        <v>160.298</v>
      </c>
      <c r="G16" s="258">
        <f>+FynBus!K35</f>
        <v>157.518</v>
      </c>
      <c r="H16" s="258">
        <f>+FynBus!L35</f>
        <v>159.358</v>
      </c>
      <c r="I16" s="258">
        <f>+FynBus!M35</f>
        <v>161.34800000000001</v>
      </c>
      <c r="J16" s="258">
        <f>+FynBus!N35</f>
        <v>153.833</v>
      </c>
      <c r="K16" s="258">
        <f>+FynBus!O35</f>
        <v>0</v>
      </c>
      <c r="L16" s="258">
        <f>+FynBus!P35</f>
        <v>0</v>
      </c>
      <c r="M16" s="258">
        <f>+FynBus!Q35</f>
        <v>0</v>
      </c>
      <c r="N16" s="258">
        <f>+FynBus!R35</f>
        <v>0</v>
      </c>
      <c r="O16" s="295"/>
      <c r="P16" s="275">
        <f>+FynBus!S35</f>
        <v>487.221</v>
      </c>
      <c r="Q16" s="258">
        <f>+FynBus!T35</f>
        <v>491.738</v>
      </c>
      <c r="R16" s="258">
        <f>+FynBus!U35</f>
        <v>511.47399999999999</v>
      </c>
      <c r="S16" s="258">
        <f>+FynBus!V35</f>
        <v>544.72</v>
      </c>
      <c r="T16" s="258">
        <f>+FynBus!W35</f>
        <v>522.83199999999999</v>
      </c>
      <c r="U16" s="258">
        <f>+FynBus!X35</f>
        <v>518.04399999999998</v>
      </c>
      <c r="V16" s="258">
        <f>+FynBus!Y35</f>
        <v>515.52099999999996</v>
      </c>
      <c r="W16" s="258">
        <f>+FynBus!Z35</f>
        <v>533.45638000978693</v>
      </c>
      <c r="X16" s="258">
        <f>+FynBus!AA35</f>
        <v>540.49900000000002</v>
      </c>
      <c r="Y16" s="258">
        <f>+FynBus!AB35</f>
        <v>0</v>
      </c>
      <c r="Z16" s="258">
        <f>+FynBus!AC35</f>
        <v>0</v>
      </c>
      <c r="AA16" s="258">
        <f>+FynBus!AD35</f>
        <v>0</v>
      </c>
      <c r="AB16" s="258">
        <f>+FynBus!AE35</f>
        <v>0</v>
      </c>
      <c r="AC16" s="295"/>
      <c r="AD16" s="275">
        <f>+FynBus!AF35</f>
        <v>77.950999999999993</v>
      </c>
      <c r="AE16" s="258">
        <f>+FynBus!AG35</f>
        <v>79.03</v>
      </c>
      <c r="AF16" s="258">
        <f>+FynBus!AH35</f>
        <v>80.625</v>
      </c>
      <c r="AG16" s="258">
        <f>+FynBus!AI35</f>
        <v>84.575000000000003</v>
      </c>
      <c r="AH16" s="258">
        <f>+FynBus!AJ35</f>
        <v>84.192999999999998</v>
      </c>
      <c r="AI16" s="258">
        <f>+FynBus!AK35</f>
        <v>85.188999999999993</v>
      </c>
      <c r="AJ16" s="258">
        <f>+FynBus!AL35</f>
        <v>83.870999999999995</v>
      </c>
      <c r="AK16" s="258">
        <f>+FynBus!AM35</f>
        <v>95.754999999999995</v>
      </c>
      <c r="AL16" s="258">
        <f>+FynBus!AN35</f>
        <v>95.256</v>
      </c>
      <c r="AM16" s="258">
        <f>+FynBus!AO35</f>
        <v>0</v>
      </c>
      <c r="AN16" s="258">
        <f>+FynBus!AP35</f>
        <v>0</v>
      </c>
      <c r="AO16" s="258">
        <f>+FynBus!AQ35</f>
        <v>0</v>
      </c>
      <c r="AP16" s="258">
        <f>+FynBus!AR35</f>
        <v>0</v>
      </c>
      <c r="AQ16" s="295"/>
      <c r="AR16" s="275">
        <f>+FynBus!AS35</f>
        <v>0</v>
      </c>
      <c r="AS16" s="258">
        <f>+FynBus!AT35</f>
        <v>0</v>
      </c>
      <c r="AT16" s="258">
        <f>+FynBus!AU35</f>
        <v>0</v>
      </c>
      <c r="AU16" s="258">
        <f>+FynBus!AV35</f>
        <v>0</v>
      </c>
      <c r="AV16" s="258">
        <f>+FynBus!AW35</f>
        <v>0</v>
      </c>
      <c r="AW16" s="258">
        <f>+FynBus!AX35</f>
        <v>0</v>
      </c>
      <c r="AX16" s="258">
        <f>+FynBus!AY35</f>
        <v>0</v>
      </c>
      <c r="AY16" s="258">
        <f>+FynBus!AZ35</f>
        <v>0</v>
      </c>
      <c r="AZ16" s="258">
        <f>+FynBus!BA35</f>
        <v>0</v>
      </c>
      <c r="BA16" s="258">
        <f>+FynBus!BB35</f>
        <v>0</v>
      </c>
      <c r="BB16" s="258">
        <f>+FynBus!BC35</f>
        <v>0</v>
      </c>
      <c r="BC16" s="258">
        <f>+FynBus!BD35</f>
        <v>0</v>
      </c>
      <c r="BD16" s="258">
        <f>+FynBus!BE35</f>
        <v>0</v>
      </c>
      <c r="BE16" s="295"/>
      <c r="BF16" s="275">
        <f>+FynBus!BF35</f>
        <v>0</v>
      </c>
      <c r="BG16" s="258">
        <f>+FynBus!BG35</f>
        <v>0</v>
      </c>
      <c r="BH16" s="258">
        <f>+FynBus!BH35</f>
        <v>0</v>
      </c>
      <c r="BI16" s="258">
        <f>+FynBus!BI35</f>
        <v>0</v>
      </c>
      <c r="BJ16" s="258">
        <f>+FynBus!BJ35</f>
        <v>0</v>
      </c>
      <c r="BK16" s="258">
        <f>+FynBus!BK35</f>
        <v>0</v>
      </c>
      <c r="BL16" s="258">
        <f>+FynBus!BL35</f>
        <v>0</v>
      </c>
      <c r="BM16" s="258">
        <f>+FynBus!BM35</f>
        <v>0</v>
      </c>
      <c r="BN16" s="258">
        <f>+FynBus!BN35</f>
        <v>0</v>
      </c>
      <c r="BO16" s="258">
        <f>+FynBus!BO35</f>
        <v>0</v>
      </c>
      <c r="BP16" s="258">
        <f>+FynBus!BP35</f>
        <v>0</v>
      </c>
      <c r="BQ16" s="258">
        <f>+FynBus!BQ35</f>
        <v>0</v>
      </c>
      <c r="BR16" s="258">
        <f>+FynBus!BR35</f>
        <v>0</v>
      </c>
      <c r="BS16" s="295"/>
      <c r="BT16" s="278">
        <f>+FynBus!BS35</f>
        <v>0</v>
      </c>
      <c r="BU16" s="259">
        <f>+FynBus!BT35</f>
        <v>0</v>
      </c>
      <c r="BV16" s="259">
        <f>+FynBus!BU35</f>
        <v>0</v>
      </c>
      <c r="BW16" s="259">
        <f>+FynBus!BV35</f>
        <v>0</v>
      </c>
      <c r="BX16" s="259">
        <f>+FynBus!BW35</f>
        <v>0</v>
      </c>
      <c r="BY16" s="259">
        <f>+FynBus!BX35</f>
        <v>0</v>
      </c>
      <c r="BZ16" s="259">
        <f>+FynBus!BY35</f>
        <v>0</v>
      </c>
      <c r="CA16" s="259">
        <f>+FynBus!BZ35</f>
        <v>0</v>
      </c>
      <c r="CB16" s="259">
        <f>+FynBus!CA35</f>
        <v>0</v>
      </c>
      <c r="CC16" s="259">
        <f>+FynBus!CB35</f>
        <v>0</v>
      </c>
      <c r="CD16" s="259">
        <f>+FynBus!CC35</f>
        <v>0</v>
      </c>
      <c r="CE16" s="259">
        <f>+FynBus!CD35</f>
        <v>0</v>
      </c>
      <c r="CF16" s="259">
        <f>+FynBus!CE35</f>
        <v>0</v>
      </c>
      <c r="CG16" s="297"/>
      <c r="CH16" s="278">
        <f>+FynBus!CF35</f>
        <v>0</v>
      </c>
      <c r="CI16" s="259">
        <f>+FynBus!CG35</f>
        <v>0</v>
      </c>
      <c r="CJ16" s="259">
        <f>+FynBus!CH35</f>
        <v>0</v>
      </c>
      <c r="CK16" s="259">
        <f>+FynBus!CI35</f>
        <v>0</v>
      </c>
      <c r="CL16" s="259">
        <f>+FynBus!CJ35</f>
        <v>0</v>
      </c>
      <c r="CM16" s="259">
        <f>+FynBus!CK35</f>
        <v>0</v>
      </c>
      <c r="CN16" s="259">
        <f>+FynBus!CL35</f>
        <v>0</v>
      </c>
      <c r="CO16" s="259">
        <f>+FynBus!CM35</f>
        <v>0</v>
      </c>
      <c r="CP16" s="259">
        <f>+FynBus!CN35</f>
        <v>0</v>
      </c>
      <c r="CQ16" s="259">
        <f>+FynBus!CO35</f>
        <v>0</v>
      </c>
      <c r="CR16" s="259">
        <f>+FynBus!CP35</f>
        <v>0</v>
      </c>
      <c r="CS16" s="259">
        <f>+FynBus!CQ35</f>
        <v>0</v>
      </c>
      <c r="CT16" s="259">
        <f>+FynBus!CR35</f>
        <v>0</v>
      </c>
      <c r="CU16" s="297"/>
      <c r="CV16" s="278">
        <f>+FynBus!CS35</f>
        <v>0</v>
      </c>
      <c r="CW16" s="259">
        <f>+FynBus!CT35</f>
        <v>0</v>
      </c>
      <c r="CX16" s="259">
        <f>+FynBus!CU35</f>
        <v>0</v>
      </c>
      <c r="CY16" s="259">
        <f>+FynBus!CV35</f>
        <v>0</v>
      </c>
      <c r="CZ16" s="259">
        <f>+FynBus!CW35</f>
        <v>0</v>
      </c>
      <c r="DA16" s="259">
        <f>+FynBus!CX35</f>
        <v>0</v>
      </c>
      <c r="DB16" s="259">
        <f>+FynBus!CY35</f>
        <v>0</v>
      </c>
      <c r="DC16" s="259">
        <f>+FynBus!CZ35</f>
        <v>0</v>
      </c>
      <c r="DD16" s="259">
        <f>+FynBus!DA35</f>
        <v>0</v>
      </c>
      <c r="DE16" s="259">
        <f>+FynBus!DB35</f>
        <v>0</v>
      </c>
      <c r="DF16" s="259">
        <f>+FynBus!DC35</f>
        <v>0</v>
      </c>
      <c r="DG16" s="259">
        <f>+FynBus!DD35</f>
        <v>0</v>
      </c>
      <c r="DH16" s="259">
        <f>+FynBus!DE35</f>
        <v>0</v>
      </c>
      <c r="DI16" s="297"/>
      <c r="DJ16" s="280">
        <f>+FynBus!DF35</f>
        <v>0</v>
      </c>
      <c r="DK16" s="260">
        <f>+FynBus!DG35</f>
        <v>0</v>
      </c>
      <c r="DL16" s="260">
        <f>+FynBus!DH35</f>
        <v>0</v>
      </c>
      <c r="DM16" s="260">
        <f>+FynBus!DI35</f>
        <v>0</v>
      </c>
      <c r="DN16" s="260">
        <f>+FynBus!DJ35</f>
        <v>0</v>
      </c>
      <c r="DO16" s="260">
        <f>+FynBus!DK35</f>
        <v>0</v>
      </c>
      <c r="DP16" s="260">
        <f>+FynBus!DL35</f>
        <v>0</v>
      </c>
      <c r="DQ16" s="260">
        <f>+FynBus!DM35</f>
        <v>0</v>
      </c>
      <c r="DR16" s="260">
        <f>+FynBus!DN35</f>
        <v>0</v>
      </c>
      <c r="DS16" s="260">
        <f>+FynBus!DO35</f>
        <v>0</v>
      </c>
      <c r="DT16" s="260">
        <f>+FynBus!DP35</f>
        <v>0</v>
      </c>
      <c r="DU16" s="260">
        <f>+FynBus!DQ35</f>
        <v>0</v>
      </c>
      <c r="DV16" s="260">
        <f>+FynBus!DR35</f>
        <v>0</v>
      </c>
      <c r="DW16" s="299"/>
      <c r="DX16" s="282">
        <f>+FynBus!DS35</f>
        <v>613716</v>
      </c>
      <c r="DY16" s="261">
        <f>+FynBus!DT35</f>
        <v>612621</v>
      </c>
      <c r="DZ16" s="261">
        <f>+FynBus!DU35</f>
        <v>613426</v>
      </c>
      <c r="EA16" s="261">
        <f>+FynBus!DV35</f>
        <v>594508</v>
      </c>
      <c r="EB16" s="261">
        <f>+FynBus!DW35</f>
        <v>556367</v>
      </c>
      <c r="EC16" s="261">
        <f>+FynBus!DX35</f>
        <v>547218</v>
      </c>
      <c r="ED16" s="261">
        <f>+FynBus!DY35</f>
        <v>551266</v>
      </c>
      <c r="EE16" s="261">
        <f>+FynBus!DZ35</f>
        <v>548559</v>
      </c>
      <c r="EF16" s="261">
        <f>+FynBus!EA35</f>
        <v>552035</v>
      </c>
      <c r="EG16" s="261">
        <f>+FynBus!EB35</f>
        <v>0</v>
      </c>
      <c r="EH16" s="261">
        <f>+FynBus!EC35</f>
        <v>0</v>
      </c>
      <c r="EI16" s="261">
        <f>+FynBus!ED35</f>
        <v>0</v>
      </c>
      <c r="EJ16" s="261">
        <f>+FynBus!EE35</f>
        <v>0</v>
      </c>
      <c r="EK16" s="301"/>
      <c r="EL16" s="282">
        <f>+FynBus!EF35</f>
        <v>0</v>
      </c>
      <c r="EM16" s="261">
        <f>+FynBus!EG35</f>
        <v>0</v>
      </c>
      <c r="EN16" s="261">
        <f>+FynBus!EH35</f>
        <v>0</v>
      </c>
      <c r="EO16" s="261">
        <f>+FynBus!EI35</f>
        <v>0</v>
      </c>
      <c r="EP16" s="261">
        <f>+FynBus!EJ35</f>
        <v>0</v>
      </c>
      <c r="EQ16" s="261">
        <f>+FynBus!EK35</f>
        <v>0</v>
      </c>
      <c r="ER16" s="261">
        <f>+FynBus!EL35</f>
        <v>0</v>
      </c>
      <c r="ES16" s="261">
        <f>+FynBus!EM35</f>
        <v>0</v>
      </c>
      <c r="ET16" s="261">
        <f>+FynBus!EN35</f>
        <v>0</v>
      </c>
      <c r="EU16" s="261">
        <f>+FynBus!EO35</f>
        <v>0</v>
      </c>
      <c r="EV16" s="261">
        <f>+FynBus!EP35</f>
        <v>0</v>
      </c>
      <c r="EW16" s="261">
        <f>+FynBus!EQ35</f>
        <v>0</v>
      </c>
      <c r="EX16" s="261">
        <f>+FynBus!ER35</f>
        <v>0</v>
      </c>
      <c r="EY16" s="301"/>
      <c r="EZ16" s="282">
        <f>+FynBus!ES35</f>
        <v>14521000</v>
      </c>
      <c r="FA16" s="261">
        <f>+FynBus!ET35</f>
        <v>9472000</v>
      </c>
      <c r="FB16" s="261">
        <f>+FynBus!EU35</f>
        <v>8938000</v>
      </c>
      <c r="FC16" s="261">
        <f>+FynBus!EV35</f>
        <v>11162000</v>
      </c>
      <c r="FD16" s="261">
        <f>+FynBus!EW35</f>
        <v>11074000</v>
      </c>
      <c r="FE16" s="261">
        <f>+FynBus!EX35</f>
        <v>11301000</v>
      </c>
      <c r="FF16" s="261">
        <f>+FynBus!EY35</f>
        <v>10962000</v>
      </c>
      <c r="FG16" s="261">
        <f>+FynBus!EZ35</f>
        <v>10971000</v>
      </c>
      <c r="FH16" s="261">
        <f>+FynBus!FA35</f>
        <v>10519000</v>
      </c>
      <c r="FI16" s="261">
        <f>+FynBus!FB35</f>
        <v>0</v>
      </c>
      <c r="FJ16" s="261">
        <f>+FynBus!FC35</f>
        <v>0</v>
      </c>
      <c r="FK16" s="261">
        <f>+FynBus!FD35</f>
        <v>0</v>
      </c>
      <c r="FL16" s="261">
        <f>+FynBus!FE35</f>
        <v>0</v>
      </c>
      <c r="FM16" s="301"/>
      <c r="FN16" s="282">
        <f>+FynBus!FF35</f>
        <v>0</v>
      </c>
      <c r="FO16" s="261">
        <f>+FynBus!FG35</f>
        <v>0</v>
      </c>
      <c r="FP16" s="261">
        <f>+FynBus!FH35</f>
        <v>0</v>
      </c>
      <c r="FQ16" s="261">
        <f>+FynBus!FI35</f>
        <v>0</v>
      </c>
      <c r="FR16" s="261">
        <f>+FynBus!FJ35</f>
        <v>0</v>
      </c>
      <c r="FS16" s="261">
        <f>+FynBus!FK35</f>
        <v>0</v>
      </c>
      <c r="FT16" s="261">
        <f>+FynBus!FL35</f>
        <v>0</v>
      </c>
      <c r="FU16" s="261">
        <f>+FynBus!FM35</f>
        <v>0</v>
      </c>
      <c r="FV16" s="261">
        <f>+FynBus!FN35</f>
        <v>0</v>
      </c>
      <c r="FW16" s="261">
        <f>+FynBus!FO35</f>
        <v>0</v>
      </c>
      <c r="FX16" s="261">
        <f>+FynBus!FP35</f>
        <v>0</v>
      </c>
      <c r="FY16" s="261">
        <f>+FynBus!FQ35</f>
        <v>0</v>
      </c>
      <c r="FZ16" s="261">
        <f>+FynBus!FR35</f>
        <v>0</v>
      </c>
      <c r="GA16" s="301"/>
      <c r="GB16" s="284">
        <f t="shared" si="29"/>
        <v>793.88674891969572</v>
      </c>
      <c r="GC16" s="270">
        <f t="shared" si="29"/>
        <v>802.67898096865758</v>
      </c>
      <c r="GD16" s="270">
        <f t="shared" si="29"/>
        <v>833.79902384313675</v>
      </c>
      <c r="GE16" s="270">
        <f t="shared" si="29"/>
        <v>916.25343981914455</v>
      </c>
      <c r="GF16" s="270">
        <f t="shared" si="29"/>
        <v>939.72503761006669</v>
      </c>
      <c r="GG16" s="270">
        <f t="shared" si="29"/>
        <v>946.68669524759787</v>
      </c>
      <c r="GH16" s="270">
        <f t="shared" si="29"/>
        <v>935.15834461040572</v>
      </c>
      <c r="GI16" s="270">
        <f t="shared" si="29"/>
        <v>972.46855855028707</v>
      </c>
      <c r="GJ16" s="270">
        <f t="shared" si="29"/>
        <v>979.10277428061625</v>
      </c>
      <c r="GK16" s="270" t="str">
        <f t="shared" si="29"/>
        <v/>
      </c>
      <c r="GL16" s="270" t="str">
        <f t="shared" si="29"/>
        <v/>
      </c>
      <c r="GM16" s="270" t="str">
        <f t="shared" si="29"/>
        <v/>
      </c>
      <c r="GN16" s="270" t="str">
        <f t="shared" si="29"/>
        <v/>
      </c>
      <c r="GO16" s="303"/>
      <c r="GP16" s="284">
        <f t="shared" si="30"/>
        <v>100</v>
      </c>
      <c r="GQ16" s="270">
        <f t="shared" si="30"/>
        <v>99.821578710674004</v>
      </c>
      <c r="GR16" s="270">
        <f t="shared" si="30"/>
        <v>99.952746873146538</v>
      </c>
      <c r="GS16" s="270">
        <f t="shared" si="30"/>
        <v>96.870213584133381</v>
      </c>
      <c r="GT16" s="270">
        <f t="shared" si="30"/>
        <v>90.655449752002554</v>
      </c>
      <c r="GU16" s="270">
        <f t="shared" si="30"/>
        <v>89.164695070684161</v>
      </c>
      <c r="GV16" s="270">
        <f t="shared" si="30"/>
        <v>89.8242835448318</v>
      </c>
      <c r="GW16" s="270">
        <f t="shared" si="30"/>
        <v>89.383200046927243</v>
      </c>
      <c r="GX16" s="270">
        <f t="shared" si="30"/>
        <v>89.949585801901861</v>
      </c>
      <c r="GY16" s="270">
        <f t="shared" si="30"/>
        <v>0</v>
      </c>
      <c r="GZ16" s="270">
        <f t="shared" si="30"/>
        <v>0</v>
      </c>
      <c r="HA16" s="270">
        <f t="shared" si="30"/>
        <v>0</v>
      </c>
      <c r="HB16" s="270">
        <f t="shared" si="30"/>
        <v>0</v>
      </c>
      <c r="HC16" s="303"/>
      <c r="HD16" s="284">
        <f t="shared" ref="HD16:HP16" si="33">IFERROR((P16/DX16)/($P$16/$DX$16)*100,"")</f>
        <v>100</v>
      </c>
      <c r="HE16" s="270">
        <f t="shared" si="33"/>
        <v>101.10749197677453</v>
      </c>
      <c r="HF16" s="270">
        <f t="shared" si="33"/>
        <v>105.0274519605917</v>
      </c>
      <c r="HG16" s="270">
        <f t="shared" si="33"/>
        <v>115.41362052786029</v>
      </c>
      <c r="HH16" s="270">
        <f t="shared" si="33"/>
        <v>118.37016285872319</v>
      </c>
      <c r="HI16" s="270">
        <f t="shared" si="33"/>
        <v>119.24707101306693</v>
      </c>
      <c r="HJ16" s="270">
        <f t="shared" si="33"/>
        <v>117.79493055942167</v>
      </c>
      <c r="HK16" s="270">
        <f t="shared" si="33"/>
        <v>122.49462028099116</v>
      </c>
      <c r="HL16" s="270">
        <f t="shared" si="33"/>
        <v>123.33028301744029</v>
      </c>
      <c r="HM16" s="270" t="str">
        <f t="shared" si="33"/>
        <v/>
      </c>
      <c r="HN16" s="270" t="str">
        <f t="shared" si="33"/>
        <v/>
      </c>
      <c r="HO16" s="270" t="str">
        <f t="shared" si="33"/>
        <v/>
      </c>
      <c r="HP16" s="270" t="str">
        <f t="shared" si="33"/>
        <v/>
      </c>
      <c r="HQ16" s="303"/>
      <c r="HR16" s="284">
        <f t="shared" ref="HR16:ID16" si="34">IFERROR(EZ16/$EZ$16*100,"")</f>
        <v>100</v>
      </c>
      <c r="HS16" s="270">
        <f t="shared" si="34"/>
        <v>65.229667378279728</v>
      </c>
      <c r="HT16" s="270">
        <f t="shared" si="34"/>
        <v>61.552234694580264</v>
      </c>
      <c r="HU16" s="270">
        <f t="shared" si="34"/>
        <v>76.867984298602025</v>
      </c>
      <c r="HV16" s="270">
        <f t="shared" si="34"/>
        <v>76.261965429378137</v>
      </c>
      <c r="HW16" s="270">
        <f t="shared" si="34"/>
        <v>77.825218648853394</v>
      </c>
      <c r="HX16" s="270">
        <f t="shared" si="34"/>
        <v>75.490668686729563</v>
      </c>
      <c r="HY16" s="270">
        <f t="shared" si="34"/>
        <v>75.552647889263824</v>
      </c>
      <c r="HZ16" s="270">
        <f t="shared" si="34"/>
        <v>72.439914606432069</v>
      </c>
      <c r="IA16" s="270">
        <f t="shared" si="34"/>
        <v>0</v>
      </c>
      <c r="IB16" s="270">
        <f t="shared" si="34"/>
        <v>0</v>
      </c>
      <c r="IC16" s="270">
        <f t="shared" si="34"/>
        <v>0</v>
      </c>
      <c r="ID16" s="288">
        <f t="shared" si="34"/>
        <v>0</v>
      </c>
    </row>
    <row r="17" spans="1:238" x14ac:dyDescent="0.2">
      <c r="A17" s="307" t="s">
        <v>9</v>
      </c>
      <c r="B17" s="258">
        <f>+'Midttrafik '!F35</f>
        <v>685.5</v>
      </c>
      <c r="C17" s="258">
        <f>+'Midttrafik '!G35</f>
        <v>479.2</v>
      </c>
      <c r="D17" s="258">
        <f>+'Midttrafik '!H35</f>
        <v>446.6</v>
      </c>
      <c r="E17" s="258">
        <f>+'Midttrafik '!I35</f>
        <v>630.4</v>
      </c>
      <c r="F17" s="258">
        <f>+'Midttrafik '!J35</f>
        <v>677.2</v>
      </c>
      <c r="G17" s="258">
        <f>+'Midttrafik '!K35</f>
        <v>718</v>
      </c>
      <c r="H17" s="258">
        <f>+'Midttrafik '!L35</f>
        <v>695.17090900000005</v>
      </c>
      <c r="I17" s="258">
        <f>+'Midttrafik '!M35</f>
        <v>711.61500000000001</v>
      </c>
      <c r="J17" s="258">
        <f>+'Midttrafik '!N35</f>
        <v>702.69299999999998</v>
      </c>
      <c r="K17" s="258">
        <f>+'Midttrafik '!O35</f>
        <v>0</v>
      </c>
      <c r="L17" s="258">
        <f>+'Midttrafik '!P35</f>
        <v>0</v>
      </c>
      <c r="M17" s="258">
        <f>+'Midttrafik '!Q35</f>
        <v>0</v>
      </c>
      <c r="N17" s="258">
        <f>+'Midttrafik '!R35</f>
        <v>0</v>
      </c>
      <c r="O17" s="295"/>
      <c r="P17" s="275">
        <f>+'Midttrafik '!S35</f>
        <v>1399</v>
      </c>
      <c r="Q17" s="258">
        <f>+'Midttrafik '!T35</f>
        <v>1369.8999999999999</v>
      </c>
      <c r="R17" s="258">
        <f>+'Midttrafik '!U35</f>
        <v>1409.8999999999999</v>
      </c>
      <c r="S17" s="258">
        <f>+'Midttrafik '!V35</f>
        <v>1539</v>
      </c>
      <c r="T17" s="258">
        <f>+'Midttrafik '!W35</f>
        <v>1473.3</v>
      </c>
      <c r="U17" s="258">
        <f>+'Midttrafik '!X35</f>
        <v>1494.4</v>
      </c>
      <c r="V17" s="258">
        <f>+'Midttrafik '!Y35</f>
        <v>1483.1487540000001</v>
      </c>
      <c r="W17" s="258">
        <f>+'Midttrafik '!Z35</f>
        <v>1482.0095999999999</v>
      </c>
      <c r="X17" s="258">
        <f>+'Midttrafik '!AA35</f>
        <v>1495.4270000000001</v>
      </c>
      <c r="Y17" s="258">
        <f>+'Midttrafik '!AB35</f>
        <v>0</v>
      </c>
      <c r="Z17" s="258">
        <f>+'Midttrafik '!AC35</f>
        <v>0</v>
      </c>
      <c r="AA17" s="258">
        <f>+'Midttrafik '!AD35</f>
        <v>0</v>
      </c>
      <c r="AB17" s="258">
        <f>+'Midttrafik '!AE35</f>
        <v>0</v>
      </c>
      <c r="AC17" s="295"/>
      <c r="AD17" s="275">
        <f>+'Midttrafik '!AF35</f>
        <v>0</v>
      </c>
      <c r="AE17" s="258">
        <f>+'Midttrafik '!AG35</f>
        <v>0</v>
      </c>
      <c r="AF17" s="258">
        <f>+'Midttrafik '!AH35</f>
        <v>0</v>
      </c>
      <c r="AG17" s="258">
        <f>+'Midttrafik '!AI35</f>
        <v>0</v>
      </c>
      <c r="AH17" s="258">
        <f>+'Midttrafik '!AJ35</f>
        <v>0</v>
      </c>
      <c r="AI17" s="258">
        <f>+'Midttrafik '!AK35</f>
        <v>0</v>
      </c>
      <c r="AJ17" s="258">
        <f>+'Midttrafik '!AL35</f>
        <v>0</v>
      </c>
      <c r="AK17" s="258">
        <f>+'Midttrafik '!AM35</f>
        <v>0</v>
      </c>
      <c r="AL17" s="258">
        <f>+'Midttrafik '!AN35</f>
        <v>0</v>
      </c>
      <c r="AM17" s="258">
        <f>+'Midttrafik '!AO35</f>
        <v>0</v>
      </c>
      <c r="AN17" s="258">
        <f>+'Midttrafik '!AP35</f>
        <v>0</v>
      </c>
      <c r="AO17" s="258">
        <f>+'Midttrafik '!AQ35</f>
        <v>0</v>
      </c>
      <c r="AP17" s="258">
        <f>+'Midttrafik '!AR35</f>
        <v>0</v>
      </c>
      <c r="AQ17" s="295"/>
      <c r="AR17" s="275">
        <f>+'Midttrafik '!AS35</f>
        <v>0</v>
      </c>
      <c r="AS17" s="258">
        <f>+'Midttrafik '!AT35</f>
        <v>0</v>
      </c>
      <c r="AT17" s="258">
        <f>+'Midttrafik '!AU35</f>
        <v>0</v>
      </c>
      <c r="AU17" s="258">
        <f>+'Midttrafik '!AV35</f>
        <v>0</v>
      </c>
      <c r="AV17" s="258">
        <f>+'Midttrafik '!AW35</f>
        <v>0</v>
      </c>
      <c r="AW17" s="258">
        <f>+'Midttrafik '!AX35</f>
        <v>0</v>
      </c>
      <c r="AX17" s="258">
        <f>+'Midttrafik '!AY35</f>
        <v>0</v>
      </c>
      <c r="AY17" s="258">
        <f>+'Midttrafik '!AZ35</f>
        <v>0</v>
      </c>
      <c r="AZ17" s="258">
        <f>+'Midttrafik '!BA35</f>
        <v>0</v>
      </c>
      <c r="BA17" s="258">
        <f>+'Midttrafik '!BB35</f>
        <v>0</v>
      </c>
      <c r="BB17" s="258">
        <f>+'Midttrafik '!BC35</f>
        <v>0</v>
      </c>
      <c r="BC17" s="258">
        <f>+'Midttrafik '!BD35</f>
        <v>0</v>
      </c>
      <c r="BD17" s="258">
        <f>+'Midttrafik '!BE35</f>
        <v>0</v>
      </c>
      <c r="BE17" s="295"/>
      <c r="BF17" s="275">
        <f>+'Midttrafik '!BF35</f>
        <v>0</v>
      </c>
      <c r="BG17" s="258">
        <f>+'Midttrafik '!BG35</f>
        <v>0</v>
      </c>
      <c r="BH17" s="258">
        <f>+'Midttrafik '!BH35</f>
        <v>0</v>
      </c>
      <c r="BI17" s="258">
        <f>+'Midttrafik '!BI35</f>
        <v>0</v>
      </c>
      <c r="BJ17" s="258">
        <f>+'Midttrafik '!BJ35</f>
        <v>0</v>
      </c>
      <c r="BK17" s="258">
        <f>+'Midttrafik '!BK35</f>
        <v>0</v>
      </c>
      <c r="BL17" s="258">
        <f>+'Midttrafik '!BL35</f>
        <v>0</v>
      </c>
      <c r="BM17" s="258">
        <f>+'Midttrafik '!BM35</f>
        <v>0</v>
      </c>
      <c r="BN17" s="258">
        <f>+'Midttrafik '!BN35</f>
        <v>0</v>
      </c>
      <c r="BO17" s="258">
        <f>+'Midttrafik '!BO35</f>
        <v>0</v>
      </c>
      <c r="BP17" s="258">
        <f>+'Midttrafik '!BP35</f>
        <v>0</v>
      </c>
      <c r="BQ17" s="258">
        <f>+'Midttrafik '!BQ35</f>
        <v>0</v>
      </c>
      <c r="BR17" s="258">
        <f>+'Midttrafik '!BR35</f>
        <v>0</v>
      </c>
      <c r="BS17" s="295"/>
      <c r="BT17" s="278">
        <f>+'Midttrafik '!BS35</f>
        <v>0</v>
      </c>
      <c r="BU17" s="259">
        <f>+'Midttrafik '!BT35</f>
        <v>222.6</v>
      </c>
      <c r="BV17" s="259">
        <f>+'Midttrafik '!BU35</f>
        <v>226.6</v>
      </c>
      <c r="BW17" s="259">
        <f>+'Midttrafik '!BV35</f>
        <v>53</v>
      </c>
      <c r="BX17" s="259">
        <f>+'Midttrafik '!BW35</f>
        <v>30</v>
      </c>
      <c r="BY17" s="259">
        <f>+'Midttrafik '!BX35</f>
        <v>0</v>
      </c>
      <c r="BZ17" s="259">
        <f>+'Midttrafik '!BY35</f>
        <v>0</v>
      </c>
      <c r="CA17" s="259">
        <f>+'Midttrafik '!BZ35</f>
        <v>0</v>
      </c>
      <c r="CB17" s="259">
        <f>+'Midttrafik '!CA35</f>
        <v>0</v>
      </c>
      <c r="CC17" s="259">
        <f>+'Midttrafik '!CB35</f>
        <v>0</v>
      </c>
      <c r="CD17" s="259">
        <f>+'Midttrafik '!CC35</f>
        <v>0</v>
      </c>
      <c r="CE17" s="259">
        <f>+'Midttrafik '!CD35</f>
        <v>0</v>
      </c>
      <c r="CF17" s="259">
        <f>+'Midttrafik '!CE35</f>
        <v>0</v>
      </c>
      <c r="CG17" s="297"/>
      <c r="CH17" s="278">
        <f>+'Midttrafik '!CF35</f>
        <v>0</v>
      </c>
      <c r="CI17" s="259">
        <f>+'Midttrafik '!CG35</f>
        <v>0</v>
      </c>
      <c r="CJ17" s="259">
        <f>+'Midttrafik '!CH35</f>
        <v>0</v>
      </c>
      <c r="CK17" s="259">
        <f>+'Midttrafik '!CI35</f>
        <v>0</v>
      </c>
      <c r="CL17" s="259">
        <f>+'Midttrafik '!CJ35</f>
        <v>0</v>
      </c>
      <c r="CM17" s="259">
        <f>+'Midttrafik '!CK35</f>
        <v>0</v>
      </c>
      <c r="CN17" s="259">
        <f>+'Midttrafik '!CL35</f>
        <v>0</v>
      </c>
      <c r="CO17" s="259">
        <f>+'Midttrafik '!CM35</f>
        <v>0</v>
      </c>
      <c r="CP17" s="259">
        <f>+'Midttrafik '!CN35</f>
        <v>0</v>
      </c>
      <c r="CQ17" s="259">
        <f>+'Midttrafik '!CO35</f>
        <v>0</v>
      </c>
      <c r="CR17" s="259">
        <f>+'Midttrafik '!CP35</f>
        <v>0</v>
      </c>
      <c r="CS17" s="259">
        <f>+'Midttrafik '!CQ35</f>
        <v>0</v>
      </c>
      <c r="CT17" s="259">
        <f>+'Midttrafik '!CR35</f>
        <v>0</v>
      </c>
      <c r="CU17" s="297"/>
      <c r="CV17" s="278">
        <f>+'Midttrafik '!CS35</f>
        <v>0</v>
      </c>
      <c r="CW17" s="259">
        <f>+'Midttrafik '!CT35</f>
        <v>0</v>
      </c>
      <c r="CX17" s="259">
        <f>+'Midttrafik '!CU35</f>
        <v>0</v>
      </c>
      <c r="CY17" s="259">
        <f>+'Midttrafik '!CV35</f>
        <v>0</v>
      </c>
      <c r="CZ17" s="259">
        <f>+'Midttrafik '!CW35</f>
        <v>0</v>
      </c>
      <c r="DA17" s="259">
        <f>+'Midttrafik '!CX35</f>
        <v>0</v>
      </c>
      <c r="DB17" s="259">
        <f>+'Midttrafik '!CY35</f>
        <v>0</v>
      </c>
      <c r="DC17" s="259">
        <f>+'Midttrafik '!CZ35</f>
        <v>0</v>
      </c>
      <c r="DD17" s="259">
        <f>+'Midttrafik '!DA35</f>
        <v>0</v>
      </c>
      <c r="DE17" s="259">
        <f>+'Midttrafik '!DB35</f>
        <v>0</v>
      </c>
      <c r="DF17" s="259">
        <f>+'Midttrafik '!DC35</f>
        <v>0</v>
      </c>
      <c r="DG17" s="259">
        <f>+'Midttrafik '!DD35</f>
        <v>0</v>
      </c>
      <c r="DH17" s="259">
        <f>+'Midttrafik '!DE35</f>
        <v>0</v>
      </c>
      <c r="DI17" s="297"/>
      <c r="DJ17" s="280">
        <f>+'Midttrafik '!DF35</f>
        <v>0</v>
      </c>
      <c r="DK17" s="260">
        <f>+'Midttrafik '!DG35</f>
        <v>0</v>
      </c>
      <c r="DL17" s="260">
        <f>+'Midttrafik '!DH35</f>
        <v>0</v>
      </c>
      <c r="DM17" s="260">
        <f>+'Midttrafik '!DI35</f>
        <v>0</v>
      </c>
      <c r="DN17" s="260">
        <f>+'Midttrafik '!DJ35</f>
        <v>0</v>
      </c>
      <c r="DO17" s="260">
        <f>+'Midttrafik '!DK35</f>
        <v>0</v>
      </c>
      <c r="DP17" s="260">
        <f>+'Midttrafik '!DL35</f>
        <v>0</v>
      </c>
      <c r="DQ17" s="260">
        <f>+'Midttrafik '!DM35</f>
        <v>0</v>
      </c>
      <c r="DR17" s="260">
        <f>+'Midttrafik '!DN35</f>
        <v>0</v>
      </c>
      <c r="DS17" s="260">
        <f>+'Midttrafik '!DO35</f>
        <v>0</v>
      </c>
      <c r="DT17" s="260">
        <f>+'Midttrafik '!DP35</f>
        <v>0</v>
      </c>
      <c r="DU17" s="260">
        <f>+'Midttrafik '!DQ35</f>
        <v>0</v>
      </c>
      <c r="DV17" s="260">
        <f>+'Midttrafik '!DR35</f>
        <v>0</v>
      </c>
      <c r="DW17" s="299"/>
      <c r="DX17" s="282">
        <f>+'Midttrafik '!DS35</f>
        <v>1895043.8900000001</v>
      </c>
      <c r="DY17" s="261">
        <f>+'Midttrafik '!DT35</f>
        <v>1854608.2681637742</v>
      </c>
      <c r="DZ17" s="261">
        <f>+'Midttrafik '!DU35</f>
        <v>1854469.5999999999</v>
      </c>
      <c r="EA17" s="261">
        <f>+'Midttrafik '!DV35</f>
        <v>1847285.9966666664</v>
      </c>
      <c r="EB17" s="261">
        <f>+'Midttrafik '!DW35</f>
        <v>1791486.2067735051</v>
      </c>
      <c r="EC17" s="261">
        <f>+'Midttrafik '!DX35</f>
        <v>1713778.3827839969</v>
      </c>
      <c r="ED17" s="261">
        <f>+'Midttrafik '!DY35</f>
        <v>1655443</v>
      </c>
      <c r="EE17" s="261">
        <f>+'Midttrafik '!DZ35</f>
        <v>1647967</v>
      </c>
      <c r="EF17" s="261">
        <f>+'Midttrafik '!EA35</f>
        <v>1647967</v>
      </c>
      <c r="EG17" s="261">
        <f>+'Midttrafik '!EB35</f>
        <v>0</v>
      </c>
      <c r="EH17" s="261">
        <f>+'Midttrafik '!EC35</f>
        <v>0</v>
      </c>
      <c r="EI17" s="261">
        <f>+'Midttrafik '!ED35</f>
        <v>0</v>
      </c>
      <c r="EJ17" s="261">
        <f>+'Midttrafik '!EE35</f>
        <v>0</v>
      </c>
      <c r="EK17" s="301"/>
      <c r="EL17" s="282">
        <f>+'Midttrafik '!EF35</f>
        <v>0</v>
      </c>
      <c r="EM17" s="261">
        <f>+'Midttrafik '!EG35</f>
        <v>0</v>
      </c>
      <c r="EN17" s="261">
        <f>+'Midttrafik '!EH35</f>
        <v>0</v>
      </c>
      <c r="EO17" s="261">
        <f>+'Midttrafik '!EI35</f>
        <v>0</v>
      </c>
      <c r="EP17" s="261">
        <f>+'Midttrafik '!EJ35</f>
        <v>0</v>
      </c>
      <c r="EQ17" s="261">
        <f>+'Midttrafik '!EK35</f>
        <v>0</v>
      </c>
      <c r="ER17" s="261">
        <f>+'Midttrafik '!EL35</f>
        <v>0</v>
      </c>
      <c r="ES17" s="261">
        <f>+'Midttrafik '!EM35</f>
        <v>0</v>
      </c>
      <c r="ET17" s="261">
        <f>+'Midttrafik '!EN35</f>
        <v>0</v>
      </c>
      <c r="EU17" s="261">
        <f>+'Midttrafik '!EO35</f>
        <v>0</v>
      </c>
      <c r="EV17" s="261">
        <f>+'Midttrafik '!EP35</f>
        <v>0</v>
      </c>
      <c r="EW17" s="261">
        <f>+'Midttrafik '!EQ35</f>
        <v>0</v>
      </c>
      <c r="EX17" s="261">
        <f>+'Midttrafik '!ER35</f>
        <v>0</v>
      </c>
      <c r="EY17" s="301"/>
      <c r="EZ17" s="282">
        <f>+'Midttrafik '!ES35</f>
        <v>47762705</v>
      </c>
      <c r="FA17" s="261">
        <f>+'Midttrafik '!ET35</f>
        <v>30802886</v>
      </c>
      <c r="FB17" s="261">
        <f>+'Midttrafik '!EU35</f>
        <v>30076033</v>
      </c>
      <c r="FC17" s="261">
        <f>+'Midttrafik '!EV35</f>
        <v>39635856</v>
      </c>
      <c r="FD17" s="261">
        <f>+'Midttrafik '!EW35</f>
        <v>42961260</v>
      </c>
      <c r="FE17" s="261">
        <f>+'Midttrafik '!EX35</f>
        <v>48830000</v>
      </c>
      <c r="FF17" s="261">
        <f>+'Midttrafik '!EY35</f>
        <v>48440000</v>
      </c>
      <c r="FG17" s="261">
        <f>+'Midttrafik '!EZ35</f>
        <v>48400000</v>
      </c>
      <c r="FH17" s="261">
        <f>+'Midttrafik '!FA35</f>
        <v>0</v>
      </c>
      <c r="FI17" s="261">
        <f>+'Midttrafik '!FB35</f>
        <v>0</v>
      </c>
      <c r="FJ17" s="261">
        <f>+'Midttrafik '!FC35</f>
        <v>0</v>
      </c>
      <c r="FK17" s="261">
        <f>+'Midttrafik '!FD35</f>
        <v>0</v>
      </c>
      <c r="FL17" s="261">
        <f>+'Midttrafik '!FE35</f>
        <v>0</v>
      </c>
      <c r="FM17" s="301"/>
      <c r="FN17" s="282">
        <f>+'Midttrafik '!FF35</f>
        <v>0</v>
      </c>
      <c r="FO17" s="261">
        <f>+'Midttrafik '!FG35</f>
        <v>0</v>
      </c>
      <c r="FP17" s="261">
        <f>+'Midttrafik '!FH35</f>
        <v>0</v>
      </c>
      <c r="FQ17" s="261">
        <f>+'Midttrafik '!FI35</f>
        <v>0</v>
      </c>
      <c r="FR17" s="261">
        <f>+'Midttrafik '!FJ35</f>
        <v>0</v>
      </c>
      <c r="FS17" s="261">
        <f>+'Midttrafik '!FK35</f>
        <v>0</v>
      </c>
      <c r="FT17" s="261">
        <f>+'Midttrafik '!FL35</f>
        <v>0</v>
      </c>
      <c r="FU17" s="261">
        <f>+'Midttrafik '!FM35</f>
        <v>0</v>
      </c>
      <c r="FV17" s="261">
        <f>+'Midttrafik '!FN35</f>
        <v>0</v>
      </c>
      <c r="FW17" s="261">
        <f>+'Midttrafik '!FO35</f>
        <v>0</v>
      </c>
      <c r="FX17" s="261">
        <f>+'Midttrafik '!FP35</f>
        <v>0</v>
      </c>
      <c r="FY17" s="261">
        <f>+'Midttrafik '!FQ35</f>
        <v>0</v>
      </c>
      <c r="FZ17" s="261">
        <f>+'Midttrafik '!FR35</f>
        <v>0</v>
      </c>
      <c r="GA17" s="301"/>
      <c r="GB17" s="284">
        <f t="shared" si="29"/>
        <v>738.24147682405385</v>
      </c>
      <c r="GC17" s="270">
        <f t="shared" si="29"/>
        <v>738.64655060355233</v>
      </c>
      <c r="GD17" s="270">
        <f t="shared" si="29"/>
        <v>760.27129266502936</v>
      </c>
      <c r="GE17" s="270">
        <f t="shared" si="29"/>
        <v>833.1140942859131</v>
      </c>
      <c r="GF17" s="270">
        <f t="shared" si="29"/>
        <v>822.3898093267693</v>
      </c>
      <c r="GG17" s="270">
        <f t="shared" si="29"/>
        <v>871.9913934101437</v>
      </c>
      <c r="GH17" s="270">
        <f t="shared" si="29"/>
        <v>895.92257419917212</v>
      </c>
      <c r="GI17" s="270">
        <f t="shared" si="29"/>
        <v>899.29567764403032</v>
      </c>
      <c r="GJ17" s="270">
        <f t="shared" si="29"/>
        <v>907.43746689102409</v>
      </c>
      <c r="GK17" s="270" t="str">
        <f t="shared" si="29"/>
        <v/>
      </c>
      <c r="GL17" s="270" t="str">
        <f t="shared" si="29"/>
        <v/>
      </c>
      <c r="GM17" s="270" t="str">
        <f t="shared" si="29"/>
        <v/>
      </c>
      <c r="GN17" s="270" t="str">
        <f t="shared" si="29"/>
        <v/>
      </c>
      <c r="GO17" s="303"/>
      <c r="GP17" s="284">
        <f t="shared" si="30"/>
        <v>100</v>
      </c>
      <c r="GQ17" s="270">
        <f t="shared" si="30"/>
        <v>97.86624351817909</v>
      </c>
      <c r="GR17" s="270">
        <f t="shared" si="30"/>
        <v>97.858926106455485</v>
      </c>
      <c r="GS17" s="270">
        <f t="shared" si="30"/>
        <v>97.4798529160539</v>
      </c>
      <c r="GT17" s="270">
        <f t="shared" si="30"/>
        <v>94.535341172151163</v>
      </c>
      <c r="GU17" s="270">
        <f t="shared" si="30"/>
        <v>90.434759417841065</v>
      </c>
      <c r="GV17" s="270">
        <f t="shared" si="30"/>
        <v>87.356446398716386</v>
      </c>
      <c r="GW17" s="270">
        <f t="shared" si="30"/>
        <v>86.96194366242355</v>
      </c>
      <c r="GX17" s="270">
        <f t="shared" si="30"/>
        <v>86.96194366242355</v>
      </c>
      <c r="GY17" s="270">
        <f t="shared" si="30"/>
        <v>0</v>
      </c>
      <c r="GZ17" s="270">
        <f t="shared" si="30"/>
        <v>0</v>
      </c>
      <c r="HA17" s="270">
        <f t="shared" si="30"/>
        <v>0</v>
      </c>
      <c r="HB17" s="270">
        <f t="shared" si="30"/>
        <v>0</v>
      </c>
      <c r="HC17" s="303"/>
      <c r="HD17" s="284">
        <f t="shared" ref="HD17:HP17" si="35">IFERROR((P17/DX17)/($P$17/$DX$17)*100,"")</f>
        <v>100</v>
      </c>
      <c r="HE17" s="270">
        <f t="shared" si="35"/>
        <v>100.05487009226862</v>
      </c>
      <c r="HF17" s="270">
        <f t="shared" si="35"/>
        <v>102.98409348872522</v>
      </c>
      <c r="HG17" s="270">
        <f t="shared" si="35"/>
        <v>112.85116326300239</v>
      </c>
      <c r="HH17" s="270">
        <f t="shared" si="35"/>
        <v>111.3984834426704</v>
      </c>
      <c r="HI17" s="270">
        <f t="shared" si="35"/>
        <v>118.11736684878336</v>
      </c>
      <c r="HJ17" s="270">
        <f t="shared" si="35"/>
        <v>121.35901359179503</v>
      </c>
      <c r="HK17" s="270">
        <f t="shared" si="35"/>
        <v>121.815924176035</v>
      </c>
      <c r="HL17" s="270">
        <f t="shared" si="35"/>
        <v>122.91878678977216</v>
      </c>
      <c r="HM17" s="270" t="str">
        <f t="shared" si="35"/>
        <v/>
      </c>
      <c r="HN17" s="270" t="str">
        <f t="shared" si="35"/>
        <v/>
      </c>
      <c r="HO17" s="270" t="str">
        <f t="shared" si="35"/>
        <v/>
      </c>
      <c r="HP17" s="270" t="str">
        <f t="shared" si="35"/>
        <v/>
      </c>
      <c r="HQ17" s="303"/>
      <c r="HR17" s="284">
        <f t="shared" ref="HR17:ID17" si="36">IFERROR(EZ17/$EZ$17*100,"")</f>
        <v>100</v>
      </c>
      <c r="HS17" s="270">
        <f t="shared" si="36"/>
        <v>64.49150231336354</v>
      </c>
      <c r="HT17" s="270">
        <f t="shared" si="36"/>
        <v>62.969701988193506</v>
      </c>
      <c r="HU17" s="270">
        <f t="shared" si="36"/>
        <v>82.984948193365511</v>
      </c>
      <c r="HV17" s="270">
        <f t="shared" si="36"/>
        <v>89.947292558074338</v>
      </c>
      <c r="HW17" s="270">
        <f t="shared" si="36"/>
        <v>102.23457821327331</v>
      </c>
      <c r="HX17" s="270">
        <f t="shared" si="36"/>
        <v>101.41804154517631</v>
      </c>
      <c r="HY17" s="270">
        <f t="shared" si="36"/>
        <v>101.33429419460225</v>
      </c>
      <c r="HZ17" s="270">
        <f t="shared" si="36"/>
        <v>0</v>
      </c>
      <c r="IA17" s="270">
        <f t="shared" si="36"/>
        <v>0</v>
      </c>
      <c r="IB17" s="270">
        <f t="shared" si="36"/>
        <v>0</v>
      </c>
      <c r="IC17" s="270">
        <f t="shared" si="36"/>
        <v>0</v>
      </c>
      <c r="ID17" s="288">
        <f t="shared" si="36"/>
        <v>0</v>
      </c>
    </row>
    <row r="18" spans="1:238" x14ac:dyDescent="0.2">
      <c r="A18" s="307" t="s">
        <v>12</v>
      </c>
      <c r="B18" s="258">
        <f>+Movia!F67</f>
        <v>1696.3557800000001</v>
      </c>
      <c r="C18" s="258">
        <f>+Movia!G67</f>
        <v>1116.01703</v>
      </c>
      <c r="D18" s="258">
        <f>+Movia!H67</f>
        <v>1205.10688</v>
      </c>
      <c r="E18" s="258">
        <f>+Movia!I67</f>
        <v>1451.5634299999999</v>
      </c>
      <c r="F18" s="258">
        <f>+Movia!J67</f>
        <v>1663.9976799999999</v>
      </c>
      <c r="G18" s="258">
        <f>+Movia!K67</f>
        <v>1850.1408799999999</v>
      </c>
      <c r="H18" s="258">
        <f>+Movia!L67</f>
        <v>1811.3344400000001</v>
      </c>
      <c r="I18" s="258">
        <f>+Movia!M67</f>
        <v>1741.51451</v>
      </c>
      <c r="J18" s="258">
        <f>+Movia!N67</f>
        <v>1765.74371</v>
      </c>
      <c r="K18" s="258">
        <f>+Movia!O67</f>
        <v>0</v>
      </c>
      <c r="L18" s="258">
        <f>+Movia!P67</f>
        <v>1821.7030999999999</v>
      </c>
      <c r="M18" s="258">
        <f>+Movia!Q67</f>
        <v>0</v>
      </c>
      <c r="N18" s="258">
        <f>+Movia!R67</f>
        <v>0</v>
      </c>
      <c r="O18" s="295"/>
      <c r="P18" s="275">
        <f>+Movia!S67</f>
        <v>3110.7431000000001</v>
      </c>
      <c r="Q18" s="258">
        <f>+Movia!T67</f>
        <v>3060.2947899999999</v>
      </c>
      <c r="R18" s="258">
        <f>+Movia!U67</f>
        <v>3173.0967999999998</v>
      </c>
      <c r="S18" s="258">
        <f>+Movia!V67</f>
        <v>3480.3062300000001</v>
      </c>
      <c r="T18" s="258">
        <f>+Movia!W67</f>
        <v>3512.43273</v>
      </c>
      <c r="U18" s="258">
        <f>+Movia!X67</f>
        <v>3400.2646500000001</v>
      </c>
      <c r="V18" s="258">
        <f>+Movia!Y67</f>
        <v>3464.65924</v>
      </c>
      <c r="W18" s="258">
        <f>+Movia!Z67</f>
        <v>3405.6730499999999</v>
      </c>
      <c r="X18" s="258">
        <f>+Movia!AA67</f>
        <v>3515.2549100000001</v>
      </c>
      <c r="Y18" s="258">
        <f>+Movia!AB67</f>
        <v>0</v>
      </c>
      <c r="Z18" s="258">
        <f>+Movia!AC67</f>
        <v>3449.3916199999999</v>
      </c>
      <c r="AA18" s="258">
        <f>+Movia!AD67</f>
        <v>0</v>
      </c>
      <c r="AB18" s="258">
        <f>+Movia!AE67</f>
        <v>0</v>
      </c>
      <c r="AC18" s="295"/>
      <c r="AD18" s="275">
        <f>+Movia!AF67</f>
        <v>359.92363999999998</v>
      </c>
      <c r="AE18" s="258">
        <f>+Movia!AG67</f>
        <v>370.41210000000001</v>
      </c>
      <c r="AF18" s="258">
        <f>+Movia!AH67</f>
        <v>391.02591999999999</v>
      </c>
      <c r="AG18" s="258">
        <f>+Movia!AI67</f>
        <v>365.40595999999999</v>
      </c>
      <c r="AH18" s="258">
        <f>+Movia!AJ67</f>
        <v>392.20179000000002</v>
      </c>
      <c r="AI18" s="258">
        <f>+Movia!AK67</f>
        <v>414.58987999999999</v>
      </c>
      <c r="AJ18" s="258">
        <f>+Movia!AL67</f>
        <v>420.95925999999997</v>
      </c>
      <c r="AK18" s="258">
        <f>+Movia!AM67</f>
        <v>423.02181999999999</v>
      </c>
      <c r="AL18" s="258">
        <f>+Movia!AN67</f>
        <v>421.40138000000002</v>
      </c>
      <c r="AM18" s="258">
        <f>+Movia!AO67</f>
        <v>0</v>
      </c>
      <c r="AN18" s="258">
        <f>+Movia!AP67</f>
        <v>391.60117000000002</v>
      </c>
      <c r="AO18" s="258">
        <f>+Movia!AQ67</f>
        <v>0</v>
      </c>
      <c r="AP18" s="258">
        <f>+Movia!AR67</f>
        <v>0</v>
      </c>
      <c r="AQ18" s="295"/>
      <c r="AR18" s="275">
        <f>+Movia!AS67</f>
        <v>18.556899999999999</v>
      </c>
      <c r="AS18" s="258">
        <f>+Movia!AT67</f>
        <v>20.621860000000002</v>
      </c>
      <c r="AT18" s="258">
        <f>+Movia!AU67</f>
        <v>21.31146</v>
      </c>
      <c r="AU18" s="258">
        <f>+Movia!AV67</f>
        <v>22.519749999999998</v>
      </c>
      <c r="AV18" s="258">
        <f>+Movia!AW67</f>
        <v>23.598279999999999</v>
      </c>
      <c r="AW18" s="258">
        <f>+Movia!AX67</f>
        <v>26.754300000000001</v>
      </c>
      <c r="AX18" s="258">
        <f>+Movia!AY67</f>
        <v>24.65137</v>
      </c>
      <c r="AY18" s="258">
        <f>+Movia!AZ67</f>
        <v>29.76613</v>
      </c>
      <c r="AZ18" s="258">
        <f>+Movia!BA67</f>
        <v>28.870709999999999</v>
      </c>
      <c r="BA18" s="258">
        <f>+Movia!BB67</f>
        <v>0</v>
      </c>
      <c r="BB18" s="258">
        <f>+Movia!BC67</f>
        <v>30.234059999999999</v>
      </c>
      <c r="BC18" s="258">
        <f>+Movia!BD67</f>
        <v>0</v>
      </c>
      <c r="BD18" s="258">
        <f>+Movia!BE67</f>
        <v>0</v>
      </c>
      <c r="BE18" s="295"/>
      <c r="BF18" s="275">
        <f>+Movia!BF67</f>
        <v>16.323119999999999</v>
      </c>
      <c r="BG18" s="258">
        <f>+Movia!BG67</f>
        <v>32.789360000000002</v>
      </c>
      <c r="BH18" s="258">
        <f>+Movia!BH67</f>
        <v>6.8471900000000003</v>
      </c>
      <c r="BI18" s="258">
        <f>+Movia!BI67</f>
        <v>6.8057499999999997</v>
      </c>
      <c r="BJ18" s="258">
        <f>+Movia!BJ67</f>
        <v>12.20787</v>
      </c>
      <c r="BK18" s="258">
        <f>+Movia!BK67</f>
        <v>4.72356</v>
      </c>
      <c r="BL18" s="258">
        <f>+Movia!BL67</f>
        <v>11.227180000000001</v>
      </c>
      <c r="BM18" s="258">
        <f>+Movia!BM67</f>
        <v>2.7929300000000001</v>
      </c>
      <c r="BN18" s="258">
        <f>+Movia!BN67</f>
        <v>12.261659999999999</v>
      </c>
      <c r="BO18" s="258">
        <f>+Movia!BO67</f>
        <v>0</v>
      </c>
      <c r="BP18" s="258">
        <f>+Movia!BP67</f>
        <v>-1.22617</v>
      </c>
      <c r="BQ18" s="258">
        <f>+Movia!BQ67</f>
        <v>0</v>
      </c>
      <c r="BR18" s="258">
        <f>+Movia!BR67</f>
        <v>0</v>
      </c>
      <c r="BS18" s="295"/>
      <c r="BT18" s="278">
        <f>+Movia!BS67</f>
        <v>0</v>
      </c>
      <c r="BU18" s="259">
        <f>+Movia!BT67</f>
        <v>-499.35624000000001</v>
      </c>
      <c r="BV18" s="259">
        <f>+Movia!BU67</f>
        <v>-446.91748000000001</v>
      </c>
      <c r="BW18" s="259">
        <f>+Movia!BV67</f>
        <v>-103.78071</v>
      </c>
      <c r="BX18" s="259">
        <f>+Movia!BW67</f>
        <v>-62.069719999999997</v>
      </c>
      <c r="BY18" s="259">
        <f>+Movia!BX67</f>
        <v>-1.6943600000000001</v>
      </c>
      <c r="BZ18" s="259">
        <f>+Movia!BY67</f>
        <v>0</v>
      </c>
      <c r="CA18" s="259">
        <f>+Movia!BZ67</f>
        <v>0</v>
      </c>
      <c r="CB18" s="259">
        <f>+Movia!CA67</f>
        <v>0</v>
      </c>
      <c r="CC18" s="259">
        <f>+Movia!CB67</f>
        <v>0</v>
      </c>
      <c r="CD18" s="259">
        <f>+Movia!CC67</f>
        <v>0</v>
      </c>
      <c r="CE18" s="259">
        <f>+Movia!CD67</f>
        <v>0</v>
      </c>
      <c r="CF18" s="259">
        <f>+Movia!CE67</f>
        <v>0</v>
      </c>
      <c r="CG18" s="297"/>
      <c r="CH18" s="278">
        <f>+Movia!CF67</f>
        <v>3505.5467600000002</v>
      </c>
      <c r="CI18" s="259">
        <f>+Movia!CG67</f>
        <v>3484.1181200000001</v>
      </c>
      <c r="CJ18" s="259">
        <f>+Movia!CH67</f>
        <v>3592.2813700000002</v>
      </c>
      <c r="CK18" s="259">
        <f>+Movia!CI67</f>
        <v>3875.0376999999999</v>
      </c>
      <c r="CL18" s="259">
        <f>+Movia!CJ67</f>
        <v>3940.4406800000002</v>
      </c>
      <c r="CM18" s="259">
        <f>+Movia!CK67</f>
        <v>3846.33239</v>
      </c>
      <c r="CN18" s="259">
        <f>+Movia!CL67</f>
        <v>3921.4970499999999</v>
      </c>
      <c r="CO18" s="259">
        <f>+Movia!CM67</f>
        <v>3861.2539299999999</v>
      </c>
      <c r="CP18" s="259">
        <f>+Movia!CN67</f>
        <v>3977.7886600000002</v>
      </c>
      <c r="CQ18" s="259">
        <f>+Movia!CO67</f>
        <v>0</v>
      </c>
      <c r="CR18" s="259">
        <f>+Movia!CP67</f>
        <v>3870.0006800000001</v>
      </c>
      <c r="CS18" s="259">
        <f>+Movia!CQ67</f>
        <v>0</v>
      </c>
      <c r="CT18" s="259">
        <f>+Movia!CR67</f>
        <v>0</v>
      </c>
      <c r="CU18" s="297"/>
      <c r="CV18" s="278">
        <f>+Movia!CS67</f>
        <v>1809.1909800000001</v>
      </c>
      <c r="CW18" s="259">
        <f>+Movia!CT67</f>
        <v>1868.74485</v>
      </c>
      <c r="CX18" s="259">
        <f>+Movia!CU67</f>
        <v>1940.2570000000001</v>
      </c>
      <c r="CY18" s="259">
        <f>+Movia!CV67</f>
        <v>2319.6935600000002</v>
      </c>
      <c r="CZ18" s="259">
        <f>+Movia!CW67</f>
        <v>2214.3732799999998</v>
      </c>
      <c r="DA18" s="259">
        <f>+Movia!CX67</f>
        <v>1994.4971499999999</v>
      </c>
      <c r="DB18" s="259">
        <f>+Movia!CY67</f>
        <v>2110.1626099999999</v>
      </c>
      <c r="DC18" s="259">
        <f>+Movia!CZ67</f>
        <v>2119.7394199999999</v>
      </c>
      <c r="DD18" s="259">
        <f>+Movia!DA67</f>
        <v>2212.04495</v>
      </c>
      <c r="DE18" s="259">
        <f>+Movia!DB67</f>
        <v>0</v>
      </c>
      <c r="DF18" s="259">
        <f>+Movia!DC67</f>
        <v>2048.2975799999999</v>
      </c>
      <c r="DG18" s="259">
        <f>+Movia!DD67</f>
        <v>0</v>
      </c>
      <c r="DH18" s="259">
        <f>+Movia!DE67</f>
        <v>0</v>
      </c>
      <c r="DI18" s="297"/>
      <c r="DJ18" s="280">
        <f>+Movia!DF67</f>
        <v>0.1027</v>
      </c>
      <c r="DK18" s="260">
        <f>+Movia!DG67</f>
        <v>0.10630000000000001</v>
      </c>
      <c r="DL18" s="260">
        <f>+Movia!DH67</f>
        <v>0.1089</v>
      </c>
      <c r="DM18" s="260">
        <f>+Movia!DI67</f>
        <v>9.4299999999999995E-2</v>
      </c>
      <c r="DN18" s="260">
        <f>+Movia!DJ67</f>
        <v>9.9500000000000005E-2</v>
      </c>
      <c r="DO18" s="260">
        <f>+Movia!DK67</f>
        <v>0.10780000000000001</v>
      </c>
      <c r="DP18" s="260">
        <f>+Movia!DL67</f>
        <v>0.10730000000000001</v>
      </c>
      <c r="DQ18" s="260">
        <f>+Movia!DM67</f>
        <v>0.1096</v>
      </c>
      <c r="DR18" s="260">
        <f>+Movia!DN67</f>
        <v>0.10589999999999999</v>
      </c>
      <c r="DS18" s="260">
        <f>+Movia!DO67</f>
        <v>0</v>
      </c>
      <c r="DT18" s="260">
        <f>+Movia!DP67</f>
        <v>0.1012</v>
      </c>
      <c r="DU18" s="260">
        <f>+Movia!DQ67</f>
        <v>0</v>
      </c>
      <c r="DV18" s="260">
        <f>+Movia!DR67</f>
        <v>0</v>
      </c>
      <c r="DW18" s="299"/>
      <c r="DX18" s="282">
        <f>+Movia!DS67</f>
        <v>4232703.6165399998</v>
      </c>
      <c r="DY18" s="261">
        <f>+Movia!DT67</f>
        <v>4084195.89928</v>
      </c>
      <c r="DZ18" s="261">
        <f>+Movia!DU67</f>
        <v>4077598.3166200002</v>
      </c>
      <c r="EA18" s="261">
        <f>+Movia!DV67</f>
        <v>4119023.9781499999</v>
      </c>
      <c r="EB18" s="261">
        <f>+Movia!DW67</f>
        <v>4114493.9799700002</v>
      </c>
      <c r="EC18" s="261">
        <f>+Movia!DX67</f>
        <v>4061247.3066400001</v>
      </c>
      <c r="ED18" s="261">
        <f>+Movia!DY67</f>
        <v>4028943.2499799998</v>
      </c>
      <c r="EE18" s="261">
        <f>+Movia!DZ67</f>
        <v>3997256.3989900001</v>
      </c>
      <c r="EF18" s="261">
        <f>+Movia!EA67</f>
        <v>4069893.3491699998</v>
      </c>
      <c r="EG18" s="261">
        <f>+Movia!EB67</f>
        <v>0</v>
      </c>
      <c r="EH18" s="261">
        <f>+Movia!EC67</f>
        <v>4074529.8714299998</v>
      </c>
      <c r="EI18" s="261">
        <f>+Movia!ED67</f>
        <v>0</v>
      </c>
      <c r="EJ18" s="261">
        <f>+Movia!EE67</f>
        <v>0</v>
      </c>
      <c r="EK18" s="301"/>
      <c r="EL18" s="282">
        <f>+Movia!EF67</f>
        <v>0</v>
      </c>
      <c r="EM18" s="261">
        <f>+Movia!EG67</f>
        <v>0</v>
      </c>
      <c r="EN18" s="261">
        <f>+Movia!EH67</f>
        <v>0</v>
      </c>
      <c r="EO18" s="261">
        <f>+Movia!EI67</f>
        <v>0</v>
      </c>
      <c r="EP18" s="261">
        <f>+Movia!EJ67</f>
        <v>0</v>
      </c>
      <c r="EQ18" s="261">
        <f>+Movia!EK67</f>
        <v>0</v>
      </c>
      <c r="ER18" s="261">
        <f>+Movia!EL67</f>
        <v>0</v>
      </c>
      <c r="ES18" s="261">
        <f>+Movia!EM67</f>
        <v>0</v>
      </c>
      <c r="ET18" s="261">
        <f>+Movia!EN67</f>
        <v>0</v>
      </c>
      <c r="EU18" s="261">
        <f>+Movia!EO67</f>
        <v>0</v>
      </c>
      <c r="EV18" s="261">
        <f>+Movia!EP67</f>
        <v>0</v>
      </c>
      <c r="EW18" s="261">
        <f>+Movia!EQ67</f>
        <v>0</v>
      </c>
      <c r="EX18" s="261">
        <f>+Movia!ER67</f>
        <v>0</v>
      </c>
      <c r="EY18" s="301"/>
      <c r="EZ18" s="282">
        <f>+Movia!ES67</f>
        <v>188432448.99000001</v>
      </c>
      <c r="FA18" s="261">
        <f>+Movia!ET67</f>
        <v>119578175.76046</v>
      </c>
      <c r="FB18" s="261">
        <f>+Movia!EU67</f>
        <v>117632885.01592</v>
      </c>
      <c r="FC18" s="261">
        <f>+Movia!EV67</f>
        <v>147001390.85870001</v>
      </c>
      <c r="FD18" s="261">
        <f>+Movia!EW67</f>
        <v>160111680.38315001</v>
      </c>
      <c r="FE18" s="261">
        <f>+Movia!EX67</f>
        <v>162141465.81801999</v>
      </c>
      <c r="FF18" s="261">
        <f>+Movia!EY67</f>
        <v>159662799.59854001</v>
      </c>
      <c r="FG18" s="261">
        <f>+Movia!EZ67</f>
        <v>156376076.00092</v>
      </c>
      <c r="FH18" s="261">
        <f>+Movia!FA67</f>
        <v>160572678.80313</v>
      </c>
      <c r="FI18" s="261">
        <f>+Movia!FB67</f>
        <v>0</v>
      </c>
      <c r="FJ18" s="261">
        <f>+Movia!FC67</f>
        <v>159459410.81431001</v>
      </c>
      <c r="FK18" s="261">
        <f>+Movia!FD67</f>
        <v>0</v>
      </c>
      <c r="FL18" s="261">
        <f>+Movia!FE67</f>
        <v>0</v>
      </c>
      <c r="FM18" s="301"/>
      <c r="FN18" s="282">
        <f>+Movia!FF67</f>
        <v>0</v>
      </c>
      <c r="FO18" s="261">
        <f>+Movia!FG67</f>
        <v>0</v>
      </c>
      <c r="FP18" s="261">
        <f>+Movia!FH67</f>
        <v>0</v>
      </c>
      <c r="FQ18" s="261">
        <f>+Movia!FI67</f>
        <v>0</v>
      </c>
      <c r="FR18" s="261">
        <f>+Movia!FJ67</f>
        <v>0</v>
      </c>
      <c r="FS18" s="261">
        <f>+Movia!FK67</f>
        <v>0</v>
      </c>
      <c r="FT18" s="261">
        <f>+Movia!FL67</f>
        <v>0</v>
      </c>
      <c r="FU18" s="261">
        <f>+Movia!FM67</f>
        <v>0</v>
      </c>
      <c r="FV18" s="261">
        <f>+Movia!FN67</f>
        <v>0</v>
      </c>
      <c r="FW18" s="261">
        <f>+Movia!FO67</f>
        <v>0</v>
      </c>
      <c r="FX18" s="261">
        <f>+Movia!FP67</f>
        <v>0</v>
      </c>
      <c r="FY18" s="261">
        <f>+Movia!FQ67</f>
        <v>0</v>
      </c>
      <c r="FZ18" s="261">
        <f>+Movia!FR67</f>
        <v>0</v>
      </c>
      <c r="GA18" s="301"/>
      <c r="GB18" s="284">
        <f t="shared" si="29"/>
        <v>734.93052710902066</v>
      </c>
      <c r="GC18" s="270">
        <f t="shared" si="29"/>
        <v>749.30166560803241</v>
      </c>
      <c r="GD18" s="270">
        <f t="shared" si="29"/>
        <v>778.17787668458743</v>
      </c>
      <c r="GE18" s="270">
        <f t="shared" si="29"/>
        <v>844.93468561043176</v>
      </c>
      <c r="GF18" s="270">
        <f t="shared" si="29"/>
        <v>853.67307549824386</v>
      </c>
      <c r="GG18" s="270">
        <f t="shared" si="29"/>
        <v>837.24639089096695</v>
      </c>
      <c r="GH18" s="270">
        <f t="shared" si="29"/>
        <v>859.94242783568598</v>
      </c>
      <c r="GI18" s="270">
        <f t="shared" si="29"/>
        <v>852.00265133368043</v>
      </c>
      <c r="GJ18" s="270">
        <f t="shared" si="29"/>
        <v>863.72162816425873</v>
      </c>
      <c r="GK18" s="270" t="str">
        <f t="shared" si="29"/>
        <v/>
      </c>
      <c r="GL18" s="270">
        <f t="shared" si="29"/>
        <v>846.57413955573702</v>
      </c>
      <c r="GM18" s="270" t="str">
        <f t="shared" si="29"/>
        <v/>
      </c>
      <c r="GN18" s="270" t="str">
        <f t="shared" si="29"/>
        <v/>
      </c>
      <c r="GO18" s="303"/>
      <c r="GP18" s="284">
        <f t="shared" si="30"/>
        <v>100</v>
      </c>
      <c r="GQ18" s="270">
        <f t="shared" si="30"/>
        <v>96.491421778749626</v>
      </c>
      <c r="GR18" s="270">
        <f t="shared" si="30"/>
        <v>96.335550183246951</v>
      </c>
      <c r="GS18" s="270">
        <f t="shared" si="30"/>
        <v>97.314254701279395</v>
      </c>
      <c r="GT18" s="270">
        <f t="shared" si="30"/>
        <v>97.207230950258932</v>
      </c>
      <c r="GU18" s="270">
        <f t="shared" si="30"/>
        <v>95.949248389846957</v>
      </c>
      <c r="GV18" s="270">
        <f t="shared" si="30"/>
        <v>95.186046909503133</v>
      </c>
      <c r="GW18" s="270">
        <f t="shared" si="30"/>
        <v>94.437427259731805</v>
      </c>
      <c r="GX18" s="270">
        <f t="shared" si="30"/>
        <v>96.153516000180318</v>
      </c>
      <c r="GY18" s="270">
        <f t="shared" si="30"/>
        <v>0</v>
      </c>
      <c r="GZ18" s="270">
        <f t="shared" si="30"/>
        <v>96.263056442414026</v>
      </c>
      <c r="HA18" s="270">
        <f t="shared" si="30"/>
        <v>0</v>
      </c>
      <c r="HB18" s="270">
        <f t="shared" si="30"/>
        <v>0</v>
      </c>
      <c r="HC18" s="303"/>
      <c r="HD18" s="284">
        <f t="shared" ref="HD18:HP18" si="37">IFERROR((P18/DX18)/($P$18/$DX$18)*100,"")</f>
        <v>100</v>
      </c>
      <c r="HE18" s="270">
        <f t="shared" si="37"/>
        <v>101.95544176883537</v>
      </c>
      <c r="HF18" s="270">
        <f t="shared" si="37"/>
        <v>105.88454935266982</v>
      </c>
      <c r="HG18" s="270">
        <f t="shared" si="37"/>
        <v>114.96796696337161</v>
      </c>
      <c r="HH18" s="270">
        <f t="shared" si="37"/>
        <v>116.15697593299303</v>
      </c>
      <c r="HI18" s="270">
        <f t="shared" si="37"/>
        <v>113.92184159017367</v>
      </c>
      <c r="HJ18" s="270">
        <f t="shared" si="37"/>
        <v>117.01002967156933</v>
      </c>
      <c r="HK18" s="270">
        <f t="shared" si="37"/>
        <v>115.92968585550305</v>
      </c>
      <c r="HL18" s="270">
        <f t="shared" si="37"/>
        <v>117.52425519210104</v>
      </c>
      <c r="HM18" s="270" t="str">
        <f t="shared" si="37"/>
        <v/>
      </c>
      <c r="HN18" s="270">
        <f t="shared" si="37"/>
        <v>115.19104300727392</v>
      </c>
      <c r="HO18" s="270" t="str">
        <f t="shared" si="37"/>
        <v/>
      </c>
      <c r="HP18" s="270" t="str">
        <f t="shared" si="37"/>
        <v/>
      </c>
      <c r="HQ18" s="303"/>
      <c r="HR18" s="284">
        <f t="shared" ref="HR18:ID18" si="38">IFERROR(EZ18/$EZ$18*100,"")</f>
        <v>100</v>
      </c>
      <c r="HS18" s="270">
        <f t="shared" si="38"/>
        <v>63.459439391357662</v>
      </c>
      <c r="HT18" s="270">
        <f t="shared" si="38"/>
        <v>62.427084956138692</v>
      </c>
      <c r="HU18" s="270">
        <f t="shared" si="38"/>
        <v>78.012779458436725</v>
      </c>
      <c r="HV18" s="270">
        <f t="shared" si="38"/>
        <v>84.970333528726272</v>
      </c>
      <c r="HW18" s="270">
        <f t="shared" si="38"/>
        <v>86.047528802549678</v>
      </c>
      <c r="HX18" s="270">
        <f t="shared" si="38"/>
        <v>84.732115118353747</v>
      </c>
      <c r="HY18" s="270">
        <f t="shared" si="38"/>
        <v>82.987870103635274</v>
      </c>
      <c r="HZ18" s="270">
        <f t="shared" si="38"/>
        <v>85.214982697407649</v>
      </c>
      <c r="IA18" s="270">
        <f t="shared" si="38"/>
        <v>0</v>
      </c>
      <c r="IB18" s="270">
        <f t="shared" si="38"/>
        <v>84.624177878605408</v>
      </c>
      <c r="IC18" s="270">
        <f t="shared" si="38"/>
        <v>0</v>
      </c>
      <c r="ID18" s="288">
        <f t="shared" si="38"/>
        <v>0</v>
      </c>
    </row>
    <row r="19" spans="1:238" x14ac:dyDescent="0.2">
      <c r="A19" s="307" t="s">
        <v>14</v>
      </c>
      <c r="B19" s="258">
        <f>+NT!F35</f>
        <v>292.58901429999997</v>
      </c>
      <c r="C19" s="258">
        <f>+NT!G35</f>
        <v>212.09784740000001</v>
      </c>
      <c r="D19" s="258">
        <f>+NT!H35</f>
        <v>209.7930289</v>
      </c>
      <c r="E19" s="258">
        <f>+NT!I35</f>
        <v>263.02589009999997</v>
      </c>
      <c r="F19" s="258">
        <f>+NT!J35</f>
        <v>302.98759080000002</v>
      </c>
      <c r="G19" s="258">
        <f>+NT!K35</f>
        <v>325.9222681</v>
      </c>
      <c r="H19" s="258">
        <f>+NT!L35</f>
        <v>322.38242930000001</v>
      </c>
      <c r="I19" s="258">
        <f>+NT!M35</f>
        <v>342.99484759999996</v>
      </c>
      <c r="J19" s="258">
        <f>+NT!N35</f>
        <v>321.47946610000002</v>
      </c>
      <c r="K19" s="258">
        <f>+NT!O35</f>
        <v>0</v>
      </c>
      <c r="L19" s="258">
        <f>+NT!P35</f>
        <v>0</v>
      </c>
      <c r="M19" s="258">
        <f>+NT!Q35</f>
        <v>0</v>
      </c>
      <c r="N19" s="258">
        <f>+NT!R35</f>
        <v>0</v>
      </c>
      <c r="O19" s="295"/>
      <c r="P19" s="275">
        <f>+NT!S35</f>
        <v>695.06337210000004</v>
      </c>
      <c r="Q19" s="258">
        <f>+NT!T35</f>
        <v>706.30173819999993</v>
      </c>
      <c r="R19" s="258">
        <f>+NT!U35</f>
        <v>734.54131959999995</v>
      </c>
      <c r="S19" s="258">
        <f>+NT!V35</f>
        <v>810.13406509999993</v>
      </c>
      <c r="T19" s="258">
        <f>+NT!W35</f>
        <v>781.88198620000003</v>
      </c>
      <c r="U19" s="258">
        <f>+NT!X35</f>
        <v>743.75047979999999</v>
      </c>
      <c r="V19" s="258">
        <f>+NT!Y35</f>
        <v>787.0053726000001</v>
      </c>
      <c r="W19" s="258">
        <f>+NT!Z35</f>
        <v>807.45610390000002</v>
      </c>
      <c r="X19" s="258">
        <f>+NT!AA35</f>
        <v>826.37517810000008</v>
      </c>
      <c r="Y19" s="258">
        <f>+NT!AB35</f>
        <v>0</v>
      </c>
      <c r="Z19" s="258">
        <f>+NT!AC35</f>
        <v>0</v>
      </c>
      <c r="AA19" s="258">
        <f>+NT!AD35</f>
        <v>0</v>
      </c>
      <c r="AB19" s="258">
        <f>+NT!AE35</f>
        <v>0</v>
      </c>
      <c r="AC19" s="295"/>
      <c r="AD19" s="275">
        <f>+NT!AF35</f>
        <v>96.376573699999994</v>
      </c>
      <c r="AE19" s="258">
        <f>+NT!AG35</f>
        <v>106.6148958</v>
      </c>
      <c r="AF19" s="258">
        <f>+NT!AH35</f>
        <v>96.978763599999994</v>
      </c>
      <c r="AG19" s="258">
        <f>+NT!AI35</f>
        <v>93.261496399999999</v>
      </c>
      <c r="AH19" s="258">
        <f>+NT!AJ35</f>
        <v>99.729740399999997</v>
      </c>
      <c r="AI19" s="258">
        <f>+NT!AK35</f>
        <v>104.0438681</v>
      </c>
      <c r="AJ19" s="258">
        <f>+NT!AL35</f>
        <v>104.32566370000001</v>
      </c>
      <c r="AK19" s="258">
        <f>+NT!AM35</f>
        <v>113.29484189999999</v>
      </c>
      <c r="AL19" s="258">
        <f>+NT!AN35</f>
        <v>110.8527057</v>
      </c>
      <c r="AM19" s="258">
        <f>+NT!AO35</f>
        <v>0</v>
      </c>
      <c r="AN19" s="258">
        <f>+NT!AP35</f>
        <v>0</v>
      </c>
      <c r="AO19" s="258">
        <f>+NT!AQ35</f>
        <v>0</v>
      </c>
      <c r="AP19" s="258">
        <f>+NT!AR35</f>
        <v>0</v>
      </c>
      <c r="AQ19" s="295"/>
      <c r="AR19" s="275">
        <f>+NT!AS35</f>
        <v>0</v>
      </c>
      <c r="AS19" s="258">
        <f>+NT!AT35</f>
        <v>0</v>
      </c>
      <c r="AT19" s="258">
        <f>+NT!AU35</f>
        <v>0</v>
      </c>
      <c r="AU19" s="258">
        <f>+NT!AV35</f>
        <v>0</v>
      </c>
      <c r="AV19" s="258">
        <f>+NT!AW35</f>
        <v>0</v>
      </c>
      <c r="AW19" s="258">
        <f>+NT!AX35</f>
        <v>0</v>
      </c>
      <c r="AX19" s="258">
        <f>+NT!AY35</f>
        <v>0</v>
      </c>
      <c r="AY19" s="258">
        <f>+NT!AZ35</f>
        <v>0</v>
      </c>
      <c r="AZ19" s="258">
        <f>+NT!BA35</f>
        <v>0</v>
      </c>
      <c r="BA19" s="258">
        <f>+NT!BB35</f>
        <v>0</v>
      </c>
      <c r="BB19" s="258">
        <f>+NT!BC35</f>
        <v>0</v>
      </c>
      <c r="BC19" s="258">
        <f>+NT!BD35</f>
        <v>0</v>
      </c>
      <c r="BD19" s="258">
        <f>+NT!BE35</f>
        <v>0</v>
      </c>
      <c r="BE19" s="295"/>
      <c r="BF19" s="275">
        <f>+NT!BF35</f>
        <v>3.1373986999999999</v>
      </c>
      <c r="BG19" s="258">
        <f>+NT!BG35</f>
        <v>5.318676</v>
      </c>
      <c r="BH19" s="258">
        <f>+NT!BH35</f>
        <v>3.0640187999999999</v>
      </c>
      <c r="BI19" s="258">
        <f>+NT!BI35</f>
        <v>0.67417269999999996</v>
      </c>
      <c r="BJ19" s="258">
        <f>+NT!BJ35</f>
        <v>5.7294562999999998</v>
      </c>
      <c r="BK19" s="258">
        <f>+NT!BK35</f>
        <v>3.6647930999999998</v>
      </c>
      <c r="BL19" s="258">
        <f>+NT!BL35</f>
        <v>4.7102963000000004</v>
      </c>
      <c r="BM19" s="258">
        <f>+NT!BM35</f>
        <v>5.5729863000000002</v>
      </c>
      <c r="BN19" s="258">
        <f>+NT!BN35</f>
        <v>4.9740305999999999</v>
      </c>
      <c r="BO19" s="258">
        <f>+NT!BO35</f>
        <v>0</v>
      </c>
      <c r="BP19" s="258">
        <f>+NT!BP35</f>
        <v>0</v>
      </c>
      <c r="BQ19" s="258">
        <f>+NT!BQ35</f>
        <v>0</v>
      </c>
      <c r="BR19" s="258">
        <f>+NT!BR35</f>
        <v>0</v>
      </c>
      <c r="BS19" s="295"/>
      <c r="BT19" s="278">
        <f>+NT!BS35</f>
        <v>0</v>
      </c>
      <c r="BU19" s="259">
        <f>+NT!BT35</f>
        <v>112.93557879999999</v>
      </c>
      <c r="BV19" s="259">
        <f>+NT!BU35</f>
        <v>120.9576835</v>
      </c>
      <c r="BW19" s="259">
        <f>+NT!BV35</f>
        <v>38.739127399999994</v>
      </c>
      <c r="BX19" s="259">
        <f>+NT!BW35</f>
        <v>11.298227799999999</v>
      </c>
      <c r="BY19" s="259">
        <f>+NT!BX35</f>
        <v>-0.57896749999999997</v>
      </c>
      <c r="BZ19" s="259">
        <f>+NT!BY35</f>
        <v>0</v>
      </c>
      <c r="CA19" s="259">
        <f>+NT!BZ35</f>
        <v>0</v>
      </c>
      <c r="CB19" s="259">
        <f>+NT!CA35</f>
        <v>0</v>
      </c>
      <c r="CC19" s="259">
        <f>+NT!CB35</f>
        <v>0</v>
      </c>
      <c r="CD19" s="259">
        <f>+NT!CC35</f>
        <v>0</v>
      </c>
      <c r="CE19" s="259">
        <f>+NT!CD35</f>
        <v>0</v>
      </c>
      <c r="CF19" s="259">
        <f>+NT!CE35</f>
        <v>0</v>
      </c>
      <c r="CG19" s="297"/>
      <c r="CH19" s="278">
        <f>+NT!CF35</f>
        <v>794.57734450000009</v>
      </c>
      <c r="CI19" s="259">
        <f>+NT!CG35</f>
        <v>818.23531000000003</v>
      </c>
      <c r="CJ19" s="259">
        <f>+NT!CH35</f>
        <v>834.58410200000003</v>
      </c>
      <c r="CK19" s="259">
        <f>+NT!CI35</f>
        <v>904.0697342000002</v>
      </c>
      <c r="CL19" s="259">
        <f>+NT!CJ35</f>
        <v>887.34118290000015</v>
      </c>
      <c r="CM19" s="259">
        <f>+NT!CK35</f>
        <v>851.45914100000005</v>
      </c>
      <c r="CN19" s="259">
        <f>+NT!CL35</f>
        <v>896.04133260000003</v>
      </c>
      <c r="CO19" s="259">
        <f>+NT!CM35</f>
        <v>926.32393210000009</v>
      </c>
      <c r="CP19" s="259">
        <f>+NT!CN35</f>
        <v>942.20191440000008</v>
      </c>
      <c r="CQ19" s="259">
        <f>+NT!CO35</f>
        <v>0</v>
      </c>
      <c r="CR19" s="259">
        <f>+NT!CP35</f>
        <v>0</v>
      </c>
      <c r="CS19" s="259">
        <f>+NT!CQ35</f>
        <v>0</v>
      </c>
      <c r="CT19" s="259">
        <f>+NT!CR35</f>
        <v>0</v>
      </c>
      <c r="CU19" s="297"/>
      <c r="CV19" s="278">
        <f>+NT!CS35</f>
        <v>501.98833019999995</v>
      </c>
      <c r="CW19" s="259">
        <f>+NT!CT35</f>
        <v>493.20188380000002</v>
      </c>
      <c r="CX19" s="259">
        <f>+NT!CU35</f>
        <v>503.83338959999998</v>
      </c>
      <c r="CY19" s="259">
        <f>+NT!CV35</f>
        <v>602.3047167000002</v>
      </c>
      <c r="CZ19" s="259">
        <f>+NT!CW35</f>
        <v>573.05536430000006</v>
      </c>
      <c r="DA19" s="259">
        <f>+NT!CX35</f>
        <v>526.11584040000002</v>
      </c>
      <c r="DB19" s="259">
        <f>+NT!CY35</f>
        <v>573.65890330000013</v>
      </c>
      <c r="DC19" s="259">
        <f>+NT!CZ35</f>
        <v>583.32908450000002</v>
      </c>
      <c r="DD19" s="259">
        <f>+NT!DA35</f>
        <v>620.7224483</v>
      </c>
      <c r="DE19" s="259">
        <f>+NT!DB35</f>
        <v>0</v>
      </c>
      <c r="DF19" s="259">
        <f>+NT!DC35</f>
        <v>0</v>
      </c>
      <c r="DG19" s="259">
        <f>+NT!DD35</f>
        <v>0</v>
      </c>
      <c r="DH19" s="259">
        <f>+NT!DE35</f>
        <v>0</v>
      </c>
      <c r="DI19" s="297"/>
      <c r="DJ19" s="280">
        <f>+NT!DF35</f>
        <v>0.1212928789967532</v>
      </c>
      <c r="DK19" s="260">
        <f>+NT!DG35</f>
        <v>0.13029857609053805</v>
      </c>
      <c r="DL19" s="260">
        <f>+NT!DH35</f>
        <v>0.11620010897355913</v>
      </c>
      <c r="DM19" s="260">
        <f>+NT!DI35</f>
        <v>0.10315741460201176</v>
      </c>
      <c r="DN19" s="260">
        <f>+NT!DJ35</f>
        <v>0.1123916508349857</v>
      </c>
      <c r="DO19" s="260">
        <f>+NT!DK35</f>
        <v>0.12219478667855418</v>
      </c>
      <c r="DP19" s="260">
        <f>+NT!DL35</f>
        <v>0.11642952161289619</v>
      </c>
      <c r="DQ19" s="260">
        <f>+NT!DM35</f>
        <v>0.12230585648711211</v>
      </c>
      <c r="DR19" s="260">
        <f>+NT!DN35</f>
        <v>0.11765281306034246</v>
      </c>
      <c r="DS19" s="260">
        <f>+NT!DO35</f>
        <v>0</v>
      </c>
      <c r="DT19" s="260">
        <f>+NT!DP35</f>
        <v>0</v>
      </c>
      <c r="DU19" s="260">
        <f>+NT!DQ35</f>
        <v>0</v>
      </c>
      <c r="DV19" s="260">
        <f>+NT!DR35</f>
        <v>0</v>
      </c>
      <c r="DW19" s="299"/>
      <c r="DX19" s="282">
        <f>+NT!DS35</f>
        <v>914096.1166666674</v>
      </c>
      <c r="DY19" s="261">
        <f>+NT!DT35</f>
        <v>908325.75999999989</v>
      </c>
      <c r="DZ19" s="261">
        <f>+NT!DU35</f>
        <v>902110.55</v>
      </c>
      <c r="EA19" s="261">
        <f>+NT!DV35</f>
        <v>899044.10000000009</v>
      </c>
      <c r="EB19" s="261">
        <f>+NT!DW35</f>
        <v>863332.1</v>
      </c>
      <c r="EC19" s="261">
        <f>+NT!DX35</f>
        <v>840986</v>
      </c>
      <c r="ED19" s="261">
        <f>+NT!DY35</f>
        <v>844435</v>
      </c>
      <c r="EE19" s="261">
        <f>+NT!DZ35</f>
        <v>852061</v>
      </c>
      <c r="EF19" s="261">
        <f>+NT!EA35</f>
        <v>848772</v>
      </c>
      <c r="EG19" s="261">
        <f>+NT!EB35</f>
        <v>0</v>
      </c>
      <c r="EH19" s="261">
        <f>+NT!EC35</f>
        <v>0</v>
      </c>
      <c r="EI19" s="261">
        <f>+NT!ED35</f>
        <v>0</v>
      </c>
      <c r="EJ19" s="261">
        <f>+NT!EE35</f>
        <v>0</v>
      </c>
      <c r="EK19" s="301"/>
      <c r="EL19" s="282">
        <f>+NT!EF35</f>
        <v>0</v>
      </c>
      <c r="EM19" s="261">
        <f>+NT!EG35</f>
        <v>0</v>
      </c>
      <c r="EN19" s="261">
        <f>+NT!EH35</f>
        <v>0</v>
      </c>
      <c r="EO19" s="261">
        <f>+NT!EI35</f>
        <v>0</v>
      </c>
      <c r="EP19" s="261">
        <f>+NT!EJ35</f>
        <v>0</v>
      </c>
      <c r="EQ19" s="261">
        <f>+NT!EK35</f>
        <v>0</v>
      </c>
      <c r="ER19" s="261">
        <f>+NT!EL35</f>
        <v>0</v>
      </c>
      <c r="ES19" s="261">
        <f>+NT!EM35</f>
        <v>0</v>
      </c>
      <c r="ET19" s="261">
        <f>+NT!EN35</f>
        <v>0</v>
      </c>
      <c r="EU19" s="261">
        <f>+NT!EO35</f>
        <v>0</v>
      </c>
      <c r="EV19" s="261">
        <f>+NT!EP35</f>
        <v>0</v>
      </c>
      <c r="EW19" s="261">
        <f>+NT!EQ35</f>
        <v>0</v>
      </c>
      <c r="EX19" s="261">
        <f>+NT!ER35</f>
        <v>0</v>
      </c>
      <c r="EY19" s="301"/>
      <c r="EZ19" s="282">
        <f>+NT!ES35</f>
        <v>21218482</v>
      </c>
      <c r="FA19" s="261">
        <f>+NT!ET35</f>
        <v>12667394</v>
      </c>
      <c r="FB19" s="261">
        <f>+NT!EU35</f>
        <v>11598830</v>
      </c>
      <c r="FC19" s="261">
        <f>+NT!EV35</f>
        <v>15723048</v>
      </c>
      <c r="FD19" s="261">
        <f>+NT!EW35</f>
        <v>17826495</v>
      </c>
      <c r="FE19" s="261">
        <f>+NT!EX35</f>
        <v>18258876</v>
      </c>
      <c r="FF19" s="261">
        <f>+NT!EY35</f>
        <v>18765805</v>
      </c>
      <c r="FG19" s="261">
        <f>+NT!EZ35</f>
        <v>0</v>
      </c>
      <c r="FH19" s="261">
        <f>+NT!FA35</f>
        <v>0</v>
      </c>
      <c r="FI19" s="261">
        <f>+NT!FB35</f>
        <v>0</v>
      </c>
      <c r="FJ19" s="261">
        <f>+NT!FC35</f>
        <v>0</v>
      </c>
      <c r="FK19" s="261">
        <f>+NT!FD35</f>
        <v>0</v>
      </c>
      <c r="FL19" s="261">
        <f>+NT!FE35</f>
        <v>0</v>
      </c>
      <c r="FM19" s="301"/>
      <c r="FN19" s="282">
        <f>+NT!FF35</f>
        <v>0</v>
      </c>
      <c r="FO19" s="261">
        <f>+NT!FG35</f>
        <v>0</v>
      </c>
      <c r="FP19" s="261">
        <f>+NT!FH35</f>
        <v>0</v>
      </c>
      <c r="FQ19" s="261">
        <f>+NT!FI35</f>
        <v>0</v>
      </c>
      <c r="FR19" s="261">
        <f>+NT!FJ35</f>
        <v>0</v>
      </c>
      <c r="FS19" s="261">
        <f>+NT!FK35</f>
        <v>0</v>
      </c>
      <c r="FT19" s="261">
        <f>+NT!FL35</f>
        <v>0</v>
      </c>
      <c r="FU19" s="261">
        <f>+NT!FM35</f>
        <v>0</v>
      </c>
      <c r="FV19" s="261">
        <f>+NT!FN35</f>
        <v>0</v>
      </c>
      <c r="FW19" s="261">
        <f>+NT!FO35</f>
        <v>0</v>
      </c>
      <c r="FX19" s="261">
        <f>+NT!FP35</f>
        <v>0</v>
      </c>
      <c r="FY19" s="261">
        <f>+NT!FQ35</f>
        <v>0</v>
      </c>
      <c r="FZ19" s="261">
        <f>+NT!FR35</f>
        <v>0</v>
      </c>
      <c r="GA19" s="301"/>
      <c r="GB19" s="284">
        <f t="shared" si="29"/>
        <v>760.38324572979297</v>
      </c>
      <c r="GC19" s="270">
        <f t="shared" si="29"/>
        <v>777.58637848165836</v>
      </c>
      <c r="GD19" s="270">
        <f t="shared" si="29"/>
        <v>814.24756599953287</v>
      </c>
      <c r="GE19" s="270">
        <f t="shared" si="29"/>
        <v>901.10603595529949</v>
      </c>
      <c r="GF19" s="270">
        <f t="shared" si="29"/>
        <v>905.65610406470478</v>
      </c>
      <c r="GG19" s="270">
        <f t="shared" si="29"/>
        <v>884.37914519385572</v>
      </c>
      <c r="GH19" s="270">
        <f t="shared" si="29"/>
        <v>931.99047007762601</v>
      </c>
      <c r="GI19" s="270">
        <f t="shared" si="29"/>
        <v>947.65058358497799</v>
      </c>
      <c r="GJ19" s="270">
        <f t="shared" si="29"/>
        <v>973.61267584227585</v>
      </c>
      <c r="GK19" s="270" t="str">
        <f t="shared" si="29"/>
        <v/>
      </c>
      <c r="GL19" s="270" t="str">
        <f t="shared" si="29"/>
        <v/>
      </c>
      <c r="GM19" s="270" t="str">
        <f t="shared" si="29"/>
        <v/>
      </c>
      <c r="GN19" s="270" t="str">
        <f t="shared" si="29"/>
        <v/>
      </c>
      <c r="GO19" s="303"/>
      <c r="GP19" s="284">
        <f t="shared" si="30"/>
        <v>100</v>
      </c>
      <c r="GQ19" s="270">
        <f t="shared" si="30"/>
        <v>99.3687363329242</v>
      </c>
      <c r="GR19" s="270">
        <f t="shared" si="30"/>
        <v>98.688806740545644</v>
      </c>
      <c r="GS19" s="270">
        <f t="shared" si="30"/>
        <v>98.353344206126181</v>
      </c>
      <c r="GT19" s="270">
        <f t="shared" si="30"/>
        <v>94.446534041542279</v>
      </c>
      <c r="GU19" s="270">
        <f t="shared" si="30"/>
        <v>92.00192240907117</v>
      </c>
      <c r="GV19" s="270">
        <f t="shared" si="30"/>
        <v>92.379235028292996</v>
      </c>
      <c r="GW19" s="270">
        <f t="shared" si="30"/>
        <v>93.213501782188516</v>
      </c>
      <c r="GX19" s="270">
        <f t="shared" si="30"/>
        <v>92.853692792736325</v>
      </c>
      <c r="GY19" s="270">
        <f t="shared" si="30"/>
        <v>0</v>
      </c>
      <c r="GZ19" s="270">
        <f t="shared" si="30"/>
        <v>0</v>
      </c>
      <c r="HA19" s="270">
        <f t="shared" si="30"/>
        <v>0</v>
      </c>
      <c r="HB19" s="270">
        <f t="shared" si="30"/>
        <v>0</v>
      </c>
      <c r="HC19" s="303"/>
      <c r="HD19" s="284">
        <f t="shared" ref="HD19:HP19" si="39">IFERROR((P19/DX19)/($P$19/$DX$19)*100,"")</f>
        <v>100</v>
      </c>
      <c r="HE19" s="270">
        <f t="shared" si="39"/>
        <v>102.26242922216866</v>
      </c>
      <c r="HF19" s="270">
        <f t="shared" si="39"/>
        <v>107.083838389685</v>
      </c>
      <c r="HG19" s="270">
        <f t="shared" si="39"/>
        <v>118.50682415949933</v>
      </c>
      <c r="HH19" s="270">
        <f t="shared" si="39"/>
        <v>119.10521558053047</v>
      </c>
      <c r="HI19" s="270">
        <f t="shared" si="39"/>
        <v>116.30702677372319</v>
      </c>
      <c r="HJ19" s="270">
        <f t="shared" si="39"/>
        <v>122.56851729855379</v>
      </c>
      <c r="HK19" s="270">
        <f t="shared" si="39"/>
        <v>124.6280200026569</v>
      </c>
      <c r="HL19" s="270">
        <f t="shared" si="39"/>
        <v>128.04236302022036</v>
      </c>
      <c r="HM19" s="270" t="str">
        <f t="shared" si="39"/>
        <v/>
      </c>
      <c r="HN19" s="270" t="str">
        <f t="shared" si="39"/>
        <v/>
      </c>
      <c r="HO19" s="270" t="str">
        <f t="shared" si="39"/>
        <v/>
      </c>
      <c r="HP19" s="270" t="str">
        <f t="shared" si="39"/>
        <v/>
      </c>
      <c r="HQ19" s="303"/>
      <c r="HR19" s="284">
        <f t="shared" ref="HR19:ID19" si="40">IFERROR(EZ19/$EZ$19*100,"")</f>
        <v>100</v>
      </c>
      <c r="HS19" s="270">
        <f t="shared" si="40"/>
        <v>59.699812644467208</v>
      </c>
      <c r="HT19" s="270">
        <f t="shared" si="40"/>
        <v>54.663806769965916</v>
      </c>
      <c r="HU19" s="270">
        <f t="shared" si="40"/>
        <v>74.100720306004931</v>
      </c>
      <c r="HV19" s="270">
        <f t="shared" si="40"/>
        <v>84.013997796826374</v>
      </c>
      <c r="HW19" s="270">
        <f t="shared" si="40"/>
        <v>86.051754314941093</v>
      </c>
      <c r="HX19" s="270">
        <f t="shared" si="40"/>
        <v>88.440846051098291</v>
      </c>
      <c r="HY19" s="270">
        <f t="shared" si="40"/>
        <v>0</v>
      </c>
      <c r="HZ19" s="270">
        <f t="shared" si="40"/>
        <v>0</v>
      </c>
      <c r="IA19" s="270">
        <f t="shared" si="40"/>
        <v>0</v>
      </c>
      <c r="IB19" s="270">
        <f t="shared" si="40"/>
        <v>0</v>
      </c>
      <c r="IC19" s="270">
        <f t="shared" si="40"/>
        <v>0</v>
      </c>
      <c r="ID19" s="288">
        <f t="shared" si="40"/>
        <v>0</v>
      </c>
    </row>
    <row r="20" spans="1:238" x14ac:dyDescent="0.2">
      <c r="A20" s="307" t="s">
        <v>17</v>
      </c>
      <c r="B20" s="258">
        <f>+Sydtrafik!F35</f>
        <v>243.59999999999997</v>
      </c>
      <c r="C20" s="258">
        <f>+Sydtrafik!G35</f>
        <v>185.70000000000002</v>
      </c>
      <c r="D20" s="258">
        <f>+Sydtrafik!H35</f>
        <v>159.50000000000003</v>
      </c>
      <c r="E20" s="258">
        <f>+Sydtrafik!I35</f>
        <v>226.3</v>
      </c>
      <c r="F20" s="258">
        <f>+Sydtrafik!J35</f>
        <v>237</v>
      </c>
      <c r="G20" s="258">
        <f>+Sydtrafik!K35</f>
        <v>247.49999999999997</v>
      </c>
      <c r="H20" s="258">
        <f>+Sydtrafik!L35</f>
        <v>235.5</v>
      </c>
      <c r="I20" s="258">
        <f>+Sydtrafik!M35</f>
        <v>233.9</v>
      </c>
      <c r="J20" s="258">
        <f>+Sydtrafik!N35</f>
        <v>232.3</v>
      </c>
      <c r="K20" s="258">
        <f>+Sydtrafik!O35</f>
        <v>0</v>
      </c>
      <c r="L20" s="258">
        <f>+Sydtrafik!P35</f>
        <v>0</v>
      </c>
      <c r="M20" s="258">
        <f>+Sydtrafik!Q35</f>
        <v>0</v>
      </c>
      <c r="N20" s="258">
        <f>+Sydtrafik!R35</f>
        <v>0</v>
      </c>
      <c r="O20" s="295"/>
      <c r="P20" s="275">
        <f>+Sydtrafik!S35</f>
        <v>605.20000000000005</v>
      </c>
      <c r="Q20" s="258">
        <f>+Sydtrafik!T35</f>
        <v>588.5</v>
      </c>
      <c r="R20" s="258">
        <f>+Sydtrafik!U35</f>
        <v>589</v>
      </c>
      <c r="S20" s="258">
        <f>+Sydtrafik!V35</f>
        <v>641.80000000000007</v>
      </c>
      <c r="T20" s="258">
        <f>+Sydtrafik!W35</f>
        <v>649.19999999999993</v>
      </c>
      <c r="U20" s="258">
        <f>+Sydtrafik!X35</f>
        <v>644.39999999999986</v>
      </c>
      <c r="V20" s="258">
        <f>+Sydtrafik!Y35</f>
        <v>653</v>
      </c>
      <c r="W20" s="258">
        <f>+Sydtrafik!Z35</f>
        <v>674.5</v>
      </c>
      <c r="X20" s="258">
        <f>+Sydtrafik!AA35</f>
        <v>687.6</v>
      </c>
      <c r="Y20" s="258">
        <f>+Sydtrafik!AB35</f>
        <v>0</v>
      </c>
      <c r="Z20" s="258">
        <f>+Sydtrafik!AC35</f>
        <v>0</v>
      </c>
      <c r="AA20" s="258">
        <f>+Sydtrafik!AD35</f>
        <v>0</v>
      </c>
      <c r="AB20" s="258">
        <f>+Sydtrafik!AE35</f>
        <v>0</v>
      </c>
      <c r="AC20" s="295"/>
      <c r="AD20" s="275">
        <f>+Sydtrafik!AF35</f>
        <v>79.799999999999983</v>
      </c>
      <c r="AE20" s="258">
        <f>+Sydtrafik!AG35</f>
        <v>73.600000000000023</v>
      </c>
      <c r="AF20" s="258">
        <f>+Sydtrafik!AH35</f>
        <v>80.8</v>
      </c>
      <c r="AG20" s="258">
        <f>+Sydtrafik!AI35</f>
        <v>80.2</v>
      </c>
      <c r="AH20" s="258">
        <f>+Sydtrafik!AJ35</f>
        <v>78.2</v>
      </c>
      <c r="AI20" s="258">
        <f>+Sydtrafik!AK35</f>
        <v>75.999999999999986</v>
      </c>
      <c r="AJ20" s="258">
        <f>+Sydtrafik!AL35</f>
        <v>80.5</v>
      </c>
      <c r="AK20" s="258">
        <f>+Sydtrafik!AM35</f>
        <v>90.5</v>
      </c>
      <c r="AL20" s="258">
        <f>+Sydtrafik!AN35</f>
        <v>89.4</v>
      </c>
      <c r="AM20" s="258">
        <f>+Sydtrafik!AO35</f>
        <v>0</v>
      </c>
      <c r="AN20" s="258">
        <f>+Sydtrafik!AP35</f>
        <v>0</v>
      </c>
      <c r="AO20" s="258">
        <f>+Sydtrafik!AQ35</f>
        <v>0</v>
      </c>
      <c r="AP20" s="258">
        <f>+Sydtrafik!AR35</f>
        <v>0</v>
      </c>
      <c r="AQ20" s="295"/>
      <c r="AR20" s="275">
        <f>+Sydtrafik!AS35</f>
        <v>0</v>
      </c>
      <c r="AS20" s="258">
        <f>+Sydtrafik!AT35</f>
        <v>0</v>
      </c>
      <c r="AT20" s="258">
        <f>+Sydtrafik!AU35</f>
        <v>0</v>
      </c>
      <c r="AU20" s="258">
        <f>+Sydtrafik!AV35</f>
        <v>0</v>
      </c>
      <c r="AV20" s="258">
        <f>+Sydtrafik!AW35</f>
        <v>0</v>
      </c>
      <c r="AW20" s="258">
        <f>+Sydtrafik!AX35</f>
        <v>0</v>
      </c>
      <c r="AX20" s="258">
        <f>+Sydtrafik!AY35</f>
        <v>0</v>
      </c>
      <c r="AY20" s="258">
        <f>+Sydtrafik!AZ35</f>
        <v>0</v>
      </c>
      <c r="AZ20" s="258">
        <f>+Sydtrafik!BA35</f>
        <v>0</v>
      </c>
      <c r="BA20" s="258">
        <f>+Sydtrafik!BB35</f>
        <v>0</v>
      </c>
      <c r="BB20" s="258">
        <f>+Sydtrafik!BC35</f>
        <v>0</v>
      </c>
      <c r="BC20" s="258">
        <f>+Sydtrafik!BD35</f>
        <v>0</v>
      </c>
      <c r="BD20" s="258">
        <f>+Sydtrafik!BE35</f>
        <v>0</v>
      </c>
      <c r="BE20" s="295"/>
      <c r="BF20" s="275">
        <f>+Sydtrafik!BF35</f>
        <v>0</v>
      </c>
      <c r="BG20" s="258">
        <f>+Sydtrafik!BG35</f>
        <v>0</v>
      </c>
      <c r="BH20" s="258">
        <f>+Sydtrafik!BH35</f>
        <v>0</v>
      </c>
      <c r="BI20" s="258">
        <f>+Sydtrafik!BI35</f>
        <v>0</v>
      </c>
      <c r="BJ20" s="258">
        <f>+Sydtrafik!BJ35</f>
        <v>0</v>
      </c>
      <c r="BK20" s="258">
        <f>+Sydtrafik!BK35</f>
        <v>0</v>
      </c>
      <c r="BL20" s="258">
        <f>+Sydtrafik!BL35</f>
        <v>0</v>
      </c>
      <c r="BM20" s="258">
        <f>+Sydtrafik!BM35</f>
        <v>0</v>
      </c>
      <c r="BN20" s="258">
        <f>+Sydtrafik!BN35</f>
        <v>0</v>
      </c>
      <c r="BO20" s="258">
        <f>+Sydtrafik!BO35</f>
        <v>0</v>
      </c>
      <c r="BP20" s="258">
        <f>+Sydtrafik!BP35</f>
        <v>0</v>
      </c>
      <c r="BQ20" s="258">
        <f>+Sydtrafik!BQ35</f>
        <v>0</v>
      </c>
      <c r="BR20" s="258">
        <f>+Sydtrafik!BR35</f>
        <v>0</v>
      </c>
      <c r="BS20" s="295"/>
      <c r="BT20" s="278">
        <f>+Sydtrafik!BS35</f>
        <v>0</v>
      </c>
      <c r="BU20" s="259">
        <f>+Sydtrafik!BT35</f>
        <v>73.400000000000006</v>
      </c>
      <c r="BV20" s="259">
        <f>+Sydtrafik!BU35</f>
        <v>88</v>
      </c>
      <c r="BW20" s="259">
        <f>+Sydtrafik!BV35</f>
        <v>26.3</v>
      </c>
      <c r="BX20" s="259">
        <f>+Sydtrafik!BW35</f>
        <v>9.2000000000000011</v>
      </c>
      <c r="BY20" s="259">
        <f>+Sydtrafik!BX35</f>
        <v>0</v>
      </c>
      <c r="BZ20" s="259">
        <f>+Sydtrafik!BY35</f>
        <v>0</v>
      </c>
      <c r="CA20" s="259">
        <f>+Sydtrafik!BZ35</f>
        <v>0</v>
      </c>
      <c r="CB20" s="259">
        <f>+Sydtrafik!CA35</f>
        <v>0</v>
      </c>
      <c r="CC20" s="259">
        <f>+Sydtrafik!CB35</f>
        <v>0</v>
      </c>
      <c r="CD20" s="259">
        <f>+Sydtrafik!CC35</f>
        <v>0</v>
      </c>
      <c r="CE20" s="259">
        <f>+Sydtrafik!CD35</f>
        <v>0</v>
      </c>
      <c r="CF20" s="259">
        <f>+Sydtrafik!CE35</f>
        <v>0</v>
      </c>
      <c r="CG20" s="297"/>
      <c r="CH20" s="278">
        <f>+Sydtrafik!CF35</f>
        <v>0</v>
      </c>
      <c r="CI20" s="259">
        <f>+Sydtrafik!CG35</f>
        <v>0</v>
      </c>
      <c r="CJ20" s="259">
        <f>+Sydtrafik!CH35</f>
        <v>0</v>
      </c>
      <c r="CK20" s="259">
        <f>+Sydtrafik!CI35</f>
        <v>0</v>
      </c>
      <c r="CL20" s="259">
        <f>+Sydtrafik!CJ35</f>
        <v>0</v>
      </c>
      <c r="CM20" s="259">
        <f>+Sydtrafik!CK35</f>
        <v>0</v>
      </c>
      <c r="CN20" s="259">
        <f>+Sydtrafik!CL35</f>
        <v>0</v>
      </c>
      <c r="CO20" s="259">
        <f>+Sydtrafik!CM35</f>
        <v>0</v>
      </c>
      <c r="CP20" s="259">
        <f>+Sydtrafik!CN35</f>
        <v>0</v>
      </c>
      <c r="CQ20" s="259">
        <f>+Sydtrafik!CO35</f>
        <v>0</v>
      </c>
      <c r="CR20" s="259">
        <f>+Sydtrafik!CP35</f>
        <v>0</v>
      </c>
      <c r="CS20" s="259">
        <f>+Sydtrafik!CQ35</f>
        <v>0</v>
      </c>
      <c r="CT20" s="259">
        <f>+Sydtrafik!CR35</f>
        <v>0</v>
      </c>
      <c r="CU20" s="297"/>
      <c r="CV20" s="278">
        <f>+Sydtrafik!CS35</f>
        <v>0</v>
      </c>
      <c r="CW20" s="259">
        <f>+Sydtrafik!CT35</f>
        <v>0</v>
      </c>
      <c r="CX20" s="259">
        <f>+Sydtrafik!CU35</f>
        <v>0</v>
      </c>
      <c r="CY20" s="259">
        <f>+Sydtrafik!CV35</f>
        <v>0</v>
      </c>
      <c r="CZ20" s="259">
        <f>+Sydtrafik!CW35</f>
        <v>0</v>
      </c>
      <c r="DA20" s="259">
        <f>+Sydtrafik!CX35</f>
        <v>0</v>
      </c>
      <c r="DB20" s="259">
        <f>+Sydtrafik!CY35</f>
        <v>0</v>
      </c>
      <c r="DC20" s="259">
        <f>+Sydtrafik!CZ35</f>
        <v>0</v>
      </c>
      <c r="DD20" s="259">
        <f>+Sydtrafik!DA35</f>
        <v>0</v>
      </c>
      <c r="DE20" s="259">
        <f>+Sydtrafik!DB35</f>
        <v>0</v>
      </c>
      <c r="DF20" s="259">
        <f>+Sydtrafik!DC35</f>
        <v>0</v>
      </c>
      <c r="DG20" s="259">
        <f>+Sydtrafik!DD35</f>
        <v>0</v>
      </c>
      <c r="DH20" s="259">
        <f>+Sydtrafik!DE35</f>
        <v>0</v>
      </c>
      <c r="DI20" s="297"/>
      <c r="DJ20" s="280">
        <f>+Sydtrafik!DF35</f>
        <v>0</v>
      </c>
      <c r="DK20" s="260">
        <f>+Sydtrafik!DG35</f>
        <v>0</v>
      </c>
      <c r="DL20" s="260">
        <f>+Sydtrafik!DH35</f>
        <v>0</v>
      </c>
      <c r="DM20" s="260">
        <f>+Sydtrafik!DI35</f>
        <v>0</v>
      </c>
      <c r="DN20" s="260">
        <f>+Sydtrafik!DJ35</f>
        <v>0</v>
      </c>
      <c r="DO20" s="260">
        <f>+Sydtrafik!DK35</f>
        <v>0</v>
      </c>
      <c r="DP20" s="260">
        <f>+Sydtrafik!DL35</f>
        <v>0</v>
      </c>
      <c r="DQ20" s="260">
        <f>+Sydtrafik!DM35</f>
        <v>0</v>
      </c>
      <c r="DR20" s="260">
        <f>+Sydtrafik!DN35</f>
        <v>0</v>
      </c>
      <c r="DS20" s="260">
        <f>+Sydtrafik!DO35</f>
        <v>0</v>
      </c>
      <c r="DT20" s="260">
        <f>+Sydtrafik!DP35</f>
        <v>0</v>
      </c>
      <c r="DU20" s="260">
        <f>+Sydtrafik!DQ35</f>
        <v>0</v>
      </c>
      <c r="DV20" s="260">
        <f>+Sydtrafik!DR35</f>
        <v>0</v>
      </c>
      <c r="DW20" s="299"/>
      <c r="DX20" s="282">
        <f>+Sydtrafik!DS35</f>
        <v>841838</v>
      </c>
      <c r="DY20" s="261">
        <f>+Sydtrafik!DT35</f>
        <v>833700</v>
      </c>
      <c r="DZ20" s="261">
        <f>+Sydtrafik!DU35</f>
        <v>804414</v>
      </c>
      <c r="EA20" s="261">
        <f>+Sydtrafik!DV35</f>
        <v>796022</v>
      </c>
      <c r="EB20" s="261">
        <f>+Sydtrafik!DW35</f>
        <v>785940</v>
      </c>
      <c r="EC20" s="261">
        <f>+Sydtrafik!DX35</f>
        <v>773528</v>
      </c>
      <c r="ED20" s="261">
        <f>+Sydtrafik!DY35</f>
        <v>771832</v>
      </c>
      <c r="EE20" s="261">
        <f>+Sydtrafik!DZ35</f>
        <v>778171</v>
      </c>
      <c r="EF20" s="261">
        <f>+Sydtrafik!EA35</f>
        <v>783220</v>
      </c>
      <c r="EG20" s="261">
        <f>+Sydtrafik!EB35</f>
        <v>0</v>
      </c>
      <c r="EH20" s="261">
        <f>+Sydtrafik!EC35</f>
        <v>0</v>
      </c>
      <c r="EI20" s="261">
        <f>+Sydtrafik!ED35</f>
        <v>0</v>
      </c>
      <c r="EJ20" s="261">
        <f>+Sydtrafik!EE35</f>
        <v>0</v>
      </c>
      <c r="EK20" s="301"/>
      <c r="EL20" s="282">
        <f>+Sydtrafik!EF35</f>
        <v>0</v>
      </c>
      <c r="EM20" s="261">
        <f>+Sydtrafik!EG35</f>
        <v>0</v>
      </c>
      <c r="EN20" s="261">
        <f>+Sydtrafik!EH35</f>
        <v>0</v>
      </c>
      <c r="EO20" s="261">
        <f>+Sydtrafik!EI35</f>
        <v>0</v>
      </c>
      <c r="EP20" s="261">
        <f>+Sydtrafik!EJ35</f>
        <v>0</v>
      </c>
      <c r="EQ20" s="261">
        <f>+Sydtrafik!EK35</f>
        <v>0</v>
      </c>
      <c r="ER20" s="261">
        <f>+Sydtrafik!EL35</f>
        <v>0</v>
      </c>
      <c r="ES20" s="261">
        <f>+Sydtrafik!EM35</f>
        <v>0</v>
      </c>
      <c r="ET20" s="261">
        <f>+Sydtrafik!EN35</f>
        <v>0</v>
      </c>
      <c r="EU20" s="261">
        <f>+Sydtrafik!EO35</f>
        <v>0</v>
      </c>
      <c r="EV20" s="261">
        <f>+Sydtrafik!EP35</f>
        <v>0</v>
      </c>
      <c r="EW20" s="261">
        <f>+Sydtrafik!EQ35</f>
        <v>0</v>
      </c>
      <c r="EX20" s="261">
        <f>+Sydtrafik!ER35</f>
        <v>0</v>
      </c>
      <c r="EY20" s="301"/>
      <c r="EZ20" s="282">
        <f>+Sydtrafik!ES35</f>
        <v>14119161</v>
      </c>
      <c r="FA20" s="261">
        <f>+Sydtrafik!ET35</f>
        <v>9261016</v>
      </c>
      <c r="FB20" s="261">
        <f>+Sydtrafik!EU35</f>
        <v>8358961</v>
      </c>
      <c r="FC20" s="261">
        <f>+Sydtrafik!EV35</f>
        <v>11354419</v>
      </c>
      <c r="FD20" s="261">
        <f>+Sydtrafik!EW35</f>
        <v>11586082</v>
      </c>
      <c r="FE20" s="261">
        <f>+Sydtrafik!EX35</f>
        <v>11723996</v>
      </c>
      <c r="FF20" s="261">
        <f>+Sydtrafik!EY35</f>
        <v>12070577</v>
      </c>
      <c r="FG20" s="261">
        <f>+Sydtrafik!EZ35</f>
        <v>0</v>
      </c>
      <c r="FH20" s="261">
        <f>+Sydtrafik!FA35</f>
        <v>0</v>
      </c>
      <c r="FI20" s="261">
        <f>+Sydtrafik!FB35</f>
        <v>0</v>
      </c>
      <c r="FJ20" s="261">
        <f>+Sydtrafik!FC35</f>
        <v>0</v>
      </c>
      <c r="FK20" s="261">
        <f>+Sydtrafik!FD35</f>
        <v>0</v>
      </c>
      <c r="FL20" s="261">
        <f>+Sydtrafik!FE35</f>
        <v>0</v>
      </c>
      <c r="FM20" s="301"/>
      <c r="FN20" s="282">
        <f>+Sydtrafik!FF35</f>
        <v>0</v>
      </c>
      <c r="FO20" s="261">
        <f>+Sydtrafik!FG35</f>
        <v>0</v>
      </c>
      <c r="FP20" s="261">
        <f>+Sydtrafik!FH35</f>
        <v>0</v>
      </c>
      <c r="FQ20" s="261">
        <f>+Sydtrafik!FI35</f>
        <v>0</v>
      </c>
      <c r="FR20" s="261">
        <f>+Sydtrafik!FJ35</f>
        <v>0</v>
      </c>
      <c r="FS20" s="261">
        <f>+Sydtrafik!FK35</f>
        <v>0</v>
      </c>
      <c r="FT20" s="261">
        <f>+Sydtrafik!FL35</f>
        <v>0</v>
      </c>
      <c r="FU20" s="261">
        <f>+Sydtrafik!FM35</f>
        <v>0</v>
      </c>
      <c r="FV20" s="261">
        <f>+Sydtrafik!FN35</f>
        <v>0</v>
      </c>
      <c r="FW20" s="261">
        <f>+Sydtrafik!FO35</f>
        <v>0</v>
      </c>
      <c r="FX20" s="261">
        <f>+Sydtrafik!FP35</f>
        <v>0</v>
      </c>
      <c r="FY20" s="261">
        <f>+Sydtrafik!FQ35</f>
        <v>0</v>
      </c>
      <c r="FZ20" s="261">
        <f>+Sydtrafik!FR35</f>
        <v>0</v>
      </c>
      <c r="GA20" s="301"/>
      <c r="GB20" s="284">
        <f t="shared" si="29"/>
        <v>718.9031618910052</v>
      </c>
      <c r="GC20" s="270">
        <f t="shared" si="29"/>
        <v>705.88940866018947</v>
      </c>
      <c r="GD20" s="270">
        <f t="shared" si="29"/>
        <v>732.21003115311271</v>
      </c>
      <c r="GE20" s="270">
        <f t="shared" si="29"/>
        <v>806.25912349156192</v>
      </c>
      <c r="GF20" s="270">
        <f t="shared" si="29"/>
        <v>826.01725322543689</v>
      </c>
      <c r="GG20" s="270">
        <f t="shared" si="29"/>
        <v>833.06615920819911</v>
      </c>
      <c r="GH20" s="270">
        <f t="shared" si="29"/>
        <v>846.03903440126862</v>
      </c>
      <c r="GI20" s="270">
        <f t="shared" si="29"/>
        <v>866.77606849908307</v>
      </c>
      <c r="GJ20" s="270">
        <f t="shared" si="29"/>
        <v>877.91425142361027</v>
      </c>
      <c r="GK20" s="270" t="str">
        <f t="shared" si="29"/>
        <v/>
      </c>
      <c r="GL20" s="270" t="str">
        <f t="shared" si="29"/>
        <v/>
      </c>
      <c r="GM20" s="270" t="str">
        <f t="shared" si="29"/>
        <v/>
      </c>
      <c r="GN20" s="270" t="str">
        <f t="shared" si="29"/>
        <v/>
      </c>
      <c r="GO20" s="303"/>
      <c r="GP20" s="284">
        <f t="shared" si="30"/>
        <v>100</v>
      </c>
      <c r="GQ20" s="270">
        <f t="shared" si="30"/>
        <v>99.033305695395086</v>
      </c>
      <c r="GR20" s="270">
        <f t="shared" si="30"/>
        <v>95.554489105980011</v>
      </c>
      <c r="GS20" s="270">
        <f t="shared" si="30"/>
        <v>94.557622725512516</v>
      </c>
      <c r="GT20" s="270">
        <f t="shared" si="30"/>
        <v>93.360005131628654</v>
      </c>
      <c r="GU20" s="270">
        <f t="shared" si="30"/>
        <v>91.885612196170769</v>
      </c>
      <c r="GV20" s="270">
        <f t="shared" si="30"/>
        <v>91.684148256552916</v>
      </c>
      <c r="GW20" s="270">
        <f t="shared" si="30"/>
        <v>92.437143488414634</v>
      </c>
      <c r="GX20" s="270">
        <f t="shared" si="30"/>
        <v>93.036902586958533</v>
      </c>
      <c r="GY20" s="270">
        <f t="shared" si="30"/>
        <v>0</v>
      </c>
      <c r="GZ20" s="270">
        <f t="shared" si="30"/>
        <v>0</v>
      </c>
      <c r="HA20" s="270">
        <f t="shared" si="30"/>
        <v>0</v>
      </c>
      <c r="HB20" s="270">
        <f t="shared" si="30"/>
        <v>0</v>
      </c>
      <c r="HC20" s="303"/>
      <c r="HD20" s="284">
        <f t="shared" ref="HD20:HP20" si="41">IFERROR((P20/DX20)/($P$20/$DX$20)*100,"")</f>
        <v>100</v>
      </c>
      <c r="HE20" s="270">
        <f t="shared" si="41"/>
        <v>98.189776604044383</v>
      </c>
      <c r="HF20" s="270">
        <f t="shared" si="41"/>
        <v>101.85099606838632</v>
      </c>
      <c r="HG20" s="270">
        <f t="shared" si="41"/>
        <v>112.15128354294272</v>
      </c>
      <c r="HH20" s="270">
        <f t="shared" si="41"/>
        <v>114.8996550596159</v>
      </c>
      <c r="HI20" s="270">
        <f t="shared" si="41"/>
        <v>115.88016347249041</v>
      </c>
      <c r="HJ20" s="270">
        <f t="shared" si="41"/>
        <v>117.6847007009741</v>
      </c>
      <c r="HK20" s="270">
        <f t="shared" si="41"/>
        <v>120.56923859106594</v>
      </c>
      <c r="HL20" s="270">
        <f t="shared" si="41"/>
        <v>122.11856866985281</v>
      </c>
      <c r="HM20" s="270" t="str">
        <f t="shared" si="41"/>
        <v/>
      </c>
      <c r="HN20" s="270" t="str">
        <f t="shared" si="41"/>
        <v/>
      </c>
      <c r="HO20" s="270" t="str">
        <f t="shared" si="41"/>
        <v/>
      </c>
      <c r="HP20" s="270" t="str">
        <f t="shared" si="41"/>
        <v/>
      </c>
      <c r="HQ20" s="303"/>
      <c r="HR20" s="284">
        <f t="shared" ref="HR20:ID20" si="42">IFERROR(EZ20/$EZ$20*100,"")</f>
        <v>100</v>
      </c>
      <c r="HS20" s="270">
        <f t="shared" si="42"/>
        <v>65.591829429524878</v>
      </c>
      <c r="HT20" s="270">
        <f t="shared" si="42"/>
        <v>59.202958306091979</v>
      </c>
      <c r="HU20" s="270">
        <f t="shared" si="42"/>
        <v>80.418510703291787</v>
      </c>
      <c r="HV20" s="270">
        <f t="shared" si="42"/>
        <v>82.059281001186974</v>
      </c>
      <c r="HW20" s="270">
        <f t="shared" si="42"/>
        <v>83.036067086422477</v>
      </c>
      <c r="HX20" s="270">
        <f t="shared" si="42"/>
        <v>85.490752602084498</v>
      </c>
      <c r="HY20" s="270">
        <f t="shared" si="42"/>
        <v>0</v>
      </c>
      <c r="HZ20" s="270">
        <f t="shared" si="42"/>
        <v>0</v>
      </c>
      <c r="IA20" s="270">
        <f t="shared" si="42"/>
        <v>0</v>
      </c>
      <c r="IB20" s="270">
        <f t="shared" si="42"/>
        <v>0</v>
      </c>
      <c r="IC20" s="270">
        <f t="shared" si="42"/>
        <v>0</v>
      </c>
      <c r="ID20" s="288">
        <f t="shared" si="42"/>
        <v>0</v>
      </c>
    </row>
    <row r="21" spans="1:238" ht="15.75" thickBot="1" x14ac:dyDescent="0.3">
      <c r="A21" s="308" t="s">
        <v>44</v>
      </c>
      <c r="B21" s="265">
        <f t="shared" ref="B21:N21" si="43">SUM(B15:B20)</f>
        <v>3143.2427943000002</v>
      </c>
      <c r="C21" s="265">
        <f t="shared" si="43"/>
        <v>2147.1418773999999</v>
      </c>
      <c r="D21" s="265">
        <f t="shared" si="43"/>
        <v>2193.1429089000003</v>
      </c>
      <c r="E21" s="265">
        <f t="shared" si="43"/>
        <v>2751.5163200999996</v>
      </c>
      <c r="F21" s="265">
        <f t="shared" si="43"/>
        <v>3068.1222708</v>
      </c>
      <c r="G21" s="265">
        <f t="shared" si="43"/>
        <v>3325.7711481000001</v>
      </c>
      <c r="H21" s="265">
        <f t="shared" si="43"/>
        <v>3250.1457783000005</v>
      </c>
      <c r="I21" s="265">
        <f t="shared" si="43"/>
        <v>3220.3723575999998</v>
      </c>
      <c r="J21" s="265">
        <f t="shared" si="43"/>
        <v>3200.0491761000003</v>
      </c>
      <c r="K21" s="265">
        <f t="shared" si="43"/>
        <v>0</v>
      </c>
      <c r="L21" s="265">
        <f t="shared" si="43"/>
        <v>1821.7030999999999</v>
      </c>
      <c r="M21" s="265">
        <f t="shared" si="43"/>
        <v>0</v>
      </c>
      <c r="N21" s="265">
        <f t="shared" si="43"/>
        <v>0</v>
      </c>
      <c r="O21" s="296"/>
      <c r="P21" s="276">
        <f t="shared" ref="P21:AB21" si="44">SUM(P15:P20)</f>
        <v>6350.8274720999998</v>
      </c>
      <c r="Q21" s="265">
        <f t="shared" si="44"/>
        <v>6265.3845282000002</v>
      </c>
      <c r="R21" s="265">
        <f t="shared" si="44"/>
        <v>6468.9121195999996</v>
      </c>
      <c r="S21" s="265">
        <f t="shared" si="44"/>
        <v>7072.5602951000001</v>
      </c>
      <c r="T21" s="265">
        <f t="shared" si="44"/>
        <v>6995.6467161999999</v>
      </c>
      <c r="U21" s="265">
        <f t="shared" si="44"/>
        <v>6865.6591297999994</v>
      </c>
      <c r="V21" s="265">
        <f t="shared" si="44"/>
        <v>6964.3343666000001</v>
      </c>
      <c r="W21" s="265">
        <f t="shared" si="44"/>
        <v>6962.0951339097865</v>
      </c>
      <c r="X21" s="265">
        <f t="shared" si="44"/>
        <v>7126.1560881000014</v>
      </c>
      <c r="Y21" s="265">
        <f t="shared" si="44"/>
        <v>0</v>
      </c>
      <c r="Z21" s="265">
        <f t="shared" si="44"/>
        <v>3449.3916199999999</v>
      </c>
      <c r="AA21" s="265">
        <f t="shared" si="44"/>
        <v>0</v>
      </c>
      <c r="AB21" s="265">
        <f t="shared" si="44"/>
        <v>0</v>
      </c>
      <c r="AC21" s="296"/>
      <c r="AD21" s="276">
        <f t="shared" ref="AD21:AP21" si="45">SUM(AD15:AD20)</f>
        <v>621.65121369999997</v>
      </c>
      <c r="AE21" s="265">
        <f t="shared" si="45"/>
        <v>636.95699580000007</v>
      </c>
      <c r="AF21" s="265">
        <f t="shared" si="45"/>
        <v>658.62968359999991</v>
      </c>
      <c r="AG21" s="265">
        <f t="shared" si="45"/>
        <v>629.34245640000006</v>
      </c>
      <c r="AH21" s="265">
        <f t="shared" si="45"/>
        <v>661.42453040000009</v>
      </c>
      <c r="AI21" s="265">
        <f t="shared" si="45"/>
        <v>687.02274809999994</v>
      </c>
      <c r="AJ21" s="265">
        <f t="shared" si="45"/>
        <v>694.89592369999991</v>
      </c>
      <c r="AK21" s="265">
        <f t="shared" si="45"/>
        <v>728.37166189999994</v>
      </c>
      <c r="AL21" s="265">
        <f t="shared" si="45"/>
        <v>722.91008569999997</v>
      </c>
      <c r="AM21" s="265">
        <f t="shared" si="45"/>
        <v>0</v>
      </c>
      <c r="AN21" s="265">
        <f t="shared" si="45"/>
        <v>391.60117000000002</v>
      </c>
      <c r="AO21" s="265">
        <f t="shared" si="45"/>
        <v>0</v>
      </c>
      <c r="AP21" s="265">
        <f t="shared" si="45"/>
        <v>0</v>
      </c>
      <c r="AQ21" s="296"/>
      <c r="AR21" s="276">
        <f t="shared" ref="AR21:BD21" si="46">SUM(AR15:AR20)</f>
        <v>18.556899999999999</v>
      </c>
      <c r="AS21" s="265">
        <f t="shared" si="46"/>
        <v>20.621860000000002</v>
      </c>
      <c r="AT21" s="265">
        <f t="shared" si="46"/>
        <v>21.31146</v>
      </c>
      <c r="AU21" s="265">
        <f t="shared" si="46"/>
        <v>22.519749999999998</v>
      </c>
      <c r="AV21" s="265">
        <f t="shared" si="46"/>
        <v>23.598279999999999</v>
      </c>
      <c r="AW21" s="265">
        <f t="shared" si="46"/>
        <v>26.754300000000001</v>
      </c>
      <c r="AX21" s="265">
        <f t="shared" si="46"/>
        <v>24.65137</v>
      </c>
      <c r="AY21" s="265">
        <f t="shared" si="46"/>
        <v>29.76613</v>
      </c>
      <c r="AZ21" s="265">
        <f t="shared" si="46"/>
        <v>28.870709999999999</v>
      </c>
      <c r="BA21" s="265">
        <f t="shared" si="46"/>
        <v>0</v>
      </c>
      <c r="BB21" s="265">
        <f t="shared" si="46"/>
        <v>30.234059999999999</v>
      </c>
      <c r="BC21" s="265">
        <f t="shared" si="46"/>
        <v>0</v>
      </c>
      <c r="BD21" s="265">
        <f t="shared" si="46"/>
        <v>0</v>
      </c>
      <c r="BE21" s="296"/>
      <c r="BF21" s="276">
        <f t="shared" ref="BF21:BR21" si="47">SUM(BF15:BF20)</f>
        <v>19.460518699999998</v>
      </c>
      <c r="BG21" s="265">
        <f t="shared" si="47"/>
        <v>38.108035999999998</v>
      </c>
      <c r="BH21" s="265">
        <f t="shared" si="47"/>
        <v>9.9112088000000007</v>
      </c>
      <c r="BI21" s="265">
        <f t="shared" si="47"/>
        <v>7.4799226999999995</v>
      </c>
      <c r="BJ21" s="265">
        <f t="shared" si="47"/>
        <v>17.937326299999999</v>
      </c>
      <c r="BK21" s="265">
        <f t="shared" si="47"/>
        <v>8.3883530999999998</v>
      </c>
      <c r="BL21" s="265">
        <f t="shared" si="47"/>
        <v>15.9374763</v>
      </c>
      <c r="BM21" s="265">
        <f t="shared" si="47"/>
        <v>8.3659163000000003</v>
      </c>
      <c r="BN21" s="265">
        <f t="shared" si="47"/>
        <v>17.235690599999998</v>
      </c>
      <c r="BO21" s="265">
        <f t="shared" si="47"/>
        <v>0</v>
      </c>
      <c r="BP21" s="265">
        <f t="shared" si="47"/>
        <v>-1.22617</v>
      </c>
      <c r="BQ21" s="265">
        <f t="shared" si="47"/>
        <v>0</v>
      </c>
      <c r="BR21" s="265">
        <f t="shared" si="47"/>
        <v>0</v>
      </c>
      <c r="BS21" s="296"/>
      <c r="BT21" s="279">
        <f t="shared" ref="BT21:CF21" si="48">SUM(BT15:BT20)</f>
        <v>0</v>
      </c>
      <c r="BU21" s="266">
        <f t="shared" si="48"/>
        <v>-90.420661200000069</v>
      </c>
      <c r="BV21" s="266">
        <f t="shared" si="48"/>
        <v>-11.359796500000016</v>
      </c>
      <c r="BW21" s="266">
        <f t="shared" si="48"/>
        <v>14.258417399999995</v>
      </c>
      <c r="BX21" s="266">
        <f t="shared" si="48"/>
        <v>-11.571492199999996</v>
      </c>
      <c r="BY21" s="266">
        <f t="shared" si="48"/>
        <v>-2.2733275000000002</v>
      </c>
      <c r="BZ21" s="266">
        <f t="shared" si="48"/>
        <v>0</v>
      </c>
      <c r="CA21" s="266">
        <f t="shared" si="48"/>
        <v>0</v>
      </c>
      <c r="CB21" s="266">
        <f t="shared" si="48"/>
        <v>1.2</v>
      </c>
      <c r="CC21" s="266">
        <f t="shared" si="48"/>
        <v>0</v>
      </c>
      <c r="CD21" s="266">
        <f t="shared" si="48"/>
        <v>0</v>
      </c>
      <c r="CE21" s="266">
        <f t="shared" si="48"/>
        <v>0</v>
      </c>
      <c r="CF21" s="266">
        <f t="shared" si="48"/>
        <v>0</v>
      </c>
      <c r="CG21" s="298"/>
      <c r="CH21" s="279">
        <f t="shared" ref="CH21:CT21" si="49">SUM(CH15:CH20)</f>
        <v>4300.1241045000006</v>
      </c>
      <c r="CI21" s="266">
        <f t="shared" si="49"/>
        <v>4302.3534300000001</v>
      </c>
      <c r="CJ21" s="266">
        <f t="shared" si="49"/>
        <v>4426.8654720000004</v>
      </c>
      <c r="CK21" s="266">
        <f t="shared" si="49"/>
        <v>4779.1074342000002</v>
      </c>
      <c r="CL21" s="266">
        <f t="shared" si="49"/>
        <v>4827.7818629000003</v>
      </c>
      <c r="CM21" s="266">
        <f t="shared" si="49"/>
        <v>4697.7915309999998</v>
      </c>
      <c r="CN21" s="266">
        <f t="shared" si="49"/>
        <v>4817.5383825999997</v>
      </c>
      <c r="CO21" s="266">
        <f t="shared" si="49"/>
        <v>4787.5778620999999</v>
      </c>
      <c r="CP21" s="266">
        <f t="shared" si="49"/>
        <v>4919.9905744000007</v>
      </c>
      <c r="CQ21" s="266">
        <f t="shared" si="49"/>
        <v>0</v>
      </c>
      <c r="CR21" s="266">
        <f t="shared" si="49"/>
        <v>3870.0006800000001</v>
      </c>
      <c r="CS21" s="266">
        <f t="shared" si="49"/>
        <v>0</v>
      </c>
      <c r="CT21" s="266">
        <f t="shared" si="49"/>
        <v>0</v>
      </c>
      <c r="CU21" s="298"/>
      <c r="CV21" s="279">
        <f t="shared" ref="CV21:DH21" si="50">SUM(CV15:CV20)</f>
        <v>2311.1793102000001</v>
      </c>
      <c r="CW21" s="266">
        <f t="shared" si="50"/>
        <v>2361.9467337999999</v>
      </c>
      <c r="CX21" s="266">
        <f t="shared" si="50"/>
        <v>2444.0903896</v>
      </c>
      <c r="CY21" s="266">
        <f t="shared" si="50"/>
        <v>2921.9982767000001</v>
      </c>
      <c r="CZ21" s="266">
        <f t="shared" si="50"/>
        <v>2787.4286443000001</v>
      </c>
      <c r="DA21" s="266">
        <f t="shared" si="50"/>
        <v>2520.6129903999999</v>
      </c>
      <c r="DB21" s="266">
        <f t="shared" si="50"/>
        <v>2683.8215132999999</v>
      </c>
      <c r="DC21" s="266">
        <f t="shared" si="50"/>
        <v>2703.0685045</v>
      </c>
      <c r="DD21" s="266">
        <f t="shared" si="50"/>
        <v>2832.7673983</v>
      </c>
      <c r="DE21" s="266">
        <f t="shared" si="50"/>
        <v>0</v>
      </c>
      <c r="DF21" s="266">
        <f t="shared" si="50"/>
        <v>2048.2975799999999</v>
      </c>
      <c r="DG21" s="266">
        <f t="shared" si="50"/>
        <v>0</v>
      </c>
      <c r="DH21" s="266">
        <f t="shared" si="50"/>
        <v>0</v>
      </c>
      <c r="DI21" s="298"/>
      <c r="DJ21" s="281">
        <f t="shared" ref="DJ21:DV21" si="51">IFERROR(AD21/CH21,"")</f>
        <v>0.14456587730792547</v>
      </c>
      <c r="DK21" s="267">
        <f t="shared" si="51"/>
        <v>0.14804850558267596</v>
      </c>
      <c r="DL21" s="267">
        <f t="shared" si="51"/>
        <v>0.14878014427270128</v>
      </c>
      <c r="DM21" s="267">
        <f t="shared" si="51"/>
        <v>0.13168619142066829</v>
      </c>
      <c r="DN21" s="267">
        <f t="shared" si="51"/>
        <v>0.1370038144189657</v>
      </c>
      <c r="DO21" s="267">
        <f t="shared" si="51"/>
        <v>0.14624377083709295</v>
      </c>
      <c r="DP21" s="267">
        <f t="shared" si="51"/>
        <v>0.14424294494670289</v>
      </c>
      <c r="DQ21" s="267">
        <f t="shared" si="51"/>
        <v>0.15213782060152448</v>
      </c>
      <c r="DR21" s="267">
        <f t="shared" si="51"/>
        <v>0.14693322573857975</v>
      </c>
      <c r="DS21" s="267" t="str">
        <f t="shared" si="51"/>
        <v/>
      </c>
      <c r="DT21" s="267">
        <f t="shared" si="51"/>
        <v>0.10118891503657307</v>
      </c>
      <c r="DU21" s="267" t="str">
        <f t="shared" si="51"/>
        <v/>
      </c>
      <c r="DV21" s="267" t="str">
        <f t="shared" si="51"/>
        <v/>
      </c>
      <c r="DW21" s="300"/>
      <c r="DX21" s="283">
        <f t="shared" ref="DX21:EJ21" si="52">SUM(DX15:DX20)</f>
        <v>8586158.6232066676</v>
      </c>
      <c r="DY21" s="268">
        <f t="shared" si="52"/>
        <v>8382211.9274437744</v>
      </c>
      <c r="DZ21" s="268">
        <f t="shared" si="52"/>
        <v>8330758.4666199991</v>
      </c>
      <c r="EA21" s="268">
        <f t="shared" si="52"/>
        <v>8334624.0748166665</v>
      </c>
      <c r="EB21" s="268">
        <f t="shared" si="52"/>
        <v>8196206.2867435049</v>
      </c>
      <c r="EC21" s="268">
        <f t="shared" si="52"/>
        <v>8018514.689423997</v>
      </c>
      <c r="ED21" s="268">
        <f t="shared" si="52"/>
        <v>7924309.2499799998</v>
      </c>
      <c r="EE21" s="268">
        <f t="shared" si="52"/>
        <v>7896049.3989899997</v>
      </c>
      <c r="EF21" s="268">
        <f t="shared" si="52"/>
        <v>7901887.3491699994</v>
      </c>
      <c r="EG21" s="268">
        <f t="shared" si="52"/>
        <v>0</v>
      </c>
      <c r="EH21" s="268">
        <f t="shared" si="52"/>
        <v>4074529.8714299998</v>
      </c>
      <c r="EI21" s="268">
        <f t="shared" si="52"/>
        <v>0</v>
      </c>
      <c r="EJ21" s="268">
        <f t="shared" si="52"/>
        <v>0</v>
      </c>
      <c r="EK21" s="302"/>
      <c r="EL21" s="283">
        <f t="shared" ref="EL21:EX21" si="53">SUM(EL15:EL20)</f>
        <v>0</v>
      </c>
      <c r="EM21" s="268">
        <f t="shared" si="53"/>
        <v>0</v>
      </c>
      <c r="EN21" s="268">
        <f t="shared" si="53"/>
        <v>0</v>
      </c>
      <c r="EO21" s="268">
        <f t="shared" si="53"/>
        <v>0</v>
      </c>
      <c r="EP21" s="268">
        <f t="shared" si="53"/>
        <v>0</v>
      </c>
      <c r="EQ21" s="268">
        <f t="shared" si="53"/>
        <v>0</v>
      </c>
      <c r="ER21" s="268">
        <f t="shared" si="53"/>
        <v>0</v>
      </c>
      <c r="ES21" s="268">
        <f t="shared" si="53"/>
        <v>0</v>
      </c>
      <c r="ET21" s="268">
        <f t="shared" si="53"/>
        <v>0</v>
      </c>
      <c r="EU21" s="268">
        <f t="shared" si="53"/>
        <v>0</v>
      </c>
      <c r="EV21" s="268">
        <f t="shared" si="53"/>
        <v>0</v>
      </c>
      <c r="EW21" s="268">
        <f t="shared" si="53"/>
        <v>0</v>
      </c>
      <c r="EX21" s="268">
        <f t="shared" si="53"/>
        <v>0</v>
      </c>
      <c r="EY21" s="302"/>
      <c r="EZ21" s="283">
        <f t="shared" ref="EZ21:FL21" si="54">SUM(EZ15:EZ20)</f>
        <v>286053796.99000001</v>
      </c>
      <c r="FA21" s="268">
        <f t="shared" si="54"/>
        <v>181781471.76046002</v>
      </c>
      <c r="FB21" s="268">
        <f t="shared" si="54"/>
        <v>176604709.01591998</v>
      </c>
      <c r="FC21" s="268">
        <f t="shared" si="54"/>
        <v>224876713.85870001</v>
      </c>
      <c r="FD21" s="268">
        <f t="shared" si="54"/>
        <v>243559517.38315001</v>
      </c>
      <c r="FE21" s="268">
        <f t="shared" si="54"/>
        <v>252255337.81801999</v>
      </c>
      <c r="FF21" s="268">
        <f t="shared" si="54"/>
        <v>249901181.59854001</v>
      </c>
      <c r="FG21" s="268">
        <f t="shared" si="54"/>
        <v>215747076.00092</v>
      </c>
      <c r="FH21" s="268">
        <f t="shared" si="54"/>
        <v>171091678.80313</v>
      </c>
      <c r="FI21" s="268">
        <f t="shared" si="54"/>
        <v>0</v>
      </c>
      <c r="FJ21" s="268">
        <f t="shared" si="54"/>
        <v>159459410.81431001</v>
      </c>
      <c r="FK21" s="268">
        <f t="shared" si="54"/>
        <v>0</v>
      </c>
      <c r="FL21" s="268">
        <f t="shared" si="54"/>
        <v>0</v>
      </c>
      <c r="FM21" s="302"/>
      <c r="FN21" s="283">
        <f t="shared" ref="FN21:FZ21" si="55">SUM(FN15:FN20)</f>
        <v>0</v>
      </c>
      <c r="FO21" s="268">
        <f t="shared" si="55"/>
        <v>0</v>
      </c>
      <c r="FP21" s="268">
        <f t="shared" si="55"/>
        <v>0</v>
      </c>
      <c r="FQ21" s="268">
        <f t="shared" si="55"/>
        <v>0</v>
      </c>
      <c r="FR21" s="268">
        <f t="shared" si="55"/>
        <v>0</v>
      </c>
      <c r="FS21" s="268">
        <f t="shared" si="55"/>
        <v>0</v>
      </c>
      <c r="FT21" s="268">
        <f t="shared" si="55"/>
        <v>0</v>
      </c>
      <c r="FU21" s="268">
        <f t="shared" si="55"/>
        <v>0</v>
      </c>
      <c r="FV21" s="268">
        <f t="shared" si="55"/>
        <v>0</v>
      </c>
      <c r="FW21" s="268">
        <f t="shared" si="55"/>
        <v>0</v>
      </c>
      <c r="FX21" s="268">
        <f t="shared" si="55"/>
        <v>0</v>
      </c>
      <c r="FY21" s="268">
        <f t="shared" si="55"/>
        <v>0</v>
      </c>
      <c r="FZ21" s="268">
        <f t="shared" si="55"/>
        <v>0</v>
      </c>
      <c r="GA21" s="302"/>
      <c r="GB21" s="285">
        <f t="shared" si="29"/>
        <v>739.65876369148179</v>
      </c>
      <c r="GC21" s="271">
        <f t="shared" si="29"/>
        <v>747.46195663304843</v>
      </c>
      <c r="GD21" s="271">
        <f t="shared" si="29"/>
        <v>776.50938333164777</v>
      </c>
      <c r="GE21" s="271">
        <f t="shared" si="29"/>
        <v>848.57580037352466</v>
      </c>
      <c r="GF21" s="271">
        <f t="shared" si="29"/>
        <v>853.52252877220974</v>
      </c>
      <c r="GG21" s="271">
        <f t="shared" si="29"/>
        <v>856.2257968867284</v>
      </c>
      <c r="GH21" s="271">
        <f t="shared" si="29"/>
        <v>878.856963667537</v>
      </c>
      <c r="GI21" s="271">
        <f t="shared" si="29"/>
        <v>881.71879152634517</v>
      </c>
      <c r="GJ21" s="271">
        <f t="shared" si="29"/>
        <v>901.82962287465671</v>
      </c>
      <c r="GK21" s="271" t="str">
        <f t="shared" si="29"/>
        <v/>
      </c>
      <c r="GL21" s="271">
        <f t="shared" si="29"/>
        <v>846.57413955573702</v>
      </c>
      <c r="GM21" s="271" t="str">
        <f t="shared" si="29"/>
        <v/>
      </c>
      <c r="GN21" s="271" t="str">
        <f t="shared" si="29"/>
        <v/>
      </c>
      <c r="GO21" s="304"/>
      <c r="GP21" s="285">
        <f t="shared" si="30"/>
        <v>100</v>
      </c>
      <c r="GQ21" s="271">
        <f t="shared" si="30"/>
        <v>97.624703843559729</v>
      </c>
      <c r="GR21" s="271">
        <f t="shared" si="30"/>
        <v>97.025443300146208</v>
      </c>
      <c r="GS21" s="271">
        <f t="shared" si="30"/>
        <v>97.070464692905233</v>
      </c>
      <c r="GT21" s="271">
        <f t="shared" si="30"/>
        <v>95.458360908809681</v>
      </c>
      <c r="GU21" s="271">
        <f t="shared" si="30"/>
        <v>93.388848742574567</v>
      </c>
      <c r="GV21" s="271">
        <f t="shared" si="30"/>
        <v>92.291670789335043</v>
      </c>
      <c r="GW21" s="271">
        <f t="shared" si="30"/>
        <v>91.962538144223885</v>
      </c>
      <c r="GX21" s="271">
        <f t="shared" si="30"/>
        <v>92.030530717342913</v>
      </c>
      <c r="GY21" s="271">
        <f t="shared" si="30"/>
        <v>0</v>
      </c>
      <c r="GZ21" s="271">
        <f t="shared" si="30"/>
        <v>47.454630763719663</v>
      </c>
      <c r="HA21" s="271">
        <f t="shared" si="30"/>
        <v>0</v>
      </c>
      <c r="HB21" s="271">
        <f t="shared" si="30"/>
        <v>0</v>
      </c>
      <c r="HC21" s="304"/>
      <c r="HD21" s="285">
        <f t="shared" ref="HD21:HP21" si="56">IFERROR((P21/DX21)/($P$21/$DX$21)*100,"")</f>
        <v>100</v>
      </c>
      <c r="HE21" s="271">
        <f t="shared" si="56"/>
        <v>101.05497201204277</v>
      </c>
      <c r="HF21" s="271">
        <f t="shared" si="56"/>
        <v>104.98211086640174</v>
      </c>
      <c r="HG21" s="271">
        <f t="shared" si="56"/>
        <v>114.72530875433162</v>
      </c>
      <c r="HH21" s="271">
        <f t="shared" si="56"/>
        <v>115.39409396198563</v>
      </c>
      <c r="HI21" s="271">
        <f t="shared" si="56"/>
        <v>115.75956899550341</v>
      </c>
      <c r="HJ21" s="271">
        <f t="shared" si="56"/>
        <v>118.81924568585467</v>
      </c>
      <c r="HK21" s="271">
        <f t="shared" si="56"/>
        <v>119.20615759703455</v>
      </c>
      <c r="HL21" s="271">
        <f t="shared" si="56"/>
        <v>121.92509129126168</v>
      </c>
      <c r="HM21" s="271" t="str">
        <f t="shared" si="56"/>
        <v/>
      </c>
      <c r="HN21" s="271">
        <f t="shared" si="56"/>
        <v>114.45468925841735</v>
      </c>
      <c r="HO21" s="271" t="str">
        <f t="shared" si="56"/>
        <v/>
      </c>
      <c r="HP21" s="271" t="str">
        <f t="shared" si="56"/>
        <v/>
      </c>
      <c r="HQ21" s="304"/>
      <c r="HR21" s="285">
        <f t="shared" ref="HR21:ID21" si="57">IFERROR(EZ21/$EZ$21*100,"")</f>
        <v>100</v>
      </c>
      <c r="HS21" s="271">
        <f t="shared" si="57"/>
        <v>63.548001695224762</v>
      </c>
      <c r="HT21" s="271">
        <f t="shared" si="57"/>
        <v>61.738285201679666</v>
      </c>
      <c r="HU21" s="271">
        <f t="shared" si="57"/>
        <v>78.613434334717596</v>
      </c>
      <c r="HV21" s="271">
        <f t="shared" si="57"/>
        <v>85.144654588054451</v>
      </c>
      <c r="HW21" s="271">
        <f t="shared" si="57"/>
        <v>88.184579429595345</v>
      </c>
      <c r="HX21" s="271">
        <f t="shared" si="57"/>
        <v>87.36160268737008</v>
      </c>
      <c r="HY21" s="271">
        <f t="shared" si="57"/>
        <v>75.42185360625092</v>
      </c>
      <c r="HZ21" s="271">
        <f t="shared" si="57"/>
        <v>59.811014782338688</v>
      </c>
      <c r="IA21" s="271">
        <f t="shared" si="57"/>
        <v>0</v>
      </c>
      <c r="IB21" s="271">
        <f t="shared" si="57"/>
        <v>55.744553119805104</v>
      </c>
      <c r="IC21" s="271">
        <f t="shared" si="57"/>
        <v>0</v>
      </c>
      <c r="ID21" s="289">
        <f t="shared" si="57"/>
        <v>0</v>
      </c>
    </row>
    <row r="22" spans="1:238" ht="15" thickTop="1" x14ac:dyDescent="0.2">
      <c r="O22" s="291"/>
      <c r="P22" s="277"/>
      <c r="AC22" s="291"/>
      <c r="AD22" s="277"/>
      <c r="AQ22" s="291"/>
      <c r="AR22" s="277"/>
      <c r="BE22" s="291"/>
      <c r="BF22" s="277"/>
      <c r="BS22" s="291"/>
      <c r="BT22" s="277"/>
      <c r="CG22" s="291"/>
      <c r="CH22" s="277"/>
      <c r="CU22" s="291"/>
      <c r="CV22" s="277"/>
      <c r="DI22" s="291"/>
      <c r="DJ22" s="277"/>
      <c r="DW22" s="291"/>
      <c r="DX22" s="277"/>
      <c r="EK22" s="291"/>
      <c r="EL22" s="277"/>
      <c r="EY22" s="291"/>
      <c r="EZ22" s="277"/>
      <c r="FM22" s="291"/>
      <c r="FN22" s="277"/>
      <c r="GA22" s="291"/>
      <c r="GB22" s="277"/>
      <c r="GO22" s="291"/>
      <c r="GP22" s="277"/>
      <c r="HC22" s="291"/>
      <c r="HD22" s="277"/>
      <c r="HQ22" s="291"/>
      <c r="HR22" s="277"/>
      <c r="ID22" s="290"/>
    </row>
    <row r="23" spans="1:238" ht="15" x14ac:dyDescent="0.25">
      <c r="A23" s="264" t="s">
        <v>298</v>
      </c>
      <c r="B23" s="264"/>
      <c r="C23" s="264"/>
      <c r="D23" s="264"/>
      <c r="E23" s="264"/>
      <c r="F23" s="264"/>
      <c r="G23" s="264"/>
      <c r="H23" s="264"/>
      <c r="I23" s="264"/>
      <c r="J23" s="264"/>
      <c r="K23" s="264"/>
      <c r="L23" s="264"/>
      <c r="M23" s="264"/>
      <c r="N23" s="264"/>
      <c r="O23" s="294"/>
      <c r="P23" s="274"/>
      <c r="Q23" s="264"/>
      <c r="R23" s="264"/>
      <c r="S23" s="264"/>
      <c r="T23" s="264"/>
      <c r="U23" s="264"/>
      <c r="V23" s="264"/>
      <c r="W23" s="264"/>
      <c r="X23" s="264"/>
      <c r="Y23" s="264"/>
      <c r="Z23" s="264"/>
      <c r="AA23" s="264"/>
      <c r="AB23" s="264"/>
      <c r="AC23" s="294"/>
      <c r="AD23" s="274"/>
      <c r="AE23" s="264"/>
      <c r="AF23" s="264"/>
      <c r="AG23" s="264"/>
      <c r="AH23" s="264"/>
      <c r="AI23" s="264"/>
      <c r="AJ23" s="264"/>
      <c r="AK23" s="264"/>
      <c r="AL23" s="264"/>
      <c r="AM23" s="264"/>
      <c r="AN23" s="264"/>
      <c r="AO23" s="264"/>
      <c r="AP23" s="264"/>
      <c r="AQ23" s="294"/>
      <c r="AR23" s="274"/>
      <c r="AS23" s="264"/>
      <c r="AT23" s="264"/>
      <c r="AU23" s="264"/>
      <c r="AV23" s="264"/>
      <c r="AW23" s="264"/>
      <c r="AX23" s="264"/>
      <c r="AY23" s="264"/>
      <c r="AZ23" s="264"/>
      <c r="BA23" s="264"/>
      <c r="BB23" s="264"/>
      <c r="BC23" s="264"/>
      <c r="BD23" s="264"/>
      <c r="BE23" s="294"/>
      <c r="BF23" s="274"/>
      <c r="BG23" s="264"/>
      <c r="BH23" s="264"/>
      <c r="BI23" s="264"/>
      <c r="BJ23" s="264"/>
      <c r="BK23" s="264"/>
      <c r="BL23" s="264"/>
      <c r="BM23" s="264"/>
      <c r="BN23" s="264"/>
      <c r="BO23" s="264"/>
      <c r="BP23" s="264"/>
      <c r="BQ23" s="264"/>
      <c r="BR23" s="264"/>
      <c r="BS23" s="294"/>
      <c r="BT23" s="274"/>
      <c r="BU23" s="264"/>
      <c r="BV23" s="264"/>
      <c r="BW23" s="264"/>
      <c r="BX23" s="264"/>
      <c r="BY23" s="264"/>
      <c r="BZ23" s="264"/>
      <c r="CA23" s="264"/>
      <c r="CB23" s="264"/>
      <c r="CC23" s="264"/>
      <c r="CD23" s="264"/>
      <c r="CE23" s="264"/>
      <c r="CF23" s="264"/>
      <c r="CG23" s="294"/>
      <c r="CH23" s="274"/>
      <c r="CI23" s="264"/>
      <c r="CJ23" s="264"/>
      <c r="CK23" s="264"/>
      <c r="CL23" s="264"/>
      <c r="CM23" s="264"/>
      <c r="CN23" s="264"/>
      <c r="CO23" s="264"/>
      <c r="CP23" s="264"/>
      <c r="CQ23" s="264"/>
      <c r="CR23" s="264"/>
      <c r="CS23" s="264"/>
      <c r="CT23" s="264"/>
      <c r="CU23" s="294"/>
      <c r="CV23" s="274"/>
      <c r="CW23" s="264"/>
      <c r="CX23" s="264"/>
      <c r="CY23" s="264"/>
      <c r="CZ23" s="264"/>
      <c r="DA23" s="264"/>
      <c r="DB23" s="264"/>
      <c r="DC23" s="264"/>
      <c r="DD23" s="264"/>
      <c r="DE23" s="264"/>
      <c r="DF23" s="264"/>
      <c r="DG23" s="264"/>
      <c r="DH23" s="264"/>
      <c r="DI23" s="294"/>
      <c r="DJ23" s="274"/>
      <c r="DK23" s="264"/>
      <c r="DL23" s="264"/>
      <c r="DM23" s="264"/>
      <c r="DN23" s="264"/>
      <c r="DO23" s="264"/>
      <c r="DP23" s="264"/>
      <c r="DQ23" s="264"/>
      <c r="DR23" s="264"/>
      <c r="DS23" s="264"/>
      <c r="DT23" s="264"/>
      <c r="DU23" s="264"/>
      <c r="DV23" s="264"/>
      <c r="DW23" s="294"/>
      <c r="DX23" s="274"/>
      <c r="DY23" s="264"/>
      <c r="DZ23" s="264"/>
      <c r="EA23" s="264"/>
      <c r="EB23" s="264"/>
      <c r="EC23" s="264"/>
      <c r="ED23" s="264"/>
      <c r="EE23" s="264"/>
      <c r="EF23" s="264"/>
      <c r="EG23" s="264"/>
      <c r="EH23" s="264"/>
      <c r="EI23" s="264"/>
      <c r="EJ23" s="264"/>
      <c r="EK23" s="294"/>
      <c r="EL23" s="274"/>
      <c r="EM23" s="264"/>
      <c r="EN23" s="264"/>
      <c r="EO23" s="264"/>
      <c r="EP23" s="264"/>
      <c r="EQ23" s="264"/>
      <c r="ER23" s="264"/>
      <c r="ES23" s="264"/>
      <c r="ET23" s="264"/>
      <c r="EU23" s="264"/>
      <c r="EV23" s="264"/>
      <c r="EW23" s="264"/>
      <c r="EX23" s="264"/>
      <c r="EY23" s="294"/>
      <c r="EZ23" s="274"/>
      <c r="FA23" s="264"/>
      <c r="FB23" s="264"/>
      <c r="FC23" s="264"/>
      <c r="FD23" s="264"/>
      <c r="FE23" s="264"/>
      <c r="FF23" s="264"/>
      <c r="FG23" s="264"/>
      <c r="FH23" s="264"/>
      <c r="FI23" s="264"/>
      <c r="FJ23" s="264"/>
      <c r="FK23" s="264"/>
      <c r="FL23" s="264"/>
      <c r="FM23" s="294"/>
      <c r="FN23" s="274"/>
      <c r="FO23" s="264"/>
      <c r="FP23" s="264"/>
      <c r="FQ23" s="264"/>
      <c r="FR23" s="264"/>
      <c r="FS23" s="264"/>
      <c r="FT23" s="264"/>
      <c r="FU23" s="264"/>
      <c r="FV23" s="264"/>
      <c r="FW23" s="264"/>
      <c r="FX23" s="264"/>
      <c r="FY23" s="264"/>
      <c r="FZ23" s="264"/>
      <c r="GA23" s="294"/>
      <c r="GB23" s="274"/>
      <c r="GC23" s="264"/>
      <c r="GD23" s="264"/>
      <c r="GE23" s="264"/>
      <c r="GF23" s="264"/>
      <c r="GG23" s="264"/>
      <c r="GH23" s="264"/>
      <c r="GI23" s="264"/>
      <c r="GJ23" s="264"/>
      <c r="GK23" s="264"/>
      <c r="GL23" s="264"/>
      <c r="GM23" s="264"/>
      <c r="GN23" s="264"/>
      <c r="GO23" s="294"/>
      <c r="GP23" s="274"/>
      <c r="GQ23" s="264"/>
      <c r="GR23" s="264"/>
      <c r="GS23" s="264"/>
      <c r="GT23" s="264"/>
      <c r="GU23" s="264"/>
      <c r="GV23" s="264"/>
      <c r="GW23" s="264"/>
      <c r="GX23" s="264"/>
      <c r="GY23" s="264"/>
      <c r="GZ23" s="264"/>
      <c r="HA23" s="264"/>
      <c r="HB23" s="264"/>
      <c r="HC23" s="294"/>
      <c r="HD23" s="274"/>
      <c r="HE23" s="264"/>
      <c r="HF23" s="264"/>
      <c r="HG23" s="264"/>
      <c r="HH23" s="264"/>
      <c r="HI23" s="264"/>
      <c r="HJ23" s="264"/>
      <c r="HK23" s="264"/>
      <c r="HL23" s="264"/>
      <c r="HM23" s="264"/>
      <c r="HN23" s="264"/>
      <c r="HO23" s="264"/>
      <c r="HP23" s="264"/>
      <c r="HQ23" s="294"/>
      <c r="HR23" s="274"/>
      <c r="HS23" s="264"/>
      <c r="HT23" s="264"/>
      <c r="HU23" s="264"/>
      <c r="HV23" s="264"/>
      <c r="HW23" s="264"/>
      <c r="HX23" s="264"/>
      <c r="HY23" s="264"/>
      <c r="HZ23" s="264"/>
      <c r="IA23" s="264"/>
      <c r="IB23" s="264"/>
      <c r="IC23" s="264"/>
      <c r="ID23" s="287"/>
    </row>
    <row r="24" spans="1:238" x14ac:dyDescent="0.2">
      <c r="A24" s="307" t="s">
        <v>4</v>
      </c>
      <c r="B24" s="258">
        <f>+BAT!F31</f>
        <v>0</v>
      </c>
      <c r="C24" s="258">
        <f>+BAT!G31</f>
        <v>0</v>
      </c>
      <c r="D24" s="258">
        <f>+BAT!H31</f>
        <v>0</v>
      </c>
      <c r="E24" s="258">
        <f>+BAT!I31</f>
        <v>0</v>
      </c>
      <c r="F24" s="258">
        <f>+BAT!J31</f>
        <v>0</v>
      </c>
      <c r="G24" s="258">
        <f>+BAT!K31</f>
        <v>0</v>
      </c>
      <c r="H24" s="258">
        <f>+BAT!L31</f>
        <v>0</v>
      </c>
      <c r="I24" s="258">
        <f>+BAT!M31</f>
        <v>0</v>
      </c>
      <c r="J24" s="258">
        <f>+BAT!N31</f>
        <v>0</v>
      </c>
      <c r="K24" s="258">
        <f>+BAT!O31</f>
        <v>0</v>
      </c>
      <c r="L24" s="258">
        <f>+BAT!P31</f>
        <v>0</v>
      </c>
      <c r="M24" s="258">
        <f>+BAT!Q31</f>
        <v>0</v>
      </c>
      <c r="N24" s="258">
        <f>+BAT!R31</f>
        <v>0</v>
      </c>
      <c r="O24" s="295"/>
      <c r="P24" s="275">
        <f>+BAT!S31</f>
        <v>0</v>
      </c>
      <c r="Q24" s="258">
        <f>+BAT!T31</f>
        <v>0</v>
      </c>
      <c r="R24" s="258">
        <f>+BAT!U31</f>
        <v>0</v>
      </c>
      <c r="S24" s="258">
        <f>+BAT!V31</f>
        <v>0</v>
      </c>
      <c r="T24" s="258">
        <f>+BAT!W31</f>
        <v>0</v>
      </c>
      <c r="U24" s="258">
        <f>+BAT!X31</f>
        <v>0</v>
      </c>
      <c r="V24" s="258">
        <f>+BAT!Y31</f>
        <v>0</v>
      </c>
      <c r="W24" s="258">
        <f>+BAT!Z31</f>
        <v>0</v>
      </c>
      <c r="X24" s="258">
        <f>+BAT!AA31</f>
        <v>0</v>
      </c>
      <c r="Y24" s="258">
        <f>+BAT!AB31</f>
        <v>0</v>
      </c>
      <c r="Z24" s="258">
        <f>+BAT!AC31</f>
        <v>0</v>
      </c>
      <c r="AA24" s="258">
        <f>+BAT!AD31</f>
        <v>0</v>
      </c>
      <c r="AB24" s="258">
        <f>+BAT!AE31</f>
        <v>0</v>
      </c>
      <c r="AC24" s="295"/>
      <c r="AD24" s="275">
        <f>+BAT!AF31</f>
        <v>0</v>
      </c>
      <c r="AE24" s="258">
        <f>+BAT!AG31</f>
        <v>0</v>
      </c>
      <c r="AF24" s="258">
        <f>+BAT!AH31</f>
        <v>0</v>
      </c>
      <c r="AG24" s="258">
        <f>+BAT!AI31</f>
        <v>0</v>
      </c>
      <c r="AH24" s="258">
        <f>+BAT!AJ31</f>
        <v>0</v>
      </c>
      <c r="AI24" s="258">
        <f>+BAT!AK31</f>
        <v>0</v>
      </c>
      <c r="AJ24" s="258">
        <f>+BAT!AL31</f>
        <v>0</v>
      </c>
      <c r="AK24" s="258">
        <f>+BAT!AM31</f>
        <v>0</v>
      </c>
      <c r="AL24" s="258">
        <f>+BAT!AN31</f>
        <v>0</v>
      </c>
      <c r="AM24" s="258">
        <f>+BAT!AO31</f>
        <v>0</v>
      </c>
      <c r="AN24" s="258">
        <f>+BAT!AP31</f>
        <v>0</v>
      </c>
      <c r="AO24" s="258">
        <f>+BAT!AQ31</f>
        <v>0</v>
      </c>
      <c r="AP24" s="258">
        <f>+BAT!AR31</f>
        <v>0</v>
      </c>
      <c r="AQ24" s="295"/>
      <c r="AR24" s="275">
        <f>+BAT!AS31</f>
        <v>0</v>
      </c>
      <c r="AS24" s="258">
        <f>+BAT!AT31</f>
        <v>0</v>
      </c>
      <c r="AT24" s="258">
        <f>+BAT!AU31</f>
        <v>0</v>
      </c>
      <c r="AU24" s="258">
        <f>+BAT!AV31</f>
        <v>0</v>
      </c>
      <c r="AV24" s="258">
        <f>+BAT!AW31</f>
        <v>0</v>
      </c>
      <c r="AW24" s="258">
        <f>+BAT!AX31</f>
        <v>0</v>
      </c>
      <c r="AX24" s="258">
        <f>+BAT!AY31</f>
        <v>0</v>
      </c>
      <c r="AY24" s="258">
        <f>+BAT!AZ31</f>
        <v>0</v>
      </c>
      <c r="AZ24" s="258">
        <f>+BAT!BA31</f>
        <v>0</v>
      </c>
      <c r="BA24" s="258">
        <f>+BAT!BB31</f>
        <v>0</v>
      </c>
      <c r="BB24" s="258">
        <f>+BAT!BC31</f>
        <v>0</v>
      </c>
      <c r="BC24" s="258">
        <f>+BAT!BD31</f>
        <v>0</v>
      </c>
      <c r="BD24" s="258">
        <f>+BAT!BE31</f>
        <v>0</v>
      </c>
      <c r="BE24" s="295"/>
      <c r="BF24" s="275">
        <f>+BAT!BF31</f>
        <v>0</v>
      </c>
      <c r="BG24" s="258">
        <f>+BAT!BG31</f>
        <v>0</v>
      </c>
      <c r="BH24" s="258">
        <f>+BAT!BH31</f>
        <v>0</v>
      </c>
      <c r="BI24" s="258">
        <f>+BAT!BI31</f>
        <v>0</v>
      </c>
      <c r="BJ24" s="258">
        <f>+BAT!BJ31</f>
        <v>0</v>
      </c>
      <c r="BK24" s="258">
        <f>+BAT!BK31</f>
        <v>0</v>
      </c>
      <c r="BL24" s="258">
        <f>+BAT!BL31</f>
        <v>0</v>
      </c>
      <c r="BM24" s="258">
        <f>+BAT!BM31</f>
        <v>0</v>
      </c>
      <c r="BN24" s="258">
        <f>+BAT!BN31</f>
        <v>0</v>
      </c>
      <c r="BO24" s="258">
        <f>+BAT!BO31</f>
        <v>0</v>
      </c>
      <c r="BP24" s="258">
        <f>+BAT!BP31</f>
        <v>0</v>
      </c>
      <c r="BQ24" s="258">
        <f>+BAT!BQ31</f>
        <v>0</v>
      </c>
      <c r="BR24" s="258">
        <f>+BAT!BR31</f>
        <v>0</v>
      </c>
      <c r="BS24" s="295"/>
      <c r="BT24" s="278">
        <f>+BAT!BS31</f>
        <v>0</v>
      </c>
      <c r="BU24" s="259">
        <f>+BAT!BT31</f>
        <v>0</v>
      </c>
      <c r="BV24" s="259">
        <f>+BAT!BU31</f>
        <v>0</v>
      </c>
      <c r="BW24" s="259">
        <f>+BAT!BV31</f>
        <v>0</v>
      </c>
      <c r="BX24" s="259">
        <f>+BAT!BW31</f>
        <v>0</v>
      </c>
      <c r="BY24" s="259">
        <f>+BAT!BX31</f>
        <v>0</v>
      </c>
      <c r="BZ24" s="259">
        <f>+BAT!BY31</f>
        <v>0</v>
      </c>
      <c r="CA24" s="259">
        <f>+BAT!BZ31</f>
        <v>0</v>
      </c>
      <c r="CB24" s="259">
        <f>+BAT!CA31</f>
        <v>0</v>
      </c>
      <c r="CC24" s="259">
        <f>+BAT!CB31</f>
        <v>0</v>
      </c>
      <c r="CD24" s="259">
        <f>+BAT!CC31</f>
        <v>0</v>
      </c>
      <c r="CE24" s="259">
        <f>+BAT!CD31</f>
        <v>0</v>
      </c>
      <c r="CF24" s="259">
        <f>+BAT!CE31</f>
        <v>0</v>
      </c>
      <c r="CG24" s="297"/>
      <c r="CH24" s="278">
        <f>+BAT!CF31</f>
        <v>0</v>
      </c>
      <c r="CI24" s="259">
        <f>+BAT!CG31</f>
        <v>0</v>
      </c>
      <c r="CJ24" s="259">
        <f>+BAT!CH31</f>
        <v>0</v>
      </c>
      <c r="CK24" s="259">
        <f>+BAT!CI31</f>
        <v>0</v>
      </c>
      <c r="CL24" s="259">
        <f>+BAT!CJ31</f>
        <v>0</v>
      </c>
      <c r="CM24" s="259">
        <f>+BAT!CK31</f>
        <v>0</v>
      </c>
      <c r="CN24" s="259">
        <f>+BAT!CL31</f>
        <v>0</v>
      </c>
      <c r="CO24" s="259">
        <f>+BAT!CM31</f>
        <v>0</v>
      </c>
      <c r="CP24" s="259">
        <f>+BAT!CN31</f>
        <v>0</v>
      </c>
      <c r="CQ24" s="259">
        <f>+BAT!CO31</f>
        <v>0</v>
      </c>
      <c r="CR24" s="259">
        <f>+BAT!CP31</f>
        <v>0</v>
      </c>
      <c r="CS24" s="259">
        <f>+BAT!CQ31</f>
        <v>0</v>
      </c>
      <c r="CT24" s="259">
        <f>+BAT!CR31</f>
        <v>0</v>
      </c>
      <c r="CU24" s="297"/>
      <c r="CV24" s="278">
        <f>+BAT!CS31</f>
        <v>0</v>
      </c>
      <c r="CW24" s="259">
        <f>+BAT!CT31</f>
        <v>0</v>
      </c>
      <c r="CX24" s="259">
        <f>+BAT!CU31</f>
        <v>0</v>
      </c>
      <c r="CY24" s="259">
        <f>+BAT!CV31</f>
        <v>0</v>
      </c>
      <c r="CZ24" s="259">
        <f>+BAT!CW31</f>
        <v>0</v>
      </c>
      <c r="DA24" s="259">
        <f>+BAT!CX31</f>
        <v>0</v>
      </c>
      <c r="DB24" s="259">
        <f>+BAT!CY31</f>
        <v>0</v>
      </c>
      <c r="DC24" s="259">
        <f>+BAT!CZ31</f>
        <v>0</v>
      </c>
      <c r="DD24" s="259">
        <f>+BAT!DA31</f>
        <v>0</v>
      </c>
      <c r="DE24" s="259">
        <f>+BAT!DB31</f>
        <v>0</v>
      </c>
      <c r="DF24" s="259">
        <f>+BAT!DC31</f>
        <v>0</v>
      </c>
      <c r="DG24" s="259">
        <f>+BAT!DD31</f>
        <v>0</v>
      </c>
      <c r="DH24" s="259">
        <f>+BAT!DE31</f>
        <v>0</v>
      </c>
      <c r="DI24" s="297"/>
      <c r="DJ24" s="280">
        <f>+BAT!DF31</f>
        <v>0</v>
      </c>
      <c r="DK24" s="260">
        <f>+BAT!DG31</f>
        <v>0</v>
      </c>
      <c r="DL24" s="260">
        <f>+BAT!DH31</f>
        <v>0</v>
      </c>
      <c r="DM24" s="260">
        <f>+BAT!DI31</f>
        <v>0</v>
      </c>
      <c r="DN24" s="260">
        <f>+BAT!DJ31</f>
        <v>0</v>
      </c>
      <c r="DO24" s="260">
        <f>+BAT!DK31</f>
        <v>0</v>
      </c>
      <c r="DP24" s="260">
        <f>+BAT!DL31</f>
        <v>0</v>
      </c>
      <c r="DQ24" s="260">
        <f>+BAT!DM31</f>
        <v>0</v>
      </c>
      <c r="DR24" s="260">
        <f>+BAT!DN31</f>
        <v>0</v>
      </c>
      <c r="DS24" s="260">
        <f>+BAT!DO31</f>
        <v>0</v>
      </c>
      <c r="DT24" s="260">
        <f>+BAT!DP31</f>
        <v>0</v>
      </c>
      <c r="DU24" s="260">
        <f>+BAT!DQ31</f>
        <v>0</v>
      </c>
      <c r="DV24" s="260">
        <f>+BAT!DR31</f>
        <v>0</v>
      </c>
      <c r="DW24" s="299"/>
      <c r="DX24" s="282">
        <f>+BAT!DS31</f>
        <v>0</v>
      </c>
      <c r="DY24" s="261">
        <f>+BAT!DT31</f>
        <v>0</v>
      </c>
      <c r="DZ24" s="261">
        <f>+BAT!DU31</f>
        <v>0</v>
      </c>
      <c r="EA24" s="261">
        <f>+BAT!DV31</f>
        <v>0</v>
      </c>
      <c r="EB24" s="261">
        <f>+BAT!DW31</f>
        <v>0</v>
      </c>
      <c r="EC24" s="261">
        <f>+BAT!DX31</f>
        <v>0</v>
      </c>
      <c r="ED24" s="261">
        <f>+BAT!DY31</f>
        <v>0</v>
      </c>
      <c r="EE24" s="261">
        <f>+BAT!DZ31</f>
        <v>0</v>
      </c>
      <c r="EF24" s="261">
        <f>+BAT!EA31</f>
        <v>0</v>
      </c>
      <c r="EG24" s="261">
        <f>+BAT!EB31</f>
        <v>0</v>
      </c>
      <c r="EH24" s="261">
        <f>+BAT!EC31</f>
        <v>0</v>
      </c>
      <c r="EI24" s="261">
        <f>+BAT!ED31</f>
        <v>0</v>
      </c>
      <c r="EJ24" s="261">
        <f>+BAT!EE31</f>
        <v>0</v>
      </c>
      <c r="EK24" s="301"/>
      <c r="EL24" s="282">
        <f>+BAT!EF31</f>
        <v>0</v>
      </c>
      <c r="EM24" s="261">
        <f>+BAT!EG31</f>
        <v>0</v>
      </c>
      <c r="EN24" s="261">
        <f>+BAT!EH31</f>
        <v>0</v>
      </c>
      <c r="EO24" s="261">
        <f>+BAT!EI31</f>
        <v>0</v>
      </c>
      <c r="EP24" s="261">
        <f>+BAT!EJ31</f>
        <v>0</v>
      </c>
      <c r="EQ24" s="261">
        <f>+BAT!EK31</f>
        <v>0</v>
      </c>
      <c r="ER24" s="261">
        <f>+BAT!EL31</f>
        <v>0</v>
      </c>
      <c r="ES24" s="261">
        <f>+BAT!EM31</f>
        <v>0</v>
      </c>
      <c r="ET24" s="261">
        <f>+BAT!EN31</f>
        <v>0</v>
      </c>
      <c r="EU24" s="261">
        <f>+BAT!EO31</f>
        <v>0</v>
      </c>
      <c r="EV24" s="261">
        <f>+BAT!EP31</f>
        <v>0</v>
      </c>
      <c r="EW24" s="261">
        <f>+BAT!EQ31</f>
        <v>0</v>
      </c>
      <c r="EX24" s="261">
        <f>+BAT!ER31</f>
        <v>0</v>
      </c>
      <c r="EY24" s="301"/>
      <c r="EZ24" s="282">
        <f>+BAT!ES31</f>
        <v>0</v>
      </c>
      <c r="FA24" s="261">
        <f>+BAT!ET31</f>
        <v>0</v>
      </c>
      <c r="FB24" s="261">
        <f>+BAT!EU31</f>
        <v>0</v>
      </c>
      <c r="FC24" s="261">
        <f>+BAT!EV31</f>
        <v>0</v>
      </c>
      <c r="FD24" s="261">
        <f>+BAT!EW31</f>
        <v>0</v>
      </c>
      <c r="FE24" s="261">
        <f>+BAT!EX31</f>
        <v>0</v>
      </c>
      <c r="FF24" s="261">
        <f>+BAT!EY31</f>
        <v>0</v>
      </c>
      <c r="FG24" s="261">
        <f>+BAT!EZ31</f>
        <v>0</v>
      </c>
      <c r="FH24" s="261">
        <f>+BAT!FA31</f>
        <v>0</v>
      </c>
      <c r="FI24" s="261">
        <f>+BAT!FB31</f>
        <v>0</v>
      </c>
      <c r="FJ24" s="261">
        <f>+BAT!FC31</f>
        <v>0</v>
      </c>
      <c r="FK24" s="261">
        <f>+BAT!FD31</f>
        <v>0</v>
      </c>
      <c r="FL24" s="261">
        <f>+BAT!FE31</f>
        <v>0</v>
      </c>
      <c r="FM24" s="301"/>
      <c r="FN24" s="282">
        <f>+BAT!FF31</f>
        <v>0</v>
      </c>
      <c r="FO24" s="261">
        <f>+BAT!FG31</f>
        <v>0</v>
      </c>
      <c r="FP24" s="261">
        <f>+BAT!FH31</f>
        <v>0</v>
      </c>
      <c r="FQ24" s="261">
        <f>+BAT!FI31</f>
        <v>0</v>
      </c>
      <c r="FR24" s="261">
        <f>+BAT!FJ31</f>
        <v>0</v>
      </c>
      <c r="FS24" s="261">
        <f>+BAT!FK31</f>
        <v>0</v>
      </c>
      <c r="FT24" s="261">
        <f>+BAT!FL31</f>
        <v>0</v>
      </c>
      <c r="FU24" s="261">
        <f>+BAT!FM31</f>
        <v>0</v>
      </c>
      <c r="FV24" s="261">
        <f>+BAT!FN31</f>
        <v>0</v>
      </c>
      <c r="FW24" s="261">
        <f>+BAT!FO31</f>
        <v>0</v>
      </c>
      <c r="FX24" s="261">
        <f>+BAT!FP31</f>
        <v>0</v>
      </c>
      <c r="FY24" s="261">
        <f>+BAT!FQ31</f>
        <v>0</v>
      </c>
      <c r="FZ24" s="261">
        <f>+BAT!FR31</f>
        <v>0</v>
      </c>
      <c r="GA24" s="301"/>
      <c r="GB24" s="284" t="str">
        <f t="shared" ref="GB24:GN30" si="58">IFERROR(P24*1000000/EL24,"")</f>
        <v/>
      </c>
      <c r="GC24" s="270" t="str">
        <f t="shared" si="58"/>
        <v/>
      </c>
      <c r="GD24" s="270" t="str">
        <f t="shared" si="58"/>
        <v/>
      </c>
      <c r="GE24" s="270" t="str">
        <f t="shared" si="58"/>
        <v/>
      </c>
      <c r="GF24" s="270" t="str">
        <f t="shared" si="58"/>
        <v/>
      </c>
      <c r="GG24" s="270" t="str">
        <f t="shared" si="58"/>
        <v/>
      </c>
      <c r="GH24" s="270" t="str">
        <f t="shared" si="58"/>
        <v/>
      </c>
      <c r="GI24" s="270" t="str">
        <f t="shared" si="58"/>
        <v/>
      </c>
      <c r="GJ24" s="270" t="str">
        <f t="shared" si="58"/>
        <v/>
      </c>
      <c r="GK24" s="270" t="str">
        <f t="shared" si="58"/>
        <v/>
      </c>
      <c r="GL24" s="270" t="str">
        <f t="shared" si="58"/>
        <v/>
      </c>
      <c r="GM24" s="270" t="str">
        <f t="shared" si="58"/>
        <v/>
      </c>
      <c r="GN24" s="270" t="str">
        <f t="shared" si="58"/>
        <v/>
      </c>
      <c r="GO24" s="303"/>
      <c r="GP24" s="284" t="str">
        <f t="shared" ref="GP24:HB30" si="59">IFERROR(EL24/$EL24*100,"")</f>
        <v/>
      </c>
      <c r="GQ24" s="270" t="str">
        <f t="shared" si="59"/>
        <v/>
      </c>
      <c r="GR24" s="270" t="str">
        <f t="shared" si="59"/>
        <v/>
      </c>
      <c r="GS24" s="270" t="str">
        <f t="shared" si="59"/>
        <v/>
      </c>
      <c r="GT24" s="270" t="str">
        <f t="shared" si="59"/>
        <v/>
      </c>
      <c r="GU24" s="270" t="str">
        <f t="shared" si="59"/>
        <v/>
      </c>
      <c r="GV24" s="270" t="str">
        <f t="shared" si="59"/>
        <v/>
      </c>
      <c r="GW24" s="270" t="str">
        <f t="shared" si="59"/>
        <v/>
      </c>
      <c r="GX24" s="270" t="str">
        <f t="shared" si="59"/>
        <v/>
      </c>
      <c r="GY24" s="270" t="str">
        <f t="shared" si="59"/>
        <v/>
      </c>
      <c r="GZ24" s="270" t="str">
        <f t="shared" si="59"/>
        <v/>
      </c>
      <c r="HA24" s="270" t="str">
        <f t="shared" si="59"/>
        <v/>
      </c>
      <c r="HB24" s="270" t="str">
        <f t="shared" si="59"/>
        <v/>
      </c>
      <c r="HC24" s="303"/>
      <c r="HD24" s="284" t="str">
        <f t="shared" ref="HD24:HP24" si="60">IFERROR((P24/EL24)/($P$24/$EL$24)*100,"")</f>
        <v/>
      </c>
      <c r="HE24" s="270" t="str">
        <f t="shared" si="60"/>
        <v/>
      </c>
      <c r="HF24" s="270" t="str">
        <f t="shared" si="60"/>
        <v/>
      </c>
      <c r="HG24" s="270" t="str">
        <f t="shared" si="60"/>
        <v/>
      </c>
      <c r="HH24" s="270" t="str">
        <f t="shared" si="60"/>
        <v/>
      </c>
      <c r="HI24" s="270" t="str">
        <f t="shared" si="60"/>
        <v/>
      </c>
      <c r="HJ24" s="270" t="str">
        <f t="shared" si="60"/>
        <v/>
      </c>
      <c r="HK24" s="270" t="str">
        <f t="shared" si="60"/>
        <v/>
      </c>
      <c r="HL24" s="270" t="str">
        <f t="shared" si="60"/>
        <v/>
      </c>
      <c r="HM24" s="270" t="str">
        <f t="shared" si="60"/>
        <v/>
      </c>
      <c r="HN24" s="270" t="str">
        <f t="shared" si="60"/>
        <v/>
      </c>
      <c r="HO24" s="270" t="str">
        <f t="shared" si="60"/>
        <v/>
      </c>
      <c r="HP24" s="270" t="str">
        <f t="shared" si="60"/>
        <v/>
      </c>
      <c r="HQ24" s="303"/>
      <c r="HR24" s="284" t="str">
        <f t="shared" ref="HR24:ID24" si="61">IFERROR(EZ24/$EZ$24*100,"")</f>
        <v/>
      </c>
      <c r="HS24" s="270" t="str">
        <f t="shared" si="61"/>
        <v/>
      </c>
      <c r="HT24" s="270" t="str">
        <f t="shared" si="61"/>
        <v/>
      </c>
      <c r="HU24" s="270" t="str">
        <f t="shared" si="61"/>
        <v/>
      </c>
      <c r="HV24" s="270" t="str">
        <f t="shared" si="61"/>
        <v/>
      </c>
      <c r="HW24" s="270" t="str">
        <f t="shared" si="61"/>
        <v/>
      </c>
      <c r="HX24" s="270" t="str">
        <f t="shared" si="61"/>
        <v/>
      </c>
      <c r="HY24" s="270" t="str">
        <f t="shared" si="61"/>
        <v/>
      </c>
      <c r="HZ24" s="270" t="str">
        <f t="shared" si="61"/>
        <v/>
      </c>
      <c r="IA24" s="270" t="str">
        <f t="shared" si="61"/>
        <v/>
      </c>
      <c r="IB24" s="270" t="str">
        <f t="shared" si="61"/>
        <v/>
      </c>
      <c r="IC24" s="270" t="str">
        <f t="shared" si="61"/>
        <v/>
      </c>
      <c r="ID24" s="288" t="str">
        <f t="shared" si="61"/>
        <v/>
      </c>
    </row>
    <row r="25" spans="1:238" x14ac:dyDescent="0.2">
      <c r="A25" s="307" t="s">
        <v>7</v>
      </c>
      <c r="B25" s="258">
        <f>+FynBus!F31</f>
        <v>0</v>
      </c>
      <c r="C25" s="258">
        <f>+FynBus!G31</f>
        <v>0</v>
      </c>
      <c r="D25" s="258">
        <f>+FynBus!H31</f>
        <v>0</v>
      </c>
      <c r="E25" s="258">
        <f>+FynBus!I31</f>
        <v>0</v>
      </c>
      <c r="F25" s="258">
        <f>+FynBus!J31</f>
        <v>0</v>
      </c>
      <c r="G25" s="258">
        <f>+FynBus!K31</f>
        <v>0</v>
      </c>
      <c r="H25" s="258">
        <f>+FynBus!L31</f>
        <v>0</v>
      </c>
      <c r="I25" s="258">
        <f>+FynBus!M31</f>
        <v>0</v>
      </c>
      <c r="J25" s="258">
        <f>+FynBus!N31</f>
        <v>0</v>
      </c>
      <c r="K25" s="258">
        <f>+FynBus!O31</f>
        <v>0</v>
      </c>
      <c r="L25" s="258">
        <f>+FynBus!P31</f>
        <v>0</v>
      </c>
      <c r="M25" s="258">
        <f>+FynBus!Q31</f>
        <v>0</v>
      </c>
      <c r="N25" s="258">
        <f>+FynBus!R31</f>
        <v>0</v>
      </c>
      <c r="O25" s="295"/>
      <c r="P25" s="275">
        <f>+FynBus!S31</f>
        <v>0</v>
      </c>
      <c r="Q25" s="258">
        <f>+FynBus!T31</f>
        <v>0</v>
      </c>
      <c r="R25" s="258">
        <f>+FynBus!U31</f>
        <v>0</v>
      </c>
      <c r="S25" s="258">
        <f>+FynBus!V31</f>
        <v>0</v>
      </c>
      <c r="T25" s="258">
        <f>+FynBus!W31</f>
        <v>0</v>
      </c>
      <c r="U25" s="258">
        <f>+FynBus!X31</f>
        <v>0</v>
      </c>
      <c r="V25" s="258">
        <f>+FynBus!Y31</f>
        <v>0</v>
      </c>
      <c r="W25" s="258">
        <f>+FynBus!Z31</f>
        <v>0</v>
      </c>
      <c r="X25" s="258">
        <f>+FynBus!AA31</f>
        <v>0</v>
      </c>
      <c r="Y25" s="258">
        <f>+FynBus!AB31</f>
        <v>0</v>
      </c>
      <c r="Z25" s="258">
        <f>+FynBus!AC31</f>
        <v>0</v>
      </c>
      <c r="AA25" s="258">
        <f>+FynBus!AD31</f>
        <v>0</v>
      </c>
      <c r="AB25" s="258">
        <f>+FynBus!AE31</f>
        <v>0</v>
      </c>
      <c r="AC25" s="295"/>
      <c r="AD25" s="275">
        <f>+FynBus!AF31</f>
        <v>0</v>
      </c>
      <c r="AE25" s="258">
        <f>+FynBus!AG31</f>
        <v>0</v>
      </c>
      <c r="AF25" s="258">
        <f>+FynBus!AH31</f>
        <v>0</v>
      </c>
      <c r="AG25" s="258">
        <f>+FynBus!AI31</f>
        <v>0</v>
      </c>
      <c r="AH25" s="258">
        <f>+FynBus!AJ31</f>
        <v>0</v>
      </c>
      <c r="AI25" s="258">
        <f>+FynBus!AK31</f>
        <v>0</v>
      </c>
      <c r="AJ25" s="258">
        <f>+FynBus!AL31</f>
        <v>0</v>
      </c>
      <c r="AK25" s="258">
        <f>+FynBus!AM31</f>
        <v>0</v>
      </c>
      <c r="AL25" s="258">
        <f>+FynBus!AN31</f>
        <v>0</v>
      </c>
      <c r="AM25" s="258">
        <f>+FynBus!AO31</f>
        <v>0</v>
      </c>
      <c r="AN25" s="258">
        <f>+FynBus!AP31</f>
        <v>0</v>
      </c>
      <c r="AO25" s="258">
        <f>+FynBus!AQ31</f>
        <v>0</v>
      </c>
      <c r="AP25" s="258">
        <f>+FynBus!AR31</f>
        <v>0</v>
      </c>
      <c r="AQ25" s="295"/>
      <c r="AR25" s="275">
        <f>+FynBus!AS31</f>
        <v>0</v>
      </c>
      <c r="AS25" s="258">
        <f>+FynBus!AT31</f>
        <v>0</v>
      </c>
      <c r="AT25" s="258">
        <f>+FynBus!AU31</f>
        <v>0</v>
      </c>
      <c r="AU25" s="258">
        <f>+FynBus!AV31</f>
        <v>0</v>
      </c>
      <c r="AV25" s="258">
        <f>+FynBus!AW31</f>
        <v>0</v>
      </c>
      <c r="AW25" s="258">
        <f>+FynBus!AX31</f>
        <v>0</v>
      </c>
      <c r="AX25" s="258">
        <f>+FynBus!AY31</f>
        <v>0</v>
      </c>
      <c r="AY25" s="258">
        <f>+FynBus!AZ31</f>
        <v>0</v>
      </c>
      <c r="AZ25" s="258">
        <f>+FynBus!BA31</f>
        <v>0</v>
      </c>
      <c r="BA25" s="258">
        <f>+FynBus!BB31</f>
        <v>0</v>
      </c>
      <c r="BB25" s="258">
        <f>+FynBus!BC31</f>
        <v>0</v>
      </c>
      <c r="BC25" s="258">
        <f>+FynBus!BD31</f>
        <v>0</v>
      </c>
      <c r="BD25" s="258">
        <f>+FynBus!BE31</f>
        <v>0</v>
      </c>
      <c r="BE25" s="295"/>
      <c r="BF25" s="275">
        <f>+FynBus!BF31</f>
        <v>0</v>
      </c>
      <c r="BG25" s="258">
        <f>+FynBus!BG31</f>
        <v>0</v>
      </c>
      <c r="BH25" s="258">
        <f>+FynBus!BH31</f>
        <v>0</v>
      </c>
      <c r="BI25" s="258">
        <f>+FynBus!BI31</f>
        <v>0</v>
      </c>
      <c r="BJ25" s="258">
        <f>+FynBus!BJ31</f>
        <v>0</v>
      </c>
      <c r="BK25" s="258">
        <f>+FynBus!BK31</f>
        <v>0</v>
      </c>
      <c r="BL25" s="258">
        <f>+FynBus!BL31</f>
        <v>0</v>
      </c>
      <c r="BM25" s="258">
        <f>+FynBus!BM31</f>
        <v>0</v>
      </c>
      <c r="BN25" s="258">
        <f>+FynBus!BN31</f>
        <v>0</v>
      </c>
      <c r="BO25" s="258">
        <f>+FynBus!BO31</f>
        <v>0</v>
      </c>
      <c r="BP25" s="258">
        <f>+FynBus!BP31</f>
        <v>0</v>
      </c>
      <c r="BQ25" s="258">
        <f>+FynBus!BQ31</f>
        <v>0</v>
      </c>
      <c r="BR25" s="258">
        <f>+FynBus!BR31</f>
        <v>0</v>
      </c>
      <c r="BS25" s="295"/>
      <c r="BT25" s="278">
        <f>+FynBus!BS31</f>
        <v>0</v>
      </c>
      <c r="BU25" s="259">
        <f>+FynBus!BT31</f>
        <v>0</v>
      </c>
      <c r="BV25" s="259">
        <f>+FynBus!BU31</f>
        <v>0</v>
      </c>
      <c r="BW25" s="259">
        <f>+FynBus!BV31</f>
        <v>0</v>
      </c>
      <c r="BX25" s="259">
        <f>+FynBus!BW31</f>
        <v>0</v>
      </c>
      <c r="BY25" s="259">
        <f>+FynBus!BX31</f>
        <v>0</v>
      </c>
      <c r="BZ25" s="259">
        <f>+FynBus!BY31</f>
        <v>0</v>
      </c>
      <c r="CA25" s="259">
        <f>+FynBus!BZ31</f>
        <v>0</v>
      </c>
      <c r="CB25" s="259">
        <f>+FynBus!CA31</f>
        <v>0</v>
      </c>
      <c r="CC25" s="259">
        <f>+FynBus!CB31</f>
        <v>0</v>
      </c>
      <c r="CD25" s="259">
        <f>+FynBus!CC31</f>
        <v>0</v>
      </c>
      <c r="CE25" s="259">
        <f>+FynBus!CD31</f>
        <v>0</v>
      </c>
      <c r="CF25" s="259">
        <f>+FynBus!CE31</f>
        <v>0</v>
      </c>
      <c r="CG25" s="297"/>
      <c r="CH25" s="278">
        <f>+FynBus!CF31</f>
        <v>0</v>
      </c>
      <c r="CI25" s="259">
        <f>+FynBus!CG31</f>
        <v>0</v>
      </c>
      <c r="CJ25" s="259">
        <f>+FynBus!CH31</f>
        <v>0</v>
      </c>
      <c r="CK25" s="259">
        <f>+FynBus!CI31</f>
        <v>0</v>
      </c>
      <c r="CL25" s="259">
        <f>+FynBus!CJ31</f>
        <v>0</v>
      </c>
      <c r="CM25" s="259">
        <f>+FynBus!CK31</f>
        <v>0</v>
      </c>
      <c r="CN25" s="259">
        <f>+FynBus!CL31</f>
        <v>0</v>
      </c>
      <c r="CO25" s="259">
        <f>+FynBus!CM31</f>
        <v>0</v>
      </c>
      <c r="CP25" s="259">
        <f>+FynBus!CN31</f>
        <v>0</v>
      </c>
      <c r="CQ25" s="259">
        <f>+FynBus!CO31</f>
        <v>0</v>
      </c>
      <c r="CR25" s="259">
        <f>+FynBus!CP31</f>
        <v>0</v>
      </c>
      <c r="CS25" s="259">
        <f>+FynBus!CQ31</f>
        <v>0</v>
      </c>
      <c r="CT25" s="259">
        <f>+FynBus!CR31</f>
        <v>0</v>
      </c>
      <c r="CU25" s="297"/>
      <c r="CV25" s="278">
        <f>+FynBus!CS31</f>
        <v>0</v>
      </c>
      <c r="CW25" s="259">
        <f>+FynBus!CT31</f>
        <v>0</v>
      </c>
      <c r="CX25" s="259">
        <f>+FynBus!CU31</f>
        <v>0</v>
      </c>
      <c r="CY25" s="259">
        <f>+FynBus!CV31</f>
        <v>0</v>
      </c>
      <c r="CZ25" s="259">
        <f>+FynBus!CW31</f>
        <v>0</v>
      </c>
      <c r="DA25" s="259">
        <f>+FynBus!CX31</f>
        <v>0</v>
      </c>
      <c r="DB25" s="259">
        <f>+FynBus!CY31</f>
        <v>0</v>
      </c>
      <c r="DC25" s="259">
        <f>+FynBus!CZ31</f>
        <v>0</v>
      </c>
      <c r="DD25" s="259">
        <f>+FynBus!DA31</f>
        <v>0</v>
      </c>
      <c r="DE25" s="259">
        <f>+FynBus!DB31</f>
        <v>0</v>
      </c>
      <c r="DF25" s="259">
        <f>+FynBus!DC31</f>
        <v>0</v>
      </c>
      <c r="DG25" s="259">
        <f>+FynBus!DD31</f>
        <v>0</v>
      </c>
      <c r="DH25" s="259">
        <f>+FynBus!DE31</f>
        <v>0</v>
      </c>
      <c r="DI25" s="297"/>
      <c r="DJ25" s="280">
        <f>+FynBus!DF31</f>
        <v>0</v>
      </c>
      <c r="DK25" s="260">
        <f>+FynBus!DG31</f>
        <v>0</v>
      </c>
      <c r="DL25" s="260">
        <f>+FynBus!DH31</f>
        <v>0</v>
      </c>
      <c r="DM25" s="260">
        <f>+FynBus!DI31</f>
        <v>0</v>
      </c>
      <c r="DN25" s="260">
        <f>+FynBus!DJ31</f>
        <v>0</v>
      </c>
      <c r="DO25" s="260">
        <f>+FynBus!DK31</f>
        <v>0</v>
      </c>
      <c r="DP25" s="260">
        <f>+FynBus!DL31</f>
        <v>0</v>
      </c>
      <c r="DQ25" s="260">
        <f>+FynBus!DM31</f>
        <v>0</v>
      </c>
      <c r="DR25" s="260">
        <f>+FynBus!DN31</f>
        <v>0</v>
      </c>
      <c r="DS25" s="260">
        <f>+FynBus!DO31</f>
        <v>0</v>
      </c>
      <c r="DT25" s="260">
        <f>+FynBus!DP31</f>
        <v>0</v>
      </c>
      <c r="DU25" s="260">
        <f>+FynBus!DQ31</f>
        <v>0</v>
      </c>
      <c r="DV25" s="260">
        <f>+FynBus!DR31</f>
        <v>0</v>
      </c>
      <c r="DW25" s="299"/>
      <c r="DX25" s="282">
        <f>+FynBus!DS31</f>
        <v>0</v>
      </c>
      <c r="DY25" s="261">
        <f>+FynBus!DT31</f>
        <v>0</v>
      </c>
      <c r="DZ25" s="261">
        <f>+FynBus!DU31</f>
        <v>0</v>
      </c>
      <c r="EA25" s="261">
        <f>+FynBus!DV31</f>
        <v>0</v>
      </c>
      <c r="EB25" s="261">
        <f>+FynBus!DW31</f>
        <v>0</v>
      </c>
      <c r="EC25" s="261">
        <f>+FynBus!DX31</f>
        <v>0</v>
      </c>
      <c r="ED25" s="261">
        <f>+FynBus!DY31</f>
        <v>0</v>
      </c>
      <c r="EE25" s="261">
        <f>+FynBus!DZ31</f>
        <v>0</v>
      </c>
      <c r="EF25" s="261">
        <f>+FynBus!EA31</f>
        <v>0</v>
      </c>
      <c r="EG25" s="261">
        <f>+FynBus!EB31</f>
        <v>0</v>
      </c>
      <c r="EH25" s="261">
        <f>+FynBus!EC31</f>
        <v>0</v>
      </c>
      <c r="EI25" s="261">
        <f>+FynBus!ED31</f>
        <v>0</v>
      </c>
      <c r="EJ25" s="261">
        <f>+FynBus!EE31</f>
        <v>0</v>
      </c>
      <c r="EK25" s="301"/>
      <c r="EL25" s="282">
        <f>+FynBus!EF31</f>
        <v>0</v>
      </c>
      <c r="EM25" s="261">
        <f>+FynBus!EG31</f>
        <v>0</v>
      </c>
      <c r="EN25" s="261">
        <f>+FynBus!EH31</f>
        <v>0</v>
      </c>
      <c r="EO25" s="261">
        <f>+FynBus!EI31</f>
        <v>0</v>
      </c>
      <c r="EP25" s="261">
        <f>+FynBus!EJ31</f>
        <v>0</v>
      </c>
      <c r="EQ25" s="261">
        <f>+FynBus!EK31</f>
        <v>0</v>
      </c>
      <c r="ER25" s="261">
        <f>+FynBus!EL31</f>
        <v>0</v>
      </c>
      <c r="ES25" s="261">
        <f>+FynBus!EM31</f>
        <v>0</v>
      </c>
      <c r="ET25" s="261">
        <f>+FynBus!EN31</f>
        <v>0</v>
      </c>
      <c r="EU25" s="261">
        <f>+FynBus!EO31</f>
        <v>0</v>
      </c>
      <c r="EV25" s="261">
        <f>+FynBus!EP31</f>
        <v>0</v>
      </c>
      <c r="EW25" s="261">
        <f>+FynBus!EQ31</f>
        <v>0</v>
      </c>
      <c r="EX25" s="261">
        <f>+FynBus!ER31</f>
        <v>0</v>
      </c>
      <c r="EY25" s="301"/>
      <c r="EZ25" s="282">
        <f>+FynBus!ES31</f>
        <v>0</v>
      </c>
      <c r="FA25" s="261">
        <f>+FynBus!ET31</f>
        <v>0</v>
      </c>
      <c r="FB25" s="261">
        <f>+FynBus!EU31</f>
        <v>0</v>
      </c>
      <c r="FC25" s="261">
        <f>+FynBus!EV31</f>
        <v>0</v>
      </c>
      <c r="FD25" s="261">
        <f>+FynBus!EW31</f>
        <v>0</v>
      </c>
      <c r="FE25" s="261">
        <f>+FynBus!EX31</f>
        <v>0</v>
      </c>
      <c r="FF25" s="261">
        <f>+FynBus!EY31</f>
        <v>0</v>
      </c>
      <c r="FG25" s="261">
        <f>+FynBus!EZ31</f>
        <v>0</v>
      </c>
      <c r="FH25" s="261">
        <f>+FynBus!FA31</f>
        <v>0</v>
      </c>
      <c r="FI25" s="261">
        <f>+FynBus!FB31</f>
        <v>0</v>
      </c>
      <c r="FJ25" s="261">
        <f>+FynBus!FC31</f>
        <v>0</v>
      </c>
      <c r="FK25" s="261">
        <f>+FynBus!FD31</f>
        <v>0</v>
      </c>
      <c r="FL25" s="261">
        <f>+FynBus!FE31</f>
        <v>0</v>
      </c>
      <c r="FM25" s="301"/>
      <c r="FN25" s="282">
        <f>+FynBus!FF31</f>
        <v>0</v>
      </c>
      <c r="FO25" s="261">
        <f>+FynBus!FG31</f>
        <v>0</v>
      </c>
      <c r="FP25" s="261">
        <f>+FynBus!FH31</f>
        <v>0</v>
      </c>
      <c r="FQ25" s="261">
        <f>+FynBus!FI31</f>
        <v>0</v>
      </c>
      <c r="FR25" s="261">
        <f>+FynBus!FJ31</f>
        <v>0</v>
      </c>
      <c r="FS25" s="261">
        <f>+FynBus!FK31</f>
        <v>0</v>
      </c>
      <c r="FT25" s="261">
        <f>+FynBus!FL31</f>
        <v>0</v>
      </c>
      <c r="FU25" s="261">
        <f>+FynBus!FM31</f>
        <v>0</v>
      </c>
      <c r="FV25" s="261">
        <f>+FynBus!FN31</f>
        <v>0</v>
      </c>
      <c r="FW25" s="261">
        <f>+FynBus!FO31</f>
        <v>0</v>
      </c>
      <c r="FX25" s="261">
        <f>+FynBus!FP31</f>
        <v>0</v>
      </c>
      <c r="FY25" s="261">
        <f>+FynBus!FQ31</f>
        <v>0</v>
      </c>
      <c r="FZ25" s="261">
        <f>+FynBus!FR31</f>
        <v>0</v>
      </c>
      <c r="GA25" s="301"/>
      <c r="GB25" s="284" t="str">
        <f t="shared" si="58"/>
        <v/>
      </c>
      <c r="GC25" s="270" t="str">
        <f t="shared" si="58"/>
        <v/>
      </c>
      <c r="GD25" s="270" t="str">
        <f t="shared" si="58"/>
        <v/>
      </c>
      <c r="GE25" s="270" t="str">
        <f t="shared" si="58"/>
        <v/>
      </c>
      <c r="GF25" s="270" t="str">
        <f t="shared" si="58"/>
        <v/>
      </c>
      <c r="GG25" s="270" t="str">
        <f t="shared" si="58"/>
        <v/>
      </c>
      <c r="GH25" s="270" t="str">
        <f t="shared" si="58"/>
        <v/>
      </c>
      <c r="GI25" s="270" t="str">
        <f t="shared" si="58"/>
        <v/>
      </c>
      <c r="GJ25" s="270" t="str">
        <f t="shared" si="58"/>
        <v/>
      </c>
      <c r="GK25" s="270" t="str">
        <f t="shared" si="58"/>
        <v/>
      </c>
      <c r="GL25" s="270" t="str">
        <f t="shared" si="58"/>
        <v/>
      </c>
      <c r="GM25" s="270" t="str">
        <f t="shared" si="58"/>
        <v/>
      </c>
      <c r="GN25" s="270" t="str">
        <f t="shared" si="58"/>
        <v/>
      </c>
      <c r="GO25" s="303"/>
      <c r="GP25" s="284" t="str">
        <f t="shared" si="59"/>
        <v/>
      </c>
      <c r="GQ25" s="270" t="str">
        <f t="shared" si="59"/>
        <v/>
      </c>
      <c r="GR25" s="270" t="str">
        <f t="shared" si="59"/>
        <v/>
      </c>
      <c r="GS25" s="270" t="str">
        <f t="shared" si="59"/>
        <v/>
      </c>
      <c r="GT25" s="270" t="str">
        <f t="shared" si="59"/>
        <v/>
      </c>
      <c r="GU25" s="270" t="str">
        <f t="shared" si="59"/>
        <v/>
      </c>
      <c r="GV25" s="270" t="str">
        <f t="shared" si="59"/>
        <v/>
      </c>
      <c r="GW25" s="270" t="str">
        <f t="shared" si="59"/>
        <v/>
      </c>
      <c r="GX25" s="270" t="str">
        <f t="shared" si="59"/>
        <v/>
      </c>
      <c r="GY25" s="270" t="str">
        <f t="shared" si="59"/>
        <v/>
      </c>
      <c r="GZ25" s="270" t="str">
        <f t="shared" si="59"/>
        <v/>
      </c>
      <c r="HA25" s="270" t="str">
        <f t="shared" si="59"/>
        <v/>
      </c>
      <c r="HB25" s="270" t="str">
        <f t="shared" si="59"/>
        <v/>
      </c>
      <c r="HC25" s="303"/>
      <c r="HD25" s="284" t="str">
        <f t="shared" ref="HD25:HP25" si="62">IFERROR((P25/EL25)/($P$25/$EL$25)*100,"")</f>
        <v/>
      </c>
      <c r="HE25" s="270" t="str">
        <f t="shared" si="62"/>
        <v/>
      </c>
      <c r="HF25" s="270" t="str">
        <f t="shared" si="62"/>
        <v/>
      </c>
      <c r="HG25" s="270" t="str">
        <f t="shared" si="62"/>
        <v/>
      </c>
      <c r="HH25" s="270" t="str">
        <f t="shared" si="62"/>
        <v/>
      </c>
      <c r="HI25" s="270" t="str">
        <f t="shared" si="62"/>
        <v/>
      </c>
      <c r="HJ25" s="270" t="str">
        <f t="shared" si="62"/>
        <v/>
      </c>
      <c r="HK25" s="270" t="str">
        <f t="shared" si="62"/>
        <v/>
      </c>
      <c r="HL25" s="270" t="str">
        <f t="shared" si="62"/>
        <v/>
      </c>
      <c r="HM25" s="270" t="str">
        <f t="shared" si="62"/>
        <v/>
      </c>
      <c r="HN25" s="270" t="str">
        <f t="shared" si="62"/>
        <v/>
      </c>
      <c r="HO25" s="270" t="str">
        <f t="shared" si="62"/>
        <v/>
      </c>
      <c r="HP25" s="270" t="str">
        <f t="shared" si="62"/>
        <v/>
      </c>
      <c r="HQ25" s="303"/>
      <c r="HR25" s="284" t="str">
        <f t="shared" ref="HR25:ID25" si="63">IFERROR(EZ25/$EZ$25*100,"")</f>
        <v/>
      </c>
      <c r="HS25" s="270" t="str">
        <f t="shared" si="63"/>
        <v/>
      </c>
      <c r="HT25" s="270" t="str">
        <f t="shared" si="63"/>
        <v/>
      </c>
      <c r="HU25" s="270" t="str">
        <f t="shared" si="63"/>
        <v/>
      </c>
      <c r="HV25" s="270" t="str">
        <f t="shared" si="63"/>
        <v/>
      </c>
      <c r="HW25" s="270" t="str">
        <f t="shared" si="63"/>
        <v/>
      </c>
      <c r="HX25" s="270" t="str">
        <f t="shared" si="63"/>
        <v/>
      </c>
      <c r="HY25" s="270" t="str">
        <f t="shared" si="63"/>
        <v/>
      </c>
      <c r="HZ25" s="270" t="str">
        <f t="shared" si="63"/>
        <v/>
      </c>
      <c r="IA25" s="270" t="str">
        <f t="shared" si="63"/>
        <v/>
      </c>
      <c r="IB25" s="270" t="str">
        <f t="shared" si="63"/>
        <v/>
      </c>
      <c r="IC25" s="270" t="str">
        <f t="shared" si="63"/>
        <v/>
      </c>
      <c r="ID25" s="288" t="str">
        <f t="shared" si="63"/>
        <v/>
      </c>
    </row>
    <row r="26" spans="1:238" x14ac:dyDescent="0.2">
      <c r="A26" s="307" t="s">
        <v>9</v>
      </c>
      <c r="B26" s="258">
        <f>+'Midttrafik '!F31</f>
        <v>71.300000000000011</v>
      </c>
      <c r="C26" s="258">
        <f>+'Midttrafik '!G31</f>
        <v>54.300000000000004</v>
      </c>
      <c r="D26" s="258">
        <f>+'Midttrafik '!H31</f>
        <v>75.399999999999991</v>
      </c>
      <c r="E26" s="258">
        <f>+'Midttrafik '!I31</f>
        <v>90.800000000000011</v>
      </c>
      <c r="F26" s="258">
        <f>+'Midttrafik '!J31</f>
        <v>102.4</v>
      </c>
      <c r="G26" s="258">
        <f>+'Midttrafik '!K31</f>
        <v>113.6</v>
      </c>
      <c r="H26" s="258">
        <f>+'Midttrafik '!L31</f>
        <v>117.57677000000001</v>
      </c>
      <c r="I26" s="258">
        <f>+'Midttrafik '!M31</f>
        <v>127.64400000000001</v>
      </c>
      <c r="J26" s="258">
        <f>+'Midttrafik '!N31</f>
        <v>115.565</v>
      </c>
      <c r="K26" s="258">
        <f>+'Midttrafik '!O31</f>
        <v>0</v>
      </c>
      <c r="L26" s="258">
        <f>+'Midttrafik '!P31</f>
        <v>0</v>
      </c>
      <c r="M26" s="258">
        <f>+'Midttrafik '!Q31</f>
        <v>0</v>
      </c>
      <c r="N26" s="258">
        <f>+'Midttrafik '!R31</f>
        <v>0</v>
      </c>
      <c r="O26" s="295"/>
      <c r="P26" s="275">
        <f>+'Midttrafik '!S31</f>
        <v>276.2</v>
      </c>
      <c r="Q26" s="258">
        <f>+'Midttrafik '!T31</f>
        <v>294.59999999999997</v>
      </c>
      <c r="R26" s="258">
        <f>+'Midttrafik '!U31</f>
        <v>330.3</v>
      </c>
      <c r="S26" s="258">
        <f>+'Midttrafik '!V31</f>
        <v>341.09999999999997</v>
      </c>
      <c r="T26" s="258">
        <f>+'Midttrafik '!W31</f>
        <v>378.2</v>
      </c>
      <c r="U26" s="258">
        <f>+'Midttrafik '!X31</f>
        <v>410.40000000000003</v>
      </c>
      <c r="V26" s="258">
        <f>+'Midttrafik '!Y31</f>
        <v>441.29970000000003</v>
      </c>
      <c r="W26" s="258">
        <f>+'Midttrafik '!Z31</f>
        <v>495.44499999999999</v>
      </c>
      <c r="X26" s="258">
        <f>+'Midttrafik '!AA31</f>
        <v>495.54499999999996</v>
      </c>
      <c r="Y26" s="258">
        <f>+'Midttrafik '!AB31</f>
        <v>0</v>
      </c>
      <c r="Z26" s="258">
        <f>+'Midttrafik '!AC31</f>
        <v>0</v>
      </c>
      <c r="AA26" s="258">
        <f>+'Midttrafik '!AD31</f>
        <v>0</v>
      </c>
      <c r="AB26" s="258">
        <f>+'Midttrafik '!AE31</f>
        <v>0</v>
      </c>
      <c r="AC26" s="295"/>
      <c r="AD26" s="275">
        <f>+'Midttrafik '!AF31</f>
        <v>0</v>
      </c>
      <c r="AE26" s="258">
        <f>+'Midttrafik '!AG31</f>
        <v>0</v>
      </c>
      <c r="AF26" s="258">
        <f>+'Midttrafik '!AH31</f>
        <v>0</v>
      </c>
      <c r="AG26" s="258">
        <f>+'Midttrafik '!AI31</f>
        <v>0</v>
      </c>
      <c r="AH26" s="258">
        <f>+'Midttrafik '!AJ31</f>
        <v>0</v>
      </c>
      <c r="AI26" s="258">
        <f>+'Midttrafik '!AK31</f>
        <v>0</v>
      </c>
      <c r="AJ26" s="258">
        <f>+'Midttrafik '!AL31</f>
        <v>0</v>
      </c>
      <c r="AK26" s="258">
        <f>+'Midttrafik '!AM31</f>
        <v>0</v>
      </c>
      <c r="AL26" s="258">
        <f>+'Midttrafik '!AN31</f>
        <v>0</v>
      </c>
      <c r="AM26" s="258">
        <f>+'Midttrafik '!AO31</f>
        <v>0</v>
      </c>
      <c r="AN26" s="258">
        <f>+'Midttrafik '!AP31</f>
        <v>0</v>
      </c>
      <c r="AO26" s="258">
        <f>+'Midttrafik '!AQ31</f>
        <v>0</v>
      </c>
      <c r="AP26" s="258">
        <f>+'Midttrafik '!AR31</f>
        <v>0</v>
      </c>
      <c r="AQ26" s="295"/>
      <c r="AR26" s="275">
        <f>+'Midttrafik '!AS31</f>
        <v>0</v>
      </c>
      <c r="AS26" s="258">
        <f>+'Midttrafik '!AT31</f>
        <v>0</v>
      </c>
      <c r="AT26" s="258">
        <f>+'Midttrafik '!AU31</f>
        <v>0</v>
      </c>
      <c r="AU26" s="258">
        <f>+'Midttrafik '!AV31</f>
        <v>0</v>
      </c>
      <c r="AV26" s="258">
        <f>+'Midttrafik '!AW31</f>
        <v>0</v>
      </c>
      <c r="AW26" s="258">
        <f>+'Midttrafik '!AX31</f>
        <v>0</v>
      </c>
      <c r="AX26" s="258">
        <f>+'Midttrafik '!AY31</f>
        <v>0</v>
      </c>
      <c r="AY26" s="258">
        <f>+'Midttrafik '!AZ31</f>
        <v>0</v>
      </c>
      <c r="AZ26" s="258">
        <f>+'Midttrafik '!BA31</f>
        <v>0</v>
      </c>
      <c r="BA26" s="258">
        <f>+'Midttrafik '!BB31</f>
        <v>0</v>
      </c>
      <c r="BB26" s="258">
        <f>+'Midttrafik '!BC31</f>
        <v>0</v>
      </c>
      <c r="BC26" s="258">
        <f>+'Midttrafik '!BD31</f>
        <v>0</v>
      </c>
      <c r="BD26" s="258">
        <f>+'Midttrafik '!BE31</f>
        <v>0</v>
      </c>
      <c r="BE26" s="295"/>
      <c r="BF26" s="275">
        <f>+'Midttrafik '!BF31</f>
        <v>0</v>
      </c>
      <c r="BG26" s="258">
        <f>+'Midttrafik '!BG31</f>
        <v>0</v>
      </c>
      <c r="BH26" s="258">
        <f>+'Midttrafik '!BH31</f>
        <v>0</v>
      </c>
      <c r="BI26" s="258">
        <f>+'Midttrafik '!BI31</f>
        <v>0</v>
      </c>
      <c r="BJ26" s="258">
        <f>+'Midttrafik '!BJ31</f>
        <v>0</v>
      </c>
      <c r="BK26" s="258">
        <f>+'Midttrafik '!BK31</f>
        <v>0</v>
      </c>
      <c r="BL26" s="258">
        <f>+'Midttrafik '!BL31</f>
        <v>0</v>
      </c>
      <c r="BM26" s="258">
        <f>+'Midttrafik '!BM31</f>
        <v>0</v>
      </c>
      <c r="BN26" s="258">
        <f>+'Midttrafik '!BN31</f>
        <v>0</v>
      </c>
      <c r="BO26" s="258">
        <f>+'Midttrafik '!BO31</f>
        <v>0</v>
      </c>
      <c r="BP26" s="258">
        <f>+'Midttrafik '!BP31</f>
        <v>0</v>
      </c>
      <c r="BQ26" s="258">
        <f>+'Midttrafik '!BQ31</f>
        <v>0</v>
      </c>
      <c r="BR26" s="258">
        <f>+'Midttrafik '!BR31</f>
        <v>0</v>
      </c>
      <c r="BS26" s="295"/>
      <c r="BT26" s="278">
        <f>+'Midttrafik '!BS31</f>
        <v>0</v>
      </c>
      <c r="BU26" s="259">
        <f>+'Midttrafik '!BT31</f>
        <v>25.3</v>
      </c>
      <c r="BV26" s="259">
        <f>+'Midttrafik '!BU31</f>
        <v>21.3</v>
      </c>
      <c r="BW26" s="259">
        <f>+'Midttrafik '!BV31</f>
        <v>10.1</v>
      </c>
      <c r="BX26" s="259">
        <f>+'Midttrafik '!BW31</f>
        <v>6.3999999999999995</v>
      </c>
      <c r="BY26" s="259">
        <f>+'Midttrafik '!BX31</f>
        <v>0</v>
      </c>
      <c r="BZ26" s="259">
        <f>+'Midttrafik '!BY31</f>
        <v>0</v>
      </c>
      <c r="CA26" s="259">
        <f>+'Midttrafik '!BZ31</f>
        <v>0</v>
      </c>
      <c r="CB26" s="259">
        <f>+'Midttrafik '!CA31</f>
        <v>0</v>
      </c>
      <c r="CC26" s="259">
        <f>+'Midttrafik '!CB31</f>
        <v>0</v>
      </c>
      <c r="CD26" s="259">
        <f>+'Midttrafik '!CC31</f>
        <v>0</v>
      </c>
      <c r="CE26" s="259">
        <f>+'Midttrafik '!CD31</f>
        <v>0</v>
      </c>
      <c r="CF26" s="259">
        <f>+'Midttrafik '!CE31</f>
        <v>0</v>
      </c>
      <c r="CG26" s="297"/>
      <c r="CH26" s="278">
        <f>+'Midttrafik '!CF31</f>
        <v>0</v>
      </c>
      <c r="CI26" s="259">
        <f>+'Midttrafik '!CG31</f>
        <v>0</v>
      </c>
      <c r="CJ26" s="259">
        <f>+'Midttrafik '!CH31</f>
        <v>0</v>
      </c>
      <c r="CK26" s="259">
        <f>+'Midttrafik '!CI31</f>
        <v>0</v>
      </c>
      <c r="CL26" s="259">
        <f>+'Midttrafik '!CJ31</f>
        <v>0</v>
      </c>
      <c r="CM26" s="259">
        <f>+'Midttrafik '!CK31</f>
        <v>0</v>
      </c>
      <c r="CN26" s="259">
        <f>+'Midttrafik '!CL31</f>
        <v>0</v>
      </c>
      <c r="CO26" s="259">
        <f>+'Midttrafik '!CM31</f>
        <v>0</v>
      </c>
      <c r="CP26" s="259">
        <f>+'Midttrafik '!CN31</f>
        <v>0</v>
      </c>
      <c r="CQ26" s="259">
        <f>+'Midttrafik '!CO31</f>
        <v>0</v>
      </c>
      <c r="CR26" s="259">
        <f>+'Midttrafik '!CP31</f>
        <v>0</v>
      </c>
      <c r="CS26" s="259">
        <f>+'Midttrafik '!CQ31</f>
        <v>0</v>
      </c>
      <c r="CT26" s="259">
        <f>+'Midttrafik '!CR31</f>
        <v>0</v>
      </c>
      <c r="CU26" s="297"/>
      <c r="CV26" s="278">
        <f>+'Midttrafik '!CS31</f>
        <v>0</v>
      </c>
      <c r="CW26" s="259">
        <f>+'Midttrafik '!CT31</f>
        <v>0</v>
      </c>
      <c r="CX26" s="259">
        <f>+'Midttrafik '!CU31</f>
        <v>0</v>
      </c>
      <c r="CY26" s="259">
        <f>+'Midttrafik '!CV31</f>
        <v>0</v>
      </c>
      <c r="CZ26" s="259">
        <f>+'Midttrafik '!CW31</f>
        <v>0</v>
      </c>
      <c r="DA26" s="259">
        <f>+'Midttrafik '!CX31</f>
        <v>0</v>
      </c>
      <c r="DB26" s="259">
        <f>+'Midttrafik '!CY31</f>
        <v>0</v>
      </c>
      <c r="DC26" s="259">
        <f>+'Midttrafik '!CZ31</f>
        <v>0</v>
      </c>
      <c r="DD26" s="259">
        <f>+'Midttrafik '!DA31</f>
        <v>0</v>
      </c>
      <c r="DE26" s="259">
        <f>+'Midttrafik '!DB31</f>
        <v>0</v>
      </c>
      <c r="DF26" s="259">
        <f>+'Midttrafik '!DC31</f>
        <v>0</v>
      </c>
      <c r="DG26" s="259">
        <f>+'Midttrafik '!DD31</f>
        <v>0</v>
      </c>
      <c r="DH26" s="259">
        <f>+'Midttrafik '!DE31</f>
        <v>0</v>
      </c>
      <c r="DI26" s="297"/>
      <c r="DJ26" s="280">
        <f>+'Midttrafik '!DF31</f>
        <v>0</v>
      </c>
      <c r="DK26" s="260">
        <f>+'Midttrafik '!DG31</f>
        <v>0</v>
      </c>
      <c r="DL26" s="260">
        <f>+'Midttrafik '!DH31</f>
        <v>0</v>
      </c>
      <c r="DM26" s="260">
        <f>+'Midttrafik '!DI31</f>
        <v>0</v>
      </c>
      <c r="DN26" s="260">
        <f>+'Midttrafik '!DJ31</f>
        <v>0</v>
      </c>
      <c r="DO26" s="260">
        <f>+'Midttrafik '!DK31</f>
        <v>0</v>
      </c>
      <c r="DP26" s="260">
        <f>+'Midttrafik '!DL31</f>
        <v>0</v>
      </c>
      <c r="DQ26" s="260">
        <f>+'Midttrafik '!DM31</f>
        <v>0</v>
      </c>
      <c r="DR26" s="260">
        <f>+'Midttrafik '!DN31</f>
        <v>0</v>
      </c>
      <c r="DS26" s="260">
        <f>+'Midttrafik '!DO31</f>
        <v>0</v>
      </c>
      <c r="DT26" s="260">
        <f>+'Midttrafik '!DP31</f>
        <v>0</v>
      </c>
      <c r="DU26" s="260">
        <f>+'Midttrafik '!DQ31</f>
        <v>0</v>
      </c>
      <c r="DV26" s="260">
        <f>+'Midttrafik '!DR31</f>
        <v>0</v>
      </c>
      <c r="DW26" s="299"/>
      <c r="DX26" s="282">
        <f>+'Midttrafik '!DS31</f>
        <v>0</v>
      </c>
      <c r="DY26" s="261">
        <f>+'Midttrafik '!DT31</f>
        <v>0</v>
      </c>
      <c r="DZ26" s="261">
        <f>+'Midttrafik '!DU31</f>
        <v>0</v>
      </c>
      <c r="EA26" s="261">
        <f>+'Midttrafik '!DV31</f>
        <v>0</v>
      </c>
      <c r="EB26" s="261">
        <f>+'Midttrafik '!DW31</f>
        <v>0</v>
      </c>
      <c r="EC26" s="261">
        <f>+'Midttrafik '!DX31</f>
        <v>0</v>
      </c>
      <c r="ED26" s="261">
        <f>+'Midttrafik '!DY31</f>
        <v>0</v>
      </c>
      <c r="EE26" s="261">
        <f>+'Midttrafik '!DZ31</f>
        <v>0</v>
      </c>
      <c r="EF26" s="261">
        <f>+'Midttrafik '!EA31</f>
        <v>0</v>
      </c>
      <c r="EG26" s="261">
        <f>+'Midttrafik '!EB31</f>
        <v>0</v>
      </c>
      <c r="EH26" s="261">
        <f>+'Midttrafik '!EC31</f>
        <v>0</v>
      </c>
      <c r="EI26" s="261">
        <f>+'Midttrafik '!ED31</f>
        <v>0</v>
      </c>
      <c r="EJ26" s="261">
        <f>+'Midttrafik '!EE31</f>
        <v>0</v>
      </c>
      <c r="EK26" s="301"/>
      <c r="EL26" s="282">
        <f>+'Midttrafik '!EF31</f>
        <v>76318</v>
      </c>
      <c r="EM26" s="261">
        <f>+'Midttrafik '!EG31</f>
        <v>82955</v>
      </c>
      <c r="EN26" s="261">
        <f>+'Midttrafik '!EH31</f>
        <v>95564</v>
      </c>
      <c r="EO26" s="261">
        <f>+'Midttrafik '!EI31</f>
        <v>97239</v>
      </c>
      <c r="EP26" s="261">
        <f>+'Midttrafik '!EJ31</f>
        <v>99206</v>
      </c>
      <c r="EQ26" s="261">
        <f>+'Midttrafik '!EK31</f>
        <v>92455</v>
      </c>
      <c r="ER26" s="261">
        <f>+'Midttrafik '!EL31</f>
        <v>90277.33</v>
      </c>
      <c r="ES26" s="261">
        <f>+'Midttrafik '!EM31</f>
        <v>100700</v>
      </c>
      <c r="ET26" s="261">
        <f>+'Midttrafik '!EN31</f>
        <v>0</v>
      </c>
      <c r="EU26" s="261">
        <f>+'Midttrafik '!EO31</f>
        <v>0</v>
      </c>
      <c r="EV26" s="261">
        <f>+'Midttrafik '!EP31</f>
        <v>0</v>
      </c>
      <c r="EW26" s="261">
        <f>+'Midttrafik '!EQ31</f>
        <v>0</v>
      </c>
      <c r="EX26" s="261">
        <f>+'Midttrafik '!ER31</f>
        <v>0</v>
      </c>
      <c r="EY26" s="301"/>
      <c r="EZ26" s="282">
        <f>+'Midttrafik '!ES31</f>
        <v>4991025</v>
      </c>
      <c r="FA26" s="261">
        <f>+'Midttrafik '!ET31</f>
        <v>3751938</v>
      </c>
      <c r="FB26" s="261">
        <f>+'Midttrafik '!EU31</f>
        <v>4222354</v>
      </c>
      <c r="FC26" s="261">
        <f>+'Midttrafik '!EV31</f>
        <v>5908765</v>
      </c>
      <c r="FD26" s="261">
        <f>+'Midttrafik '!EW31</f>
        <v>6192335</v>
      </c>
      <c r="FE26" s="261">
        <f>+'Midttrafik '!EX31</f>
        <v>6796000</v>
      </c>
      <c r="FF26" s="261">
        <f>+'Midttrafik '!EY31</f>
        <v>6380000</v>
      </c>
      <c r="FG26" s="261">
        <f>+'Midttrafik '!EZ31</f>
        <v>6504000</v>
      </c>
      <c r="FH26" s="261">
        <f>+'Midttrafik '!FA31</f>
        <v>0</v>
      </c>
      <c r="FI26" s="261">
        <f>+'Midttrafik '!FB31</f>
        <v>0</v>
      </c>
      <c r="FJ26" s="261">
        <f>+'Midttrafik '!FC31</f>
        <v>0</v>
      </c>
      <c r="FK26" s="261">
        <f>+'Midttrafik '!FD31</f>
        <v>0</v>
      </c>
      <c r="FL26" s="261">
        <f>+'Midttrafik '!FE31</f>
        <v>0</v>
      </c>
      <c r="FM26" s="301"/>
      <c r="FN26" s="282">
        <f>+'Midttrafik '!FF31</f>
        <v>2967950</v>
      </c>
      <c r="FO26" s="261">
        <f>+'Midttrafik '!FG31</f>
        <v>3186555</v>
      </c>
      <c r="FP26" s="261">
        <f>+'Midttrafik '!FH31</f>
        <v>3989278</v>
      </c>
      <c r="FQ26" s="261">
        <f>+'Midttrafik '!FI31</f>
        <v>4125086</v>
      </c>
      <c r="FR26" s="261">
        <f>+'Midttrafik '!FJ31</f>
        <v>4214795</v>
      </c>
      <c r="FS26" s="261">
        <f>+'Midttrafik '!FK31</f>
        <v>4190000</v>
      </c>
      <c r="FT26" s="261">
        <f>+'Midttrafik '!FL31</f>
        <v>4136815</v>
      </c>
      <c r="FU26" s="261">
        <f>+'Midttrafik '!FM31</f>
        <v>4305000</v>
      </c>
      <c r="FV26" s="261">
        <f>+'Midttrafik '!FN31</f>
        <v>0</v>
      </c>
      <c r="FW26" s="261">
        <f>+'Midttrafik '!FO31</f>
        <v>0</v>
      </c>
      <c r="FX26" s="261">
        <f>+'Midttrafik '!FP31</f>
        <v>0</v>
      </c>
      <c r="FY26" s="261">
        <f>+'Midttrafik '!FQ31</f>
        <v>0</v>
      </c>
      <c r="FZ26" s="261">
        <f>+'Midttrafik '!FR31</f>
        <v>0</v>
      </c>
      <c r="GA26" s="301"/>
      <c r="GB26" s="284">
        <f t="shared" si="58"/>
        <v>3619.0675856285543</v>
      </c>
      <c r="GC26" s="270">
        <f t="shared" si="58"/>
        <v>3551.3230064492791</v>
      </c>
      <c r="GD26" s="270">
        <f t="shared" si="58"/>
        <v>3456.3224645263908</v>
      </c>
      <c r="GE26" s="270">
        <f t="shared" si="58"/>
        <v>3507.8517878628941</v>
      </c>
      <c r="GF26" s="270">
        <f t="shared" si="58"/>
        <v>3812.2694191883556</v>
      </c>
      <c r="GG26" s="270">
        <f t="shared" si="58"/>
        <v>4438.9162295170627</v>
      </c>
      <c r="GH26" s="270">
        <f t="shared" si="58"/>
        <v>4888.2670765739313</v>
      </c>
      <c r="GI26" s="270">
        <f t="shared" si="58"/>
        <v>4920.0099304865935</v>
      </c>
      <c r="GJ26" s="270" t="str">
        <f t="shared" si="58"/>
        <v/>
      </c>
      <c r="GK26" s="270" t="str">
        <f t="shared" si="58"/>
        <v/>
      </c>
      <c r="GL26" s="270" t="str">
        <f t="shared" si="58"/>
        <v/>
      </c>
      <c r="GM26" s="270" t="str">
        <f t="shared" si="58"/>
        <v/>
      </c>
      <c r="GN26" s="270" t="str">
        <f t="shared" si="58"/>
        <v/>
      </c>
      <c r="GO26" s="303"/>
      <c r="GP26" s="284">
        <f t="shared" si="59"/>
        <v>100</v>
      </c>
      <c r="GQ26" s="270">
        <f t="shared" si="59"/>
        <v>108.69650672187426</v>
      </c>
      <c r="GR26" s="270">
        <f t="shared" si="59"/>
        <v>125.21816609449934</v>
      </c>
      <c r="GS26" s="270">
        <f t="shared" si="59"/>
        <v>127.41293010823134</v>
      </c>
      <c r="GT26" s="270">
        <f t="shared" si="59"/>
        <v>129.99030372913336</v>
      </c>
      <c r="GU26" s="270">
        <f t="shared" si="59"/>
        <v>121.14442202363793</v>
      </c>
      <c r="GV26" s="270">
        <f t="shared" si="59"/>
        <v>118.29100605361775</v>
      </c>
      <c r="GW26" s="270">
        <f t="shared" si="59"/>
        <v>131.94790219869495</v>
      </c>
      <c r="GX26" s="270">
        <f t="shared" si="59"/>
        <v>0</v>
      </c>
      <c r="GY26" s="270">
        <f t="shared" si="59"/>
        <v>0</v>
      </c>
      <c r="GZ26" s="270">
        <f t="shared" si="59"/>
        <v>0</v>
      </c>
      <c r="HA26" s="270">
        <f t="shared" si="59"/>
        <v>0</v>
      </c>
      <c r="HB26" s="270">
        <f t="shared" si="59"/>
        <v>0</v>
      </c>
      <c r="HC26" s="303"/>
      <c r="HD26" s="284">
        <f t="shared" ref="HD26:HP26" si="64">IFERROR((P26/EL26)/($P$26/$EL$26)*100,"")</f>
        <v>100</v>
      </c>
      <c r="HE26" s="270">
        <f t="shared" si="64"/>
        <v>98.12812063946275</v>
      </c>
      <c r="HF26" s="270">
        <f t="shared" si="64"/>
        <v>95.503120147619512</v>
      </c>
      <c r="HG26" s="270">
        <f t="shared" si="64"/>
        <v>96.926948858117441</v>
      </c>
      <c r="HH26" s="270">
        <f t="shared" si="64"/>
        <v>105.33844226416254</v>
      </c>
      <c r="HI26" s="270">
        <f t="shared" si="64"/>
        <v>122.65358754680781</v>
      </c>
      <c r="HJ26" s="270">
        <f t="shared" si="64"/>
        <v>135.06979245111125</v>
      </c>
      <c r="HK26" s="270">
        <f t="shared" si="64"/>
        <v>135.94689278597966</v>
      </c>
      <c r="HL26" s="270" t="str">
        <f t="shared" si="64"/>
        <v/>
      </c>
      <c r="HM26" s="270" t="str">
        <f t="shared" si="64"/>
        <v/>
      </c>
      <c r="HN26" s="270" t="str">
        <f t="shared" si="64"/>
        <v/>
      </c>
      <c r="HO26" s="270" t="str">
        <f t="shared" si="64"/>
        <v/>
      </c>
      <c r="HP26" s="270" t="str">
        <f t="shared" si="64"/>
        <v/>
      </c>
      <c r="HQ26" s="303"/>
      <c r="HR26" s="284">
        <f t="shared" ref="HR26:ID26" si="65">IFERROR(EZ26/$EZ$26*100,"")</f>
        <v>100</v>
      </c>
      <c r="HS26" s="270">
        <f t="shared" si="65"/>
        <v>75.173696785730385</v>
      </c>
      <c r="HT26" s="270">
        <f t="shared" si="65"/>
        <v>84.598935088483827</v>
      </c>
      <c r="HU26" s="270">
        <f t="shared" si="65"/>
        <v>118.38780611197099</v>
      </c>
      <c r="HV26" s="270">
        <f t="shared" si="65"/>
        <v>124.06940458122328</v>
      </c>
      <c r="HW26" s="270">
        <f t="shared" si="65"/>
        <v>136.16441512514965</v>
      </c>
      <c r="HX26" s="270">
        <f t="shared" si="65"/>
        <v>127.82945386969611</v>
      </c>
      <c r="HY26" s="270">
        <f t="shared" si="65"/>
        <v>130.31391347468707</v>
      </c>
      <c r="HZ26" s="270">
        <f t="shared" si="65"/>
        <v>0</v>
      </c>
      <c r="IA26" s="270">
        <f t="shared" si="65"/>
        <v>0</v>
      </c>
      <c r="IB26" s="270">
        <f t="shared" si="65"/>
        <v>0</v>
      </c>
      <c r="IC26" s="270">
        <f t="shared" si="65"/>
        <v>0</v>
      </c>
      <c r="ID26" s="288">
        <f t="shared" si="65"/>
        <v>0</v>
      </c>
    </row>
    <row r="27" spans="1:238" x14ac:dyDescent="0.2">
      <c r="A27" s="307" t="s">
        <v>12</v>
      </c>
      <c r="B27" s="258">
        <f>+Movia!F63</f>
        <v>177.57811000000001</v>
      </c>
      <c r="C27" s="258">
        <f>+Movia!G63</f>
        <v>136.98068000000001</v>
      </c>
      <c r="D27" s="258">
        <f>+Movia!H63</f>
        <v>161.17115999999999</v>
      </c>
      <c r="E27" s="258">
        <f>+Movia!I63</f>
        <v>185.74288000000001</v>
      </c>
      <c r="F27" s="258">
        <f>+Movia!J63</f>
        <v>206.19626</v>
      </c>
      <c r="G27" s="258">
        <f>+Movia!K63</f>
        <v>219.54371</v>
      </c>
      <c r="H27" s="258">
        <f>+Movia!L63</f>
        <v>226.74250000000001</v>
      </c>
      <c r="I27" s="258">
        <f>+Movia!M63</f>
        <v>233.55758</v>
      </c>
      <c r="J27" s="258">
        <f>+Movia!N63</f>
        <v>215.02518000000001</v>
      </c>
      <c r="K27" s="258">
        <f>+Movia!O63</f>
        <v>0</v>
      </c>
      <c r="L27" s="258">
        <f>+Movia!P63</f>
        <v>230.31990999999999</v>
      </c>
      <c r="M27" s="258">
        <f>+Movia!Q63</f>
        <v>0</v>
      </c>
      <c r="N27" s="258">
        <f>+Movia!R63</f>
        <v>0</v>
      </c>
      <c r="O27" s="295"/>
      <c r="P27" s="275">
        <f>+Movia!S63</f>
        <v>494.11469</v>
      </c>
      <c r="Q27" s="258">
        <f>+Movia!T63</f>
        <v>502.91897999999998</v>
      </c>
      <c r="R27" s="258">
        <f>+Movia!U63</f>
        <v>528.95281999999997</v>
      </c>
      <c r="S27" s="258">
        <f>+Movia!V63</f>
        <v>558.45398999999998</v>
      </c>
      <c r="T27" s="258">
        <f>+Movia!W63</f>
        <v>582.96357</v>
      </c>
      <c r="U27" s="258">
        <f>+Movia!X63</f>
        <v>604.94506000000001</v>
      </c>
      <c r="V27" s="258">
        <f>+Movia!Y63</f>
        <v>639.18359999999996</v>
      </c>
      <c r="W27" s="258">
        <f>+Movia!Z63</f>
        <v>667.87640999999996</v>
      </c>
      <c r="X27" s="258">
        <f>+Movia!AA63</f>
        <v>676.00555999999995</v>
      </c>
      <c r="Y27" s="258">
        <f>+Movia!AB63</f>
        <v>0</v>
      </c>
      <c r="Z27" s="258">
        <f>+Movia!AC63</f>
        <v>707.50369999999998</v>
      </c>
      <c r="AA27" s="258">
        <f>+Movia!AD63</f>
        <v>0</v>
      </c>
      <c r="AB27" s="258">
        <f>+Movia!AE63</f>
        <v>0</v>
      </c>
      <c r="AC27" s="295"/>
      <c r="AD27" s="275">
        <f>+Movia!AF63</f>
        <v>28.770959999999999</v>
      </c>
      <c r="AE27" s="258">
        <f>+Movia!AG63</f>
        <v>17.360990000000001</v>
      </c>
      <c r="AF27" s="258">
        <f>+Movia!AH63</f>
        <v>19.670870000000001</v>
      </c>
      <c r="AG27" s="258">
        <f>+Movia!AI63</f>
        <v>21.405550000000002</v>
      </c>
      <c r="AH27" s="258">
        <f>+Movia!AJ63</f>
        <v>19.682220000000001</v>
      </c>
      <c r="AI27" s="258">
        <f>+Movia!AK63</f>
        <v>19.8505</v>
      </c>
      <c r="AJ27" s="258">
        <f>+Movia!AL63</f>
        <v>24.593920000000001</v>
      </c>
      <c r="AK27" s="258">
        <f>+Movia!AM63</f>
        <v>23.258019999999998</v>
      </c>
      <c r="AL27" s="258">
        <f>+Movia!AN63</f>
        <v>24.412189999999999</v>
      </c>
      <c r="AM27" s="258">
        <f>+Movia!AO63</f>
        <v>0</v>
      </c>
      <c r="AN27" s="258">
        <f>+Movia!AP63</f>
        <v>23.15793</v>
      </c>
      <c r="AO27" s="258">
        <f>+Movia!AQ63</f>
        <v>0</v>
      </c>
      <c r="AP27" s="258">
        <f>+Movia!AR63</f>
        <v>0</v>
      </c>
      <c r="AQ27" s="295"/>
      <c r="AR27" s="275">
        <f>+Movia!AS63</f>
        <v>0</v>
      </c>
      <c r="AS27" s="258">
        <f>+Movia!AT63</f>
        <v>0</v>
      </c>
      <c r="AT27" s="258">
        <f>+Movia!AU63</f>
        <v>0</v>
      </c>
      <c r="AU27" s="258">
        <f>+Movia!AV63</f>
        <v>0</v>
      </c>
      <c r="AV27" s="258">
        <f>+Movia!AW63</f>
        <v>0</v>
      </c>
      <c r="AW27" s="258">
        <f>+Movia!AX63</f>
        <v>0</v>
      </c>
      <c r="AX27" s="258">
        <f>+Movia!AY63</f>
        <v>0</v>
      </c>
      <c r="AY27" s="258">
        <f>+Movia!AZ63</f>
        <v>0</v>
      </c>
      <c r="AZ27" s="258">
        <f>+Movia!BA63</f>
        <v>0</v>
      </c>
      <c r="BA27" s="258">
        <f>+Movia!BB63</f>
        <v>0</v>
      </c>
      <c r="BB27" s="258">
        <f>+Movia!BC63</f>
        <v>0</v>
      </c>
      <c r="BC27" s="258">
        <f>+Movia!BD63</f>
        <v>0</v>
      </c>
      <c r="BD27" s="258">
        <f>+Movia!BE63</f>
        <v>0</v>
      </c>
      <c r="BE27" s="295"/>
      <c r="BF27" s="275">
        <f>+Movia!BF63</f>
        <v>0</v>
      </c>
      <c r="BG27" s="258">
        <f>+Movia!BG63</f>
        <v>0</v>
      </c>
      <c r="BH27" s="258">
        <f>+Movia!BH63</f>
        <v>0</v>
      </c>
      <c r="BI27" s="258">
        <f>+Movia!BI63</f>
        <v>0</v>
      </c>
      <c r="BJ27" s="258">
        <f>+Movia!BJ63</f>
        <v>0</v>
      </c>
      <c r="BK27" s="258">
        <f>+Movia!BK63</f>
        <v>0</v>
      </c>
      <c r="BL27" s="258">
        <f>+Movia!BL63</f>
        <v>0</v>
      </c>
      <c r="BM27" s="258">
        <f>+Movia!BM63</f>
        <v>0</v>
      </c>
      <c r="BN27" s="258">
        <f>+Movia!BN63</f>
        <v>0</v>
      </c>
      <c r="BO27" s="258">
        <f>+Movia!BO63</f>
        <v>0</v>
      </c>
      <c r="BP27" s="258">
        <f>+Movia!BP63</f>
        <v>0</v>
      </c>
      <c r="BQ27" s="258">
        <f>+Movia!BQ63</f>
        <v>0</v>
      </c>
      <c r="BR27" s="258">
        <f>+Movia!BR63</f>
        <v>0</v>
      </c>
      <c r="BS27" s="295"/>
      <c r="BT27" s="278">
        <f>+Movia!BS63</f>
        <v>0</v>
      </c>
      <c r="BU27" s="259">
        <f>+Movia!BT63</f>
        <v>-44.351320000000001</v>
      </c>
      <c r="BV27" s="259">
        <f>+Movia!BU63</f>
        <v>-39.171410000000002</v>
      </c>
      <c r="BW27" s="259">
        <f>+Movia!BV63</f>
        <v>-7.3718899999999996</v>
      </c>
      <c r="BX27" s="259">
        <f>+Movia!BW63</f>
        <v>-9.5719499999999993</v>
      </c>
      <c r="BY27" s="259">
        <f>+Movia!BX63</f>
        <v>-0.28122000000000003</v>
      </c>
      <c r="BZ27" s="259">
        <f>+Movia!BY63</f>
        <v>0</v>
      </c>
      <c r="CA27" s="259">
        <f>+Movia!BZ63</f>
        <v>0</v>
      </c>
      <c r="CB27" s="259">
        <f>+Movia!CA63</f>
        <v>0</v>
      </c>
      <c r="CC27" s="259">
        <f>+Movia!CB63</f>
        <v>0</v>
      </c>
      <c r="CD27" s="259">
        <f>+Movia!CC63</f>
        <v>0</v>
      </c>
      <c r="CE27" s="259">
        <f>+Movia!CD63</f>
        <v>0</v>
      </c>
      <c r="CF27" s="259">
        <f>+Movia!CE63</f>
        <v>0</v>
      </c>
      <c r="CG27" s="297"/>
      <c r="CH27" s="278">
        <f>+Movia!CF63</f>
        <v>522.88563999999997</v>
      </c>
      <c r="CI27" s="259">
        <f>+Movia!CG63</f>
        <v>520.27995999999996</v>
      </c>
      <c r="CJ27" s="259">
        <f>+Movia!CH63</f>
        <v>548.62368000000004</v>
      </c>
      <c r="CK27" s="259">
        <f>+Movia!CI63</f>
        <v>579.85954000000004</v>
      </c>
      <c r="CL27" s="259">
        <f>+Movia!CJ63</f>
        <v>602.64580000000001</v>
      </c>
      <c r="CM27" s="259">
        <f>+Movia!CK63</f>
        <v>624.79556000000002</v>
      </c>
      <c r="CN27" s="259">
        <f>+Movia!CL63</f>
        <v>663.77751999999998</v>
      </c>
      <c r="CO27" s="259">
        <f>+Movia!CM63</f>
        <v>691.13442999999995</v>
      </c>
      <c r="CP27" s="259">
        <f>+Movia!CN63</f>
        <v>700.41774999999996</v>
      </c>
      <c r="CQ27" s="259">
        <f>+Movia!CO63</f>
        <v>0</v>
      </c>
      <c r="CR27" s="259">
        <f>+Movia!CP63</f>
        <v>730.66161999999997</v>
      </c>
      <c r="CS27" s="259">
        <f>+Movia!CQ63</f>
        <v>0</v>
      </c>
      <c r="CT27" s="259">
        <f>+Movia!CR63</f>
        <v>0</v>
      </c>
      <c r="CU27" s="297"/>
      <c r="CV27" s="278">
        <f>+Movia!CS63</f>
        <v>345.30754000000002</v>
      </c>
      <c r="CW27" s="259">
        <f>+Movia!CT63</f>
        <v>338.94796000000002</v>
      </c>
      <c r="CX27" s="259">
        <f>+Movia!CU63</f>
        <v>348.28111000000001</v>
      </c>
      <c r="CY27" s="259">
        <f>+Movia!CV63</f>
        <v>386.74477999999999</v>
      </c>
      <c r="CZ27" s="259">
        <f>+Movia!CW63</f>
        <v>386.87759999999997</v>
      </c>
      <c r="DA27" s="259">
        <f>+Movia!CX63</f>
        <v>404.97063000000003</v>
      </c>
      <c r="DB27" s="259">
        <f>+Movia!CY63</f>
        <v>437.03501999999997</v>
      </c>
      <c r="DC27" s="259">
        <f>+Movia!CZ63</f>
        <v>457.57684999999998</v>
      </c>
      <c r="DD27" s="259">
        <f>+Movia!DA63</f>
        <v>485.39256999999998</v>
      </c>
      <c r="DE27" s="259">
        <f>+Movia!DB63</f>
        <v>0</v>
      </c>
      <c r="DF27" s="259">
        <f>+Movia!DC63</f>
        <v>500.34172000000001</v>
      </c>
      <c r="DG27" s="259">
        <f>+Movia!DD63</f>
        <v>0</v>
      </c>
      <c r="DH27" s="259">
        <f>+Movia!DE63</f>
        <v>0</v>
      </c>
      <c r="DI27" s="297"/>
      <c r="DJ27" s="280">
        <f>+Movia!DF63</f>
        <v>5.5E-2</v>
      </c>
      <c r="DK27" s="260">
        <f>+Movia!DG63</f>
        <v>3.3399999999999999E-2</v>
      </c>
      <c r="DL27" s="260">
        <f>+Movia!DH63</f>
        <v>3.5900000000000001E-2</v>
      </c>
      <c r="DM27" s="260">
        <f>+Movia!DI63</f>
        <v>3.6900000000000002E-2</v>
      </c>
      <c r="DN27" s="260">
        <f>+Movia!DJ63</f>
        <v>3.27E-2</v>
      </c>
      <c r="DO27" s="260">
        <f>+Movia!DK63</f>
        <v>3.1800000000000002E-2</v>
      </c>
      <c r="DP27" s="260">
        <f>+Movia!DL63</f>
        <v>3.7100000000000001E-2</v>
      </c>
      <c r="DQ27" s="260">
        <f>+Movia!DM63</f>
        <v>3.3700000000000001E-2</v>
      </c>
      <c r="DR27" s="260">
        <f>+Movia!DN63</f>
        <v>3.49E-2</v>
      </c>
      <c r="DS27" s="260">
        <f>+Movia!DO63</f>
        <v>0</v>
      </c>
      <c r="DT27" s="260">
        <f>+Movia!DP63</f>
        <v>3.1699999999999999E-2</v>
      </c>
      <c r="DU27" s="260">
        <f>+Movia!DQ63</f>
        <v>0</v>
      </c>
      <c r="DV27" s="260">
        <f>+Movia!DR63</f>
        <v>0</v>
      </c>
      <c r="DW27" s="299"/>
      <c r="DX27" s="282">
        <f>+Movia!DS63</f>
        <v>0</v>
      </c>
      <c r="DY27" s="261">
        <f>+Movia!DT63</f>
        <v>0</v>
      </c>
      <c r="DZ27" s="261">
        <f>+Movia!DU63</f>
        <v>0</v>
      </c>
      <c r="EA27" s="261">
        <f>+Movia!DV63</f>
        <v>0</v>
      </c>
      <c r="EB27" s="261">
        <f>+Movia!DW63</f>
        <v>0</v>
      </c>
      <c r="EC27" s="261">
        <f>+Movia!DX63</f>
        <v>0</v>
      </c>
      <c r="ED27" s="261">
        <f>+Movia!DY63</f>
        <v>0</v>
      </c>
      <c r="EE27" s="261">
        <f>+Movia!DZ63</f>
        <v>0</v>
      </c>
      <c r="EF27" s="261">
        <f>+Movia!EA63</f>
        <v>0</v>
      </c>
      <c r="EG27" s="261">
        <f>+Movia!EB63</f>
        <v>0</v>
      </c>
      <c r="EH27" s="261">
        <f>+Movia!EC63</f>
        <v>0</v>
      </c>
      <c r="EI27" s="261">
        <f>+Movia!ED63</f>
        <v>0</v>
      </c>
      <c r="EJ27" s="261">
        <f>+Movia!EE63</f>
        <v>0</v>
      </c>
      <c r="EK27" s="301"/>
      <c r="EL27" s="282">
        <f>+Movia!EF63</f>
        <v>151818</v>
      </c>
      <c r="EM27" s="261">
        <f>+Movia!EG63</f>
        <v>151573</v>
      </c>
      <c r="EN27" s="261">
        <f>+Movia!EH63</f>
        <v>158157</v>
      </c>
      <c r="EO27" s="261">
        <f>+Movia!EI63</f>
        <v>156802</v>
      </c>
      <c r="EP27" s="261">
        <f>+Movia!EJ63</f>
        <v>154941</v>
      </c>
      <c r="EQ27" s="261">
        <f>+Movia!EK63</f>
        <v>157654.07999999999</v>
      </c>
      <c r="ER27" s="261">
        <f>+Movia!EL63</f>
        <v>167419.1</v>
      </c>
      <c r="ES27" s="261">
        <f>+Movia!EM63</f>
        <v>173653</v>
      </c>
      <c r="ET27" s="261">
        <f>+Movia!EN63</f>
        <v>172316.68</v>
      </c>
      <c r="EU27" s="261">
        <f>+Movia!EO63</f>
        <v>0</v>
      </c>
      <c r="EV27" s="261">
        <f>+Movia!EP63</f>
        <v>179803.34</v>
      </c>
      <c r="EW27" s="261">
        <f>+Movia!EQ63</f>
        <v>0</v>
      </c>
      <c r="EX27" s="261">
        <f>+Movia!ER63</f>
        <v>0</v>
      </c>
      <c r="EY27" s="301"/>
      <c r="EZ27" s="282">
        <f>+Movia!ES63</f>
        <v>9510459</v>
      </c>
      <c r="FA27" s="261">
        <f>+Movia!ET63</f>
        <v>7498834</v>
      </c>
      <c r="FB27" s="261">
        <f>+Movia!EU63</f>
        <v>7739653</v>
      </c>
      <c r="FC27" s="261">
        <f>+Movia!EV63</f>
        <v>9458059</v>
      </c>
      <c r="FD27" s="261">
        <f>+Movia!EW63</f>
        <v>9786192.8401200008</v>
      </c>
      <c r="FE27" s="261">
        <f>+Movia!EX63</f>
        <v>9623347.2865299992</v>
      </c>
      <c r="FF27" s="261">
        <f>+Movia!EY63</f>
        <v>9497453.6579899993</v>
      </c>
      <c r="FG27" s="261">
        <f>+Movia!EZ63</f>
        <v>10222574.9333</v>
      </c>
      <c r="FH27" s="261">
        <f>+Movia!FA63</f>
        <v>9527493.9532299992</v>
      </c>
      <c r="FI27" s="261">
        <f>+Movia!FB63</f>
        <v>0</v>
      </c>
      <c r="FJ27" s="261">
        <f>+Movia!FC63</f>
        <v>9759112.1816300005</v>
      </c>
      <c r="FK27" s="261">
        <f>+Movia!FD63</f>
        <v>0</v>
      </c>
      <c r="FL27" s="261">
        <f>+Movia!FE63</f>
        <v>0</v>
      </c>
      <c r="FM27" s="301"/>
      <c r="FN27" s="282">
        <f>+Movia!FF63</f>
        <v>7825683</v>
      </c>
      <c r="FO27" s="261">
        <f>+Movia!FG63</f>
        <v>7629001</v>
      </c>
      <c r="FP27" s="261">
        <f>+Movia!FH63</f>
        <v>8034836</v>
      </c>
      <c r="FQ27" s="261">
        <f>+Movia!FI63</f>
        <v>7998171</v>
      </c>
      <c r="FR27" s="261">
        <f>+Movia!FJ63</f>
        <v>7987375</v>
      </c>
      <c r="FS27" s="261">
        <f>+Movia!FK63</f>
        <v>8076229</v>
      </c>
      <c r="FT27" s="261">
        <f>+Movia!FL63</f>
        <v>8442977</v>
      </c>
      <c r="FU27" s="261">
        <f>+Movia!FM63</f>
        <v>8932495.0099999998</v>
      </c>
      <c r="FV27" s="261">
        <f>+Movia!FN63</f>
        <v>8657460</v>
      </c>
      <c r="FW27" s="261">
        <f>+Movia!FO63</f>
        <v>0</v>
      </c>
      <c r="FX27" s="261">
        <f>+Movia!FP63</f>
        <v>9116589.5999999996</v>
      </c>
      <c r="FY27" s="261">
        <f>+Movia!FQ63</f>
        <v>0</v>
      </c>
      <c r="FZ27" s="261">
        <f>+Movia!FR63</f>
        <v>0</v>
      </c>
      <c r="GA27" s="301"/>
      <c r="GB27" s="284">
        <f t="shared" si="58"/>
        <v>3254.6515564689298</v>
      </c>
      <c r="GC27" s="270">
        <f t="shared" si="58"/>
        <v>3317.9984561894271</v>
      </c>
      <c r="GD27" s="270">
        <f t="shared" si="58"/>
        <v>3344.4793464721765</v>
      </c>
      <c r="GE27" s="270">
        <f t="shared" si="58"/>
        <v>3561.5233861812985</v>
      </c>
      <c r="GF27" s="270">
        <f t="shared" si="58"/>
        <v>3762.4874629697756</v>
      </c>
      <c r="GG27" s="270">
        <f t="shared" si="58"/>
        <v>3837.167170047233</v>
      </c>
      <c r="GH27" s="270">
        <f t="shared" si="58"/>
        <v>3817.8654645736356</v>
      </c>
      <c r="GI27" s="270">
        <f t="shared" si="58"/>
        <v>3846.0401490328413</v>
      </c>
      <c r="GJ27" s="270">
        <f t="shared" si="58"/>
        <v>3923.041924902453</v>
      </c>
      <c r="GK27" s="270" t="str">
        <f t="shared" si="58"/>
        <v/>
      </c>
      <c r="GL27" s="270">
        <f t="shared" si="58"/>
        <v>3934.8751808503671</v>
      </c>
      <c r="GM27" s="270" t="str">
        <f t="shared" si="58"/>
        <v/>
      </c>
      <c r="GN27" s="270" t="str">
        <f t="shared" si="58"/>
        <v/>
      </c>
      <c r="GO27" s="303"/>
      <c r="GP27" s="284">
        <f t="shared" si="59"/>
        <v>100</v>
      </c>
      <c r="GQ27" s="270">
        <f t="shared" si="59"/>
        <v>99.838622561224625</v>
      </c>
      <c r="GR27" s="270">
        <f t="shared" si="59"/>
        <v>104.17539422202901</v>
      </c>
      <c r="GS27" s="270">
        <f t="shared" si="59"/>
        <v>103.28287818308763</v>
      </c>
      <c r="GT27" s="270">
        <f t="shared" si="59"/>
        <v>102.05706833181836</v>
      </c>
      <c r="GU27" s="270">
        <f t="shared" si="59"/>
        <v>103.84412915464569</v>
      </c>
      <c r="GV27" s="270">
        <f t="shared" si="59"/>
        <v>110.27618595950415</v>
      </c>
      <c r="GW27" s="270">
        <f t="shared" si="59"/>
        <v>114.38235255371563</v>
      </c>
      <c r="GX27" s="270">
        <f t="shared" si="59"/>
        <v>113.50214072112661</v>
      </c>
      <c r="GY27" s="270">
        <f t="shared" si="59"/>
        <v>0</v>
      </c>
      <c r="GZ27" s="270">
        <f t="shared" si="59"/>
        <v>118.43347956105336</v>
      </c>
      <c r="HA27" s="270">
        <f t="shared" si="59"/>
        <v>0</v>
      </c>
      <c r="HB27" s="270">
        <f t="shared" si="59"/>
        <v>0</v>
      </c>
      <c r="HC27" s="303"/>
      <c r="HD27" s="284">
        <f t="shared" ref="HD27:HP27" si="66">IFERROR((P27/EL27)/($P$27/$EL$27)*100,"")</f>
        <v>100</v>
      </c>
      <c r="HE27" s="270">
        <f t="shared" si="66"/>
        <v>101.94634966666673</v>
      </c>
      <c r="HF27" s="270">
        <f t="shared" si="66"/>
        <v>102.75998178129713</v>
      </c>
      <c r="HG27" s="270">
        <f t="shared" si="66"/>
        <v>109.42871531370022</v>
      </c>
      <c r="HH27" s="270">
        <f t="shared" si="66"/>
        <v>115.60338788007809</v>
      </c>
      <c r="HI27" s="270">
        <f t="shared" si="66"/>
        <v>117.89794094610522</v>
      </c>
      <c r="HJ27" s="270">
        <f t="shared" si="66"/>
        <v>117.30489111761486</v>
      </c>
      <c r="HK27" s="270">
        <f t="shared" si="66"/>
        <v>118.17056549075031</v>
      </c>
      <c r="HL27" s="270">
        <f t="shared" si="66"/>
        <v>120.53646471325121</v>
      </c>
      <c r="HM27" s="270" t="str">
        <f t="shared" si="66"/>
        <v/>
      </c>
      <c r="HN27" s="270">
        <f t="shared" si="66"/>
        <v>120.90004452333547</v>
      </c>
      <c r="HO27" s="270" t="str">
        <f t="shared" si="66"/>
        <v/>
      </c>
      <c r="HP27" s="270" t="str">
        <f t="shared" si="66"/>
        <v/>
      </c>
      <c r="HQ27" s="303"/>
      <c r="HR27" s="284">
        <f t="shared" ref="HR27:ID27" si="67">IFERROR(EZ27/$EZ$27*100,"")</f>
        <v>100</v>
      </c>
      <c r="HS27" s="270">
        <f t="shared" si="67"/>
        <v>78.84828692284988</v>
      </c>
      <c r="HT27" s="270">
        <f t="shared" si="67"/>
        <v>81.380436002089908</v>
      </c>
      <c r="HU27" s="270">
        <f t="shared" si="67"/>
        <v>99.449027644196775</v>
      </c>
      <c r="HV27" s="270">
        <f t="shared" si="67"/>
        <v>102.899269531786</v>
      </c>
      <c r="HW27" s="270">
        <f t="shared" si="67"/>
        <v>101.1869909383974</v>
      </c>
      <c r="HX27" s="270">
        <f t="shared" si="67"/>
        <v>99.863252215166483</v>
      </c>
      <c r="HY27" s="270">
        <f t="shared" si="67"/>
        <v>107.48771361403271</v>
      </c>
      <c r="HZ27" s="270">
        <f t="shared" si="67"/>
        <v>100.17911809755975</v>
      </c>
      <c r="IA27" s="270">
        <f t="shared" si="67"/>
        <v>0</v>
      </c>
      <c r="IB27" s="270">
        <f t="shared" si="67"/>
        <v>102.61452345917267</v>
      </c>
      <c r="IC27" s="270">
        <f t="shared" si="67"/>
        <v>0</v>
      </c>
      <c r="ID27" s="288">
        <f t="shared" si="67"/>
        <v>0</v>
      </c>
    </row>
    <row r="28" spans="1:238" x14ac:dyDescent="0.2">
      <c r="A28" s="307" t="s">
        <v>14</v>
      </c>
      <c r="B28" s="258">
        <f>+NT!F31</f>
        <v>78.752383600000002</v>
      </c>
      <c r="C28" s="258">
        <f>+NT!G31</f>
        <v>46.026197500000002</v>
      </c>
      <c r="D28" s="258">
        <f>+NT!H31</f>
        <v>58.2553068</v>
      </c>
      <c r="E28" s="258">
        <f>+NT!I31</f>
        <v>78.561819099999994</v>
      </c>
      <c r="F28" s="258">
        <f>+NT!J31</f>
        <v>81.783112299999999</v>
      </c>
      <c r="G28" s="258">
        <f>+NT!K31</f>
        <v>75.831539399999997</v>
      </c>
      <c r="H28" s="258">
        <f>+NT!L31</f>
        <v>89.351517000000001</v>
      </c>
      <c r="I28" s="258">
        <f>+NT!M31</f>
        <v>98.597573100000005</v>
      </c>
      <c r="J28" s="258">
        <f>+NT!N31</f>
        <v>91.182859100000002</v>
      </c>
      <c r="K28" s="258">
        <f>+NT!O31</f>
        <v>0</v>
      </c>
      <c r="L28" s="258">
        <f>+NT!P31</f>
        <v>0</v>
      </c>
      <c r="M28" s="258">
        <f>+NT!Q31</f>
        <v>0</v>
      </c>
      <c r="N28" s="258">
        <f>+NT!R31</f>
        <v>0</v>
      </c>
      <c r="O28" s="295"/>
      <c r="P28" s="275">
        <f>+NT!S31</f>
        <v>165.87665860000001</v>
      </c>
      <c r="Q28" s="258">
        <f>+NT!T31</f>
        <v>168.7338804</v>
      </c>
      <c r="R28" s="258">
        <f>+NT!U31</f>
        <v>179.94283279999999</v>
      </c>
      <c r="S28" s="258">
        <f>+NT!V31</f>
        <v>196.72163599999999</v>
      </c>
      <c r="T28" s="258">
        <f>+NT!W31</f>
        <v>194.9731386</v>
      </c>
      <c r="U28" s="258">
        <f>+NT!X31</f>
        <v>212.3106032</v>
      </c>
      <c r="V28" s="258">
        <f>+NT!Y31</f>
        <v>218.9799697</v>
      </c>
      <c r="W28" s="258">
        <f>+NT!Z31</f>
        <v>239.0771225</v>
      </c>
      <c r="X28" s="258">
        <f>+NT!AA31</f>
        <v>241.2716408</v>
      </c>
      <c r="Y28" s="258">
        <f>+NT!AB31</f>
        <v>0</v>
      </c>
      <c r="Z28" s="258">
        <f>+NT!AC31</f>
        <v>0</v>
      </c>
      <c r="AA28" s="258">
        <f>+NT!AD31</f>
        <v>0</v>
      </c>
      <c r="AB28" s="258">
        <f>+NT!AE31</f>
        <v>0</v>
      </c>
      <c r="AC28" s="295"/>
      <c r="AD28" s="275">
        <f>+NT!AF31</f>
        <v>10.186021</v>
      </c>
      <c r="AE28" s="258">
        <f>+NT!AG31</f>
        <v>10.333455900000001</v>
      </c>
      <c r="AF28" s="258">
        <f>+NT!AH31</f>
        <v>11.0972463</v>
      </c>
      <c r="AG28" s="258">
        <f>+NT!AI31</f>
        <v>11.5443684</v>
      </c>
      <c r="AH28" s="258">
        <f>+NT!AJ31</f>
        <v>11.7337015</v>
      </c>
      <c r="AI28" s="258">
        <f>+NT!AK31</f>
        <v>10.824510699999999</v>
      </c>
      <c r="AJ28" s="258">
        <f>+NT!AL31</f>
        <v>12.4432788</v>
      </c>
      <c r="AK28" s="258">
        <f>+NT!AM31</f>
        <v>13.5862119</v>
      </c>
      <c r="AL28" s="258">
        <f>+NT!AN31</f>
        <v>13.551392699999999</v>
      </c>
      <c r="AM28" s="258">
        <f>+NT!AO31</f>
        <v>0</v>
      </c>
      <c r="AN28" s="258">
        <f>+NT!AP31</f>
        <v>0</v>
      </c>
      <c r="AO28" s="258">
        <f>+NT!AQ31</f>
        <v>0</v>
      </c>
      <c r="AP28" s="258">
        <f>+NT!AR31</f>
        <v>0</v>
      </c>
      <c r="AQ28" s="295"/>
      <c r="AR28" s="275">
        <f>+NT!AS31</f>
        <v>0</v>
      </c>
      <c r="AS28" s="258">
        <f>+NT!AT31</f>
        <v>0</v>
      </c>
      <c r="AT28" s="258">
        <f>+NT!AU31</f>
        <v>0</v>
      </c>
      <c r="AU28" s="258">
        <f>+NT!AV31</f>
        <v>0</v>
      </c>
      <c r="AV28" s="258">
        <f>+NT!AW31</f>
        <v>0</v>
      </c>
      <c r="AW28" s="258">
        <f>+NT!AX31</f>
        <v>0</v>
      </c>
      <c r="AX28" s="258">
        <f>+NT!AY31</f>
        <v>0</v>
      </c>
      <c r="AY28" s="258">
        <f>+NT!AZ31</f>
        <v>0</v>
      </c>
      <c r="AZ28" s="258">
        <f>+NT!BA31</f>
        <v>0</v>
      </c>
      <c r="BA28" s="258">
        <f>+NT!BB31</f>
        <v>0</v>
      </c>
      <c r="BB28" s="258">
        <f>+NT!BC31</f>
        <v>0</v>
      </c>
      <c r="BC28" s="258">
        <f>+NT!BD31</f>
        <v>0</v>
      </c>
      <c r="BD28" s="258">
        <f>+NT!BE31</f>
        <v>0</v>
      </c>
      <c r="BE28" s="295"/>
      <c r="BF28" s="275">
        <f>+NT!BF31</f>
        <v>0.33366960000000001</v>
      </c>
      <c r="BG28" s="258">
        <f>+NT!BG31</f>
        <v>0.56658620000000004</v>
      </c>
      <c r="BH28" s="258">
        <f>+NT!BH31</f>
        <v>0.33582220000000002</v>
      </c>
      <c r="BI28" s="258">
        <f>+NT!BI31</f>
        <v>7.4666099999999999E-2</v>
      </c>
      <c r="BJ28" s="258">
        <f>+NT!BJ31</f>
        <v>0.73553919999999995</v>
      </c>
      <c r="BK28" s="258">
        <f>+NT!BK31</f>
        <v>0.60971180000000003</v>
      </c>
      <c r="BL28" s="258">
        <f>+NT!BL31</f>
        <v>0.69779239999999998</v>
      </c>
      <c r="BM28" s="258">
        <f>+NT!BM31</f>
        <v>0.84220059999999997</v>
      </c>
      <c r="BN28" s="258">
        <f>+NT!BN31</f>
        <v>0.81643489999999996</v>
      </c>
      <c r="BO28" s="258">
        <f>+NT!BO31</f>
        <v>0</v>
      </c>
      <c r="BP28" s="258">
        <f>+NT!BP31</f>
        <v>0</v>
      </c>
      <c r="BQ28" s="258">
        <f>+NT!BQ31</f>
        <v>0</v>
      </c>
      <c r="BR28" s="258">
        <f>+NT!BR31</f>
        <v>0</v>
      </c>
      <c r="BS28" s="295"/>
      <c r="BT28" s="278">
        <f>+NT!BS31</f>
        <v>0</v>
      </c>
      <c r="BU28" s="259">
        <f>+NT!BT31</f>
        <v>17.7893249</v>
      </c>
      <c r="BV28" s="259">
        <f>+NT!BU31</f>
        <v>7.7874468999999999</v>
      </c>
      <c r="BW28" s="259">
        <f>+NT!BV31</f>
        <v>2.6041801000000002</v>
      </c>
      <c r="BX28" s="259">
        <f>+NT!BW31</f>
        <v>2.9575979000000001</v>
      </c>
      <c r="BY28" s="259">
        <f>+NT!BX31</f>
        <v>-0.1463692</v>
      </c>
      <c r="BZ28" s="259">
        <f>+NT!BY31</f>
        <v>0</v>
      </c>
      <c r="CA28" s="259">
        <f>+NT!BZ31</f>
        <v>0</v>
      </c>
      <c r="CB28" s="259">
        <f>+NT!CA31</f>
        <v>0</v>
      </c>
      <c r="CC28" s="259">
        <f>+NT!CB31</f>
        <v>0</v>
      </c>
      <c r="CD28" s="259">
        <f>+NT!CC31</f>
        <v>0</v>
      </c>
      <c r="CE28" s="259">
        <f>+NT!CD31</f>
        <v>0</v>
      </c>
      <c r="CF28" s="259">
        <f>+NT!CE31</f>
        <v>0</v>
      </c>
      <c r="CG28" s="297"/>
      <c r="CH28" s="278">
        <f>+NT!CF31</f>
        <v>176.39634920000003</v>
      </c>
      <c r="CI28" s="259">
        <f>+NT!CG31</f>
        <v>179.63392249999998</v>
      </c>
      <c r="CJ28" s="259">
        <f>+NT!CH31</f>
        <v>191.37590129999998</v>
      </c>
      <c r="CK28" s="259">
        <f>+NT!CI31</f>
        <v>208.34067049999999</v>
      </c>
      <c r="CL28" s="259">
        <f>+NT!CJ31</f>
        <v>207.4423793</v>
      </c>
      <c r="CM28" s="259">
        <f>+NT!CK31</f>
        <v>223.74482570000001</v>
      </c>
      <c r="CN28" s="259">
        <f>+NT!CL31</f>
        <v>232.1210409</v>
      </c>
      <c r="CO28" s="259">
        <f>+NT!CM31</f>
        <v>253.50553500000001</v>
      </c>
      <c r="CP28" s="259">
        <f>+NT!CN31</f>
        <v>255.6394684</v>
      </c>
      <c r="CQ28" s="259">
        <f>+NT!CO31</f>
        <v>0</v>
      </c>
      <c r="CR28" s="259">
        <f>+NT!CP31</f>
        <v>0</v>
      </c>
      <c r="CS28" s="259">
        <f>+NT!CQ31</f>
        <v>0</v>
      </c>
      <c r="CT28" s="259">
        <f>+NT!CR31</f>
        <v>0</v>
      </c>
      <c r="CU28" s="297"/>
      <c r="CV28" s="278">
        <f>+NT!CS31</f>
        <v>97.64396560000003</v>
      </c>
      <c r="CW28" s="259">
        <f>+NT!CT31</f>
        <v>115.81840009999999</v>
      </c>
      <c r="CX28" s="259">
        <f>+NT!CU31</f>
        <v>125.33314759999999</v>
      </c>
      <c r="CY28" s="259">
        <f>+NT!CV31</f>
        <v>127.17467129999999</v>
      </c>
      <c r="CZ28" s="259">
        <f>+NT!CW31</f>
        <v>122.7016691</v>
      </c>
      <c r="DA28" s="259">
        <f>+NT!CX31</f>
        <v>148.05965550000002</v>
      </c>
      <c r="DB28" s="259">
        <f>+NT!CY31</f>
        <v>142.7695239</v>
      </c>
      <c r="DC28" s="259">
        <f>+NT!CZ31</f>
        <v>154.9079619</v>
      </c>
      <c r="DD28" s="259">
        <f>+NT!DA31</f>
        <v>164.4566093</v>
      </c>
      <c r="DE28" s="259">
        <f>+NT!DB31</f>
        <v>0</v>
      </c>
      <c r="DF28" s="259">
        <f>+NT!DC31</f>
        <v>0</v>
      </c>
      <c r="DG28" s="259">
        <f>+NT!DD31</f>
        <v>0</v>
      </c>
      <c r="DH28" s="259">
        <f>+NT!DE31</f>
        <v>0</v>
      </c>
      <c r="DI28" s="297"/>
      <c r="DJ28" s="280">
        <f>+NT!DF31</f>
        <v>5.7745078320475797E-2</v>
      </c>
      <c r="DK28" s="260">
        <f>+NT!DG31</f>
        <v>5.7525080765299226E-2</v>
      </c>
      <c r="DL28" s="260">
        <f>+NT!DH31</f>
        <v>5.7986644214957909E-2</v>
      </c>
      <c r="DM28" s="260">
        <f>+NT!DI31</f>
        <v>5.541101683264478E-2</v>
      </c>
      <c r="DN28" s="260">
        <f>+NT!DJ31</f>
        <v>5.6563666207428621E-2</v>
      </c>
      <c r="DO28" s="260">
        <f>+NT!DK31</f>
        <v>4.8378820230299519E-2</v>
      </c>
      <c r="DP28" s="260">
        <f>+NT!DL31</f>
        <v>5.3606854216032424E-2</v>
      </c>
      <c r="DQ28" s="260">
        <f>+NT!DM31</f>
        <v>5.3593354085937413E-2</v>
      </c>
      <c r="DR28" s="260">
        <f>+NT!DN31</f>
        <v>5.3009782819592184E-2</v>
      </c>
      <c r="DS28" s="260">
        <f>+NT!DO31</f>
        <v>0</v>
      </c>
      <c r="DT28" s="260">
        <f>+NT!DP31</f>
        <v>0</v>
      </c>
      <c r="DU28" s="260">
        <f>+NT!DQ31</f>
        <v>0</v>
      </c>
      <c r="DV28" s="260">
        <f>+NT!DR31</f>
        <v>0</v>
      </c>
      <c r="DW28" s="299"/>
      <c r="DX28" s="282">
        <f>+NT!DS31</f>
        <v>0</v>
      </c>
      <c r="DY28" s="261">
        <f>+NT!DT31</f>
        <v>0</v>
      </c>
      <c r="DZ28" s="261">
        <f>+NT!DU31</f>
        <v>0</v>
      </c>
      <c r="EA28" s="261">
        <f>+NT!DV31</f>
        <v>0</v>
      </c>
      <c r="EB28" s="261">
        <f>+NT!DW31</f>
        <v>0</v>
      </c>
      <c r="EC28" s="261">
        <f>+NT!DX31</f>
        <v>0</v>
      </c>
      <c r="ED28" s="261">
        <f>+NT!DY31</f>
        <v>0</v>
      </c>
      <c r="EE28" s="261">
        <f>+NT!DZ31</f>
        <v>0</v>
      </c>
      <c r="EF28" s="261">
        <f>+NT!EA31</f>
        <v>0</v>
      </c>
      <c r="EG28" s="261">
        <f>+NT!EB31</f>
        <v>0</v>
      </c>
      <c r="EH28" s="261">
        <f>+NT!EC31</f>
        <v>0</v>
      </c>
      <c r="EI28" s="261">
        <f>+NT!ED31</f>
        <v>0</v>
      </c>
      <c r="EJ28" s="261">
        <f>+NT!EE31</f>
        <v>0</v>
      </c>
      <c r="EK28" s="301"/>
      <c r="EL28" s="282">
        <f>+NT!EF31</f>
        <v>44993</v>
      </c>
      <c r="EM28" s="261">
        <f>+NT!EG31</f>
        <v>43805</v>
      </c>
      <c r="EN28" s="261">
        <f>+NT!EH31</f>
        <v>43904</v>
      </c>
      <c r="EO28" s="261">
        <f>+NT!EI31</f>
        <v>45238</v>
      </c>
      <c r="EP28" s="261">
        <f>+NT!EJ31</f>
        <v>45238</v>
      </c>
      <c r="EQ28" s="261">
        <f>+NT!EK31</f>
        <v>0</v>
      </c>
      <c r="ER28" s="261">
        <f>+NT!EL31</f>
        <v>0</v>
      </c>
      <c r="ES28" s="261">
        <f>+NT!EM31</f>
        <v>0</v>
      </c>
      <c r="ET28" s="261">
        <f>+NT!EN31</f>
        <v>0</v>
      </c>
      <c r="EU28" s="261">
        <f>+NT!EO31</f>
        <v>0</v>
      </c>
      <c r="EV28" s="261">
        <f>+NT!EP31</f>
        <v>0</v>
      </c>
      <c r="EW28" s="261">
        <f>+NT!EQ31</f>
        <v>0</v>
      </c>
      <c r="EX28" s="261">
        <f>+NT!ER31</f>
        <v>0</v>
      </c>
      <c r="EY28" s="301"/>
      <c r="EZ28" s="282">
        <f>+NT!ES31</f>
        <v>2803008</v>
      </c>
      <c r="FA28" s="261">
        <f>+NT!ET31</f>
        <v>1762704</v>
      </c>
      <c r="FB28" s="261">
        <f>+NT!EU31</f>
        <v>2035530</v>
      </c>
      <c r="FC28" s="261">
        <f>+NT!EV31</f>
        <v>2800820</v>
      </c>
      <c r="FD28" s="261">
        <f>+NT!EW31</f>
        <v>2955269</v>
      </c>
      <c r="FE28" s="261">
        <f>+NT!EX31</f>
        <v>2477438</v>
      </c>
      <c r="FF28" s="261">
        <f>+NT!EY31</f>
        <v>2855363</v>
      </c>
      <c r="FG28" s="261">
        <f>+NT!EZ31</f>
        <v>0</v>
      </c>
      <c r="FH28" s="261">
        <f>+NT!FA31</f>
        <v>0</v>
      </c>
      <c r="FI28" s="261">
        <f>+NT!FB31</f>
        <v>0</v>
      </c>
      <c r="FJ28" s="261">
        <f>+NT!FC31</f>
        <v>0</v>
      </c>
      <c r="FK28" s="261">
        <f>+NT!FD31</f>
        <v>0</v>
      </c>
      <c r="FL28" s="261">
        <f>+NT!FE31</f>
        <v>0</v>
      </c>
      <c r="FM28" s="301"/>
      <c r="FN28" s="282">
        <f>+NT!FF31</f>
        <v>2978604</v>
      </c>
      <c r="FO28" s="261">
        <f>+NT!FG31</f>
        <v>2785257</v>
      </c>
      <c r="FP28" s="261">
        <f>+NT!FH31</f>
        <v>3095161.5</v>
      </c>
      <c r="FQ28" s="261">
        <f>+NT!FI31</f>
        <v>3070974</v>
      </c>
      <c r="FR28" s="261">
        <f>+NT!FJ31</f>
        <v>3113098</v>
      </c>
      <c r="FS28" s="261">
        <f>+NT!FK31</f>
        <v>2804180</v>
      </c>
      <c r="FT28" s="261">
        <f>+NT!FL31</f>
        <v>3088580</v>
      </c>
      <c r="FU28" s="261">
        <f>+NT!FM31</f>
        <v>3504902</v>
      </c>
      <c r="FV28" s="261">
        <f>+NT!FN31</f>
        <v>3537578</v>
      </c>
      <c r="FW28" s="261">
        <f>+NT!FO31</f>
        <v>0</v>
      </c>
      <c r="FX28" s="261">
        <f>+NT!FP31</f>
        <v>0</v>
      </c>
      <c r="FY28" s="261">
        <f>+NT!FQ31</f>
        <v>0</v>
      </c>
      <c r="FZ28" s="261">
        <f>+NT!FR31</f>
        <v>0</v>
      </c>
      <c r="GA28" s="301"/>
      <c r="GB28" s="284">
        <f t="shared" si="58"/>
        <v>3686.7214588936063</v>
      </c>
      <c r="GC28" s="270">
        <f t="shared" si="58"/>
        <v>3851.931980367538</v>
      </c>
      <c r="GD28" s="270">
        <f t="shared" si="58"/>
        <v>4098.552131924198</v>
      </c>
      <c r="GE28" s="270">
        <f t="shared" si="58"/>
        <v>4348.5926875635523</v>
      </c>
      <c r="GF28" s="270">
        <f t="shared" si="58"/>
        <v>4309.9416110349703</v>
      </c>
      <c r="GG28" s="270" t="str">
        <f t="shared" si="58"/>
        <v/>
      </c>
      <c r="GH28" s="270" t="str">
        <f t="shared" si="58"/>
        <v/>
      </c>
      <c r="GI28" s="270" t="str">
        <f t="shared" si="58"/>
        <v/>
      </c>
      <c r="GJ28" s="270" t="str">
        <f t="shared" si="58"/>
        <v/>
      </c>
      <c r="GK28" s="270" t="str">
        <f t="shared" si="58"/>
        <v/>
      </c>
      <c r="GL28" s="270" t="str">
        <f t="shared" si="58"/>
        <v/>
      </c>
      <c r="GM28" s="270" t="str">
        <f t="shared" si="58"/>
        <v/>
      </c>
      <c r="GN28" s="270" t="str">
        <f t="shared" si="58"/>
        <v/>
      </c>
      <c r="GO28" s="303"/>
      <c r="GP28" s="284">
        <f t="shared" si="59"/>
        <v>100</v>
      </c>
      <c r="GQ28" s="270">
        <f t="shared" si="59"/>
        <v>97.359589269441912</v>
      </c>
      <c r="GR28" s="270">
        <f t="shared" si="59"/>
        <v>97.579623496988418</v>
      </c>
      <c r="GS28" s="270">
        <f t="shared" si="59"/>
        <v>100.54452914897874</v>
      </c>
      <c r="GT28" s="270">
        <f t="shared" si="59"/>
        <v>100.54452914897874</v>
      </c>
      <c r="GU28" s="270">
        <f t="shared" si="59"/>
        <v>0</v>
      </c>
      <c r="GV28" s="270">
        <f t="shared" si="59"/>
        <v>0</v>
      </c>
      <c r="GW28" s="270">
        <f t="shared" si="59"/>
        <v>0</v>
      </c>
      <c r="GX28" s="270">
        <f t="shared" si="59"/>
        <v>0</v>
      </c>
      <c r="GY28" s="270">
        <f t="shared" si="59"/>
        <v>0</v>
      </c>
      <c r="GZ28" s="270">
        <f t="shared" si="59"/>
        <v>0</v>
      </c>
      <c r="HA28" s="270">
        <f t="shared" si="59"/>
        <v>0</v>
      </c>
      <c r="HB28" s="270">
        <f t="shared" si="59"/>
        <v>0</v>
      </c>
      <c r="HC28" s="303"/>
      <c r="HD28" s="284">
        <f t="shared" ref="HD28:HP28" si="68">IFERROR((P28/EL28)/($P$28/$EL$28)*100,"")</f>
        <v>100</v>
      </c>
      <c r="HE28" s="270">
        <f t="shared" si="68"/>
        <v>104.48123144956854</v>
      </c>
      <c r="HF28" s="270">
        <f t="shared" si="68"/>
        <v>111.1706478946794</v>
      </c>
      <c r="HG28" s="270">
        <f t="shared" si="68"/>
        <v>117.95284064851961</v>
      </c>
      <c r="HH28" s="270">
        <f t="shared" si="68"/>
        <v>116.90445451575813</v>
      </c>
      <c r="HI28" s="270" t="str">
        <f t="shared" si="68"/>
        <v/>
      </c>
      <c r="HJ28" s="270" t="str">
        <f t="shared" si="68"/>
        <v/>
      </c>
      <c r="HK28" s="270" t="str">
        <f t="shared" si="68"/>
        <v/>
      </c>
      <c r="HL28" s="270" t="str">
        <f t="shared" si="68"/>
        <v/>
      </c>
      <c r="HM28" s="270" t="str">
        <f t="shared" si="68"/>
        <v/>
      </c>
      <c r="HN28" s="270" t="str">
        <f t="shared" si="68"/>
        <v/>
      </c>
      <c r="HO28" s="270" t="str">
        <f t="shared" si="68"/>
        <v/>
      </c>
      <c r="HP28" s="270" t="str">
        <f t="shared" si="68"/>
        <v/>
      </c>
      <c r="HQ28" s="303"/>
      <c r="HR28" s="284">
        <f t="shared" ref="HR28:ID28" si="69">IFERROR(EZ28/$EZ$28*100,"")</f>
        <v>100</v>
      </c>
      <c r="HS28" s="270">
        <f t="shared" si="69"/>
        <v>62.886156586067543</v>
      </c>
      <c r="HT28" s="270">
        <f t="shared" si="69"/>
        <v>72.619485923693404</v>
      </c>
      <c r="HU28" s="270">
        <f t="shared" si="69"/>
        <v>99.921941000525152</v>
      </c>
      <c r="HV28" s="270">
        <f t="shared" si="69"/>
        <v>105.43205727561249</v>
      </c>
      <c r="HW28" s="270">
        <f t="shared" si="69"/>
        <v>88.384977852364315</v>
      </c>
      <c r="HX28" s="270">
        <f t="shared" si="69"/>
        <v>101.86781486174851</v>
      </c>
      <c r="HY28" s="270">
        <f t="shared" si="69"/>
        <v>0</v>
      </c>
      <c r="HZ28" s="270">
        <f t="shared" si="69"/>
        <v>0</v>
      </c>
      <c r="IA28" s="270">
        <f t="shared" si="69"/>
        <v>0</v>
      </c>
      <c r="IB28" s="270">
        <f t="shared" si="69"/>
        <v>0</v>
      </c>
      <c r="IC28" s="270">
        <f t="shared" si="69"/>
        <v>0</v>
      </c>
      <c r="ID28" s="288">
        <f t="shared" si="69"/>
        <v>0</v>
      </c>
    </row>
    <row r="29" spans="1:238" x14ac:dyDescent="0.2">
      <c r="A29" s="307" t="s">
        <v>17</v>
      </c>
      <c r="B29" s="258">
        <f>+Sydtrafik!F31</f>
        <v>3</v>
      </c>
      <c r="C29" s="258">
        <f>+Sydtrafik!G31</f>
        <v>1.8</v>
      </c>
      <c r="D29" s="258">
        <f>+Sydtrafik!H31</f>
        <v>0</v>
      </c>
      <c r="E29" s="258">
        <f>+Sydtrafik!I31</f>
        <v>0</v>
      </c>
      <c r="F29" s="258">
        <f>+Sydtrafik!J31</f>
        <v>0</v>
      </c>
      <c r="G29" s="258">
        <f>+Sydtrafik!K31</f>
        <v>0</v>
      </c>
      <c r="H29" s="258">
        <f>+Sydtrafik!L31</f>
        <v>0</v>
      </c>
      <c r="I29" s="258">
        <f>+Sydtrafik!M31</f>
        <v>0</v>
      </c>
      <c r="J29" s="258">
        <f>+Sydtrafik!N31</f>
        <v>0</v>
      </c>
      <c r="K29" s="258">
        <f>+Sydtrafik!O31</f>
        <v>0</v>
      </c>
      <c r="L29" s="258">
        <f>+Sydtrafik!P31</f>
        <v>0</v>
      </c>
      <c r="M29" s="258">
        <f>+Sydtrafik!Q31</f>
        <v>0</v>
      </c>
      <c r="N29" s="258">
        <f>+Sydtrafik!R31</f>
        <v>0</v>
      </c>
      <c r="O29" s="295"/>
      <c r="P29" s="275">
        <f>+Sydtrafik!S31</f>
        <v>30.7</v>
      </c>
      <c r="Q29" s="258">
        <f>+Sydtrafik!T31</f>
        <v>30.3</v>
      </c>
      <c r="R29" s="258">
        <f>+Sydtrafik!U31</f>
        <v>15.7</v>
      </c>
      <c r="S29" s="258">
        <f>+Sydtrafik!V31</f>
        <v>17.5</v>
      </c>
      <c r="T29" s="258">
        <f>+Sydtrafik!W31</f>
        <v>19.3</v>
      </c>
      <c r="U29" s="258">
        <f>+Sydtrafik!X31</f>
        <v>19.7</v>
      </c>
      <c r="V29" s="258">
        <f>+Sydtrafik!Y31</f>
        <v>20.3</v>
      </c>
      <c r="W29" s="258">
        <f>+Sydtrafik!Z31</f>
        <v>20.3</v>
      </c>
      <c r="X29" s="258">
        <f>+Sydtrafik!AA31</f>
        <v>20.3</v>
      </c>
      <c r="Y29" s="258">
        <f>+Sydtrafik!AB31</f>
        <v>0</v>
      </c>
      <c r="Z29" s="258">
        <f>+Sydtrafik!AC31</f>
        <v>0</v>
      </c>
      <c r="AA29" s="258">
        <f>+Sydtrafik!AD31</f>
        <v>0</v>
      </c>
      <c r="AB29" s="258">
        <f>+Sydtrafik!AE31</f>
        <v>0</v>
      </c>
      <c r="AC29" s="295"/>
      <c r="AD29" s="275">
        <f>+Sydtrafik!AF31</f>
        <v>0.4</v>
      </c>
      <c r="AE29" s="258">
        <f>+Sydtrafik!AG31</f>
        <v>0.4</v>
      </c>
      <c r="AF29" s="258">
        <f>+Sydtrafik!AH31</f>
        <v>0.4</v>
      </c>
      <c r="AG29" s="258">
        <f>+Sydtrafik!AI31</f>
        <v>0.4</v>
      </c>
      <c r="AH29" s="258">
        <f>+Sydtrafik!AJ31</f>
        <v>0.4</v>
      </c>
      <c r="AI29" s="258">
        <f>+Sydtrafik!AK31</f>
        <v>0.4</v>
      </c>
      <c r="AJ29" s="258">
        <f>+Sydtrafik!AL31</f>
        <v>0.4</v>
      </c>
      <c r="AK29" s="258">
        <f>+Sydtrafik!AM31</f>
        <v>0.5</v>
      </c>
      <c r="AL29" s="258">
        <f>+Sydtrafik!AN31</f>
        <v>0.5</v>
      </c>
      <c r="AM29" s="258">
        <f>+Sydtrafik!AO31</f>
        <v>0</v>
      </c>
      <c r="AN29" s="258">
        <f>+Sydtrafik!AP31</f>
        <v>0</v>
      </c>
      <c r="AO29" s="258">
        <f>+Sydtrafik!AQ31</f>
        <v>0</v>
      </c>
      <c r="AP29" s="258">
        <f>+Sydtrafik!AR31</f>
        <v>0</v>
      </c>
      <c r="AQ29" s="295"/>
      <c r="AR29" s="275">
        <f>+Sydtrafik!AS31</f>
        <v>0</v>
      </c>
      <c r="AS29" s="258">
        <f>+Sydtrafik!AT31</f>
        <v>0</v>
      </c>
      <c r="AT29" s="258">
        <f>+Sydtrafik!AU31</f>
        <v>0</v>
      </c>
      <c r="AU29" s="258">
        <f>+Sydtrafik!AV31</f>
        <v>0</v>
      </c>
      <c r="AV29" s="258">
        <f>+Sydtrafik!AW31</f>
        <v>0</v>
      </c>
      <c r="AW29" s="258">
        <f>+Sydtrafik!AX31</f>
        <v>0</v>
      </c>
      <c r="AX29" s="258">
        <f>+Sydtrafik!AY31</f>
        <v>0</v>
      </c>
      <c r="AY29" s="258">
        <f>+Sydtrafik!AZ31</f>
        <v>0</v>
      </c>
      <c r="AZ29" s="258">
        <f>+Sydtrafik!BA31</f>
        <v>0</v>
      </c>
      <c r="BA29" s="258">
        <f>+Sydtrafik!BB31</f>
        <v>0</v>
      </c>
      <c r="BB29" s="258">
        <f>+Sydtrafik!BC31</f>
        <v>0</v>
      </c>
      <c r="BC29" s="258">
        <f>+Sydtrafik!BD31</f>
        <v>0</v>
      </c>
      <c r="BD29" s="258">
        <f>+Sydtrafik!BE31</f>
        <v>0</v>
      </c>
      <c r="BE29" s="295"/>
      <c r="BF29" s="275">
        <f>+Sydtrafik!BF31</f>
        <v>0</v>
      </c>
      <c r="BG29" s="258">
        <f>+Sydtrafik!BG31</f>
        <v>0</v>
      </c>
      <c r="BH29" s="258">
        <f>+Sydtrafik!BH31</f>
        <v>0</v>
      </c>
      <c r="BI29" s="258">
        <f>+Sydtrafik!BI31</f>
        <v>0</v>
      </c>
      <c r="BJ29" s="258">
        <f>+Sydtrafik!BJ31</f>
        <v>0</v>
      </c>
      <c r="BK29" s="258">
        <f>+Sydtrafik!BK31</f>
        <v>0</v>
      </c>
      <c r="BL29" s="258">
        <f>+Sydtrafik!BL31</f>
        <v>0</v>
      </c>
      <c r="BM29" s="258">
        <f>+Sydtrafik!BM31</f>
        <v>0</v>
      </c>
      <c r="BN29" s="258">
        <f>+Sydtrafik!BN31</f>
        <v>0</v>
      </c>
      <c r="BO29" s="258">
        <f>+Sydtrafik!BO31</f>
        <v>0</v>
      </c>
      <c r="BP29" s="258">
        <f>+Sydtrafik!BP31</f>
        <v>0</v>
      </c>
      <c r="BQ29" s="258">
        <f>+Sydtrafik!BQ31</f>
        <v>0</v>
      </c>
      <c r="BR29" s="258">
        <f>+Sydtrafik!BR31</f>
        <v>0</v>
      </c>
      <c r="BS29" s="295"/>
      <c r="BT29" s="278">
        <f>+Sydtrafik!BS31</f>
        <v>0</v>
      </c>
      <c r="BU29" s="259">
        <f>+Sydtrafik!BT31</f>
        <v>0.8</v>
      </c>
      <c r="BV29" s="259">
        <f>+Sydtrafik!BU31</f>
        <v>0</v>
      </c>
      <c r="BW29" s="259">
        <f>+Sydtrafik!BV31</f>
        <v>0</v>
      </c>
      <c r="BX29" s="259">
        <f>+Sydtrafik!BW31</f>
        <v>0</v>
      </c>
      <c r="BY29" s="259">
        <f>+Sydtrafik!BX31</f>
        <v>0</v>
      </c>
      <c r="BZ29" s="259">
        <f>+Sydtrafik!BY31</f>
        <v>0</v>
      </c>
      <c r="CA29" s="259">
        <f>+Sydtrafik!BZ31</f>
        <v>0</v>
      </c>
      <c r="CB29" s="259">
        <f>+Sydtrafik!CA31</f>
        <v>0</v>
      </c>
      <c r="CC29" s="259">
        <f>+Sydtrafik!CB31</f>
        <v>0</v>
      </c>
      <c r="CD29" s="259">
        <f>+Sydtrafik!CC31</f>
        <v>0</v>
      </c>
      <c r="CE29" s="259">
        <f>+Sydtrafik!CD31</f>
        <v>0</v>
      </c>
      <c r="CF29" s="259">
        <f>+Sydtrafik!CE31</f>
        <v>0</v>
      </c>
      <c r="CG29" s="297"/>
      <c r="CH29" s="278">
        <f>+Sydtrafik!CF31</f>
        <v>0</v>
      </c>
      <c r="CI29" s="259">
        <f>+Sydtrafik!CG31</f>
        <v>0</v>
      </c>
      <c r="CJ29" s="259">
        <f>+Sydtrafik!CH31</f>
        <v>0</v>
      </c>
      <c r="CK29" s="259">
        <f>+Sydtrafik!CI31</f>
        <v>0</v>
      </c>
      <c r="CL29" s="259">
        <f>+Sydtrafik!CJ31</f>
        <v>0</v>
      </c>
      <c r="CM29" s="259">
        <f>+Sydtrafik!CK31</f>
        <v>0</v>
      </c>
      <c r="CN29" s="259">
        <f>+Sydtrafik!CL31</f>
        <v>0</v>
      </c>
      <c r="CO29" s="259">
        <f>+Sydtrafik!CM31</f>
        <v>0</v>
      </c>
      <c r="CP29" s="259">
        <f>+Sydtrafik!CN31</f>
        <v>0</v>
      </c>
      <c r="CQ29" s="259">
        <f>+Sydtrafik!CO31</f>
        <v>0</v>
      </c>
      <c r="CR29" s="259">
        <f>+Sydtrafik!CP31</f>
        <v>0</v>
      </c>
      <c r="CS29" s="259">
        <f>+Sydtrafik!CQ31</f>
        <v>0</v>
      </c>
      <c r="CT29" s="259">
        <f>+Sydtrafik!CR31</f>
        <v>0</v>
      </c>
      <c r="CU29" s="297"/>
      <c r="CV29" s="278">
        <f>+Sydtrafik!CS31</f>
        <v>0</v>
      </c>
      <c r="CW29" s="259">
        <f>+Sydtrafik!CT31</f>
        <v>0</v>
      </c>
      <c r="CX29" s="259">
        <f>+Sydtrafik!CU31</f>
        <v>0</v>
      </c>
      <c r="CY29" s="259">
        <f>+Sydtrafik!CV31</f>
        <v>0</v>
      </c>
      <c r="CZ29" s="259">
        <f>+Sydtrafik!CW31</f>
        <v>0</v>
      </c>
      <c r="DA29" s="259">
        <f>+Sydtrafik!CX31</f>
        <v>0</v>
      </c>
      <c r="DB29" s="259">
        <f>+Sydtrafik!CY31</f>
        <v>0</v>
      </c>
      <c r="DC29" s="259">
        <f>+Sydtrafik!CZ31</f>
        <v>0</v>
      </c>
      <c r="DD29" s="259">
        <f>+Sydtrafik!DA31</f>
        <v>0</v>
      </c>
      <c r="DE29" s="259">
        <f>+Sydtrafik!DB31</f>
        <v>0</v>
      </c>
      <c r="DF29" s="259">
        <f>+Sydtrafik!DC31</f>
        <v>0</v>
      </c>
      <c r="DG29" s="259">
        <f>+Sydtrafik!DD31</f>
        <v>0</v>
      </c>
      <c r="DH29" s="259">
        <f>+Sydtrafik!DE31</f>
        <v>0</v>
      </c>
      <c r="DI29" s="297"/>
      <c r="DJ29" s="280">
        <f>+Sydtrafik!DF31</f>
        <v>0</v>
      </c>
      <c r="DK29" s="260">
        <f>+Sydtrafik!DG31</f>
        <v>0</v>
      </c>
      <c r="DL29" s="260">
        <f>+Sydtrafik!DH31</f>
        <v>0</v>
      </c>
      <c r="DM29" s="260">
        <f>+Sydtrafik!DI31</f>
        <v>0</v>
      </c>
      <c r="DN29" s="260">
        <f>+Sydtrafik!DJ31</f>
        <v>0</v>
      </c>
      <c r="DO29" s="260">
        <f>+Sydtrafik!DK31</f>
        <v>0</v>
      </c>
      <c r="DP29" s="260">
        <f>+Sydtrafik!DL31</f>
        <v>0</v>
      </c>
      <c r="DQ29" s="260">
        <f>+Sydtrafik!DM31</f>
        <v>0</v>
      </c>
      <c r="DR29" s="260">
        <f>+Sydtrafik!DN31</f>
        <v>0</v>
      </c>
      <c r="DS29" s="260">
        <f>+Sydtrafik!DO31</f>
        <v>0</v>
      </c>
      <c r="DT29" s="260">
        <f>+Sydtrafik!DP31</f>
        <v>0</v>
      </c>
      <c r="DU29" s="260">
        <f>+Sydtrafik!DQ31</f>
        <v>0</v>
      </c>
      <c r="DV29" s="260">
        <f>+Sydtrafik!DR31</f>
        <v>0</v>
      </c>
      <c r="DW29" s="299"/>
      <c r="DX29" s="282">
        <f>+Sydtrafik!DS31</f>
        <v>0</v>
      </c>
      <c r="DY29" s="261">
        <f>+Sydtrafik!DT31</f>
        <v>0</v>
      </c>
      <c r="DZ29" s="261">
        <f>+Sydtrafik!DU31</f>
        <v>0</v>
      </c>
      <c r="EA29" s="261">
        <f>+Sydtrafik!DV31</f>
        <v>0</v>
      </c>
      <c r="EB29" s="261">
        <f>+Sydtrafik!DW31</f>
        <v>0</v>
      </c>
      <c r="EC29" s="261">
        <f>+Sydtrafik!DX31</f>
        <v>0</v>
      </c>
      <c r="ED29" s="261">
        <f>+Sydtrafik!DY31</f>
        <v>0</v>
      </c>
      <c r="EE29" s="261">
        <f>+Sydtrafik!DZ31</f>
        <v>0</v>
      </c>
      <c r="EF29" s="261">
        <f>+Sydtrafik!EA31</f>
        <v>0</v>
      </c>
      <c r="EG29" s="261">
        <f>+Sydtrafik!EB31</f>
        <v>0</v>
      </c>
      <c r="EH29" s="261">
        <f>+Sydtrafik!EC31</f>
        <v>0</v>
      </c>
      <c r="EI29" s="261">
        <f>+Sydtrafik!ED31</f>
        <v>0</v>
      </c>
      <c r="EJ29" s="261">
        <f>+Sydtrafik!EE31</f>
        <v>0</v>
      </c>
      <c r="EK29" s="301"/>
      <c r="EL29" s="282">
        <f>+Sydtrafik!EF31</f>
        <v>5851</v>
      </c>
      <c r="EM29" s="261">
        <f>+Sydtrafik!EG31</f>
        <v>5752</v>
      </c>
      <c r="EN29" s="261">
        <f>+Sydtrafik!EH31</f>
        <v>5743</v>
      </c>
      <c r="EO29" s="261">
        <f>+Sydtrafik!EI31</f>
        <v>5848</v>
      </c>
      <c r="EP29" s="261">
        <f>+Sydtrafik!EJ31</f>
        <v>5774</v>
      </c>
      <c r="EQ29" s="261">
        <f>+Sydtrafik!EK31</f>
        <v>5747</v>
      </c>
      <c r="ER29" s="261">
        <f>+Sydtrafik!EL31</f>
        <v>5615</v>
      </c>
      <c r="ES29" s="261">
        <f>+Sydtrafik!EM31</f>
        <v>0</v>
      </c>
      <c r="ET29" s="261">
        <f>+Sydtrafik!EN31</f>
        <v>0</v>
      </c>
      <c r="EU29" s="261">
        <f>+Sydtrafik!EO31</f>
        <v>0</v>
      </c>
      <c r="EV29" s="261">
        <f>+Sydtrafik!EP31</f>
        <v>0</v>
      </c>
      <c r="EW29" s="261">
        <f>+Sydtrafik!EQ31</f>
        <v>0</v>
      </c>
      <c r="EX29" s="261">
        <f>+Sydtrafik!ER31</f>
        <v>0</v>
      </c>
      <c r="EY29" s="301"/>
      <c r="EZ29" s="282">
        <f>+Sydtrafik!ES31</f>
        <v>219211</v>
      </c>
      <c r="FA29" s="261">
        <f>+Sydtrafik!ET31</f>
        <v>159332</v>
      </c>
      <c r="FB29" s="261">
        <f>+Sydtrafik!EU31</f>
        <v>131141</v>
      </c>
      <c r="FC29" s="261">
        <f>+Sydtrafik!EV31</f>
        <v>180465</v>
      </c>
      <c r="FD29" s="261">
        <f>+Sydtrafik!EW31</f>
        <v>186156</v>
      </c>
      <c r="FE29" s="261">
        <f>+Sydtrafik!EX31</f>
        <v>167201</v>
      </c>
      <c r="FF29" s="261">
        <f>+Sydtrafik!EY31</f>
        <v>150653</v>
      </c>
      <c r="FG29" s="261">
        <f>+Sydtrafik!EZ31</f>
        <v>0</v>
      </c>
      <c r="FH29" s="261">
        <f>+Sydtrafik!FA31</f>
        <v>0</v>
      </c>
      <c r="FI29" s="261">
        <f>+Sydtrafik!FB31</f>
        <v>0</v>
      </c>
      <c r="FJ29" s="261">
        <f>+Sydtrafik!FC31</f>
        <v>0</v>
      </c>
      <c r="FK29" s="261">
        <f>+Sydtrafik!FD31</f>
        <v>0</v>
      </c>
      <c r="FL29" s="261">
        <f>+Sydtrafik!FE31</f>
        <v>0</v>
      </c>
      <c r="FM29" s="301"/>
      <c r="FN29" s="282">
        <f>+Sydtrafik!FF31</f>
        <v>310000</v>
      </c>
      <c r="FO29" s="261">
        <f>+Sydtrafik!FG31</f>
        <v>305000</v>
      </c>
      <c r="FP29" s="261">
        <f>+Sydtrafik!FH31</f>
        <v>304000</v>
      </c>
      <c r="FQ29" s="261">
        <f>+Sydtrafik!FI31</f>
        <v>310000</v>
      </c>
      <c r="FR29" s="261">
        <f>+Sydtrafik!FJ31</f>
        <v>306000</v>
      </c>
      <c r="FS29" s="261">
        <f>+Sydtrafik!FK31</f>
        <v>316000</v>
      </c>
      <c r="FT29" s="261">
        <f>+Sydtrafik!FL31</f>
        <v>297581</v>
      </c>
      <c r="FU29" s="261">
        <f>+Sydtrafik!FM31</f>
        <v>297581</v>
      </c>
      <c r="FV29" s="261">
        <f>+Sydtrafik!FN31</f>
        <v>0</v>
      </c>
      <c r="FW29" s="261">
        <f>+Sydtrafik!FO31</f>
        <v>0</v>
      </c>
      <c r="FX29" s="261">
        <f>+Sydtrafik!FP31</f>
        <v>0</v>
      </c>
      <c r="FY29" s="261">
        <f>+Sydtrafik!FQ31</f>
        <v>0</v>
      </c>
      <c r="FZ29" s="261">
        <f>+Sydtrafik!FR31</f>
        <v>0</v>
      </c>
      <c r="GA29" s="301"/>
      <c r="GB29" s="284">
        <f t="shared" si="58"/>
        <v>5246.966330541788</v>
      </c>
      <c r="GC29" s="270">
        <f t="shared" si="58"/>
        <v>5267.7329624478443</v>
      </c>
      <c r="GD29" s="270">
        <f t="shared" si="58"/>
        <v>2733.762841720355</v>
      </c>
      <c r="GE29" s="270">
        <f t="shared" si="58"/>
        <v>2992.4760601915186</v>
      </c>
      <c r="GF29" s="270">
        <f t="shared" si="58"/>
        <v>3342.5701420159335</v>
      </c>
      <c r="GG29" s="270">
        <f t="shared" si="58"/>
        <v>3427.8754132590916</v>
      </c>
      <c r="GH29" s="270">
        <f t="shared" si="58"/>
        <v>3615.3161175422974</v>
      </c>
      <c r="GI29" s="270" t="str">
        <f t="shared" si="58"/>
        <v/>
      </c>
      <c r="GJ29" s="270" t="str">
        <f t="shared" si="58"/>
        <v/>
      </c>
      <c r="GK29" s="270" t="str">
        <f t="shared" si="58"/>
        <v/>
      </c>
      <c r="GL29" s="270" t="str">
        <f t="shared" si="58"/>
        <v/>
      </c>
      <c r="GM29" s="270" t="str">
        <f t="shared" si="58"/>
        <v/>
      </c>
      <c r="GN29" s="270" t="str">
        <f t="shared" si="58"/>
        <v/>
      </c>
      <c r="GO29" s="303"/>
      <c r="GP29" s="284">
        <f t="shared" si="59"/>
        <v>100</v>
      </c>
      <c r="GQ29" s="270">
        <f t="shared" si="59"/>
        <v>98.307981541616812</v>
      </c>
      <c r="GR29" s="270">
        <f t="shared" si="59"/>
        <v>98.154161681763796</v>
      </c>
      <c r="GS29" s="270">
        <f t="shared" si="59"/>
        <v>99.948726713382328</v>
      </c>
      <c r="GT29" s="270">
        <f t="shared" si="59"/>
        <v>98.683985643479744</v>
      </c>
      <c r="GU29" s="270">
        <f t="shared" si="59"/>
        <v>98.222526063920697</v>
      </c>
      <c r="GV29" s="270">
        <f t="shared" si="59"/>
        <v>95.966501452743131</v>
      </c>
      <c r="GW29" s="270">
        <f t="shared" si="59"/>
        <v>0</v>
      </c>
      <c r="GX29" s="270">
        <f t="shared" si="59"/>
        <v>0</v>
      </c>
      <c r="GY29" s="270">
        <f t="shared" si="59"/>
        <v>0</v>
      </c>
      <c r="GZ29" s="270">
        <f t="shared" si="59"/>
        <v>0</v>
      </c>
      <c r="HA29" s="270">
        <f t="shared" si="59"/>
        <v>0</v>
      </c>
      <c r="HB29" s="270">
        <f t="shared" si="59"/>
        <v>0</v>
      </c>
      <c r="HC29" s="303"/>
      <c r="HD29" s="284">
        <f t="shared" ref="HD29:HP29" si="70">IFERROR((P29/EL29)/($P$29/$EL$29)*100,"")</f>
        <v>100</v>
      </c>
      <c r="HE29" s="270">
        <f t="shared" si="70"/>
        <v>100.39578359375354</v>
      </c>
      <c r="HF29" s="270">
        <f t="shared" si="70"/>
        <v>52.101779761908126</v>
      </c>
      <c r="HG29" s="270">
        <f t="shared" si="70"/>
        <v>57.032499766060496</v>
      </c>
      <c r="HH29" s="270">
        <f t="shared" si="70"/>
        <v>63.704814009561005</v>
      </c>
      <c r="HI29" s="270">
        <f t="shared" si="70"/>
        <v>65.330615775175701</v>
      </c>
      <c r="HJ29" s="270">
        <f t="shared" si="70"/>
        <v>68.902979165276818</v>
      </c>
      <c r="HK29" s="270" t="str">
        <f t="shared" si="70"/>
        <v/>
      </c>
      <c r="HL29" s="270" t="str">
        <f t="shared" si="70"/>
        <v/>
      </c>
      <c r="HM29" s="270" t="str">
        <f t="shared" si="70"/>
        <v/>
      </c>
      <c r="HN29" s="270" t="str">
        <f t="shared" si="70"/>
        <v/>
      </c>
      <c r="HO29" s="270" t="str">
        <f t="shared" si="70"/>
        <v/>
      </c>
      <c r="HP29" s="270" t="str">
        <f t="shared" si="70"/>
        <v/>
      </c>
      <c r="HQ29" s="303"/>
      <c r="HR29" s="284">
        <f t="shared" ref="HR29:ID29" si="71">IFERROR(EZ29/$EZ$29*100,"")</f>
        <v>100</v>
      </c>
      <c r="HS29" s="270">
        <f t="shared" si="71"/>
        <v>72.684308725383303</v>
      </c>
      <c r="HT29" s="270">
        <f t="shared" si="71"/>
        <v>59.824096418519147</v>
      </c>
      <c r="HU29" s="270">
        <f t="shared" si="71"/>
        <v>82.324792095287194</v>
      </c>
      <c r="HV29" s="270">
        <f t="shared" si="71"/>
        <v>84.920920939186445</v>
      </c>
      <c r="HW29" s="270">
        <f t="shared" si="71"/>
        <v>76.274000848497565</v>
      </c>
      <c r="HX29" s="270">
        <f t="shared" si="71"/>
        <v>68.725109597602312</v>
      </c>
      <c r="HY29" s="270">
        <f t="shared" si="71"/>
        <v>0</v>
      </c>
      <c r="HZ29" s="270">
        <f t="shared" si="71"/>
        <v>0</v>
      </c>
      <c r="IA29" s="270">
        <f t="shared" si="71"/>
        <v>0</v>
      </c>
      <c r="IB29" s="270">
        <f t="shared" si="71"/>
        <v>0</v>
      </c>
      <c r="IC29" s="270">
        <f t="shared" si="71"/>
        <v>0</v>
      </c>
      <c r="ID29" s="288">
        <f t="shared" si="71"/>
        <v>0</v>
      </c>
    </row>
    <row r="30" spans="1:238" ht="15.75" thickBot="1" x14ac:dyDescent="0.3">
      <c r="A30" s="308" t="s">
        <v>44</v>
      </c>
      <c r="B30" s="265">
        <f t="shared" ref="B30:N30" si="72">SUM(B24:B29)</f>
        <v>330.63049360000002</v>
      </c>
      <c r="C30" s="265">
        <f t="shared" si="72"/>
        <v>239.10687750000002</v>
      </c>
      <c r="D30" s="265">
        <f t="shared" si="72"/>
        <v>294.82646679999993</v>
      </c>
      <c r="E30" s="265">
        <f t="shared" si="72"/>
        <v>355.1046991</v>
      </c>
      <c r="F30" s="265">
        <f t="shared" si="72"/>
        <v>390.3793723</v>
      </c>
      <c r="G30" s="265">
        <f t="shared" si="72"/>
        <v>408.9752494</v>
      </c>
      <c r="H30" s="265">
        <f t="shared" si="72"/>
        <v>433.67078700000002</v>
      </c>
      <c r="I30" s="265">
        <f t="shared" si="72"/>
        <v>459.79915310000001</v>
      </c>
      <c r="J30" s="265">
        <f t="shared" si="72"/>
        <v>421.77303910000001</v>
      </c>
      <c r="K30" s="265">
        <f t="shared" si="72"/>
        <v>0</v>
      </c>
      <c r="L30" s="265">
        <f t="shared" si="72"/>
        <v>230.31990999999999</v>
      </c>
      <c r="M30" s="265">
        <f t="shared" si="72"/>
        <v>0</v>
      </c>
      <c r="N30" s="265">
        <f t="shared" si="72"/>
        <v>0</v>
      </c>
      <c r="O30" s="296"/>
      <c r="P30" s="276">
        <f t="shared" ref="P30:AB30" si="73">SUM(P24:P29)</f>
        <v>966.89134860000001</v>
      </c>
      <c r="Q30" s="265">
        <f t="shared" si="73"/>
        <v>996.55286039999987</v>
      </c>
      <c r="R30" s="265">
        <f t="shared" si="73"/>
        <v>1054.8956527999999</v>
      </c>
      <c r="S30" s="265">
        <f t="shared" si="73"/>
        <v>1113.7756259999999</v>
      </c>
      <c r="T30" s="265">
        <f t="shared" si="73"/>
        <v>1175.4367086</v>
      </c>
      <c r="U30" s="265">
        <f t="shared" si="73"/>
        <v>1247.3556632000002</v>
      </c>
      <c r="V30" s="265">
        <f t="shared" si="73"/>
        <v>1319.7632696999999</v>
      </c>
      <c r="W30" s="265">
        <f t="shared" si="73"/>
        <v>1422.6985325000001</v>
      </c>
      <c r="X30" s="265">
        <f t="shared" si="73"/>
        <v>1433.1222007999997</v>
      </c>
      <c r="Y30" s="265">
        <f t="shared" si="73"/>
        <v>0</v>
      </c>
      <c r="Z30" s="265">
        <f t="shared" si="73"/>
        <v>707.50369999999998</v>
      </c>
      <c r="AA30" s="265">
        <f t="shared" si="73"/>
        <v>0</v>
      </c>
      <c r="AB30" s="265">
        <f t="shared" si="73"/>
        <v>0</v>
      </c>
      <c r="AC30" s="296"/>
      <c r="AD30" s="276">
        <f t="shared" ref="AD30:AP30" si="74">SUM(AD24:AD29)</f>
        <v>39.356980999999998</v>
      </c>
      <c r="AE30" s="265">
        <f t="shared" si="74"/>
        <v>28.0944459</v>
      </c>
      <c r="AF30" s="265">
        <f t="shared" si="74"/>
        <v>31.168116300000001</v>
      </c>
      <c r="AG30" s="265">
        <f t="shared" si="74"/>
        <v>33.3499184</v>
      </c>
      <c r="AH30" s="265">
        <f t="shared" si="74"/>
        <v>31.815921500000002</v>
      </c>
      <c r="AI30" s="265">
        <f t="shared" si="74"/>
        <v>31.0750107</v>
      </c>
      <c r="AJ30" s="265">
        <f t="shared" si="74"/>
        <v>37.437198799999997</v>
      </c>
      <c r="AK30" s="265">
        <f t="shared" si="74"/>
        <v>37.344231899999997</v>
      </c>
      <c r="AL30" s="265">
        <f t="shared" si="74"/>
        <v>38.463582699999996</v>
      </c>
      <c r="AM30" s="265">
        <f t="shared" si="74"/>
        <v>0</v>
      </c>
      <c r="AN30" s="265">
        <f t="shared" si="74"/>
        <v>23.15793</v>
      </c>
      <c r="AO30" s="265">
        <f t="shared" si="74"/>
        <v>0</v>
      </c>
      <c r="AP30" s="265">
        <f t="shared" si="74"/>
        <v>0</v>
      </c>
      <c r="AQ30" s="296"/>
      <c r="AR30" s="276">
        <f t="shared" ref="AR30:BD30" si="75">SUM(AR24:AR29)</f>
        <v>0</v>
      </c>
      <c r="AS30" s="265">
        <f t="shared" si="75"/>
        <v>0</v>
      </c>
      <c r="AT30" s="265">
        <f t="shared" si="75"/>
        <v>0</v>
      </c>
      <c r="AU30" s="265">
        <f t="shared" si="75"/>
        <v>0</v>
      </c>
      <c r="AV30" s="265">
        <f t="shared" si="75"/>
        <v>0</v>
      </c>
      <c r="AW30" s="265">
        <f t="shared" si="75"/>
        <v>0</v>
      </c>
      <c r="AX30" s="265">
        <f t="shared" si="75"/>
        <v>0</v>
      </c>
      <c r="AY30" s="265">
        <f t="shared" si="75"/>
        <v>0</v>
      </c>
      <c r="AZ30" s="265">
        <f t="shared" si="75"/>
        <v>0</v>
      </c>
      <c r="BA30" s="265">
        <f t="shared" si="75"/>
        <v>0</v>
      </c>
      <c r="BB30" s="265">
        <f t="shared" si="75"/>
        <v>0</v>
      </c>
      <c r="BC30" s="265">
        <f t="shared" si="75"/>
        <v>0</v>
      </c>
      <c r="BD30" s="265">
        <f t="shared" si="75"/>
        <v>0</v>
      </c>
      <c r="BE30" s="296"/>
      <c r="BF30" s="276">
        <f t="shared" ref="BF30:BR30" si="76">SUM(BF24:BF29)</f>
        <v>0.33366960000000001</v>
      </c>
      <c r="BG30" s="265">
        <f t="shared" si="76"/>
        <v>0.56658620000000004</v>
      </c>
      <c r="BH30" s="265">
        <f t="shared" si="76"/>
        <v>0.33582220000000002</v>
      </c>
      <c r="BI30" s="265">
        <f t="shared" si="76"/>
        <v>7.4666099999999999E-2</v>
      </c>
      <c r="BJ30" s="265">
        <f t="shared" si="76"/>
        <v>0.73553919999999995</v>
      </c>
      <c r="BK30" s="265">
        <f t="shared" si="76"/>
        <v>0.60971180000000003</v>
      </c>
      <c r="BL30" s="265">
        <f t="shared" si="76"/>
        <v>0.69779239999999998</v>
      </c>
      <c r="BM30" s="265">
        <f t="shared" si="76"/>
        <v>0.84220059999999997</v>
      </c>
      <c r="BN30" s="265">
        <f t="shared" si="76"/>
        <v>0.81643489999999996</v>
      </c>
      <c r="BO30" s="265">
        <f t="shared" si="76"/>
        <v>0</v>
      </c>
      <c r="BP30" s="265">
        <f t="shared" si="76"/>
        <v>0</v>
      </c>
      <c r="BQ30" s="265">
        <f t="shared" si="76"/>
        <v>0</v>
      </c>
      <c r="BR30" s="265">
        <f t="shared" si="76"/>
        <v>0</v>
      </c>
      <c r="BS30" s="296"/>
      <c r="BT30" s="279">
        <f t="shared" ref="BT30:CF30" si="77">SUM(BT24:BT29)</f>
        <v>0</v>
      </c>
      <c r="BU30" s="266">
        <f t="shared" si="77"/>
        <v>-0.46199509999999999</v>
      </c>
      <c r="BV30" s="266">
        <f t="shared" si="77"/>
        <v>-10.083963100000002</v>
      </c>
      <c r="BW30" s="266">
        <f t="shared" si="77"/>
        <v>5.3322900999999998</v>
      </c>
      <c r="BX30" s="266">
        <f t="shared" si="77"/>
        <v>-0.21435209999999971</v>
      </c>
      <c r="BY30" s="266">
        <f t="shared" si="77"/>
        <v>-0.4275892</v>
      </c>
      <c r="BZ30" s="266">
        <f t="shared" si="77"/>
        <v>0</v>
      </c>
      <c r="CA30" s="266">
        <f t="shared" si="77"/>
        <v>0</v>
      </c>
      <c r="CB30" s="266">
        <f t="shared" si="77"/>
        <v>0</v>
      </c>
      <c r="CC30" s="266">
        <f t="shared" si="77"/>
        <v>0</v>
      </c>
      <c r="CD30" s="266">
        <f t="shared" si="77"/>
        <v>0</v>
      </c>
      <c r="CE30" s="266">
        <f t="shared" si="77"/>
        <v>0</v>
      </c>
      <c r="CF30" s="266">
        <f t="shared" si="77"/>
        <v>0</v>
      </c>
      <c r="CG30" s="298"/>
      <c r="CH30" s="279">
        <f t="shared" ref="CH30:CT30" si="78">SUM(CH24:CH29)</f>
        <v>699.2819892</v>
      </c>
      <c r="CI30" s="266">
        <f t="shared" si="78"/>
        <v>699.9138825</v>
      </c>
      <c r="CJ30" s="266">
        <f t="shared" si="78"/>
        <v>739.99958130000005</v>
      </c>
      <c r="CK30" s="266">
        <f t="shared" si="78"/>
        <v>788.20021050000003</v>
      </c>
      <c r="CL30" s="266">
        <f t="shared" si="78"/>
        <v>810.08817929999998</v>
      </c>
      <c r="CM30" s="266">
        <f t="shared" si="78"/>
        <v>848.5403857</v>
      </c>
      <c r="CN30" s="266">
        <f t="shared" si="78"/>
        <v>895.89856090000001</v>
      </c>
      <c r="CO30" s="266">
        <f t="shared" si="78"/>
        <v>944.63996499999996</v>
      </c>
      <c r="CP30" s="266">
        <f t="shared" si="78"/>
        <v>956.05721840000001</v>
      </c>
      <c r="CQ30" s="266">
        <f t="shared" si="78"/>
        <v>0</v>
      </c>
      <c r="CR30" s="266">
        <f t="shared" si="78"/>
        <v>730.66161999999997</v>
      </c>
      <c r="CS30" s="266">
        <f t="shared" si="78"/>
        <v>0</v>
      </c>
      <c r="CT30" s="266">
        <f t="shared" si="78"/>
        <v>0</v>
      </c>
      <c r="CU30" s="298"/>
      <c r="CV30" s="279">
        <f t="shared" ref="CV30:DH30" si="79">SUM(CV24:CV29)</f>
        <v>442.95150560000002</v>
      </c>
      <c r="CW30" s="266">
        <f t="shared" si="79"/>
        <v>454.76636010000004</v>
      </c>
      <c r="CX30" s="266">
        <f t="shared" si="79"/>
        <v>473.61425759999997</v>
      </c>
      <c r="CY30" s="266">
        <f t="shared" si="79"/>
        <v>513.91945129999999</v>
      </c>
      <c r="CZ30" s="266">
        <f t="shared" si="79"/>
        <v>509.57926909999998</v>
      </c>
      <c r="DA30" s="266">
        <f t="shared" si="79"/>
        <v>553.03028549999999</v>
      </c>
      <c r="DB30" s="266">
        <f t="shared" si="79"/>
        <v>579.8045439</v>
      </c>
      <c r="DC30" s="266">
        <f t="shared" si="79"/>
        <v>612.48481189999995</v>
      </c>
      <c r="DD30" s="266">
        <f t="shared" si="79"/>
        <v>649.84917929999995</v>
      </c>
      <c r="DE30" s="266">
        <f t="shared" si="79"/>
        <v>0</v>
      </c>
      <c r="DF30" s="266">
        <f t="shared" si="79"/>
        <v>500.34172000000001</v>
      </c>
      <c r="DG30" s="266">
        <f t="shared" si="79"/>
        <v>0</v>
      </c>
      <c r="DH30" s="266">
        <f t="shared" si="79"/>
        <v>0</v>
      </c>
      <c r="DI30" s="298"/>
      <c r="DJ30" s="281">
        <f t="shared" ref="DJ30:DV30" si="80">IFERROR(AD30/CH30,"")</f>
        <v>5.6281988679596322E-2</v>
      </c>
      <c r="DK30" s="267">
        <f t="shared" si="80"/>
        <v>4.013986092067548E-2</v>
      </c>
      <c r="DL30" s="267">
        <f t="shared" si="80"/>
        <v>4.2119099912523154E-2</v>
      </c>
      <c r="DM30" s="267">
        <f t="shared" si="80"/>
        <v>4.231148121470845E-2</v>
      </c>
      <c r="DN30" s="267">
        <f t="shared" si="80"/>
        <v>3.9274639863887718E-2</v>
      </c>
      <c r="DO30" s="267">
        <f t="shared" si="80"/>
        <v>3.6621722694276708E-2</v>
      </c>
      <c r="DP30" s="267">
        <f t="shared" si="80"/>
        <v>4.1787318825907492E-2</v>
      </c>
      <c r="DQ30" s="267">
        <f t="shared" si="80"/>
        <v>3.9532767280283342E-2</v>
      </c>
      <c r="DR30" s="267">
        <f t="shared" si="80"/>
        <v>4.0231465188213675E-2</v>
      </c>
      <c r="DS30" s="267" t="str">
        <f t="shared" si="80"/>
        <v/>
      </c>
      <c r="DT30" s="267">
        <f t="shared" si="80"/>
        <v>3.1694466174369475E-2</v>
      </c>
      <c r="DU30" s="267" t="str">
        <f t="shared" si="80"/>
        <v/>
      </c>
      <c r="DV30" s="267" t="str">
        <f t="shared" si="80"/>
        <v/>
      </c>
      <c r="DW30" s="300"/>
      <c r="DX30" s="283">
        <f t="shared" ref="DX30:EJ30" si="81">SUM(DX24:DX29)</f>
        <v>0</v>
      </c>
      <c r="DY30" s="268">
        <f t="shared" si="81"/>
        <v>0</v>
      </c>
      <c r="DZ30" s="268">
        <f t="shared" si="81"/>
        <v>0</v>
      </c>
      <c r="EA30" s="268">
        <f t="shared" si="81"/>
        <v>0</v>
      </c>
      <c r="EB30" s="268">
        <f t="shared" si="81"/>
        <v>0</v>
      </c>
      <c r="EC30" s="268">
        <f t="shared" si="81"/>
        <v>0</v>
      </c>
      <c r="ED30" s="268">
        <f t="shared" si="81"/>
        <v>0</v>
      </c>
      <c r="EE30" s="268">
        <f t="shared" si="81"/>
        <v>0</v>
      </c>
      <c r="EF30" s="268">
        <f t="shared" si="81"/>
        <v>0</v>
      </c>
      <c r="EG30" s="268">
        <f t="shared" si="81"/>
        <v>0</v>
      </c>
      <c r="EH30" s="268">
        <f t="shared" si="81"/>
        <v>0</v>
      </c>
      <c r="EI30" s="268">
        <f t="shared" si="81"/>
        <v>0</v>
      </c>
      <c r="EJ30" s="268">
        <f t="shared" si="81"/>
        <v>0</v>
      </c>
      <c r="EK30" s="302"/>
      <c r="EL30" s="283">
        <f t="shared" ref="EL30:EX30" si="82">SUM(EL24:EL29)</f>
        <v>278980</v>
      </c>
      <c r="EM30" s="268">
        <f t="shared" si="82"/>
        <v>284085</v>
      </c>
      <c r="EN30" s="268">
        <f t="shared" si="82"/>
        <v>303368</v>
      </c>
      <c r="EO30" s="268">
        <f t="shared" si="82"/>
        <v>305127</v>
      </c>
      <c r="EP30" s="268">
        <f t="shared" si="82"/>
        <v>305159</v>
      </c>
      <c r="EQ30" s="268">
        <f t="shared" si="82"/>
        <v>255856.08</v>
      </c>
      <c r="ER30" s="268">
        <f t="shared" si="82"/>
        <v>263311.43</v>
      </c>
      <c r="ES30" s="268">
        <f t="shared" si="82"/>
        <v>274353</v>
      </c>
      <c r="ET30" s="268">
        <f t="shared" si="82"/>
        <v>172316.68</v>
      </c>
      <c r="EU30" s="268">
        <f t="shared" si="82"/>
        <v>0</v>
      </c>
      <c r="EV30" s="268">
        <f t="shared" si="82"/>
        <v>179803.34</v>
      </c>
      <c r="EW30" s="268">
        <f t="shared" si="82"/>
        <v>0</v>
      </c>
      <c r="EX30" s="268">
        <f t="shared" si="82"/>
        <v>0</v>
      </c>
      <c r="EY30" s="302"/>
      <c r="EZ30" s="283">
        <f t="shared" ref="EZ30:FL30" si="83">SUM(EZ24:EZ29)</f>
        <v>17523703</v>
      </c>
      <c r="FA30" s="268">
        <f t="shared" si="83"/>
        <v>13172808</v>
      </c>
      <c r="FB30" s="268">
        <f t="shared" si="83"/>
        <v>14128678</v>
      </c>
      <c r="FC30" s="268">
        <f t="shared" si="83"/>
        <v>18348109</v>
      </c>
      <c r="FD30" s="268">
        <f t="shared" si="83"/>
        <v>19119952.840120003</v>
      </c>
      <c r="FE30" s="268">
        <f t="shared" si="83"/>
        <v>19063986.286529999</v>
      </c>
      <c r="FF30" s="268">
        <f t="shared" si="83"/>
        <v>18883469.657990001</v>
      </c>
      <c r="FG30" s="268">
        <f t="shared" si="83"/>
        <v>16726574.9333</v>
      </c>
      <c r="FH30" s="268">
        <f t="shared" si="83"/>
        <v>9527493.9532299992</v>
      </c>
      <c r="FI30" s="268">
        <f t="shared" si="83"/>
        <v>0</v>
      </c>
      <c r="FJ30" s="268">
        <f t="shared" si="83"/>
        <v>9759112.1816300005</v>
      </c>
      <c r="FK30" s="268">
        <f t="shared" si="83"/>
        <v>0</v>
      </c>
      <c r="FL30" s="268">
        <f t="shared" si="83"/>
        <v>0</v>
      </c>
      <c r="FM30" s="302"/>
      <c r="FN30" s="283">
        <f t="shared" ref="FN30:FZ30" si="84">SUM(FN24:FN29)</f>
        <v>14082237</v>
      </c>
      <c r="FO30" s="268">
        <f t="shared" si="84"/>
        <v>13905813</v>
      </c>
      <c r="FP30" s="268">
        <f t="shared" si="84"/>
        <v>15423275.5</v>
      </c>
      <c r="FQ30" s="268">
        <f t="shared" si="84"/>
        <v>15504231</v>
      </c>
      <c r="FR30" s="268">
        <f t="shared" si="84"/>
        <v>15621268</v>
      </c>
      <c r="FS30" s="268">
        <f t="shared" si="84"/>
        <v>15386409</v>
      </c>
      <c r="FT30" s="268">
        <f t="shared" si="84"/>
        <v>15965953</v>
      </c>
      <c r="FU30" s="268">
        <f t="shared" si="84"/>
        <v>17039978.009999998</v>
      </c>
      <c r="FV30" s="268">
        <f t="shared" si="84"/>
        <v>12195038</v>
      </c>
      <c r="FW30" s="268">
        <f t="shared" si="84"/>
        <v>0</v>
      </c>
      <c r="FX30" s="268">
        <f t="shared" si="84"/>
        <v>9116589.5999999996</v>
      </c>
      <c r="FY30" s="268">
        <f t="shared" si="84"/>
        <v>0</v>
      </c>
      <c r="FZ30" s="268">
        <f t="shared" si="84"/>
        <v>0</v>
      </c>
      <c r="GA30" s="302"/>
      <c r="GB30" s="285">
        <f t="shared" si="58"/>
        <v>3465.8088343250415</v>
      </c>
      <c r="GC30" s="271">
        <f t="shared" si="58"/>
        <v>3507.9390337399013</v>
      </c>
      <c r="GD30" s="271">
        <f t="shared" si="58"/>
        <v>3477.280572769705</v>
      </c>
      <c r="GE30" s="271">
        <f t="shared" si="58"/>
        <v>3650.2034431564553</v>
      </c>
      <c r="GF30" s="271">
        <f t="shared" si="58"/>
        <v>3851.8828171543355</v>
      </c>
      <c r="GG30" s="271">
        <f t="shared" si="58"/>
        <v>4875.2238492827701</v>
      </c>
      <c r="GH30" s="271">
        <f t="shared" si="58"/>
        <v>5012.1761508795871</v>
      </c>
      <c r="GI30" s="271">
        <f t="shared" si="58"/>
        <v>5185.6496283984497</v>
      </c>
      <c r="GJ30" s="271">
        <f t="shared" si="58"/>
        <v>8316.7932483378845</v>
      </c>
      <c r="GK30" s="271" t="str">
        <f t="shared" si="58"/>
        <v/>
      </c>
      <c r="GL30" s="271">
        <f t="shared" si="58"/>
        <v>3934.8751808503671</v>
      </c>
      <c r="GM30" s="271" t="str">
        <f t="shared" si="58"/>
        <v/>
      </c>
      <c r="GN30" s="271" t="str">
        <f t="shared" si="58"/>
        <v/>
      </c>
      <c r="GO30" s="304"/>
      <c r="GP30" s="285">
        <f t="shared" si="59"/>
        <v>100</v>
      </c>
      <c r="GQ30" s="271">
        <f t="shared" si="59"/>
        <v>101.82988027815614</v>
      </c>
      <c r="GR30" s="271">
        <f t="shared" si="59"/>
        <v>108.74184529356943</v>
      </c>
      <c r="GS30" s="271">
        <f t="shared" si="59"/>
        <v>109.37235644132195</v>
      </c>
      <c r="GT30" s="271">
        <f t="shared" si="59"/>
        <v>109.3838267976199</v>
      </c>
      <c r="GU30" s="271">
        <f t="shared" si="59"/>
        <v>91.71126245609004</v>
      </c>
      <c r="GV30" s="271">
        <f t="shared" si="59"/>
        <v>94.383622481898342</v>
      </c>
      <c r="GW30" s="271">
        <f t="shared" si="59"/>
        <v>98.341458169044373</v>
      </c>
      <c r="GX30" s="271">
        <f t="shared" si="59"/>
        <v>61.766678614954472</v>
      </c>
      <c r="GY30" s="271">
        <f t="shared" si="59"/>
        <v>0</v>
      </c>
      <c r="GZ30" s="271">
        <f t="shared" si="59"/>
        <v>64.450261667503057</v>
      </c>
      <c r="HA30" s="271">
        <f t="shared" si="59"/>
        <v>0</v>
      </c>
      <c r="HB30" s="271">
        <f t="shared" si="59"/>
        <v>0</v>
      </c>
      <c r="HC30" s="304"/>
      <c r="HD30" s="285">
        <f t="shared" ref="HD30:HP30" si="85">IFERROR((P30/EL30)/($P$30/$EL$30)*100,"")</f>
        <v>100</v>
      </c>
      <c r="HE30" s="271">
        <f t="shared" si="85"/>
        <v>101.21559501486657</v>
      </c>
      <c r="HF30" s="271">
        <f t="shared" si="85"/>
        <v>100.33099743791547</v>
      </c>
      <c r="HG30" s="271">
        <f t="shared" si="85"/>
        <v>105.32039179441139</v>
      </c>
      <c r="HH30" s="271">
        <f t="shared" si="85"/>
        <v>111.13950599368478</v>
      </c>
      <c r="HI30" s="271">
        <f t="shared" si="85"/>
        <v>140.66626528846646</v>
      </c>
      <c r="HJ30" s="271">
        <f t="shared" si="85"/>
        <v>144.61779026123631</v>
      </c>
      <c r="HK30" s="271">
        <f t="shared" si="85"/>
        <v>149.62307144699585</v>
      </c>
      <c r="HL30" s="271">
        <f t="shared" si="85"/>
        <v>239.9668777449337</v>
      </c>
      <c r="HM30" s="271" t="str">
        <f t="shared" si="85"/>
        <v/>
      </c>
      <c r="HN30" s="271">
        <f t="shared" si="85"/>
        <v>113.53410903335859</v>
      </c>
      <c r="HO30" s="271" t="str">
        <f t="shared" si="85"/>
        <v/>
      </c>
      <c r="HP30" s="271" t="str">
        <f t="shared" si="85"/>
        <v/>
      </c>
      <c r="HQ30" s="304"/>
      <c r="HR30" s="285">
        <f t="shared" ref="HR30:ID30" si="86">IFERROR(EZ30/$EZ$30*100,"")</f>
        <v>100</v>
      </c>
      <c r="HS30" s="271">
        <f t="shared" si="86"/>
        <v>75.171372169455282</v>
      </c>
      <c r="HT30" s="271">
        <f t="shared" si="86"/>
        <v>80.626098262450569</v>
      </c>
      <c r="HU30" s="271">
        <f t="shared" si="86"/>
        <v>104.70451935872229</v>
      </c>
      <c r="HV30" s="271">
        <f t="shared" si="86"/>
        <v>109.10908978610287</v>
      </c>
      <c r="HW30" s="271">
        <f t="shared" si="86"/>
        <v>108.7897134899513</v>
      </c>
      <c r="HX30" s="271">
        <f t="shared" si="86"/>
        <v>107.75958516296471</v>
      </c>
      <c r="HY30" s="271">
        <f t="shared" si="86"/>
        <v>95.451143706898023</v>
      </c>
      <c r="HZ30" s="271">
        <f t="shared" si="86"/>
        <v>54.369181863159852</v>
      </c>
      <c r="IA30" s="271">
        <f t="shared" si="86"/>
        <v>0</v>
      </c>
      <c r="IB30" s="271">
        <f t="shared" si="86"/>
        <v>55.690924353317342</v>
      </c>
      <c r="IC30" s="271">
        <f t="shared" si="86"/>
        <v>0</v>
      </c>
      <c r="ID30" s="289">
        <f t="shared" si="86"/>
        <v>0</v>
      </c>
    </row>
    <row r="31" spans="1:238" ht="15" thickTop="1" x14ac:dyDescent="0.2">
      <c r="O31" s="291"/>
      <c r="P31" s="277"/>
      <c r="AC31" s="291"/>
      <c r="AD31" s="277"/>
      <c r="AQ31" s="291"/>
      <c r="AR31" s="277"/>
      <c r="BE31" s="291"/>
      <c r="BF31" s="277"/>
      <c r="BS31" s="291"/>
      <c r="BT31" s="277"/>
      <c r="CG31" s="291"/>
      <c r="CH31" s="277"/>
      <c r="CU31" s="291"/>
      <c r="CV31" s="277"/>
      <c r="DI31" s="291"/>
      <c r="DJ31" s="277"/>
      <c r="DW31" s="291"/>
      <c r="DX31" s="277"/>
      <c r="EK31" s="291"/>
      <c r="EL31" s="277"/>
      <c r="EY31" s="291"/>
      <c r="EZ31" s="277"/>
      <c r="FM31" s="291"/>
      <c r="FN31" s="277"/>
      <c r="GA31" s="291"/>
      <c r="GB31" s="277"/>
      <c r="GO31" s="291"/>
      <c r="GP31" s="277"/>
      <c r="HC31" s="291"/>
      <c r="HD31" s="277"/>
      <c r="HQ31" s="291"/>
      <c r="HR31" s="277"/>
      <c r="ID31" s="290"/>
    </row>
    <row r="32" spans="1:238" ht="15" x14ac:dyDescent="0.25">
      <c r="A32" s="264" t="s">
        <v>299</v>
      </c>
      <c r="B32" s="264"/>
      <c r="C32" s="264"/>
      <c r="D32" s="264"/>
      <c r="E32" s="264"/>
      <c r="F32" s="264"/>
      <c r="G32" s="264"/>
      <c r="H32" s="264"/>
      <c r="I32" s="264"/>
      <c r="J32" s="264"/>
      <c r="K32" s="264"/>
      <c r="L32" s="264"/>
      <c r="M32" s="264"/>
      <c r="N32" s="264"/>
      <c r="O32" s="294"/>
      <c r="P32" s="274"/>
      <c r="Q32" s="264"/>
      <c r="R32" s="264"/>
      <c r="S32" s="264"/>
      <c r="T32" s="264"/>
      <c r="U32" s="264"/>
      <c r="V32" s="264"/>
      <c r="W32" s="264"/>
      <c r="X32" s="264"/>
      <c r="Y32" s="264"/>
      <c r="Z32" s="264"/>
      <c r="AA32" s="264"/>
      <c r="AB32" s="264"/>
      <c r="AC32" s="294"/>
      <c r="AD32" s="274"/>
      <c r="AE32" s="264"/>
      <c r="AF32" s="264"/>
      <c r="AG32" s="264"/>
      <c r="AH32" s="264"/>
      <c r="AI32" s="264"/>
      <c r="AJ32" s="264"/>
      <c r="AK32" s="264"/>
      <c r="AL32" s="264"/>
      <c r="AM32" s="264"/>
      <c r="AN32" s="264"/>
      <c r="AO32" s="264"/>
      <c r="AP32" s="264"/>
      <c r="AQ32" s="294"/>
      <c r="AR32" s="274"/>
      <c r="AS32" s="264"/>
      <c r="AT32" s="264"/>
      <c r="AU32" s="264"/>
      <c r="AV32" s="264"/>
      <c r="AW32" s="264"/>
      <c r="AX32" s="264"/>
      <c r="AY32" s="264"/>
      <c r="AZ32" s="264"/>
      <c r="BA32" s="264"/>
      <c r="BB32" s="264"/>
      <c r="BC32" s="264"/>
      <c r="BD32" s="264"/>
      <c r="BE32" s="294"/>
      <c r="BF32" s="274"/>
      <c r="BG32" s="264"/>
      <c r="BH32" s="264"/>
      <c r="BI32" s="264"/>
      <c r="BJ32" s="264"/>
      <c r="BK32" s="264"/>
      <c r="BL32" s="264"/>
      <c r="BM32" s="264"/>
      <c r="BN32" s="264"/>
      <c r="BO32" s="264"/>
      <c r="BP32" s="264"/>
      <c r="BQ32" s="264"/>
      <c r="BR32" s="264"/>
      <c r="BS32" s="294"/>
      <c r="BT32" s="274"/>
      <c r="BU32" s="264"/>
      <c r="BV32" s="264"/>
      <c r="BW32" s="264"/>
      <c r="BX32" s="264"/>
      <c r="BY32" s="264"/>
      <c r="BZ32" s="264"/>
      <c r="CA32" s="264"/>
      <c r="CB32" s="264"/>
      <c r="CC32" s="264"/>
      <c r="CD32" s="264"/>
      <c r="CE32" s="264"/>
      <c r="CF32" s="264"/>
      <c r="CG32" s="294"/>
      <c r="CH32" s="274"/>
      <c r="CI32" s="264"/>
      <c r="CJ32" s="264"/>
      <c r="CK32" s="264"/>
      <c r="CL32" s="264"/>
      <c r="CM32" s="264"/>
      <c r="CN32" s="264"/>
      <c r="CO32" s="264"/>
      <c r="CP32" s="264"/>
      <c r="CQ32" s="264"/>
      <c r="CR32" s="264"/>
      <c r="CS32" s="264"/>
      <c r="CT32" s="264"/>
      <c r="CU32" s="294"/>
      <c r="CV32" s="274"/>
      <c r="CW32" s="264"/>
      <c r="CX32" s="264"/>
      <c r="CY32" s="264"/>
      <c r="CZ32" s="264"/>
      <c r="DA32" s="264"/>
      <c r="DB32" s="264"/>
      <c r="DC32" s="264"/>
      <c r="DD32" s="264"/>
      <c r="DE32" s="264"/>
      <c r="DF32" s="264"/>
      <c r="DG32" s="264"/>
      <c r="DH32" s="264"/>
      <c r="DI32" s="294"/>
      <c r="DJ32" s="274"/>
      <c r="DK32" s="264"/>
      <c r="DL32" s="264"/>
      <c r="DM32" s="264"/>
      <c r="DN32" s="264"/>
      <c r="DO32" s="264"/>
      <c r="DP32" s="264"/>
      <c r="DQ32" s="264"/>
      <c r="DR32" s="264"/>
      <c r="DS32" s="264"/>
      <c r="DT32" s="264"/>
      <c r="DU32" s="264"/>
      <c r="DV32" s="264"/>
      <c r="DW32" s="294"/>
      <c r="DX32" s="274"/>
      <c r="DY32" s="264"/>
      <c r="DZ32" s="264"/>
      <c r="EA32" s="264"/>
      <c r="EB32" s="264"/>
      <c r="EC32" s="264"/>
      <c r="ED32" s="264"/>
      <c r="EE32" s="264"/>
      <c r="EF32" s="264"/>
      <c r="EG32" s="264"/>
      <c r="EH32" s="264"/>
      <c r="EI32" s="264"/>
      <c r="EJ32" s="264"/>
      <c r="EK32" s="294"/>
      <c r="EL32" s="274"/>
      <c r="EM32" s="264"/>
      <c r="EN32" s="264"/>
      <c r="EO32" s="264"/>
      <c r="EP32" s="264"/>
      <c r="EQ32" s="264"/>
      <c r="ER32" s="264"/>
      <c r="ES32" s="264"/>
      <c r="ET32" s="264"/>
      <c r="EU32" s="264"/>
      <c r="EV32" s="264"/>
      <c r="EW32" s="264"/>
      <c r="EX32" s="264"/>
      <c r="EY32" s="294"/>
      <c r="EZ32" s="274"/>
      <c r="FA32" s="264"/>
      <c r="FB32" s="264"/>
      <c r="FC32" s="264"/>
      <c r="FD32" s="264"/>
      <c r="FE32" s="264"/>
      <c r="FF32" s="264"/>
      <c r="FG32" s="264"/>
      <c r="FH32" s="264"/>
      <c r="FI32" s="264"/>
      <c r="FJ32" s="264"/>
      <c r="FK32" s="264"/>
      <c r="FL32" s="264"/>
      <c r="FM32" s="294"/>
      <c r="FN32" s="274"/>
      <c r="FO32" s="264"/>
      <c r="FP32" s="264"/>
      <c r="FQ32" s="264"/>
      <c r="FR32" s="264"/>
      <c r="FS32" s="264"/>
      <c r="FT32" s="264"/>
      <c r="FU32" s="264"/>
      <c r="FV32" s="264"/>
      <c r="FW32" s="264"/>
      <c r="FX32" s="264"/>
      <c r="FY32" s="264"/>
      <c r="FZ32" s="264"/>
      <c r="GA32" s="294"/>
      <c r="GB32" s="274"/>
      <c r="GC32" s="264"/>
      <c r="GD32" s="264"/>
      <c r="GE32" s="264"/>
      <c r="GF32" s="264"/>
      <c r="GG32" s="264"/>
      <c r="GH32" s="264"/>
      <c r="GI32" s="264"/>
      <c r="GJ32" s="264"/>
      <c r="GK32" s="264"/>
      <c r="GL32" s="264"/>
      <c r="GM32" s="264"/>
      <c r="GN32" s="264"/>
      <c r="GO32" s="294"/>
      <c r="GP32" s="274"/>
      <c r="GQ32" s="264"/>
      <c r="GR32" s="264"/>
      <c r="GS32" s="264"/>
      <c r="GT32" s="264"/>
      <c r="GU32" s="264"/>
      <c r="GV32" s="264"/>
      <c r="GW32" s="264"/>
      <c r="GX32" s="264"/>
      <c r="GY32" s="264"/>
      <c r="GZ32" s="264"/>
      <c r="HA32" s="264"/>
      <c r="HB32" s="264"/>
      <c r="HC32" s="294"/>
      <c r="HD32" s="274"/>
      <c r="HE32" s="264"/>
      <c r="HF32" s="264"/>
      <c r="HG32" s="264"/>
      <c r="HH32" s="264"/>
      <c r="HI32" s="264"/>
      <c r="HJ32" s="264"/>
      <c r="HK32" s="264"/>
      <c r="HL32" s="264"/>
      <c r="HM32" s="264"/>
      <c r="HN32" s="264"/>
      <c r="HO32" s="264"/>
      <c r="HP32" s="264"/>
      <c r="HQ32" s="294"/>
      <c r="HR32" s="274"/>
      <c r="HS32" s="264"/>
      <c r="HT32" s="264"/>
      <c r="HU32" s="264"/>
      <c r="HV32" s="264"/>
      <c r="HW32" s="264"/>
      <c r="HX32" s="264"/>
      <c r="HY32" s="264"/>
      <c r="HZ32" s="264"/>
      <c r="IA32" s="264"/>
      <c r="IB32" s="264"/>
      <c r="IC32" s="264"/>
      <c r="ID32" s="287"/>
    </row>
    <row r="33" spans="1:238" x14ac:dyDescent="0.2">
      <c r="A33" s="307" t="s">
        <v>4</v>
      </c>
      <c r="B33" s="258">
        <f>+BAT!F9</f>
        <v>0</v>
      </c>
      <c r="C33" s="258">
        <f>+BAT!G9</f>
        <v>0</v>
      </c>
      <c r="D33" s="258">
        <f>+BAT!H9</f>
        <v>0</v>
      </c>
      <c r="E33" s="258">
        <f>+BAT!I9</f>
        <v>0</v>
      </c>
      <c r="F33" s="258">
        <f>+BAT!J9</f>
        <v>0</v>
      </c>
      <c r="G33" s="258">
        <f>+BAT!K9</f>
        <v>0</v>
      </c>
      <c r="H33" s="258">
        <f>+BAT!L9</f>
        <v>0</v>
      </c>
      <c r="I33" s="258">
        <f>+BAT!M9</f>
        <v>0</v>
      </c>
      <c r="J33" s="258">
        <f>+BAT!N9</f>
        <v>0</v>
      </c>
      <c r="K33" s="258">
        <f>+BAT!O9</f>
        <v>0</v>
      </c>
      <c r="L33" s="258">
        <f>+BAT!P9</f>
        <v>0</v>
      </c>
      <c r="M33" s="258">
        <f>+BAT!Q9</f>
        <v>0</v>
      </c>
      <c r="N33" s="258">
        <f>+BAT!R9</f>
        <v>0</v>
      </c>
      <c r="O33" s="295"/>
      <c r="P33" s="275">
        <f>+BAT!S9</f>
        <v>0</v>
      </c>
      <c r="Q33" s="258">
        <f>+BAT!T9</f>
        <v>0</v>
      </c>
      <c r="R33" s="258">
        <f>+BAT!U9</f>
        <v>0</v>
      </c>
      <c r="S33" s="258">
        <f>+BAT!V9</f>
        <v>0</v>
      </c>
      <c r="T33" s="258">
        <f>+BAT!W9</f>
        <v>0</v>
      </c>
      <c r="U33" s="258">
        <f>+BAT!X9</f>
        <v>0</v>
      </c>
      <c r="V33" s="258">
        <f>+BAT!Y9</f>
        <v>0</v>
      </c>
      <c r="W33" s="258">
        <f>+BAT!Z9</f>
        <v>0</v>
      </c>
      <c r="X33" s="258">
        <f>+BAT!AA9</f>
        <v>0</v>
      </c>
      <c r="Y33" s="258">
        <f>+BAT!AB9</f>
        <v>0</v>
      </c>
      <c r="Z33" s="258">
        <f>+BAT!AC9</f>
        <v>0</v>
      </c>
      <c r="AA33" s="258">
        <f>+BAT!AD9</f>
        <v>0</v>
      </c>
      <c r="AB33" s="258">
        <f>+BAT!AE9</f>
        <v>0</v>
      </c>
      <c r="AC33" s="295"/>
      <c r="AD33" s="275">
        <f>+BAT!AF9</f>
        <v>0</v>
      </c>
      <c r="AE33" s="258">
        <f>+BAT!AG9</f>
        <v>0</v>
      </c>
      <c r="AF33" s="258">
        <f>+BAT!AH9</f>
        <v>0</v>
      </c>
      <c r="AG33" s="258">
        <f>+BAT!AI9</f>
        <v>0</v>
      </c>
      <c r="AH33" s="258">
        <f>+BAT!AJ9</f>
        <v>0</v>
      </c>
      <c r="AI33" s="258">
        <f>+BAT!AK9</f>
        <v>0</v>
      </c>
      <c r="AJ33" s="258">
        <f>+BAT!AL9</f>
        <v>0</v>
      </c>
      <c r="AK33" s="258">
        <f>+BAT!AM9</f>
        <v>0</v>
      </c>
      <c r="AL33" s="258">
        <f>+BAT!AN9</f>
        <v>0</v>
      </c>
      <c r="AM33" s="258">
        <f>+BAT!AO9</f>
        <v>0</v>
      </c>
      <c r="AN33" s="258">
        <f>+BAT!AP9</f>
        <v>0</v>
      </c>
      <c r="AO33" s="258">
        <f>+BAT!AQ9</f>
        <v>0</v>
      </c>
      <c r="AP33" s="258">
        <f>+BAT!AR9</f>
        <v>0</v>
      </c>
      <c r="AQ33" s="295"/>
      <c r="AR33" s="275">
        <f>+BAT!AS9</f>
        <v>0</v>
      </c>
      <c r="AS33" s="258">
        <f>+BAT!AT9</f>
        <v>0</v>
      </c>
      <c r="AT33" s="258">
        <f>+BAT!AU9</f>
        <v>0</v>
      </c>
      <c r="AU33" s="258">
        <f>+BAT!AV9</f>
        <v>0</v>
      </c>
      <c r="AV33" s="258">
        <f>+BAT!AW9</f>
        <v>0</v>
      </c>
      <c r="AW33" s="258">
        <f>+BAT!AX9</f>
        <v>0</v>
      </c>
      <c r="AX33" s="258">
        <f>+BAT!AY9</f>
        <v>0</v>
      </c>
      <c r="AY33" s="258">
        <f>+BAT!AZ9</f>
        <v>0</v>
      </c>
      <c r="AZ33" s="258">
        <f>+BAT!BA9</f>
        <v>0</v>
      </c>
      <c r="BA33" s="258">
        <f>+BAT!BB9</f>
        <v>0</v>
      </c>
      <c r="BB33" s="258">
        <f>+BAT!BC9</f>
        <v>0</v>
      </c>
      <c r="BC33" s="258">
        <f>+BAT!BD9</f>
        <v>0</v>
      </c>
      <c r="BD33" s="258">
        <f>+BAT!BE9</f>
        <v>0</v>
      </c>
      <c r="BE33" s="295"/>
      <c r="BF33" s="275">
        <f>+BAT!BF9</f>
        <v>0</v>
      </c>
      <c r="BG33" s="258">
        <f>+BAT!BG9</f>
        <v>0</v>
      </c>
      <c r="BH33" s="258">
        <f>+BAT!BH9</f>
        <v>0</v>
      </c>
      <c r="BI33" s="258">
        <f>+BAT!BI9</f>
        <v>0</v>
      </c>
      <c r="BJ33" s="258">
        <f>+BAT!BJ9</f>
        <v>0</v>
      </c>
      <c r="BK33" s="258">
        <f>+BAT!BK9</f>
        <v>0</v>
      </c>
      <c r="BL33" s="258">
        <f>+BAT!BL9</f>
        <v>0</v>
      </c>
      <c r="BM33" s="258">
        <f>+BAT!BM9</f>
        <v>0</v>
      </c>
      <c r="BN33" s="258">
        <f>+BAT!BN9</f>
        <v>0</v>
      </c>
      <c r="BO33" s="258">
        <f>+BAT!BO9</f>
        <v>0</v>
      </c>
      <c r="BP33" s="258">
        <f>+BAT!BP9</f>
        <v>0</v>
      </c>
      <c r="BQ33" s="258">
        <f>+BAT!BQ9</f>
        <v>0</v>
      </c>
      <c r="BR33" s="258">
        <f>+BAT!BR9</f>
        <v>0</v>
      </c>
      <c r="BS33" s="295"/>
      <c r="BT33" s="278">
        <f>+BAT!BS9</f>
        <v>0</v>
      </c>
      <c r="BU33" s="259">
        <f>+BAT!BT9</f>
        <v>0</v>
      </c>
      <c r="BV33" s="259">
        <f>+BAT!BU9</f>
        <v>0</v>
      </c>
      <c r="BW33" s="259">
        <f>+BAT!BV9</f>
        <v>0</v>
      </c>
      <c r="BX33" s="259">
        <f>+BAT!BW9</f>
        <v>0</v>
      </c>
      <c r="BY33" s="259">
        <f>+BAT!BX9</f>
        <v>0</v>
      </c>
      <c r="BZ33" s="259">
        <f>+BAT!BY9</f>
        <v>0</v>
      </c>
      <c r="CA33" s="259">
        <f>+BAT!BZ9</f>
        <v>0</v>
      </c>
      <c r="CB33" s="259">
        <f>+BAT!CA9</f>
        <v>0</v>
      </c>
      <c r="CC33" s="259">
        <f>+BAT!CB9</f>
        <v>0</v>
      </c>
      <c r="CD33" s="259">
        <f>+BAT!CC9</f>
        <v>0</v>
      </c>
      <c r="CE33" s="259">
        <f>+BAT!CD9</f>
        <v>0</v>
      </c>
      <c r="CF33" s="259">
        <f>+BAT!CE9</f>
        <v>0</v>
      </c>
      <c r="CG33" s="297"/>
      <c r="CH33" s="278">
        <f>+BAT!CF9</f>
        <v>0</v>
      </c>
      <c r="CI33" s="259">
        <f>+BAT!CG9</f>
        <v>0</v>
      </c>
      <c r="CJ33" s="259">
        <f>+BAT!CH9</f>
        <v>0</v>
      </c>
      <c r="CK33" s="259">
        <f>+BAT!CI9</f>
        <v>0</v>
      </c>
      <c r="CL33" s="259">
        <f>+BAT!CJ9</f>
        <v>0</v>
      </c>
      <c r="CM33" s="259">
        <f>+BAT!CK9</f>
        <v>0</v>
      </c>
      <c r="CN33" s="259">
        <f>+BAT!CL9</f>
        <v>0</v>
      </c>
      <c r="CO33" s="259">
        <f>+BAT!CM9</f>
        <v>0</v>
      </c>
      <c r="CP33" s="259">
        <f>+BAT!CN9</f>
        <v>0</v>
      </c>
      <c r="CQ33" s="259">
        <f>+BAT!CO9</f>
        <v>0</v>
      </c>
      <c r="CR33" s="259">
        <f>+BAT!CP9</f>
        <v>0</v>
      </c>
      <c r="CS33" s="259">
        <f>+BAT!CQ9</f>
        <v>0</v>
      </c>
      <c r="CT33" s="259">
        <f>+BAT!CR9</f>
        <v>0</v>
      </c>
      <c r="CU33" s="297"/>
      <c r="CV33" s="278">
        <f>+BAT!CS9</f>
        <v>0</v>
      </c>
      <c r="CW33" s="259">
        <f>+BAT!CT9</f>
        <v>0</v>
      </c>
      <c r="CX33" s="259">
        <f>+BAT!CU9</f>
        <v>0</v>
      </c>
      <c r="CY33" s="259">
        <f>+BAT!CV9</f>
        <v>0</v>
      </c>
      <c r="CZ33" s="259">
        <f>+BAT!CW9</f>
        <v>0</v>
      </c>
      <c r="DA33" s="259">
        <f>+BAT!CX9</f>
        <v>0</v>
      </c>
      <c r="DB33" s="259">
        <f>+BAT!CY9</f>
        <v>0</v>
      </c>
      <c r="DC33" s="259">
        <f>+BAT!CZ9</f>
        <v>0</v>
      </c>
      <c r="DD33" s="259">
        <f>+BAT!DA9</f>
        <v>0</v>
      </c>
      <c r="DE33" s="259">
        <f>+BAT!DB9</f>
        <v>0</v>
      </c>
      <c r="DF33" s="259">
        <f>+BAT!DC9</f>
        <v>0</v>
      </c>
      <c r="DG33" s="259">
        <f>+BAT!DD9</f>
        <v>0</v>
      </c>
      <c r="DH33" s="259">
        <f>+BAT!DE9</f>
        <v>0</v>
      </c>
      <c r="DI33" s="297"/>
      <c r="DJ33" s="280">
        <f>+BAT!DF9</f>
        <v>0</v>
      </c>
      <c r="DK33" s="260">
        <f>+BAT!DG9</f>
        <v>0</v>
      </c>
      <c r="DL33" s="260">
        <f>+BAT!DH9</f>
        <v>0</v>
      </c>
      <c r="DM33" s="260">
        <f>+BAT!DI9</f>
        <v>0</v>
      </c>
      <c r="DN33" s="260">
        <f>+BAT!DJ9</f>
        <v>0</v>
      </c>
      <c r="DO33" s="260">
        <f>+BAT!DK9</f>
        <v>0</v>
      </c>
      <c r="DP33" s="260">
        <f>+BAT!DL9</f>
        <v>0</v>
      </c>
      <c r="DQ33" s="260">
        <f>+BAT!DM9</f>
        <v>0</v>
      </c>
      <c r="DR33" s="260">
        <f>+BAT!DN9</f>
        <v>0</v>
      </c>
      <c r="DS33" s="260">
        <f>+BAT!DO9</f>
        <v>0</v>
      </c>
      <c r="DT33" s="260">
        <f>+BAT!DP9</f>
        <v>0</v>
      </c>
      <c r="DU33" s="260">
        <f>+BAT!DQ9</f>
        <v>0</v>
      </c>
      <c r="DV33" s="260">
        <f>+BAT!DR9</f>
        <v>0</v>
      </c>
      <c r="DW33" s="299"/>
      <c r="DX33" s="282">
        <f>+BAT!DS9</f>
        <v>0</v>
      </c>
      <c r="DY33" s="261">
        <f>+BAT!DT9</f>
        <v>0</v>
      </c>
      <c r="DZ33" s="261">
        <f>+BAT!DU9</f>
        <v>0</v>
      </c>
      <c r="EA33" s="261">
        <f>+BAT!DV9</f>
        <v>0</v>
      </c>
      <c r="EB33" s="261">
        <f>+BAT!DW9</f>
        <v>0</v>
      </c>
      <c r="EC33" s="261">
        <f>+BAT!DX9</f>
        <v>0</v>
      </c>
      <c r="ED33" s="261">
        <f>+BAT!DY9</f>
        <v>0</v>
      </c>
      <c r="EE33" s="261">
        <f>+BAT!DZ9</f>
        <v>0</v>
      </c>
      <c r="EF33" s="261">
        <f>+BAT!EA9</f>
        <v>0</v>
      </c>
      <c r="EG33" s="261">
        <f>+BAT!EB9</f>
        <v>0</v>
      </c>
      <c r="EH33" s="261">
        <f>+BAT!EC9</f>
        <v>0</v>
      </c>
      <c r="EI33" s="261">
        <f>+BAT!ED9</f>
        <v>0</v>
      </c>
      <c r="EJ33" s="261">
        <f>+BAT!EE9</f>
        <v>0</v>
      </c>
      <c r="EK33" s="301"/>
      <c r="EL33" s="282">
        <f>+BAT!EF9</f>
        <v>0</v>
      </c>
      <c r="EM33" s="261">
        <f>+BAT!EG9</f>
        <v>0</v>
      </c>
      <c r="EN33" s="261">
        <f>+BAT!EH9</f>
        <v>0</v>
      </c>
      <c r="EO33" s="261">
        <f>+BAT!EI9</f>
        <v>0</v>
      </c>
      <c r="EP33" s="261">
        <f>+BAT!EJ9</f>
        <v>0</v>
      </c>
      <c r="EQ33" s="261">
        <f>+BAT!EK9</f>
        <v>0</v>
      </c>
      <c r="ER33" s="261">
        <f>+BAT!EL9</f>
        <v>0</v>
      </c>
      <c r="ES33" s="261">
        <f>+BAT!EM9</f>
        <v>0</v>
      </c>
      <c r="ET33" s="261">
        <f>+BAT!EN9</f>
        <v>0</v>
      </c>
      <c r="EU33" s="261">
        <f>+BAT!EO9</f>
        <v>0</v>
      </c>
      <c r="EV33" s="261">
        <f>+BAT!EP9</f>
        <v>0</v>
      </c>
      <c r="EW33" s="261">
        <f>+BAT!EQ9</f>
        <v>0</v>
      </c>
      <c r="EX33" s="261">
        <f>+BAT!ER9</f>
        <v>0</v>
      </c>
      <c r="EY33" s="301"/>
      <c r="EZ33" s="282">
        <f>+BAT!ES9</f>
        <v>0</v>
      </c>
      <c r="FA33" s="261">
        <f>+BAT!ET9</f>
        <v>0</v>
      </c>
      <c r="FB33" s="261">
        <f>+BAT!EU9</f>
        <v>0</v>
      </c>
      <c r="FC33" s="261">
        <f>+BAT!EV9</f>
        <v>0</v>
      </c>
      <c r="FD33" s="261">
        <f>+BAT!EW9</f>
        <v>0</v>
      </c>
      <c r="FE33" s="261">
        <f>+BAT!EX9</f>
        <v>0</v>
      </c>
      <c r="FF33" s="261">
        <f>+BAT!EY9</f>
        <v>0</v>
      </c>
      <c r="FG33" s="261">
        <f>+BAT!EZ9</f>
        <v>0</v>
      </c>
      <c r="FH33" s="261">
        <f>+BAT!FA9</f>
        <v>0</v>
      </c>
      <c r="FI33" s="261">
        <f>+BAT!FB9</f>
        <v>0</v>
      </c>
      <c r="FJ33" s="261">
        <f>+BAT!FC9</f>
        <v>0</v>
      </c>
      <c r="FK33" s="261">
        <f>+BAT!FD9</f>
        <v>0</v>
      </c>
      <c r="FL33" s="261">
        <f>+BAT!FE9</f>
        <v>0</v>
      </c>
      <c r="FM33" s="301"/>
      <c r="FN33" s="282">
        <f>+BAT!FF9</f>
        <v>0</v>
      </c>
      <c r="FO33" s="261">
        <f>+BAT!FG9</f>
        <v>0</v>
      </c>
      <c r="FP33" s="261">
        <f>+BAT!FH9</f>
        <v>0</v>
      </c>
      <c r="FQ33" s="261">
        <f>+BAT!FI9</f>
        <v>0</v>
      </c>
      <c r="FR33" s="261">
        <f>+BAT!FJ9</f>
        <v>0</v>
      </c>
      <c r="FS33" s="261">
        <f>+BAT!FK9</f>
        <v>0</v>
      </c>
      <c r="FT33" s="261">
        <f>+BAT!FL9</f>
        <v>0</v>
      </c>
      <c r="FU33" s="261">
        <f>+BAT!FM9</f>
        <v>0</v>
      </c>
      <c r="FV33" s="261">
        <f>+BAT!FN9</f>
        <v>0</v>
      </c>
      <c r="FW33" s="261">
        <f>+BAT!FO9</f>
        <v>0</v>
      </c>
      <c r="FX33" s="261">
        <f>+BAT!FP9</f>
        <v>0</v>
      </c>
      <c r="FY33" s="261">
        <f>+BAT!FQ9</f>
        <v>0</v>
      </c>
      <c r="FZ33" s="261">
        <f>+BAT!FR9</f>
        <v>0</v>
      </c>
      <c r="GA33" s="301"/>
      <c r="GB33" s="284"/>
      <c r="GC33" s="270"/>
      <c r="GD33" s="270"/>
      <c r="GE33" s="270"/>
      <c r="GF33" s="270"/>
      <c r="GG33" s="270"/>
      <c r="GH33" s="270"/>
      <c r="GI33" s="270"/>
      <c r="GJ33" s="270"/>
      <c r="GK33" s="270"/>
      <c r="GL33" s="270"/>
      <c r="GM33" s="270"/>
      <c r="GN33" s="270"/>
      <c r="GO33" s="303"/>
      <c r="GP33" s="284"/>
      <c r="GQ33" s="270"/>
      <c r="GR33" s="270"/>
      <c r="GS33" s="270"/>
      <c r="GT33" s="270"/>
      <c r="GU33" s="270"/>
      <c r="GV33" s="270"/>
      <c r="GW33" s="270"/>
      <c r="GX33" s="270"/>
      <c r="GY33" s="270"/>
      <c r="GZ33" s="270"/>
      <c r="HA33" s="270"/>
      <c r="HB33" s="270"/>
      <c r="HC33" s="303"/>
      <c r="HD33" s="284"/>
      <c r="HE33" s="270"/>
      <c r="HF33" s="270"/>
      <c r="HG33" s="270"/>
      <c r="HH33" s="270"/>
      <c r="HI33" s="270"/>
      <c r="HJ33" s="270"/>
      <c r="HK33" s="270"/>
      <c r="HL33" s="270"/>
      <c r="HM33" s="270"/>
      <c r="HN33" s="270"/>
      <c r="HO33" s="270"/>
      <c r="HP33" s="270"/>
      <c r="HQ33" s="303"/>
      <c r="HR33" s="284" t="str">
        <f t="shared" ref="HR33:ID33" si="87">IFERROR(EZ33/$EZ$33*100,"")</f>
        <v/>
      </c>
      <c r="HS33" s="270" t="str">
        <f t="shared" si="87"/>
        <v/>
      </c>
      <c r="HT33" s="270" t="str">
        <f t="shared" si="87"/>
        <v/>
      </c>
      <c r="HU33" s="270" t="str">
        <f t="shared" si="87"/>
        <v/>
      </c>
      <c r="HV33" s="270" t="str">
        <f t="shared" si="87"/>
        <v/>
      </c>
      <c r="HW33" s="270" t="str">
        <f t="shared" si="87"/>
        <v/>
      </c>
      <c r="HX33" s="270" t="str">
        <f t="shared" si="87"/>
        <v/>
      </c>
      <c r="HY33" s="270" t="str">
        <f t="shared" si="87"/>
        <v/>
      </c>
      <c r="HZ33" s="270" t="str">
        <f t="shared" si="87"/>
        <v/>
      </c>
      <c r="IA33" s="270" t="str">
        <f t="shared" si="87"/>
        <v/>
      </c>
      <c r="IB33" s="270" t="str">
        <f t="shared" si="87"/>
        <v/>
      </c>
      <c r="IC33" s="270" t="str">
        <f t="shared" si="87"/>
        <v/>
      </c>
      <c r="ID33" s="288" t="str">
        <f t="shared" si="87"/>
        <v/>
      </c>
    </row>
    <row r="34" spans="1:238" x14ac:dyDescent="0.2">
      <c r="A34" s="307" t="s">
        <v>7</v>
      </c>
      <c r="B34" s="258">
        <f>+FynBus!F9</f>
        <v>6.8159999999999998</v>
      </c>
      <c r="C34" s="258">
        <f>+FynBus!G9</f>
        <v>7.2949999999999999</v>
      </c>
      <c r="D34" s="258">
        <f>+FynBus!H9</f>
        <v>8.5</v>
      </c>
      <c r="E34" s="258">
        <f>+FynBus!I9</f>
        <v>9.3149999999999995</v>
      </c>
      <c r="F34" s="258">
        <f>+FynBus!J9</f>
        <v>10.44</v>
      </c>
      <c r="G34" s="258">
        <f>+FynBus!K9</f>
        <v>12.05</v>
      </c>
      <c r="H34" s="258">
        <f>+FynBus!L9</f>
        <v>12.272000000000002</v>
      </c>
      <c r="I34" s="258">
        <f>+FynBus!M9</f>
        <v>13.382516183348642</v>
      </c>
      <c r="J34" s="258">
        <f>+FynBus!N9</f>
        <v>12.989000000000001</v>
      </c>
      <c r="K34" s="258">
        <f>+FynBus!O9</f>
        <v>0</v>
      </c>
      <c r="L34" s="258">
        <f>+FynBus!P9</f>
        <v>0</v>
      </c>
      <c r="M34" s="258">
        <f>+FynBus!Q9</f>
        <v>0</v>
      </c>
      <c r="N34" s="258">
        <f>+FynBus!R9</f>
        <v>0</v>
      </c>
      <c r="O34" s="295"/>
      <c r="P34" s="275">
        <f>+FynBus!S9</f>
        <v>80.662000000000006</v>
      </c>
      <c r="Q34" s="258">
        <f>+FynBus!T9</f>
        <v>54.857999999999997</v>
      </c>
      <c r="R34" s="258">
        <f>+FynBus!U9</f>
        <v>69.867000000000004</v>
      </c>
      <c r="S34" s="258">
        <f>+FynBus!V9</f>
        <v>84.893000000000001</v>
      </c>
      <c r="T34" s="258">
        <f>+FynBus!W9</f>
        <v>101.625</v>
      </c>
      <c r="U34" s="258">
        <f>+FynBus!X9</f>
        <v>108.61799999999999</v>
      </c>
      <c r="V34" s="258">
        <f>+FynBus!Y9</f>
        <v>101.16300000000001</v>
      </c>
      <c r="W34" s="258">
        <f>+FynBus!Z9</f>
        <v>105.08446742670645</v>
      </c>
      <c r="X34" s="258">
        <f>+FynBus!AA9</f>
        <v>95.211999999999989</v>
      </c>
      <c r="Y34" s="258">
        <f>+FynBus!AB9</f>
        <v>0</v>
      </c>
      <c r="Z34" s="258">
        <f>+FynBus!AC9</f>
        <v>0</v>
      </c>
      <c r="AA34" s="258">
        <f>+FynBus!AD9</f>
        <v>0</v>
      </c>
      <c r="AB34" s="258">
        <f>+FynBus!AE9</f>
        <v>0</v>
      </c>
      <c r="AC34" s="295"/>
      <c r="AD34" s="275">
        <f>+FynBus!AF9</f>
        <v>24.491</v>
      </c>
      <c r="AE34" s="258">
        <f>+FynBus!AG9</f>
        <v>25.4</v>
      </c>
      <c r="AF34" s="258">
        <f>+FynBus!AH9</f>
        <v>25.38</v>
      </c>
      <c r="AG34" s="258">
        <f>+FynBus!AI9</f>
        <v>28.045999999999999</v>
      </c>
      <c r="AH34" s="258">
        <f>+FynBus!AJ9</f>
        <v>28.940999999999999</v>
      </c>
      <c r="AI34" s="258">
        <f>+FynBus!AK9</f>
        <v>28.547999999999998</v>
      </c>
      <c r="AJ34" s="258">
        <f>+FynBus!AL9</f>
        <v>29.761000000000003</v>
      </c>
      <c r="AK34" s="258">
        <f>+FynBus!AM9</f>
        <v>32.302365278037747</v>
      </c>
      <c r="AL34" s="258">
        <f>+FynBus!AN9</f>
        <v>32.951000000000001</v>
      </c>
      <c r="AM34" s="258">
        <f>+FynBus!AO9</f>
        <v>0</v>
      </c>
      <c r="AN34" s="258">
        <f>+FynBus!AP9</f>
        <v>0</v>
      </c>
      <c r="AO34" s="258">
        <f>+FynBus!AQ9</f>
        <v>0</v>
      </c>
      <c r="AP34" s="258">
        <f>+FynBus!AR9</f>
        <v>0</v>
      </c>
      <c r="AQ34" s="295"/>
      <c r="AR34" s="275">
        <f>+FynBus!AS9</f>
        <v>0</v>
      </c>
      <c r="AS34" s="258">
        <f>+FynBus!AT9</f>
        <v>0</v>
      </c>
      <c r="AT34" s="258">
        <f>+FynBus!AU9</f>
        <v>0</v>
      </c>
      <c r="AU34" s="258">
        <f>+FynBus!AV9</f>
        <v>0</v>
      </c>
      <c r="AV34" s="258">
        <f>+FynBus!AW9</f>
        <v>0</v>
      </c>
      <c r="AW34" s="258">
        <f>+FynBus!AX9</f>
        <v>0</v>
      </c>
      <c r="AX34" s="258">
        <f>+FynBus!AY9</f>
        <v>0</v>
      </c>
      <c r="AY34" s="258">
        <f>+FynBus!AZ9</f>
        <v>0</v>
      </c>
      <c r="AZ34" s="258">
        <f>+FynBus!BA9</f>
        <v>0</v>
      </c>
      <c r="BA34" s="258">
        <f>+FynBus!BB9</f>
        <v>0</v>
      </c>
      <c r="BB34" s="258">
        <f>+FynBus!BC9</f>
        <v>0</v>
      </c>
      <c r="BC34" s="258">
        <f>+FynBus!BD9</f>
        <v>0</v>
      </c>
      <c r="BD34" s="258">
        <f>+FynBus!BE9</f>
        <v>0</v>
      </c>
      <c r="BE34" s="295"/>
      <c r="BF34" s="275">
        <f>+FynBus!BF9</f>
        <v>0</v>
      </c>
      <c r="BG34" s="258">
        <f>+FynBus!BG9</f>
        <v>0</v>
      </c>
      <c r="BH34" s="258">
        <f>+FynBus!BH9</f>
        <v>0</v>
      </c>
      <c r="BI34" s="258">
        <f>+FynBus!BI9</f>
        <v>0</v>
      </c>
      <c r="BJ34" s="258">
        <f>+FynBus!BJ9</f>
        <v>0</v>
      </c>
      <c r="BK34" s="258">
        <f>+FynBus!BK9</f>
        <v>0</v>
      </c>
      <c r="BL34" s="258">
        <f>+FynBus!BL9</f>
        <v>0</v>
      </c>
      <c r="BM34" s="258">
        <f>+FynBus!BM9</f>
        <v>0</v>
      </c>
      <c r="BN34" s="258">
        <f>+FynBus!BN9</f>
        <v>0</v>
      </c>
      <c r="BO34" s="258">
        <f>+FynBus!BO9</f>
        <v>0</v>
      </c>
      <c r="BP34" s="258">
        <f>+FynBus!BP9</f>
        <v>0</v>
      </c>
      <c r="BQ34" s="258">
        <f>+FynBus!BQ9</f>
        <v>0</v>
      </c>
      <c r="BR34" s="258">
        <f>+FynBus!BR9</f>
        <v>0</v>
      </c>
      <c r="BS34" s="295"/>
      <c r="BT34" s="278">
        <f>+FynBus!BS9</f>
        <v>0</v>
      </c>
      <c r="BU34" s="259">
        <f>+FynBus!BT9</f>
        <v>0</v>
      </c>
      <c r="BV34" s="259">
        <f>+FynBus!BU9</f>
        <v>0</v>
      </c>
      <c r="BW34" s="259">
        <f>+FynBus!BV9</f>
        <v>0</v>
      </c>
      <c r="BX34" s="259">
        <f>+FynBus!BW9</f>
        <v>0</v>
      </c>
      <c r="BY34" s="259">
        <f>+FynBus!BX9</f>
        <v>0</v>
      </c>
      <c r="BZ34" s="259">
        <f>+FynBus!BY9</f>
        <v>0</v>
      </c>
      <c r="CA34" s="259">
        <f>+FynBus!BZ9</f>
        <v>0</v>
      </c>
      <c r="CB34" s="259">
        <f>+FynBus!CA9</f>
        <v>0</v>
      </c>
      <c r="CC34" s="259">
        <f>+FynBus!CB9</f>
        <v>0</v>
      </c>
      <c r="CD34" s="259">
        <f>+FynBus!CC9</f>
        <v>0</v>
      </c>
      <c r="CE34" s="259">
        <f>+FynBus!CD9</f>
        <v>0</v>
      </c>
      <c r="CF34" s="259">
        <f>+FynBus!CE9</f>
        <v>0</v>
      </c>
      <c r="CG34" s="297"/>
      <c r="CH34" s="278">
        <f>+FynBus!CF9</f>
        <v>0</v>
      </c>
      <c r="CI34" s="259">
        <f>+FynBus!CG9</f>
        <v>0</v>
      </c>
      <c r="CJ34" s="259">
        <f>+FynBus!CH9</f>
        <v>0</v>
      </c>
      <c r="CK34" s="259">
        <f>+FynBus!CI9</f>
        <v>0</v>
      </c>
      <c r="CL34" s="259">
        <f>+FynBus!CJ9</f>
        <v>0</v>
      </c>
      <c r="CM34" s="259">
        <f>+FynBus!CK9</f>
        <v>0</v>
      </c>
      <c r="CN34" s="259">
        <f>+FynBus!CL9</f>
        <v>0</v>
      </c>
      <c r="CO34" s="259">
        <f>+FynBus!CM9</f>
        <v>0</v>
      </c>
      <c r="CP34" s="259">
        <f>+FynBus!CN9</f>
        <v>0</v>
      </c>
      <c r="CQ34" s="259">
        <f>+FynBus!CO9</f>
        <v>0</v>
      </c>
      <c r="CR34" s="259">
        <f>+FynBus!CP9</f>
        <v>0</v>
      </c>
      <c r="CS34" s="259">
        <f>+FynBus!CQ9</f>
        <v>0</v>
      </c>
      <c r="CT34" s="259">
        <f>+FynBus!CR9</f>
        <v>0</v>
      </c>
      <c r="CU34" s="297"/>
      <c r="CV34" s="278">
        <f>+FynBus!CS9</f>
        <v>0</v>
      </c>
      <c r="CW34" s="259">
        <f>+FynBus!CT9</f>
        <v>0</v>
      </c>
      <c r="CX34" s="259">
        <f>+FynBus!CU9</f>
        <v>0</v>
      </c>
      <c r="CY34" s="259">
        <f>+FynBus!CV9</f>
        <v>0</v>
      </c>
      <c r="CZ34" s="259">
        <f>+FynBus!CW9</f>
        <v>0</v>
      </c>
      <c r="DA34" s="259">
        <f>+FynBus!CX9</f>
        <v>0</v>
      </c>
      <c r="DB34" s="259">
        <f>+FynBus!CY9</f>
        <v>0</v>
      </c>
      <c r="DC34" s="259">
        <f>+FynBus!CZ9</f>
        <v>0</v>
      </c>
      <c r="DD34" s="259">
        <f>+FynBus!DA9</f>
        <v>0</v>
      </c>
      <c r="DE34" s="259">
        <f>+FynBus!DB9</f>
        <v>0</v>
      </c>
      <c r="DF34" s="259">
        <f>+FynBus!DC9</f>
        <v>0</v>
      </c>
      <c r="DG34" s="259">
        <f>+FynBus!DD9</f>
        <v>0</v>
      </c>
      <c r="DH34" s="259">
        <f>+FynBus!DE9</f>
        <v>0</v>
      </c>
      <c r="DI34" s="297"/>
      <c r="DJ34" s="280">
        <f>+FynBus!DF9</f>
        <v>0</v>
      </c>
      <c r="DK34" s="260">
        <f>+FynBus!DG9</f>
        <v>0</v>
      </c>
      <c r="DL34" s="260">
        <f>+FynBus!DH9</f>
        <v>0</v>
      </c>
      <c r="DM34" s="260">
        <f>+FynBus!DI9</f>
        <v>0</v>
      </c>
      <c r="DN34" s="260">
        <f>+FynBus!DJ9</f>
        <v>0</v>
      </c>
      <c r="DO34" s="260">
        <f>+FynBus!DK9</f>
        <v>0</v>
      </c>
      <c r="DP34" s="260">
        <f>+FynBus!DL9</f>
        <v>0</v>
      </c>
      <c r="DQ34" s="260">
        <f>+FynBus!DM9</f>
        <v>0</v>
      </c>
      <c r="DR34" s="260">
        <f>+FynBus!DN9</f>
        <v>0</v>
      </c>
      <c r="DS34" s="260">
        <f>+FynBus!DO9</f>
        <v>0</v>
      </c>
      <c r="DT34" s="260">
        <f>+FynBus!DP9</f>
        <v>0</v>
      </c>
      <c r="DU34" s="260">
        <f>+FynBus!DQ9</f>
        <v>0</v>
      </c>
      <c r="DV34" s="260">
        <f>+FynBus!DR9</f>
        <v>0</v>
      </c>
      <c r="DW34" s="299"/>
      <c r="DX34" s="282">
        <f>+FynBus!DS9</f>
        <v>0</v>
      </c>
      <c r="DY34" s="261">
        <f>+FynBus!DT9</f>
        <v>0</v>
      </c>
      <c r="DZ34" s="261">
        <f>+FynBus!DU9</f>
        <v>0</v>
      </c>
      <c r="EA34" s="261">
        <f>+FynBus!DV9</f>
        <v>0</v>
      </c>
      <c r="EB34" s="261">
        <f>+FynBus!DW9</f>
        <v>0</v>
      </c>
      <c r="EC34" s="261">
        <f>+FynBus!DX9</f>
        <v>0</v>
      </c>
      <c r="ED34" s="261">
        <f>+FynBus!DY9</f>
        <v>0</v>
      </c>
      <c r="EE34" s="261">
        <f>+FynBus!DZ9</f>
        <v>0</v>
      </c>
      <c r="EF34" s="261">
        <f>+FynBus!EA9</f>
        <v>0</v>
      </c>
      <c r="EG34" s="261">
        <f>+FynBus!EB9</f>
        <v>0</v>
      </c>
      <c r="EH34" s="261">
        <f>+FynBus!EC9</f>
        <v>0</v>
      </c>
      <c r="EI34" s="261">
        <f>+FynBus!ED9</f>
        <v>0</v>
      </c>
      <c r="EJ34" s="261">
        <f>+FynBus!EE9</f>
        <v>0</v>
      </c>
      <c r="EK34" s="301"/>
      <c r="EL34" s="282">
        <f>+FynBus!EF9</f>
        <v>0</v>
      </c>
      <c r="EM34" s="261">
        <f>+FynBus!EG9</f>
        <v>0</v>
      </c>
      <c r="EN34" s="261">
        <f>+FynBus!EH9</f>
        <v>0</v>
      </c>
      <c r="EO34" s="261">
        <f>+FynBus!EI9</f>
        <v>0</v>
      </c>
      <c r="EP34" s="261">
        <f>+FynBus!EJ9</f>
        <v>0</v>
      </c>
      <c r="EQ34" s="261">
        <f>+FynBus!EK9</f>
        <v>0</v>
      </c>
      <c r="ER34" s="261">
        <f>+FynBus!EL9</f>
        <v>0</v>
      </c>
      <c r="ES34" s="261">
        <f>+FynBus!EM9</f>
        <v>0</v>
      </c>
      <c r="ET34" s="261">
        <f>+FynBus!EN9</f>
        <v>0</v>
      </c>
      <c r="EU34" s="261">
        <f>+FynBus!EO9</f>
        <v>0</v>
      </c>
      <c r="EV34" s="261">
        <f>+FynBus!EP9</f>
        <v>0</v>
      </c>
      <c r="EW34" s="261">
        <f>+FynBus!EQ9</f>
        <v>0</v>
      </c>
      <c r="EX34" s="261">
        <f>+FynBus!ER9</f>
        <v>0</v>
      </c>
      <c r="EY34" s="301"/>
      <c r="EZ34" s="282">
        <f>+FynBus!ES9</f>
        <v>0</v>
      </c>
      <c r="FA34" s="261">
        <f>+FynBus!ET9</f>
        <v>0</v>
      </c>
      <c r="FB34" s="261">
        <f>+FynBus!EU9</f>
        <v>0</v>
      </c>
      <c r="FC34" s="261">
        <f>+FynBus!EV9</f>
        <v>0</v>
      </c>
      <c r="FD34" s="261">
        <f>+FynBus!EW9</f>
        <v>0</v>
      </c>
      <c r="FE34" s="261">
        <f>+FynBus!EX9</f>
        <v>0</v>
      </c>
      <c r="FF34" s="261">
        <f>+FynBus!EY9</f>
        <v>0</v>
      </c>
      <c r="FG34" s="261">
        <f>+FynBus!EZ9</f>
        <v>0</v>
      </c>
      <c r="FH34" s="261">
        <f>+FynBus!FA9</f>
        <v>0</v>
      </c>
      <c r="FI34" s="261">
        <f>+FynBus!FB9</f>
        <v>0</v>
      </c>
      <c r="FJ34" s="261">
        <f>+FynBus!FC9</f>
        <v>0</v>
      </c>
      <c r="FK34" s="261">
        <f>+FynBus!FD9</f>
        <v>0</v>
      </c>
      <c r="FL34" s="261">
        <f>+FynBus!FE9</f>
        <v>0</v>
      </c>
      <c r="FM34" s="301"/>
      <c r="FN34" s="282">
        <f>+FynBus!FF9</f>
        <v>0</v>
      </c>
      <c r="FO34" s="261">
        <f>+FynBus!FG9</f>
        <v>0</v>
      </c>
      <c r="FP34" s="261">
        <f>+FynBus!FH9</f>
        <v>0</v>
      </c>
      <c r="FQ34" s="261">
        <f>+FynBus!FI9</f>
        <v>0</v>
      </c>
      <c r="FR34" s="261">
        <f>+FynBus!FJ9</f>
        <v>0</v>
      </c>
      <c r="FS34" s="261">
        <f>+FynBus!FK9</f>
        <v>0</v>
      </c>
      <c r="FT34" s="261">
        <f>+FynBus!FL9</f>
        <v>0</v>
      </c>
      <c r="FU34" s="261">
        <f>+FynBus!FM9</f>
        <v>0</v>
      </c>
      <c r="FV34" s="261">
        <f>+FynBus!FN9</f>
        <v>0</v>
      </c>
      <c r="FW34" s="261">
        <f>+FynBus!FO9</f>
        <v>0</v>
      </c>
      <c r="FX34" s="261">
        <f>+FynBus!FP9</f>
        <v>0</v>
      </c>
      <c r="FY34" s="261">
        <f>+FynBus!FQ9</f>
        <v>0</v>
      </c>
      <c r="FZ34" s="261">
        <f>+FynBus!FR9</f>
        <v>0</v>
      </c>
      <c r="GA34" s="301"/>
      <c r="GB34" s="284"/>
      <c r="GC34" s="270"/>
      <c r="GD34" s="270"/>
      <c r="GE34" s="270"/>
      <c r="GF34" s="270"/>
      <c r="GG34" s="270"/>
      <c r="GH34" s="270"/>
      <c r="GI34" s="270"/>
      <c r="GJ34" s="270"/>
      <c r="GK34" s="270"/>
      <c r="GL34" s="270"/>
      <c r="GM34" s="270"/>
      <c r="GN34" s="270"/>
      <c r="GO34" s="303"/>
      <c r="GP34" s="284"/>
      <c r="GQ34" s="270"/>
      <c r="GR34" s="270"/>
      <c r="GS34" s="270"/>
      <c r="GT34" s="270"/>
      <c r="GU34" s="270"/>
      <c r="GV34" s="270"/>
      <c r="GW34" s="270"/>
      <c r="GX34" s="270"/>
      <c r="GY34" s="270"/>
      <c r="GZ34" s="270"/>
      <c r="HA34" s="270"/>
      <c r="HB34" s="270"/>
      <c r="HC34" s="303"/>
      <c r="HD34" s="284"/>
      <c r="HE34" s="270"/>
      <c r="HF34" s="270"/>
      <c r="HG34" s="270"/>
      <c r="HH34" s="270"/>
      <c r="HI34" s="270"/>
      <c r="HJ34" s="270"/>
      <c r="HK34" s="270"/>
      <c r="HL34" s="270"/>
      <c r="HM34" s="270"/>
      <c r="HN34" s="270"/>
      <c r="HO34" s="270"/>
      <c r="HP34" s="270"/>
      <c r="HQ34" s="303"/>
      <c r="HR34" s="284" t="str">
        <f t="shared" ref="HR34:ID34" si="88">IFERROR(EZ34/$EZ$34*100,"")</f>
        <v/>
      </c>
      <c r="HS34" s="270" t="str">
        <f t="shared" si="88"/>
        <v/>
      </c>
      <c r="HT34" s="270" t="str">
        <f t="shared" si="88"/>
        <v/>
      </c>
      <c r="HU34" s="270" t="str">
        <f t="shared" si="88"/>
        <v/>
      </c>
      <c r="HV34" s="270" t="str">
        <f t="shared" si="88"/>
        <v/>
      </c>
      <c r="HW34" s="270" t="str">
        <f t="shared" si="88"/>
        <v/>
      </c>
      <c r="HX34" s="270" t="str">
        <f t="shared" si="88"/>
        <v/>
      </c>
      <c r="HY34" s="270" t="str">
        <f t="shared" si="88"/>
        <v/>
      </c>
      <c r="HZ34" s="270" t="str">
        <f t="shared" si="88"/>
        <v/>
      </c>
      <c r="IA34" s="270" t="str">
        <f t="shared" si="88"/>
        <v/>
      </c>
      <c r="IB34" s="270" t="str">
        <f t="shared" si="88"/>
        <v/>
      </c>
      <c r="IC34" s="270" t="str">
        <f t="shared" si="88"/>
        <v/>
      </c>
      <c r="ID34" s="288" t="str">
        <f t="shared" si="88"/>
        <v/>
      </c>
    </row>
    <row r="35" spans="1:238" x14ac:dyDescent="0.2">
      <c r="A35" s="307" t="s">
        <v>9</v>
      </c>
      <c r="B35" s="258">
        <f>+'Midttrafik '!F9</f>
        <v>18.7</v>
      </c>
      <c r="C35" s="258">
        <f>+'Midttrafik '!G9</f>
        <v>13.3</v>
      </c>
      <c r="D35" s="258">
        <f>+'Midttrafik '!H9</f>
        <v>19.8</v>
      </c>
      <c r="E35" s="258">
        <f>+'Midttrafik '!I9</f>
        <v>22.4</v>
      </c>
      <c r="F35" s="258">
        <f>+'Midttrafik '!J9</f>
        <v>26.6</v>
      </c>
      <c r="G35" s="258">
        <f>+'Midttrafik '!K9</f>
        <v>31.9</v>
      </c>
      <c r="H35" s="258">
        <f>+'Midttrafik '!L9</f>
        <v>34.139844000000004</v>
      </c>
      <c r="I35" s="258">
        <f>+'Midttrafik '!M9</f>
        <v>27.463999999999999</v>
      </c>
      <c r="J35" s="258">
        <f>+'Midttrafik '!N9</f>
        <v>30.396899999999999</v>
      </c>
      <c r="K35" s="258">
        <f>+'Midttrafik '!O9</f>
        <v>0</v>
      </c>
      <c r="L35" s="258">
        <f>+'Midttrafik '!P9</f>
        <v>0</v>
      </c>
      <c r="M35" s="258">
        <f>+'Midttrafik '!Q9</f>
        <v>0</v>
      </c>
      <c r="N35" s="258">
        <f>+'Midttrafik '!R9</f>
        <v>0</v>
      </c>
      <c r="O35" s="295"/>
      <c r="P35" s="275">
        <f>+'Midttrafik '!S9</f>
        <v>507.5</v>
      </c>
      <c r="Q35" s="258">
        <f>+'Midttrafik '!T9</f>
        <v>486.5</v>
      </c>
      <c r="R35" s="258">
        <f>+'Midttrafik '!U9</f>
        <v>530.79999999999995</v>
      </c>
      <c r="S35" s="258">
        <f>+'Midttrafik '!V9</f>
        <v>579</v>
      </c>
      <c r="T35" s="258">
        <f>+'Midttrafik '!W9</f>
        <v>655.7</v>
      </c>
      <c r="U35" s="258">
        <f>+'Midttrafik '!X9</f>
        <v>703.9</v>
      </c>
      <c r="V35" s="258">
        <f>+'Midttrafik '!Y9</f>
        <v>643.15492300000005</v>
      </c>
      <c r="W35" s="258">
        <f>+'Midttrafik '!Z9</f>
        <v>672.25369999999998</v>
      </c>
      <c r="X35" s="258">
        <f>+'Midttrafik '!AA9</f>
        <v>661.26070000000004</v>
      </c>
      <c r="Y35" s="258">
        <f>+'Midttrafik '!AB9</f>
        <v>0</v>
      </c>
      <c r="Z35" s="258">
        <f>+'Midttrafik '!AC9</f>
        <v>0</v>
      </c>
      <c r="AA35" s="258">
        <f>+'Midttrafik '!AD9</f>
        <v>0</v>
      </c>
      <c r="AB35" s="258">
        <f>+'Midttrafik '!AE9</f>
        <v>0</v>
      </c>
      <c r="AC35" s="295"/>
      <c r="AD35" s="275">
        <f>+'Midttrafik '!AF9</f>
        <v>0</v>
      </c>
      <c r="AE35" s="258">
        <f>+'Midttrafik '!AG9</f>
        <v>0</v>
      </c>
      <c r="AF35" s="258">
        <f>+'Midttrafik '!AH9</f>
        <v>0</v>
      </c>
      <c r="AG35" s="258">
        <f>+'Midttrafik '!AI9</f>
        <v>0</v>
      </c>
      <c r="AH35" s="258">
        <f>+'Midttrafik '!AJ9</f>
        <v>0</v>
      </c>
      <c r="AI35" s="258">
        <f>+'Midttrafik '!AK9</f>
        <v>0</v>
      </c>
      <c r="AJ35" s="258">
        <f>+'Midttrafik '!AL9</f>
        <v>0</v>
      </c>
      <c r="AK35" s="258">
        <f>+'Midttrafik '!AM9</f>
        <v>0</v>
      </c>
      <c r="AL35" s="258">
        <f>+'Midttrafik '!AN9</f>
        <v>0</v>
      </c>
      <c r="AM35" s="258">
        <f>+'Midttrafik '!AO9</f>
        <v>0</v>
      </c>
      <c r="AN35" s="258">
        <f>+'Midttrafik '!AP9</f>
        <v>0</v>
      </c>
      <c r="AO35" s="258">
        <f>+'Midttrafik '!AQ9</f>
        <v>0</v>
      </c>
      <c r="AP35" s="258">
        <f>+'Midttrafik '!AR9</f>
        <v>0</v>
      </c>
      <c r="AQ35" s="295"/>
      <c r="AR35" s="275">
        <f>+'Midttrafik '!AS9</f>
        <v>0</v>
      </c>
      <c r="AS35" s="258">
        <f>+'Midttrafik '!AT9</f>
        <v>0</v>
      </c>
      <c r="AT35" s="258">
        <f>+'Midttrafik '!AU9</f>
        <v>0</v>
      </c>
      <c r="AU35" s="258">
        <f>+'Midttrafik '!AV9</f>
        <v>0</v>
      </c>
      <c r="AV35" s="258">
        <f>+'Midttrafik '!AW9</f>
        <v>0</v>
      </c>
      <c r="AW35" s="258">
        <f>+'Midttrafik '!AX9</f>
        <v>0</v>
      </c>
      <c r="AX35" s="258">
        <f>+'Midttrafik '!AY9</f>
        <v>0</v>
      </c>
      <c r="AY35" s="258">
        <f>+'Midttrafik '!AZ9</f>
        <v>0</v>
      </c>
      <c r="AZ35" s="258">
        <f>+'Midttrafik '!BA9</f>
        <v>0</v>
      </c>
      <c r="BA35" s="258">
        <f>+'Midttrafik '!BB9</f>
        <v>0</v>
      </c>
      <c r="BB35" s="258">
        <f>+'Midttrafik '!BC9</f>
        <v>0</v>
      </c>
      <c r="BC35" s="258">
        <f>+'Midttrafik '!BD9</f>
        <v>0</v>
      </c>
      <c r="BD35" s="258">
        <f>+'Midttrafik '!BE9</f>
        <v>0</v>
      </c>
      <c r="BE35" s="295"/>
      <c r="BF35" s="275">
        <f>+'Midttrafik '!BF9</f>
        <v>0</v>
      </c>
      <c r="BG35" s="258">
        <f>+'Midttrafik '!BG9</f>
        <v>0</v>
      </c>
      <c r="BH35" s="258">
        <f>+'Midttrafik '!BH9</f>
        <v>0</v>
      </c>
      <c r="BI35" s="258">
        <f>+'Midttrafik '!BI9</f>
        <v>0</v>
      </c>
      <c r="BJ35" s="258">
        <f>+'Midttrafik '!BJ9</f>
        <v>0</v>
      </c>
      <c r="BK35" s="258">
        <f>+'Midttrafik '!BK9</f>
        <v>0</v>
      </c>
      <c r="BL35" s="258">
        <f>+'Midttrafik '!BL9</f>
        <v>0</v>
      </c>
      <c r="BM35" s="258">
        <f>+'Midttrafik '!BM9</f>
        <v>0</v>
      </c>
      <c r="BN35" s="258">
        <f>+'Midttrafik '!BN9</f>
        <v>0</v>
      </c>
      <c r="BO35" s="258">
        <f>+'Midttrafik '!BO9</f>
        <v>0</v>
      </c>
      <c r="BP35" s="258">
        <f>+'Midttrafik '!BP9</f>
        <v>0</v>
      </c>
      <c r="BQ35" s="258">
        <f>+'Midttrafik '!BQ9</f>
        <v>0</v>
      </c>
      <c r="BR35" s="258">
        <f>+'Midttrafik '!BR9</f>
        <v>0</v>
      </c>
      <c r="BS35" s="295"/>
      <c r="BT35" s="278">
        <f>+'Midttrafik '!BS9</f>
        <v>0</v>
      </c>
      <c r="BU35" s="259">
        <f>+'Midttrafik '!BT9</f>
        <v>-30.7</v>
      </c>
      <c r="BV35" s="259">
        <f>+'Midttrafik '!BU9</f>
        <v>4.5</v>
      </c>
      <c r="BW35" s="259">
        <f>+'Midttrafik '!BV9</f>
        <v>0</v>
      </c>
      <c r="BX35" s="259">
        <f>+'Midttrafik '!BW9</f>
        <v>4.0999999999999996</v>
      </c>
      <c r="BY35" s="259">
        <f>+'Midttrafik '!BX9</f>
        <v>0</v>
      </c>
      <c r="BZ35" s="259">
        <f>+'Midttrafik '!BY9</f>
        <v>0</v>
      </c>
      <c r="CA35" s="259">
        <f>+'Midttrafik '!BZ9</f>
        <v>0</v>
      </c>
      <c r="CB35" s="259">
        <f>+'Midttrafik '!CA9</f>
        <v>0</v>
      </c>
      <c r="CC35" s="259">
        <f>+'Midttrafik '!CB9</f>
        <v>0</v>
      </c>
      <c r="CD35" s="259">
        <f>+'Midttrafik '!CC9</f>
        <v>0</v>
      </c>
      <c r="CE35" s="259">
        <f>+'Midttrafik '!CD9</f>
        <v>0</v>
      </c>
      <c r="CF35" s="259">
        <f>+'Midttrafik '!CE9</f>
        <v>0</v>
      </c>
      <c r="CG35" s="297"/>
      <c r="CH35" s="278">
        <f>+'Midttrafik '!CF9</f>
        <v>0</v>
      </c>
      <c r="CI35" s="259">
        <f>+'Midttrafik '!CG9</f>
        <v>0</v>
      </c>
      <c r="CJ35" s="259">
        <f>+'Midttrafik '!CH9</f>
        <v>0</v>
      </c>
      <c r="CK35" s="259">
        <f>+'Midttrafik '!CI9</f>
        <v>0</v>
      </c>
      <c r="CL35" s="259">
        <f>+'Midttrafik '!CJ9</f>
        <v>0</v>
      </c>
      <c r="CM35" s="259">
        <f>+'Midttrafik '!CK9</f>
        <v>0</v>
      </c>
      <c r="CN35" s="259">
        <f>+'Midttrafik '!CL9</f>
        <v>0</v>
      </c>
      <c r="CO35" s="259">
        <f>+'Midttrafik '!CM9</f>
        <v>0</v>
      </c>
      <c r="CP35" s="259">
        <f>+'Midttrafik '!CN9</f>
        <v>0</v>
      </c>
      <c r="CQ35" s="259">
        <f>+'Midttrafik '!CO9</f>
        <v>0</v>
      </c>
      <c r="CR35" s="259">
        <f>+'Midttrafik '!CP9</f>
        <v>0</v>
      </c>
      <c r="CS35" s="259">
        <f>+'Midttrafik '!CQ9</f>
        <v>0</v>
      </c>
      <c r="CT35" s="259">
        <f>+'Midttrafik '!CR9</f>
        <v>0</v>
      </c>
      <c r="CU35" s="297"/>
      <c r="CV35" s="278">
        <f>+'Midttrafik '!CS9</f>
        <v>0</v>
      </c>
      <c r="CW35" s="259">
        <f>+'Midttrafik '!CT9</f>
        <v>0</v>
      </c>
      <c r="CX35" s="259">
        <f>+'Midttrafik '!CU9</f>
        <v>0</v>
      </c>
      <c r="CY35" s="259">
        <f>+'Midttrafik '!CV9</f>
        <v>0</v>
      </c>
      <c r="CZ35" s="259">
        <f>+'Midttrafik '!CW9</f>
        <v>0</v>
      </c>
      <c r="DA35" s="259">
        <f>+'Midttrafik '!CX9</f>
        <v>0</v>
      </c>
      <c r="DB35" s="259">
        <f>+'Midttrafik '!CY9</f>
        <v>0</v>
      </c>
      <c r="DC35" s="259">
        <f>+'Midttrafik '!CZ9</f>
        <v>0</v>
      </c>
      <c r="DD35" s="259">
        <f>+'Midttrafik '!DA9</f>
        <v>0</v>
      </c>
      <c r="DE35" s="259">
        <f>+'Midttrafik '!DB9</f>
        <v>0</v>
      </c>
      <c r="DF35" s="259">
        <f>+'Midttrafik '!DC9</f>
        <v>0</v>
      </c>
      <c r="DG35" s="259">
        <f>+'Midttrafik '!DD9</f>
        <v>0</v>
      </c>
      <c r="DH35" s="259">
        <f>+'Midttrafik '!DE9</f>
        <v>0</v>
      </c>
      <c r="DI35" s="297"/>
      <c r="DJ35" s="280">
        <f>+'Midttrafik '!DF9</f>
        <v>0</v>
      </c>
      <c r="DK35" s="260">
        <f>+'Midttrafik '!DG9</f>
        <v>0</v>
      </c>
      <c r="DL35" s="260">
        <f>+'Midttrafik '!DH9</f>
        <v>0</v>
      </c>
      <c r="DM35" s="260">
        <f>+'Midttrafik '!DI9</f>
        <v>0</v>
      </c>
      <c r="DN35" s="260">
        <f>+'Midttrafik '!DJ9</f>
        <v>0</v>
      </c>
      <c r="DO35" s="260">
        <f>+'Midttrafik '!DK9</f>
        <v>0</v>
      </c>
      <c r="DP35" s="260">
        <f>+'Midttrafik '!DL9</f>
        <v>0</v>
      </c>
      <c r="DQ35" s="260">
        <f>+'Midttrafik '!DM9</f>
        <v>0</v>
      </c>
      <c r="DR35" s="260">
        <f>+'Midttrafik '!DN9</f>
        <v>0</v>
      </c>
      <c r="DS35" s="260">
        <f>+'Midttrafik '!DO9</f>
        <v>0</v>
      </c>
      <c r="DT35" s="260">
        <f>+'Midttrafik '!DP9</f>
        <v>0</v>
      </c>
      <c r="DU35" s="260">
        <f>+'Midttrafik '!DQ9</f>
        <v>0</v>
      </c>
      <c r="DV35" s="260">
        <f>+'Midttrafik '!DR9</f>
        <v>0</v>
      </c>
      <c r="DW35" s="299"/>
      <c r="DX35" s="282">
        <f>+'Midttrafik '!DS9</f>
        <v>0</v>
      </c>
      <c r="DY35" s="261">
        <f>+'Midttrafik '!DT9</f>
        <v>0</v>
      </c>
      <c r="DZ35" s="261">
        <f>+'Midttrafik '!DU9</f>
        <v>0</v>
      </c>
      <c r="EA35" s="261">
        <f>+'Midttrafik '!DV9</f>
        <v>0</v>
      </c>
      <c r="EB35" s="261">
        <f>+'Midttrafik '!DW9</f>
        <v>0</v>
      </c>
      <c r="EC35" s="261">
        <f>+'Midttrafik '!DX9</f>
        <v>0</v>
      </c>
      <c r="ED35" s="261">
        <f>+'Midttrafik '!DY9</f>
        <v>0</v>
      </c>
      <c r="EE35" s="261">
        <f>+'Midttrafik '!DZ9</f>
        <v>0</v>
      </c>
      <c r="EF35" s="261">
        <f>+'Midttrafik '!EA9</f>
        <v>0</v>
      </c>
      <c r="EG35" s="261">
        <f>+'Midttrafik '!EB9</f>
        <v>0</v>
      </c>
      <c r="EH35" s="261">
        <f>+'Midttrafik '!EC9</f>
        <v>0</v>
      </c>
      <c r="EI35" s="261">
        <f>+'Midttrafik '!ED9</f>
        <v>0</v>
      </c>
      <c r="EJ35" s="261">
        <f>+'Midttrafik '!EE9</f>
        <v>0</v>
      </c>
      <c r="EK35" s="301"/>
      <c r="EL35" s="282">
        <f>+'Midttrafik '!EF9</f>
        <v>0</v>
      </c>
      <c r="EM35" s="261">
        <f>+'Midttrafik '!EG9</f>
        <v>0</v>
      </c>
      <c r="EN35" s="261">
        <f>+'Midttrafik '!EH9</f>
        <v>0</v>
      </c>
      <c r="EO35" s="261">
        <f>+'Midttrafik '!EI9</f>
        <v>0</v>
      </c>
      <c r="EP35" s="261">
        <f>+'Midttrafik '!EJ9</f>
        <v>0</v>
      </c>
      <c r="EQ35" s="261">
        <f>+'Midttrafik '!EK9</f>
        <v>0</v>
      </c>
      <c r="ER35" s="261">
        <f>+'Midttrafik '!EL9</f>
        <v>0</v>
      </c>
      <c r="ES35" s="261">
        <f>+'Midttrafik '!EM9</f>
        <v>0</v>
      </c>
      <c r="ET35" s="261">
        <f>+'Midttrafik '!EN9</f>
        <v>0</v>
      </c>
      <c r="EU35" s="261">
        <f>+'Midttrafik '!EO9</f>
        <v>0</v>
      </c>
      <c r="EV35" s="261">
        <f>+'Midttrafik '!EP9</f>
        <v>0</v>
      </c>
      <c r="EW35" s="261">
        <f>+'Midttrafik '!EQ9</f>
        <v>0</v>
      </c>
      <c r="EX35" s="261">
        <f>+'Midttrafik '!ER9</f>
        <v>0</v>
      </c>
      <c r="EY35" s="301"/>
      <c r="EZ35" s="282">
        <f>+'Midttrafik '!ES9</f>
        <v>0</v>
      </c>
      <c r="FA35" s="261">
        <f>+'Midttrafik '!ET9</f>
        <v>0</v>
      </c>
      <c r="FB35" s="261">
        <f>+'Midttrafik '!EU9</f>
        <v>0</v>
      </c>
      <c r="FC35" s="261">
        <f>+'Midttrafik '!EV9</f>
        <v>0</v>
      </c>
      <c r="FD35" s="261">
        <f>+'Midttrafik '!EW9</f>
        <v>0</v>
      </c>
      <c r="FE35" s="261">
        <f>+'Midttrafik '!EX9</f>
        <v>0</v>
      </c>
      <c r="FF35" s="261">
        <f>+'Midttrafik '!EY9</f>
        <v>0</v>
      </c>
      <c r="FG35" s="261">
        <f>+'Midttrafik '!EZ9</f>
        <v>0</v>
      </c>
      <c r="FH35" s="261">
        <f>+'Midttrafik '!FA9</f>
        <v>0</v>
      </c>
      <c r="FI35" s="261">
        <f>+'Midttrafik '!FB9</f>
        <v>0</v>
      </c>
      <c r="FJ35" s="261">
        <f>+'Midttrafik '!FC9</f>
        <v>0</v>
      </c>
      <c r="FK35" s="261">
        <f>+'Midttrafik '!FD9</f>
        <v>0</v>
      </c>
      <c r="FL35" s="261">
        <f>+'Midttrafik '!FE9</f>
        <v>0</v>
      </c>
      <c r="FM35" s="301"/>
      <c r="FN35" s="282">
        <f>+'Midttrafik '!FF9</f>
        <v>0</v>
      </c>
      <c r="FO35" s="261">
        <f>+'Midttrafik '!FG9</f>
        <v>0</v>
      </c>
      <c r="FP35" s="261">
        <f>+'Midttrafik '!FH9</f>
        <v>0</v>
      </c>
      <c r="FQ35" s="261">
        <f>+'Midttrafik '!FI9</f>
        <v>0</v>
      </c>
      <c r="FR35" s="261">
        <f>+'Midttrafik '!FJ9</f>
        <v>0</v>
      </c>
      <c r="FS35" s="261">
        <f>+'Midttrafik '!FK9</f>
        <v>0</v>
      </c>
      <c r="FT35" s="261">
        <f>+'Midttrafik '!FL9</f>
        <v>0</v>
      </c>
      <c r="FU35" s="261">
        <f>+'Midttrafik '!FM9</f>
        <v>0</v>
      </c>
      <c r="FV35" s="261">
        <f>+'Midttrafik '!FN9</f>
        <v>0</v>
      </c>
      <c r="FW35" s="261">
        <f>+'Midttrafik '!FO9</f>
        <v>0</v>
      </c>
      <c r="FX35" s="261">
        <f>+'Midttrafik '!FP9</f>
        <v>0</v>
      </c>
      <c r="FY35" s="261">
        <f>+'Midttrafik '!FQ9</f>
        <v>0</v>
      </c>
      <c r="FZ35" s="261">
        <f>+'Midttrafik '!FR9</f>
        <v>0</v>
      </c>
      <c r="GA35" s="301"/>
      <c r="GB35" s="284"/>
      <c r="GC35" s="270"/>
      <c r="GD35" s="270"/>
      <c r="GE35" s="270"/>
      <c r="GF35" s="270"/>
      <c r="GG35" s="270"/>
      <c r="GH35" s="270"/>
      <c r="GI35" s="270"/>
      <c r="GJ35" s="270"/>
      <c r="GK35" s="270"/>
      <c r="GL35" s="270"/>
      <c r="GM35" s="270"/>
      <c r="GN35" s="270"/>
      <c r="GO35" s="303"/>
      <c r="GP35" s="284"/>
      <c r="GQ35" s="270"/>
      <c r="GR35" s="270"/>
      <c r="GS35" s="270"/>
      <c r="GT35" s="270"/>
      <c r="GU35" s="270"/>
      <c r="GV35" s="270"/>
      <c r="GW35" s="270"/>
      <c r="GX35" s="270"/>
      <c r="GY35" s="270"/>
      <c r="GZ35" s="270"/>
      <c r="HA35" s="270"/>
      <c r="HB35" s="270"/>
      <c r="HC35" s="303"/>
      <c r="HD35" s="284"/>
      <c r="HE35" s="270"/>
      <c r="HF35" s="270"/>
      <c r="HG35" s="270"/>
      <c r="HH35" s="270"/>
      <c r="HI35" s="270"/>
      <c r="HJ35" s="270"/>
      <c r="HK35" s="270"/>
      <c r="HL35" s="270"/>
      <c r="HM35" s="270"/>
      <c r="HN35" s="270"/>
      <c r="HO35" s="270"/>
      <c r="HP35" s="270"/>
      <c r="HQ35" s="303"/>
      <c r="HR35" s="284" t="str">
        <f t="shared" ref="HR35:ID35" si="89">IFERROR(EZ35/$EZ$35*100,"")</f>
        <v/>
      </c>
      <c r="HS35" s="270" t="str">
        <f t="shared" si="89"/>
        <v/>
      </c>
      <c r="HT35" s="270" t="str">
        <f t="shared" si="89"/>
        <v/>
      </c>
      <c r="HU35" s="270" t="str">
        <f t="shared" si="89"/>
        <v/>
      </c>
      <c r="HV35" s="270" t="str">
        <f t="shared" si="89"/>
        <v/>
      </c>
      <c r="HW35" s="270" t="str">
        <f t="shared" si="89"/>
        <v/>
      </c>
      <c r="HX35" s="270" t="str">
        <f t="shared" si="89"/>
        <v/>
      </c>
      <c r="HY35" s="270" t="str">
        <f t="shared" si="89"/>
        <v/>
      </c>
      <c r="HZ35" s="270" t="str">
        <f t="shared" si="89"/>
        <v/>
      </c>
      <c r="IA35" s="270" t="str">
        <f t="shared" si="89"/>
        <v/>
      </c>
      <c r="IB35" s="270" t="str">
        <f t="shared" si="89"/>
        <v/>
      </c>
      <c r="IC35" s="270" t="str">
        <f t="shared" si="89"/>
        <v/>
      </c>
      <c r="ID35" s="288" t="str">
        <f t="shared" si="89"/>
        <v/>
      </c>
    </row>
    <row r="36" spans="1:238" x14ac:dyDescent="0.2">
      <c r="A36" s="307" t="s">
        <v>12</v>
      </c>
      <c r="B36" s="258">
        <f>+Movia!F9</f>
        <v>56.24971</v>
      </c>
      <c r="C36" s="258">
        <f>+Movia!G9</f>
        <v>43.424030000000002</v>
      </c>
      <c r="D36" s="258">
        <f>+Movia!H9</f>
        <v>51.342750000000002</v>
      </c>
      <c r="E36" s="258">
        <f>+Movia!I9</f>
        <v>58.893560000000001</v>
      </c>
      <c r="F36" s="258">
        <f>+Movia!J9</f>
        <v>64.417860000000005</v>
      </c>
      <c r="G36" s="258">
        <f>+Movia!K9</f>
        <v>73.084590000000006</v>
      </c>
      <c r="H36" s="258">
        <f>+Movia!L9</f>
        <v>81.126549999999995</v>
      </c>
      <c r="I36" s="258">
        <f>+Movia!M9</f>
        <v>83.128649999999993</v>
      </c>
      <c r="J36" s="258">
        <f>+Movia!N9</f>
        <v>77.896889999999999</v>
      </c>
      <c r="K36" s="258">
        <f>+Movia!O9</f>
        <v>0</v>
      </c>
      <c r="L36" s="258">
        <f>+Movia!P9</f>
        <v>78.628410000000002</v>
      </c>
      <c r="M36" s="258">
        <f>+Movia!Q9</f>
        <v>0</v>
      </c>
      <c r="N36" s="258">
        <f>+Movia!R9</f>
        <v>0</v>
      </c>
      <c r="O36" s="295"/>
      <c r="P36" s="275">
        <f>+Movia!S9</f>
        <v>645.03630999999996</v>
      </c>
      <c r="Q36" s="258">
        <f>+Movia!T9</f>
        <v>591.08105</v>
      </c>
      <c r="R36" s="258">
        <f>+Movia!U9</f>
        <v>642.09875999999997</v>
      </c>
      <c r="S36" s="258">
        <f>+Movia!V9</f>
        <v>786.35913000000005</v>
      </c>
      <c r="T36" s="258">
        <f>+Movia!W9</f>
        <v>803.5136</v>
      </c>
      <c r="U36" s="258">
        <f>+Movia!X9</f>
        <v>789.51058</v>
      </c>
      <c r="V36" s="258">
        <f>+Movia!Y9</f>
        <v>761.38385000000005</v>
      </c>
      <c r="W36" s="258">
        <f>+Movia!Z9</f>
        <v>779.42623000000003</v>
      </c>
      <c r="X36" s="258">
        <f>+Movia!AA9</f>
        <v>828.92945999999995</v>
      </c>
      <c r="Y36" s="258">
        <f>+Movia!AB9</f>
        <v>0</v>
      </c>
      <c r="Z36" s="258">
        <f>+Movia!AC9</f>
        <v>832.83051999999998</v>
      </c>
      <c r="AA36" s="258">
        <f>+Movia!AD9</f>
        <v>0</v>
      </c>
      <c r="AB36" s="258">
        <f>+Movia!AE9</f>
        <v>0</v>
      </c>
      <c r="AC36" s="295"/>
      <c r="AD36" s="275">
        <f>+Movia!AF9</f>
        <v>70.533169999999998</v>
      </c>
      <c r="AE36" s="258">
        <f>+Movia!AG9</f>
        <v>78.429050000000004</v>
      </c>
      <c r="AF36" s="258">
        <f>+Movia!AH9</f>
        <v>84.074299999999994</v>
      </c>
      <c r="AG36" s="258">
        <f>+Movia!AI9</f>
        <v>87.058419999999998</v>
      </c>
      <c r="AH36" s="258">
        <f>+Movia!AJ9</f>
        <v>78.516319999999993</v>
      </c>
      <c r="AI36" s="258">
        <f>+Movia!AK9</f>
        <v>96.317999999999998</v>
      </c>
      <c r="AJ36" s="258">
        <f>+Movia!AL9</f>
        <v>100.23259</v>
      </c>
      <c r="AK36" s="258">
        <f>+Movia!AM9</f>
        <v>106.49999</v>
      </c>
      <c r="AL36" s="258">
        <f>+Movia!AN9</f>
        <v>106.49902</v>
      </c>
      <c r="AM36" s="258">
        <f>+Movia!AO9</f>
        <v>0</v>
      </c>
      <c r="AN36" s="258">
        <f>+Movia!AP9</f>
        <v>140.19999999999999</v>
      </c>
      <c r="AO36" s="258">
        <f>+Movia!AQ9</f>
        <v>0</v>
      </c>
      <c r="AP36" s="258">
        <f>+Movia!AR9</f>
        <v>0</v>
      </c>
      <c r="AQ36" s="295"/>
      <c r="AR36" s="275">
        <f>+Movia!AS9</f>
        <v>0</v>
      </c>
      <c r="AS36" s="258">
        <f>+Movia!AT9</f>
        <v>0</v>
      </c>
      <c r="AT36" s="258">
        <f>+Movia!AU9</f>
        <v>0</v>
      </c>
      <c r="AU36" s="258">
        <f>+Movia!AV9</f>
        <v>0</v>
      </c>
      <c r="AV36" s="258">
        <f>+Movia!AW9</f>
        <v>0</v>
      </c>
      <c r="AW36" s="258">
        <f>+Movia!AX9</f>
        <v>0</v>
      </c>
      <c r="AX36" s="258">
        <f>+Movia!AY9</f>
        <v>0</v>
      </c>
      <c r="AY36" s="258">
        <f>+Movia!AZ9</f>
        <v>0</v>
      </c>
      <c r="AZ36" s="258">
        <f>+Movia!BA9</f>
        <v>0</v>
      </c>
      <c r="BA36" s="258">
        <f>+Movia!BB9</f>
        <v>0</v>
      </c>
      <c r="BB36" s="258">
        <f>+Movia!BC9</f>
        <v>0</v>
      </c>
      <c r="BC36" s="258">
        <f>+Movia!BD9</f>
        <v>0</v>
      </c>
      <c r="BD36" s="258">
        <f>+Movia!BE9</f>
        <v>0</v>
      </c>
      <c r="BE36" s="295"/>
      <c r="BF36" s="275">
        <f>+Movia!BF9</f>
        <v>1.0047600000000001</v>
      </c>
      <c r="BG36" s="258">
        <f>+Movia!BG9</f>
        <v>1.17503</v>
      </c>
      <c r="BH36" s="258">
        <f>+Movia!BH9</f>
        <v>0</v>
      </c>
      <c r="BI36" s="258">
        <f>+Movia!BI9</f>
        <v>0</v>
      </c>
      <c r="BJ36" s="258">
        <f>+Movia!BJ9</f>
        <v>0</v>
      </c>
      <c r="BK36" s="258">
        <f>+Movia!BK9</f>
        <v>0</v>
      </c>
      <c r="BL36" s="258">
        <f>+Movia!BL9</f>
        <v>0</v>
      </c>
      <c r="BM36" s="258">
        <f>+Movia!BM9</f>
        <v>0</v>
      </c>
      <c r="BN36" s="258">
        <f>+Movia!BN9</f>
        <v>0</v>
      </c>
      <c r="BO36" s="258">
        <f>+Movia!BO9</f>
        <v>0</v>
      </c>
      <c r="BP36" s="258">
        <f>+Movia!BP9</f>
        <v>0</v>
      </c>
      <c r="BQ36" s="258">
        <f>+Movia!BQ9</f>
        <v>0</v>
      </c>
      <c r="BR36" s="258">
        <f>+Movia!BR9</f>
        <v>0</v>
      </c>
      <c r="BS36" s="295"/>
      <c r="BT36" s="278">
        <f>+Movia!BS9</f>
        <v>0</v>
      </c>
      <c r="BU36" s="259">
        <f>+Movia!BT9</f>
        <v>88.383349999999993</v>
      </c>
      <c r="BV36" s="259">
        <f>+Movia!BU9</f>
        <v>22.131699999999999</v>
      </c>
      <c r="BW36" s="259">
        <f>+Movia!BV9</f>
        <v>0</v>
      </c>
      <c r="BX36" s="259">
        <f>+Movia!BW9</f>
        <v>-10.58135</v>
      </c>
      <c r="BY36" s="259">
        <f>+Movia!BX9</f>
        <v>-0.38761000000000001</v>
      </c>
      <c r="BZ36" s="259">
        <f>+Movia!BY9</f>
        <v>0</v>
      </c>
      <c r="CA36" s="259">
        <f>+Movia!BZ9</f>
        <v>0</v>
      </c>
      <c r="CB36" s="259">
        <f>+Movia!CA9</f>
        <v>0</v>
      </c>
      <c r="CC36" s="259">
        <f>+Movia!CB9</f>
        <v>0</v>
      </c>
      <c r="CD36" s="259">
        <f>+Movia!CC9</f>
        <v>0</v>
      </c>
      <c r="CE36" s="259">
        <f>+Movia!CD9</f>
        <v>0</v>
      </c>
      <c r="CF36" s="259">
        <f>+Movia!CE9</f>
        <v>0</v>
      </c>
      <c r="CG36" s="297"/>
      <c r="CH36" s="278">
        <f>+Movia!CF9</f>
        <v>716.57424000000003</v>
      </c>
      <c r="CI36" s="259">
        <f>+Movia!CG9</f>
        <v>670.68514000000005</v>
      </c>
      <c r="CJ36" s="259">
        <f>+Movia!CH9</f>
        <v>726.17305999999996</v>
      </c>
      <c r="CK36" s="259">
        <f>+Movia!CI9</f>
        <v>873.41754000000003</v>
      </c>
      <c r="CL36" s="259">
        <f>+Movia!CJ9</f>
        <v>882.02991999999995</v>
      </c>
      <c r="CM36" s="259">
        <f>+Movia!CK9</f>
        <v>885.82857999999999</v>
      </c>
      <c r="CN36" s="259">
        <f>+Movia!CL9</f>
        <v>861.61644000000001</v>
      </c>
      <c r="CO36" s="259">
        <f>+Movia!CM9</f>
        <v>885.92621999999994</v>
      </c>
      <c r="CP36" s="259">
        <f>+Movia!CN9</f>
        <v>935.42846999999995</v>
      </c>
      <c r="CQ36" s="259">
        <f>+Movia!CO9</f>
        <v>0</v>
      </c>
      <c r="CR36" s="259">
        <f>+Movia!CP9</f>
        <v>973.03051000000005</v>
      </c>
      <c r="CS36" s="259">
        <f>+Movia!CQ9</f>
        <v>0</v>
      </c>
      <c r="CT36" s="259">
        <f>+Movia!CR9</f>
        <v>0</v>
      </c>
      <c r="CU36" s="297"/>
      <c r="CV36" s="278">
        <f>+Movia!CS9</f>
        <v>660.32452999999998</v>
      </c>
      <c r="CW36" s="259">
        <f>+Movia!CT9</f>
        <v>715.64445000000001</v>
      </c>
      <c r="CX36" s="259">
        <f>+Movia!CU9</f>
        <v>696.96200999999996</v>
      </c>
      <c r="CY36" s="259">
        <f>+Movia!CV9</f>
        <v>814.52399000000003</v>
      </c>
      <c r="CZ36" s="259">
        <f>+Movia!CW9</f>
        <v>807.03071</v>
      </c>
      <c r="DA36" s="259">
        <f>+Movia!CX9</f>
        <v>812.35639000000003</v>
      </c>
      <c r="DB36" s="259">
        <f>+Movia!CY9</f>
        <v>780.48988999999995</v>
      </c>
      <c r="DC36" s="259">
        <f>+Movia!CZ9</f>
        <v>802.79756999999995</v>
      </c>
      <c r="DD36" s="259">
        <f>+Movia!DA9</f>
        <v>857.53157999999996</v>
      </c>
      <c r="DE36" s="259">
        <f>+Movia!DB9</f>
        <v>0</v>
      </c>
      <c r="DF36" s="259">
        <f>+Movia!DC9</f>
        <v>894.40210000000002</v>
      </c>
      <c r="DG36" s="259">
        <f>+Movia!DD9</f>
        <v>0</v>
      </c>
      <c r="DH36" s="259">
        <f>+Movia!DE9</f>
        <v>0</v>
      </c>
      <c r="DI36" s="297"/>
      <c r="DJ36" s="280">
        <f>+Movia!DF9</f>
        <v>9.8400000000000001E-2</v>
      </c>
      <c r="DK36" s="260">
        <f>+Movia!DG9</f>
        <v>0.1169</v>
      </c>
      <c r="DL36" s="260">
        <f>+Movia!DH9</f>
        <v>0.1158</v>
      </c>
      <c r="DM36" s="260">
        <f>+Movia!DI9</f>
        <v>9.9699999999999997E-2</v>
      </c>
      <c r="DN36" s="260">
        <f>+Movia!DJ9</f>
        <v>8.8999999999999996E-2</v>
      </c>
      <c r="DO36" s="260">
        <f>+Movia!DK9</f>
        <v>0.1087</v>
      </c>
      <c r="DP36" s="260">
        <f>+Movia!DL9</f>
        <v>0.1163</v>
      </c>
      <c r="DQ36" s="260">
        <f>+Movia!DM9</f>
        <v>0.1202</v>
      </c>
      <c r="DR36" s="260">
        <f>+Movia!DN9</f>
        <v>0.1139</v>
      </c>
      <c r="DS36" s="260">
        <f>+Movia!DO9</f>
        <v>0</v>
      </c>
      <c r="DT36" s="260">
        <f>+Movia!DP9</f>
        <v>0.14410000000000001</v>
      </c>
      <c r="DU36" s="260">
        <f>+Movia!DQ9</f>
        <v>0</v>
      </c>
      <c r="DV36" s="260">
        <f>+Movia!DR9</f>
        <v>0</v>
      </c>
      <c r="DW36" s="299"/>
      <c r="DX36" s="282">
        <f>+Movia!DS9</f>
        <v>0</v>
      </c>
      <c r="DY36" s="261">
        <f>+Movia!DT9</f>
        <v>0</v>
      </c>
      <c r="DZ36" s="261">
        <f>+Movia!DU9</f>
        <v>0</v>
      </c>
      <c r="EA36" s="261">
        <f>+Movia!DV9</f>
        <v>0</v>
      </c>
      <c r="EB36" s="261">
        <f>+Movia!DW9</f>
        <v>0</v>
      </c>
      <c r="EC36" s="261">
        <f>+Movia!DX9</f>
        <v>0</v>
      </c>
      <c r="ED36" s="261">
        <f>+Movia!DY9</f>
        <v>0</v>
      </c>
      <c r="EE36" s="261">
        <f>+Movia!DZ9</f>
        <v>0</v>
      </c>
      <c r="EF36" s="261">
        <f>+Movia!EA9</f>
        <v>0</v>
      </c>
      <c r="EG36" s="261">
        <f>+Movia!EB9</f>
        <v>0</v>
      </c>
      <c r="EH36" s="261">
        <f>+Movia!EC9</f>
        <v>0</v>
      </c>
      <c r="EI36" s="261">
        <f>+Movia!ED9</f>
        <v>0</v>
      </c>
      <c r="EJ36" s="261">
        <f>+Movia!EE9</f>
        <v>0</v>
      </c>
      <c r="EK36" s="301"/>
      <c r="EL36" s="282">
        <f>+Movia!EF9</f>
        <v>0</v>
      </c>
      <c r="EM36" s="261">
        <f>+Movia!EG9</f>
        <v>0</v>
      </c>
      <c r="EN36" s="261">
        <f>+Movia!EH9</f>
        <v>0</v>
      </c>
      <c r="EO36" s="261">
        <f>+Movia!EI9</f>
        <v>0</v>
      </c>
      <c r="EP36" s="261">
        <f>+Movia!EJ9</f>
        <v>0</v>
      </c>
      <c r="EQ36" s="261">
        <f>+Movia!EK9</f>
        <v>0</v>
      </c>
      <c r="ER36" s="261">
        <f>+Movia!EL9</f>
        <v>0</v>
      </c>
      <c r="ES36" s="261">
        <f>+Movia!EM9</f>
        <v>0</v>
      </c>
      <c r="ET36" s="261">
        <f>+Movia!EN9</f>
        <v>0</v>
      </c>
      <c r="EU36" s="261">
        <f>+Movia!EO9</f>
        <v>0</v>
      </c>
      <c r="EV36" s="261">
        <f>+Movia!EP9</f>
        <v>0</v>
      </c>
      <c r="EW36" s="261">
        <f>+Movia!EQ9</f>
        <v>0</v>
      </c>
      <c r="EX36" s="261">
        <f>+Movia!ER9</f>
        <v>0</v>
      </c>
      <c r="EY36" s="301"/>
      <c r="EZ36" s="282">
        <f>+Movia!ES9</f>
        <v>3703810</v>
      </c>
      <c r="FA36" s="261">
        <f>+Movia!ET9</f>
        <v>3113997</v>
      </c>
      <c r="FB36" s="261">
        <f>+Movia!EU9</f>
        <v>3401204</v>
      </c>
      <c r="FC36" s="261">
        <f>+Movia!EV9</f>
        <v>3669939</v>
      </c>
      <c r="FD36" s="261">
        <f>+Movia!EW9</f>
        <v>3714189</v>
      </c>
      <c r="FE36" s="261">
        <f>+Movia!EX9</f>
        <v>3731352</v>
      </c>
      <c r="FF36" s="261">
        <f>+Movia!EY9</f>
        <v>3656466</v>
      </c>
      <c r="FG36" s="261">
        <f>+Movia!EZ9</f>
        <v>3716173.6620499999</v>
      </c>
      <c r="FH36" s="261">
        <f>+Movia!FA9</f>
        <v>3755842.95266</v>
      </c>
      <c r="FI36" s="261">
        <f>+Movia!FB9</f>
        <v>0</v>
      </c>
      <c r="FJ36" s="261">
        <f>+Movia!FC9</f>
        <v>3751308.2413599999</v>
      </c>
      <c r="FK36" s="261">
        <f>+Movia!FD9</f>
        <v>0</v>
      </c>
      <c r="FL36" s="261">
        <f>+Movia!FE9</f>
        <v>0</v>
      </c>
      <c r="FM36" s="301"/>
      <c r="FN36" s="282">
        <f>+Movia!FF9</f>
        <v>0</v>
      </c>
      <c r="FO36" s="261">
        <f>+Movia!FG9</f>
        <v>0</v>
      </c>
      <c r="FP36" s="261">
        <f>+Movia!FH9</f>
        <v>0</v>
      </c>
      <c r="FQ36" s="261">
        <f>+Movia!FI9</f>
        <v>0</v>
      </c>
      <c r="FR36" s="261">
        <f>+Movia!FJ9</f>
        <v>0</v>
      </c>
      <c r="FS36" s="261">
        <f>+Movia!FK9</f>
        <v>0</v>
      </c>
      <c r="FT36" s="261">
        <f>+Movia!FL9</f>
        <v>0</v>
      </c>
      <c r="FU36" s="261">
        <f>+Movia!FM9</f>
        <v>0</v>
      </c>
      <c r="FV36" s="261">
        <f>+Movia!FN9</f>
        <v>0</v>
      </c>
      <c r="FW36" s="261">
        <f>+Movia!FO9</f>
        <v>0</v>
      </c>
      <c r="FX36" s="261">
        <f>+Movia!FP9</f>
        <v>0</v>
      </c>
      <c r="FY36" s="261">
        <f>+Movia!FQ9</f>
        <v>0</v>
      </c>
      <c r="FZ36" s="261">
        <f>+Movia!FR9</f>
        <v>0</v>
      </c>
      <c r="GA36" s="301"/>
      <c r="GB36" s="284"/>
      <c r="GC36" s="270"/>
      <c r="GD36" s="270"/>
      <c r="GE36" s="270"/>
      <c r="GF36" s="270"/>
      <c r="GG36" s="270"/>
      <c r="GH36" s="270"/>
      <c r="GI36" s="270"/>
      <c r="GJ36" s="270"/>
      <c r="GK36" s="270"/>
      <c r="GL36" s="270"/>
      <c r="GM36" s="270"/>
      <c r="GN36" s="270"/>
      <c r="GO36" s="303"/>
      <c r="GP36" s="284"/>
      <c r="GQ36" s="270"/>
      <c r="GR36" s="270"/>
      <c r="GS36" s="270"/>
      <c r="GT36" s="270"/>
      <c r="GU36" s="270"/>
      <c r="GV36" s="270"/>
      <c r="GW36" s="270"/>
      <c r="GX36" s="270"/>
      <c r="GY36" s="270"/>
      <c r="GZ36" s="270"/>
      <c r="HA36" s="270"/>
      <c r="HB36" s="270"/>
      <c r="HC36" s="303"/>
      <c r="HD36" s="284"/>
      <c r="HE36" s="270"/>
      <c r="HF36" s="270"/>
      <c r="HG36" s="270"/>
      <c r="HH36" s="270"/>
      <c r="HI36" s="270"/>
      <c r="HJ36" s="270"/>
      <c r="HK36" s="270"/>
      <c r="HL36" s="270"/>
      <c r="HM36" s="270"/>
      <c r="HN36" s="270"/>
      <c r="HO36" s="270"/>
      <c r="HP36" s="270"/>
      <c r="HQ36" s="303"/>
      <c r="HR36" s="284">
        <f t="shared" ref="HR36:ID36" si="90">IFERROR(EZ36/$EZ$36*100,"")</f>
        <v>100</v>
      </c>
      <c r="HS36" s="270">
        <f t="shared" si="90"/>
        <v>84.075506032976861</v>
      </c>
      <c r="HT36" s="270">
        <f t="shared" si="90"/>
        <v>91.829872482659752</v>
      </c>
      <c r="HU36" s="270">
        <f t="shared" si="90"/>
        <v>99.085509245884637</v>
      </c>
      <c r="HV36" s="270">
        <f t="shared" si="90"/>
        <v>100.28022495754372</v>
      </c>
      <c r="HW36" s="270">
        <f t="shared" si="90"/>
        <v>100.74361265831671</v>
      </c>
      <c r="HX36" s="270">
        <f t="shared" si="90"/>
        <v>98.721748685812713</v>
      </c>
      <c r="HY36" s="270">
        <f t="shared" si="90"/>
        <v>100.33380929502323</v>
      </c>
      <c r="HZ36" s="270">
        <f t="shared" si="90"/>
        <v>101.40484940264214</v>
      </c>
      <c r="IA36" s="270">
        <f t="shared" si="90"/>
        <v>0</v>
      </c>
      <c r="IB36" s="270">
        <f t="shared" si="90"/>
        <v>101.28241571138908</v>
      </c>
      <c r="IC36" s="270">
        <f t="shared" si="90"/>
        <v>0</v>
      </c>
      <c r="ID36" s="288">
        <f t="shared" si="90"/>
        <v>0</v>
      </c>
    </row>
    <row r="37" spans="1:238" x14ac:dyDescent="0.2">
      <c r="A37" s="307" t="s">
        <v>14</v>
      </c>
      <c r="B37" s="258">
        <f>+NT!F9</f>
        <v>11.252597899999998</v>
      </c>
      <c r="C37" s="258">
        <f>+NT!G9</f>
        <v>7.1594537999999996</v>
      </c>
      <c r="D37" s="258">
        <f>+NT!H9</f>
        <v>8.6459270000000004</v>
      </c>
      <c r="E37" s="258">
        <f>+NT!I9</f>
        <v>9.5233076999999984</v>
      </c>
      <c r="F37" s="258">
        <f>+NT!J9</f>
        <v>10.445222099999999</v>
      </c>
      <c r="G37" s="258">
        <f>+NT!K9</f>
        <v>9.7435852000000001</v>
      </c>
      <c r="H37" s="258">
        <f>+NT!L9</f>
        <v>11.703284099999999</v>
      </c>
      <c r="I37" s="258">
        <f>+NT!M9</f>
        <v>13.099249400000001</v>
      </c>
      <c r="J37" s="258">
        <f>+NT!N9</f>
        <v>12.225747500000001</v>
      </c>
      <c r="K37" s="258">
        <f>+NT!O9</f>
        <v>0</v>
      </c>
      <c r="L37" s="258">
        <f>+NT!P9</f>
        <v>0</v>
      </c>
      <c r="M37" s="258">
        <f>+NT!Q9</f>
        <v>0</v>
      </c>
      <c r="N37" s="258">
        <f>+NT!R9</f>
        <v>0</v>
      </c>
      <c r="O37" s="295"/>
      <c r="P37" s="275">
        <f>+NT!S9</f>
        <v>275.29150960000004</v>
      </c>
      <c r="Q37" s="258">
        <f>+NT!T9</f>
        <v>254.15928760000003</v>
      </c>
      <c r="R37" s="258">
        <f>+NT!U9</f>
        <v>294.3627553</v>
      </c>
      <c r="S37" s="258">
        <f>+NT!V9</f>
        <v>323.50508500000001</v>
      </c>
      <c r="T37" s="258">
        <f>+NT!W9</f>
        <v>375.97763629999997</v>
      </c>
      <c r="U37" s="258">
        <f>+NT!X9</f>
        <v>426.35200320000001</v>
      </c>
      <c r="V37" s="258">
        <f>+NT!Y9</f>
        <v>427.48983159999995</v>
      </c>
      <c r="W37" s="258">
        <f>+NT!Z9</f>
        <v>455.36805750000002</v>
      </c>
      <c r="X37" s="258">
        <f>+NT!AA9</f>
        <v>444.58608670000001</v>
      </c>
      <c r="Y37" s="258">
        <f>+NT!AB9</f>
        <v>0</v>
      </c>
      <c r="Z37" s="258">
        <f>+NT!AC9</f>
        <v>0</v>
      </c>
      <c r="AA37" s="258">
        <f>+NT!AD9</f>
        <v>0</v>
      </c>
      <c r="AB37" s="258">
        <f>+NT!AE9</f>
        <v>0</v>
      </c>
      <c r="AC37" s="295"/>
      <c r="AD37" s="275">
        <f>+NT!AF9</f>
        <v>30.567560999999998</v>
      </c>
      <c r="AE37" s="258">
        <f>+NT!AG9</f>
        <v>31.5543932</v>
      </c>
      <c r="AF37" s="258">
        <f>+NT!AH9</f>
        <v>30.983213399999997</v>
      </c>
      <c r="AG37" s="258">
        <f>+NT!AI9</f>
        <v>31.033795899999994</v>
      </c>
      <c r="AH37" s="258">
        <f>+NT!AJ9</f>
        <v>35.366502699999998</v>
      </c>
      <c r="AI37" s="258">
        <f>+NT!AK9</f>
        <v>37.720362399999999</v>
      </c>
      <c r="AJ37" s="258">
        <f>+NT!AL9</f>
        <v>37.4049616</v>
      </c>
      <c r="AK37" s="258">
        <f>+NT!AM9</f>
        <v>47.710512999999999</v>
      </c>
      <c r="AL37" s="258">
        <f>+NT!AN9</f>
        <v>45.654205599999997</v>
      </c>
      <c r="AM37" s="258">
        <f>+NT!AO9</f>
        <v>0</v>
      </c>
      <c r="AN37" s="258">
        <f>+NT!AP9</f>
        <v>0</v>
      </c>
      <c r="AO37" s="258">
        <f>+NT!AQ9</f>
        <v>0</v>
      </c>
      <c r="AP37" s="258">
        <f>+NT!AR9</f>
        <v>0</v>
      </c>
      <c r="AQ37" s="295"/>
      <c r="AR37" s="275">
        <f>+NT!AS9</f>
        <v>0</v>
      </c>
      <c r="AS37" s="258">
        <f>+NT!AT9</f>
        <v>0</v>
      </c>
      <c r="AT37" s="258">
        <f>+NT!AU9</f>
        <v>0</v>
      </c>
      <c r="AU37" s="258">
        <f>+NT!AV9</f>
        <v>0</v>
      </c>
      <c r="AV37" s="258">
        <f>+NT!AW9</f>
        <v>0</v>
      </c>
      <c r="AW37" s="258">
        <f>+NT!AX9</f>
        <v>0</v>
      </c>
      <c r="AX37" s="258">
        <f>+NT!AY9</f>
        <v>0</v>
      </c>
      <c r="AY37" s="258">
        <f>+NT!AZ9</f>
        <v>0</v>
      </c>
      <c r="AZ37" s="258">
        <f>+NT!BA9</f>
        <v>0</v>
      </c>
      <c r="BA37" s="258">
        <f>+NT!BB9</f>
        <v>0</v>
      </c>
      <c r="BB37" s="258">
        <f>+NT!BC9</f>
        <v>0</v>
      </c>
      <c r="BC37" s="258">
        <f>+NT!BD9</f>
        <v>0</v>
      </c>
      <c r="BD37" s="258">
        <f>+NT!BE9</f>
        <v>0</v>
      </c>
      <c r="BE37" s="295"/>
      <c r="BF37" s="275">
        <f>+NT!BF9</f>
        <v>1.3655199999999999E-2</v>
      </c>
      <c r="BG37" s="258">
        <f>+NT!BG9</f>
        <v>3.5704800000000002E-2</v>
      </c>
      <c r="BH37" s="258">
        <f>+NT!BH9</f>
        <v>3.11793E-2</v>
      </c>
      <c r="BI37" s="258">
        <f>+NT!BI9</f>
        <v>5.7318499999999994E-2</v>
      </c>
      <c r="BJ37" s="258">
        <f>+NT!BJ9</f>
        <v>2.7260000000000001E-3</v>
      </c>
      <c r="BK37" s="258">
        <f>+NT!BK9</f>
        <v>-0.51986249999999989</v>
      </c>
      <c r="BL37" s="258">
        <f>+NT!BL9</f>
        <v>-0.23641020000000001</v>
      </c>
      <c r="BM37" s="258">
        <f>+NT!BM9</f>
        <v>1.5422E-2</v>
      </c>
      <c r="BN37" s="258">
        <f>+NT!BN9</f>
        <v>-0.1407583</v>
      </c>
      <c r="BO37" s="258">
        <f>+NT!BO9</f>
        <v>0</v>
      </c>
      <c r="BP37" s="258">
        <f>+NT!BP9</f>
        <v>0</v>
      </c>
      <c r="BQ37" s="258">
        <f>+NT!BQ9</f>
        <v>0</v>
      </c>
      <c r="BR37" s="258">
        <f>+NT!BR9</f>
        <v>0</v>
      </c>
      <c r="BS37" s="295"/>
      <c r="BT37" s="278">
        <f>+NT!BS9</f>
        <v>0</v>
      </c>
      <c r="BU37" s="259">
        <f>+NT!BT9</f>
        <v>-17.826548299999999</v>
      </c>
      <c r="BV37" s="259">
        <f>+NT!BU9</f>
        <v>27.5167693</v>
      </c>
      <c r="BW37" s="259">
        <f>+NT!BV9</f>
        <v>4.7362508999999999</v>
      </c>
      <c r="BX37" s="259">
        <f>+NT!BW9</f>
        <v>4.5120069000000012</v>
      </c>
      <c r="BY37" s="259">
        <f>+NT!BX9</f>
        <v>-0.2238213</v>
      </c>
      <c r="BZ37" s="259">
        <f>+NT!BY9</f>
        <v>0</v>
      </c>
      <c r="CA37" s="259">
        <f>+NT!BZ9</f>
        <v>0</v>
      </c>
      <c r="CB37" s="259">
        <f>+NT!CA9</f>
        <v>0</v>
      </c>
      <c r="CC37" s="259">
        <f>+NT!CB9</f>
        <v>0</v>
      </c>
      <c r="CD37" s="259">
        <f>+NT!CC9</f>
        <v>0</v>
      </c>
      <c r="CE37" s="259">
        <f>+NT!CD9</f>
        <v>0</v>
      </c>
      <c r="CF37" s="259">
        <f>+NT!CE9</f>
        <v>0</v>
      </c>
      <c r="CG37" s="297"/>
      <c r="CH37" s="278">
        <f>+NT!CF9</f>
        <v>305.87272580000001</v>
      </c>
      <c r="CI37" s="259">
        <f>+NT!CG9</f>
        <v>285.74938560000004</v>
      </c>
      <c r="CJ37" s="259">
        <f>+NT!CH9</f>
        <v>325.37714800000003</v>
      </c>
      <c r="CK37" s="259">
        <f>+NT!CI9</f>
        <v>354.59619939999999</v>
      </c>
      <c r="CL37" s="259">
        <f>+NT!CJ9</f>
        <v>411.34686500000004</v>
      </c>
      <c r="CM37" s="259">
        <f>+NT!CK9</f>
        <v>463.55250310000002</v>
      </c>
      <c r="CN37" s="259">
        <f>+NT!CL9</f>
        <v>464.65838300000001</v>
      </c>
      <c r="CO37" s="259">
        <f>+NT!CM9</f>
        <v>503.09399250000001</v>
      </c>
      <c r="CP37" s="259">
        <f>+NT!CN9</f>
        <v>490.09953399999995</v>
      </c>
      <c r="CQ37" s="259">
        <f>+NT!CO9</f>
        <v>0</v>
      </c>
      <c r="CR37" s="259">
        <f>+NT!CP9</f>
        <v>0</v>
      </c>
      <c r="CS37" s="259">
        <f>+NT!CQ9</f>
        <v>0</v>
      </c>
      <c r="CT37" s="259">
        <f>+NT!CR9</f>
        <v>0</v>
      </c>
      <c r="CU37" s="297"/>
      <c r="CV37" s="278">
        <f>+NT!CS9</f>
        <v>294.62012790000006</v>
      </c>
      <c r="CW37" s="259">
        <f>+NT!CT9</f>
        <v>296.4164801</v>
      </c>
      <c r="CX37" s="259">
        <f>+NT!CU9</f>
        <v>289.21445169999998</v>
      </c>
      <c r="CY37" s="259">
        <f>+NT!CV9</f>
        <v>340.3366408</v>
      </c>
      <c r="CZ37" s="259">
        <f>+NT!CW9</f>
        <v>396.38963599999994</v>
      </c>
      <c r="DA37" s="259">
        <f>+NT!CX9</f>
        <v>454.03273920000004</v>
      </c>
      <c r="DB37" s="259">
        <f>+NT!CY9</f>
        <v>452.9550989</v>
      </c>
      <c r="DC37" s="259">
        <f>+NT!CZ9</f>
        <v>489.99474309999994</v>
      </c>
      <c r="DD37" s="259">
        <f>+NT!DA9</f>
        <v>477.87378649999994</v>
      </c>
      <c r="DE37" s="259">
        <f>+NT!DB9</f>
        <v>0</v>
      </c>
      <c r="DF37" s="259">
        <f>+NT!DC9</f>
        <v>0</v>
      </c>
      <c r="DG37" s="259">
        <f>+NT!DD9</f>
        <v>0</v>
      </c>
      <c r="DH37" s="259">
        <f>+NT!DE9</f>
        <v>0</v>
      </c>
      <c r="DI37" s="297"/>
      <c r="DJ37" s="280">
        <f>+NT!DF9</f>
        <v>9.9935556267893952E-2</v>
      </c>
      <c r="DK37" s="260">
        <f>+NT!DG9</f>
        <v>0.11042681031052407</v>
      </c>
      <c r="DL37" s="260">
        <f>+NT!DH9</f>
        <v>9.5222462887897694E-2</v>
      </c>
      <c r="DM37" s="260">
        <f>+NT!DI9</f>
        <v>8.751869295979825E-2</v>
      </c>
      <c r="DN37" s="260">
        <f>+NT!DJ9</f>
        <v>8.597732402798304E-2</v>
      </c>
      <c r="DO37" s="260">
        <f>+NT!DK9</f>
        <v>8.1372362672503487E-2</v>
      </c>
      <c r="DP37" s="260">
        <f>+NT!DL9</f>
        <v>8.0499917721273517E-2</v>
      </c>
      <c r="DQ37" s="260">
        <f>+NT!DM9</f>
        <v>9.4834193433546113E-2</v>
      </c>
      <c r="DR37" s="260">
        <f>+NT!DN9</f>
        <v>9.3152925952384197E-2</v>
      </c>
      <c r="DS37" s="260">
        <f>+NT!DO9</f>
        <v>0</v>
      </c>
      <c r="DT37" s="260">
        <f>+NT!DP9</f>
        <v>0</v>
      </c>
      <c r="DU37" s="260">
        <f>+NT!DQ9</f>
        <v>0</v>
      </c>
      <c r="DV37" s="260">
        <f>+NT!DR9</f>
        <v>0</v>
      </c>
      <c r="DW37" s="299"/>
      <c r="DX37" s="282">
        <f>+NT!DS9</f>
        <v>0</v>
      </c>
      <c r="DY37" s="261">
        <f>+NT!DT9</f>
        <v>0</v>
      </c>
      <c r="DZ37" s="261">
        <f>+NT!DU9</f>
        <v>0</v>
      </c>
      <c r="EA37" s="261">
        <f>+NT!DV9</f>
        <v>0</v>
      </c>
      <c r="EB37" s="261">
        <f>+NT!DW9</f>
        <v>0</v>
      </c>
      <c r="EC37" s="261">
        <f>+NT!DX9</f>
        <v>0</v>
      </c>
      <c r="ED37" s="261">
        <f>+NT!DY9</f>
        <v>0</v>
      </c>
      <c r="EE37" s="261">
        <f>+NT!DZ9</f>
        <v>0</v>
      </c>
      <c r="EF37" s="261">
        <f>+NT!EA9</f>
        <v>0</v>
      </c>
      <c r="EG37" s="261">
        <f>+NT!EB9</f>
        <v>0</v>
      </c>
      <c r="EH37" s="261">
        <f>+NT!EC9</f>
        <v>0</v>
      </c>
      <c r="EI37" s="261">
        <f>+NT!ED9</f>
        <v>0</v>
      </c>
      <c r="EJ37" s="261">
        <f>+NT!EE9</f>
        <v>0</v>
      </c>
      <c r="EK37" s="301"/>
      <c r="EL37" s="282">
        <f>+NT!EF9</f>
        <v>0</v>
      </c>
      <c r="EM37" s="261">
        <f>+NT!EG9</f>
        <v>0</v>
      </c>
      <c r="EN37" s="261">
        <f>+NT!EH9</f>
        <v>0</v>
      </c>
      <c r="EO37" s="261">
        <f>+NT!EI9</f>
        <v>0</v>
      </c>
      <c r="EP37" s="261">
        <f>+NT!EJ9</f>
        <v>0</v>
      </c>
      <c r="EQ37" s="261">
        <f>+NT!EK9</f>
        <v>0</v>
      </c>
      <c r="ER37" s="261">
        <f>+NT!EL9</f>
        <v>0</v>
      </c>
      <c r="ES37" s="261">
        <f>+NT!EM9</f>
        <v>0</v>
      </c>
      <c r="ET37" s="261">
        <f>+NT!EN9</f>
        <v>0</v>
      </c>
      <c r="EU37" s="261">
        <f>+NT!EO9</f>
        <v>0</v>
      </c>
      <c r="EV37" s="261">
        <f>+NT!EP9</f>
        <v>0</v>
      </c>
      <c r="EW37" s="261">
        <f>+NT!EQ9</f>
        <v>0</v>
      </c>
      <c r="EX37" s="261">
        <f>+NT!ER9</f>
        <v>0</v>
      </c>
      <c r="EY37" s="301"/>
      <c r="EZ37" s="282">
        <f>+NT!ES9</f>
        <v>0</v>
      </c>
      <c r="FA37" s="261">
        <f>+NT!ET9</f>
        <v>0</v>
      </c>
      <c r="FB37" s="261">
        <f>+NT!EU9</f>
        <v>0</v>
      </c>
      <c r="FC37" s="261">
        <f>+NT!EV9</f>
        <v>0</v>
      </c>
      <c r="FD37" s="261">
        <f>+NT!EW9</f>
        <v>0</v>
      </c>
      <c r="FE37" s="261">
        <f>+NT!EX9</f>
        <v>0</v>
      </c>
      <c r="FF37" s="261">
        <f>+NT!EY9</f>
        <v>0</v>
      </c>
      <c r="FG37" s="261">
        <f>+NT!EZ9</f>
        <v>0</v>
      </c>
      <c r="FH37" s="261">
        <f>+NT!FA9</f>
        <v>0</v>
      </c>
      <c r="FI37" s="261">
        <f>+NT!FB9</f>
        <v>0</v>
      </c>
      <c r="FJ37" s="261">
        <f>+NT!FC9</f>
        <v>0</v>
      </c>
      <c r="FK37" s="261">
        <f>+NT!FD9</f>
        <v>0</v>
      </c>
      <c r="FL37" s="261">
        <f>+NT!FE9</f>
        <v>0</v>
      </c>
      <c r="FM37" s="301"/>
      <c r="FN37" s="282">
        <f>+NT!FF9</f>
        <v>0</v>
      </c>
      <c r="FO37" s="261">
        <f>+NT!FG9</f>
        <v>0</v>
      </c>
      <c r="FP37" s="261">
        <f>+NT!FH9</f>
        <v>0</v>
      </c>
      <c r="FQ37" s="261">
        <f>+NT!FI9</f>
        <v>0</v>
      </c>
      <c r="FR37" s="261">
        <f>+NT!FJ9</f>
        <v>0</v>
      </c>
      <c r="FS37" s="261">
        <f>+NT!FK9</f>
        <v>0</v>
      </c>
      <c r="FT37" s="261">
        <f>+NT!FL9</f>
        <v>0</v>
      </c>
      <c r="FU37" s="261">
        <f>+NT!FM9</f>
        <v>0</v>
      </c>
      <c r="FV37" s="261">
        <f>+NT!FN9</f>
        <v>0</v>
      </c>
      <c r="FW37" s="261">
        <f>+NT!FO9</f>
        <v>0</v>
      </c>
      <c r="FX37" s="261">
        <f>+NT!FP9</f>
        <v>0</v>
      </c>
      <c r="FY37" s="261">
        <f>+NT!FQ9</f>
        <v>0</v>
      </c>
      <c r="FZ37" s="261">
        <f>+NT!FR9</f>
        <v>0</v>
      </c>
      <c r="GA37" s="301"/>
      <c r="GB37" s="284"/>
      <c r="GC37" s="270"/>
      <c r="GD37" s="270"/>
      <c r="GE37" s="270"/>
      <c r="GF37" s="270"/>
      <c r="GG37" s="270"/>
      <c r="GH37" s="270"/>
      <c r="GI37" s="270"/>
      <c r="GJ37" s="270"/>
      <c r="GK37" s="270"/>
      <c r="GL37" s="270"/>
      <c r="GM37" s="270"/>
      <c r="GN37" s="270"/>
      <c r="GO37" s="303"/>
      <c r="GP37" s="284"/>
      <c r="GQ37" s="270"/>
      <c r="GR37" s="270"/>
      <c r="GS37" s="270"/>
      <c r="GT37" s="270"/>
      <c r="GU37" s="270"/>
      <c r="GV37" s="270"/>
      <c r="GW37" s="270"/>
      <c r="GX37" s="270"/>
      <c r="GY37" s="270"/>
      <c r="GZ37" s="270"/>
      <c r="HA37" s="270"/>
      <c r="HB37" s="270"/>
      <c r="HC37" s="303"/>
      <c r="HD37" s="284"/>
      <c r="HE37" s="270"/>
      <c r="HF37" s="270"/>
      <c r="HG37" s="270"/>
      <c r="HH37" s="270"/>
      <c r="HI37" s="270"/>
      <c r="HJ37" s="270"/>
      <c r="HK37" s="270"/>
      <c r="HL37" s="270"/>
      <c r="HM37" s="270"/>
      <c r="HN37" s="270"/>
      <c r="HO37" s="270"/>
      <c r="HP37" s="270"/>
      <c r="HQ37" s="303"/>
      <c r="HR37" s="284" t="str">
        <f t="shared" ref="HR37:ID37" si="91">IFERROR(EZ37/$EZ$37*100,"")</f>
        <v/>
      </c>
      <c r="HS37" s="270" t="str">
        <f t="shared" si="91"/>
        <v/>
      </c>
      <c r="HT37" s="270" t="str">
        <f t="shared" si="91"/>
        <v/>
      </c>
      <c r="HU37" s="270" t="str">
        <f t="shared" si="91"/>
        <v/>
      </c>
      <c r="HV37" s="270" t="str">
        <f t="shared" si="91"/>
        <v/>
      </c>
      <c r="HW37" s="270" t="str">
        <f t="shared" si="91"/>
        <v/>
      </c>
      <c r="HX37" s="270" t="str">
        <f t="shared" si="91"/>
        <v/>
      </c>
      <c r="HY37" s="270" t="str">
        <f t="shared" si="91"/>
        <v/>
      </c>
      <c r="HZ37" s="270" t="str">
        <f t="shared" si="91"/>
        <v/>
      </c>
      <c r="IA37" s="270" t="str">
        <f t="shared" si="91"/>
        <v/>
      </c>
      <c r="IB37" s="270" t="str">
        <f t="shared" si="91"/>
        <v/>
      </c>
      <c r="IC37" s="270" t="str">
        <f t="shared" si="91"/>
        <v/>
      </c>
      <c r="ID37" s="288" t="str">
        <f t="shared" si="91"/>
        <v/>
      </c>
    </row>
    <row r="38" spans="1:238" x14ac:dyDescent="0.2">
      <c r="A38" s="307" t="s">
        <v>17</v>
      </c>
      <c r="B38" s="258">
        <f>+Sydtrafik!F9</f>
        <v>17.900000000000002</v>
      </c>
      <c r="C38" s="258">
        <f>+Sydtrafik!G9</f>
        <v>13.2</v>
      </c>
      <c r="D38" s="258">
        <f>+Sydtrafik!H9</f>
        <v>17.8</v>
      </c>
      <c r="E38" s="258">
        <f>+Sydtrafik!I9</f>
        <v>20</v>
      </c>
      <c r="F38" s="258">
        <f>+Sydtrafik!J9</f>
        <v>22.6</v>
      </c>
      <c r="G38" s="258">
        <f>+Sydtrafik!K9</f>
        <v>25.1</v>
      </c>
      <c r="H38" s="258">
        <f>+Sydtrafik!L9</f>
        <v>27.1</v>
      </c>
      <c r="I38" s="258">
        <f>+Sydtrafik!M9</f>
        <v>26.2</v>
      </c>
      <c r="J38" s="258">
        <f>+Sydtrafik!N9</f>
        <v>26.9</v>
      </c>
      <c r="K38" s="258">
        <f>+Sydtrafik!O9</f>
        <v>0</v>
      </c>
      <c r="L38" s="258">
        <f>+Sydtrafik!P9</f>
        <v>0</v>
      </c>
      <c r="M38" s="258">
        <f>+Sydtrafik!Q9</f>
        <v>0</v>
      </c>
      <c r="N38" s="258">
        <f>+Sydtrafik!R9</f>
        <v>0</v>
      </c>
      <c r="O38" s="295"/>
      <c r="P38" s="275">
        <f>+Sydtrafik!S9</f>
        <v>256.59999999999997</v>
      </c>
      <c r="Q38" s="258">
        <f>+Sydtrafik!T9</f>
        <v>244.20000000000002</v>
      </c>
      <c r="R38" s="258">
        <f>+Sydtrafik!U9</f>
        <v>255.7</v>
      </c>
      <c r="S38" s="258">
        <f>+Sydtrafik!V9</f>
        <v>274.2</v>
      </c>
      <c r="T38" s="258">
        <f>+Sydtrafik!W9</f>
        <v>303.3</v>
      </c>
      <c r="U38" s="258">
        <f>+Sydtrafik!X9</f>
        <v>326.60000000000002</v>
      </c>
      <c r="V38" s="258">
        <f>+Sydtrafik!Y9</f>
        <v>294.49999999999994</v>
      </c>
      <c r="W38" s="258">
        <f>+Sydtrafik!Z9</f>
        <v>302.70000000000005</v>
      </c>
      <c r="X38" s="258">
        <f>+Sydtrafik!AA9</f>
        <v>299.69999999999993</v>
      </c>
      <c r="Y38" s="258">
        <f>+Sydtrafik!AB9</f>
        <v>0</v>
      </c>
      <c r="Z38" s="258">
        <f>+Sydtrafik!AC9</f>
        <v>0</v>
      </c>
      <c r="AA38" s="258">
        <f>+Sydtrafik!AD9</f>
        <v>0</v>
      </c>
      <c r="AB38" s="258">
        <f>+Sydtrafik!AE9</f>
        <v>0</v>
      </c>
      <c r="AC38" s="295"/>
      <c r="AD38" s="275">
        <f>+Sydtrafik!AF9</f>
        <v>34.4</v>
      </c>
      <c r="AE38" s="258">
        <f>+Sydtrafik!AG9</f>
        <v>39.1</v>
      </c>
      <c r="AF38" s="258">
        <f>+Sydtrafik!AH9</f>
        <v>35.800000000000004</v>
      </c>
      <c r="AG38" s="258">
        <f>+Sydtrafik!AI9</f>
        <v>40</v>
      </c>
      <c r="AH38" s="258">
        <f>+Sydtrafik!AJ9</f>
        <v>37.699999999999996</v>
      </c>
      <c r="AI38" s="258">
        <f>+Sydtrafik!AK9</f>
        <v>39.200000000000003</v>
      </c>
      <c r="AJ38" s="258">
        <f>+Sydtrafik!AL9</f>
        <v>39.099999999999994</v>
      </c>
      <c r="AK38" s="258">
        <f>+Sydtrafik!AM9</f>
        <v>45.199999999999996</v>
      </c>
      <c r="AL38" s="258">
        <f>+Sydtrafik!AN9</f>
        <v>47.3</v>
      </c>
      <c r="AM38" s="258">
        <f>+Sydtrafik!AO9</f>
        <v>0</v>
      </c>
      <c r="AN38" s="258">
        <f>+Sydtrafik!AP9</f>
        <v>0</v>
      </c>
      <c r="AO38" s="258">
        <f>+Sydtrafik!AQ9</f>
        <v>0</v>
      </c>
      <c r="AP38" s="258">
        <f>+Sydtrafik!AR9</f>
        <v>0</v>
      </c>
      <c r="AQ38" s="295"/>
      <c r="AR38" s="275">
        <f>+Sydtrafik!AS9</f>
        <v>0</v>
      </c>
      <c r="AS38" s="258">
        <f>+Sydtrafik!AT9</f>
        <v>0</v>
      </c>
      <c r="AT38" s="258">
        <f>+Sydtrafik!AU9</f>
        <v>0</v>
      </c>
      <c r="AU38" s="258">
        <f>+Sydtrafik!AV9</f>
        <v>0</v>
      </c>
      <c r="AV38" s="258">
        <f>+Sydtrafik!AW9</f>
        <v>0</v>
      </c>
      <c r="AW38" s="258">
        <f>+Sydtrafik!AX9</f>
        <v>0</v>
      </c>
      <c r="AX38" s="258">
        <f>+Sydtrafik!AY9</f>
        <v>0</v>
      </c>
      <c r="AY38" s="258">
        <f>+Sydtrafik!AZ9</f>
        <v>0</v>
      </c>
      <c r="AZ38" s="258">
        <f>+Sydtrafik!BA9</f>
        <v>0</v>
      </c>
      <c r="BA38" s="258">
        <f>+Sydtrafik!BB9</f>
        <v>0</v>
      </c>
      <c r="BB38" s="258">
        <f>+Sydtrafik!BC9</f>
        <v>0</v>
      </c>
      <c r="BC38" s="258">
        <f>+Sydtrafik!BD9</f>
        <v>0</v>
      </c>
      <c r="BD38" s="258">
        <f>+Sydtrafik!BE9</f>
        <v>0</v>
      </c>
      <c r="BE38" s="295"/>
      <c r="BF38" s="275">
        <f>+Sydtrafik!BF9</f>
        <v>0</v>
      </c>
      <c r="BG38" s="258">
        <f>+Sydtrafik!BG9</f>
        <v>0</v>
      </c>
      <c r="BH38" s="258">
        <f>+Sydtrafik!BH9</f>
        <v>0</v>
      </c>
      <c r="BI38" s="258">
        <f>+Sydtrafik!BI9</f>
        <v>0</v>
      </c>
      <c r="BJ38" s="258">
        <f>+Sydtrafik!BJ9</f>
        <v>0</v>
      </c>
      <c r="BK38" s="258">
        <f>+Sydtrafik!BK9</f>
        <v>0</v>
      </c>
      <c r="BL38" s="258">
        <f>+Sydtrafik!BL9</f>
        <v>0</v>
      </c>
      <c r="BM38" s="258">
        <f>+Sydtrafik!BM9</f>
        <v>0</v>
      </c>
      <c r="BN38" s="258">
        <f>+Sydtrafik!BN9</f>
        <v>0</v>
      </c>
      <c r="BO38" s="258">
        <f>+Sydtrafik!BO9</f>
        <v>0</v>
      </c>
      <c r="BP38" s="258">
        <f>+Sydtrafik!BP9</f>
        <v>0</v>
      </c>
      <c r="BQ38" s="258">
        <f>+Sydtrafik!BQ9</f>
        <v>0</v>
      </c>
      <c r="BR38" s="258">
        <f>+Sydtrafik!BR9</f>
        <v>0</v>
      </c>
      <c r="BS38" s="295"/>
      <c r="BT38" s="278">
        <f>+Sydtrafik!BS9</f>
        <v>0</v>
      </c>
      <c r="BU38" s="259">
        <f>+Sydtrafik!BT9</f>
        <v>-28.2</v>
      </c>
      <c r="BV38" s="259">
        <f>+Sydtrafik!BU9</f>
        <v>9.3000000000000007</v>
      </c>
      <c r="BW38" s="259">
        <f>+Sydtrafik!BV9</f>
        <v>0</v>
      </c>
      <c r="BX38" s="259">
        <f>+Sydtrafik!BW9</f>
        <v>0</v>
      </c>
      <c r="BY38" s="259">
        <f>+Sydtrafik!BX9</f>
        <v>0</v>
      </c>
      <c r="BZ38" s="259">
        <f>+Sydtrafik!BY9</f>
        <v>0</v>
      </c>
      <c r="CA38" s="259">
        <f>+Sydtrafik!BZ9</f>
        <v>0</v>
      </c>
      <c r="CB38" s="259">
        <f>+Sydtrafik!CA9</f>
        <v>0</v>
      </c>
      <c r="CC38" s="259">
        <f>+Sydtrafik!CB9</f>
        <v>0</v>
      </c>
      <c r="CD38" s="259">
        <f>+Sydtrafik!CC9</f>
        <v>0</v>
      </c>
      <c r="CE38" s="259">
        <f>+Sydtrafik!CD9</f>
        <v>0</v>
      </c>
      <c r="CF38" s="259">
        <f>+Sydtrafik!CE9</f>
        <v>0</v>
      </c>
      <c r="CG38" s="297"/>
      <c r="CH38" s="278">
        <f>+Sydtrafik!CF9</f>
        <v>0</v>
      </c>
      <c r="CI38" s="259">
        <f>+Sydtrafik!CG9</f>
        <v>0</v>
      </c>
      <c r="CJ38" s="259">
        <f>+Sydtrafik!CH9</f>
        <v>0</v>
      </c>
      <c r="CK38" s="259">
        <f>+Sydtrafik!CI9</f>
        <v>0</v>
      </c>
      <c r="CL38" s="259">
        <f>+Sydtrafik!CJ9</f>
        <v>0</v>
      </c>
      <c r="CM38" s="259">
        <f>+Sydtrafik!CK9</f>
        <v>0</v>
      </c>
      <c r="CN38" s="259">
        <f>+Sydtrafik!CL9</f>
        <v>0</v>
      </c>
      <c r="CO38" s="259">
        <f>+Sydtrafik!CM9</f>
        <v>0</v>
      </c>
      <c r="CP38" s="259">
        <f>+Sydtrafik!CN9</f>
        <v>0</v>
      </c>
      <c r="CQ38" s="259">
        <f>+Sydtrafik!CO9</f>
        <v>0</v>
      </c>
      <c r="CR38" s="259">
        <f>+Sydtrafik!CP9</f>
        <v>0</v>
      </c>
      <c r="CS38" s="259">
        <f>+Sydtrafik!CQ9</f>
        <v>0</v>
      </c>
      <c r="CT38" s="259">
        <f>+Sydtrafik!CR9</f>
        <v>0</v>
      </c>
      <c r="CU38" s="297"/>
      <c r="CV38" s="278">
        <f>+Sydtrafik!CS9</f>
        <v>0</v>
      </c>
      <c r="CW38" s="259">
        <f>+Sydtrafik!CT9</f>
        <v>0</v>
      </c>
      <c r="CX38" s="259">
        <f>+Sydtrafik!CU9</f>
        <v>0</v>
      </c>
      <c r="CY38" s="259">
        <f>+Sydtrafik!CV9</f>
        <v>0</v>
      </c>
      <c r="CZ38" s="259">
        <f>+Sydtrafik!CW9</f>
        <v>0</v>
      </c>
      <c r="DA38" s="259">
        <f>+Sydtrafik!CX9</f>
        <v>0</v>
      </c>
      <c r="DB38" s="259">
        <f>+Sydtrafik!CY9</f>
        <v>0</v>
      </c>
      <c r="DC38" s="259">
        <f>+Sydtrafik!CZ9</f>
        <v>0</v>
      </c>
      <c r="DD38" s="259">
        <f>+Sydtrafik!DA9</f>
        <v>0</v>
      </c>
      <c r="DE38" s="259">
        <f>+Sydtrafik!DB9</f>
        <v>0</v>
      </c>
      <c r="DF38" s="259">
        <f>+Sydtrafik!DC9</f>
        <v>0</v>
      </c>
      <c r="DG38" s="259">
        <f>+Sydtrafik!DD9</f>
        <v>0</v>
      </c>
      <c r="DH38" s="259">
        <f>+Sydtrafik!DE9</f>
        <v>0</v>
      </c>
      <c r="DI38" s="297"/>
      <c r="DJ38" s="280">
        <f>+Sydtrafik!DF9</f>
        <v>0</v>
      </c>
      <c r="DK38" s="260">
        <f>+Sydtrafik!DG9</f>
        <v>0</v>
      </c>
      <c r="DL38" s="260">
        <f>+Sydtrafik!DH9</f>
        <v>0</v>
      </c>
      <c r="DM38" s="260">
        <f>+Sydtrafik!DI9</f>
        <v>0</v>
      </c>
      <c r="DN38" s="260">
        <f>+Sydtrafik!DJ9</f>
        <v>0</v>
      </c>
      <c r="DO38" s="260">
        <f>+Sydtrafik!DK9</f>
        <v>0</v>
      </c>
      <c r="DP38" s="260">
        <f>+Sydtrafik!DL9</f>
        <v>0</v>
      </c>
      <c r="DQ38" s="260">
        <f>+Sydtrafik!DM9</f>
        <v>0</v>
      </c>
      <c r="DR38" s="260">
        <f>+Sydtrafik!DN9</f>
        <v>0</v>
      </c>
      <c r="DS38" s="260">
        <f>+Sydtrafik!DO9</f>
        <v>0</v>
      </c>
      <c r="DT38" s="260">
        <f>+Sydtrafik!DP9</f>
        <v>0</v>
      </c>
      <c r="DU38" s="260">
        <f>+Sydtrafik!DQ9</f>
        <v>0</v>
      </c>
      <c r="DV38" s="260">
        <f>+Sydtrafik!DR9</f>
        <v>0</v>
      </c>
      <c r="DW38" s="299"/>
      <c r="DX38" s="282">
        <f>+Sydtrafik!DS9</f>
        <v>0</v>
      </c>
      <c r="DY38" s="261">
        <f>+Sydtrafik!DT9</f>
        <v>0</v>
      </c>
      <c r="DZ38" s="261">
        <f>+Sydtrafik!DU9</f>
        <v>0</v>
      </c>
      <c r="EA38" s="261">
        <f>+Sydtrafik!DV9</f>
        <v>0</v>
      </c>
      <c r="EB38" s="261">
        <f>+Sydtrafik!DW9</f>
        <v>0</v>
      </c>
      <c r="EC38" s="261">
        <f>+Sydtrafik!DX9</f>
        <v>0</v>
      </c>
      <c r="ED38" s="261">
        <f>+Sydtrafik!DY9</f>
        <v>0</v>
      </c>
      <c r="EE38" s="261">
        <f>+Sydtrafik!DZ9</f>
        <v>0</v>
      </c>
      <c r="EF38" s="261">
        <f>+Sydtrafik!EA9</f>
        <v>0</v>
      </c>
      <c r="EG38" s="261">
        <f>+Sydtrafik!EB9</f>
        <v>0</v>
      </c>
      <c r="EH38" s="261">
        <f>+Sydtrafik!EC9</f>
        <v>0</v>
      </c>
      <c r="EI38" s="261">
        <f>+Sydtrafik!ED9</f>
        <v>0</v>
      </c>
      <c r="EJ38" s="261">
        <f>+Sydtrafik!EE9</f>
        <v>0</v>
      </c>
      <c r="EK38" s="301"/>
      <c r="EL38" s="282">
        <f>+Sydtrafik!EF9</f>
        <v>0</v>
      </c>
      <c r="EM38" s="261">
        <f>+Sydtrafik!EG9</f>
        <v>0</v>
      </c>
      <c r="EN38" s="261">
        <f>+Sydtrafik!EH9</f>
        <v>0</v>
      </c>
      <c r="EO38" s="261">
        <f>+Sydtrafik!EI9</f>
        <v>0</v>
      </c>
      <c r="EP38" s="261">
        <f>+Sydtrafik!EJ9</f>
        <v>0</v>
      </c>
      <c r="EQ38" s="261">
        <f>+Sydtrafik!EK9</f>
        <v>0</v>
      </c>
      <c r="ER38" s="261">
        <f>+Sydtrafik!EL9</f>
        <v>0</v>
      </c>
      <c r="ES38" s="261">
        <f>+Sydtrafik!EM9</f>
        <v>0</v>
      </c>
      <c r="ET38" s="261">
        <f>+Sydtrafik!EN9</f>
        <v>0</v>
      </c>
      <c r="EU38" s="261">
        <f>+Sydtrafik!EO9</f>
        <v>0</v>
      </c>
      <c r="EV38" s="261">
        <f>+Sydtrafik!EP9</f>
        <v>0</v>
      </c>
      <c r="EW38" s="261">
        <f>+Sydtrafik!EQ9</f>
        <v>0</v>
      </c>
      <c r="EX38" s="261">
        <f>+Sydtrafik!ER9</f>
        <v>0</v>
      </c>
      <c r="EY38" s="301"/>
      <c r="EZ38" s="282">
        <f>+Sydtrafik!ES9</f>
        <v>0</v>
      </c>
      <c r="FA38" s="261">
        <f>+Sydtrafik!ET9</f>
        <v>0</v>
      </c>
      <c r="FB38" s="261">
        <f>+Sydtrafik!EU9</f>
        <v>0</v>
      </c>
      <c r="FC38" s="261">
        <f>+Sydtrafik!EV9</f>
        <v>0</v>
      </c>
      <c r="FD38" s="261">
        <f>+Sydtrafik!EW9</f>
        <v>0</v>
      </c>
      <c r="FE38" s="261">
        <f>+Sydtrafik!EX9</f>
        <v>0</v>
      </c>
      <c r="FF38" s="261">
        <f>+Sydtrafik!EY9</f>
        <v>0</v>
      </c>
      <c r="FG38" s="261">
        <f>+Sydtrafik!EZ9</f>
        <v>0</v>
      </c>
      <c r="FH38" s="261">
        <f>+Sydtrafik!FA9</f>
        <v>0</v>
      </c>
      <c r="FI38" s="261">
        <f>+Sydtrafik!FB9</f>
        <v>0</v>
      </c>
      <c r="FJ38" s="261">
        <f>+Sydtrafik!FC9</f>
        <v>0</v>
      </c>
      <c r="FK38" s="261">
        <f>+Sydtrafik!FD9</f>
        <v>0</v>
      </c>
      <c r="FL38" s="261">
        <f>+Sydtrafik!FE9</f>
        <v>0</v>
      </c>
      <c r="FM38" s="301"/>
      <c r="FN38" s="282">
        <f>+Sydtrafik!FF9</f>
        <v>0</v>
      </c>
      <c r="FO38" s="261">
        <f>+Sydtrafik!FG9</f>
        <v>0</v>
      </c>
      <c r="FP38" s="261">
        <f>+Sydtrafik!FH9</f>
        <v>0</v>
      </c>
      <c r="FQ38" s="261">
        <f>+Sydtrafik!FI9</f>
        <v>0</v>
      </c>
      <c r="FR38" s="261">
        <f>+Sydtrafik!FJ9</f>
        <v>0</v>
      </c>
      <c r="FS38" s="261">
        <f>+Sydtrafik!FK9</f>
        <v>0</v>
      </c>
      <c r="FT38" s="261">
        <f>+Sydtrafik!FL9</f>
        <v>0</v>
      </c>
      <c r="FU38" s="261">
        <f>+Sydtrafik!FM9</f>
        <v>0</v>
      </c>
      <c r="FV38" s="261">
        <f>+Sydtrafik!FN9</f>
        <v>0</v>
      </c>
      <c r="FW38" s="261">
        <f>+Sydtrafik!FO9</f>
        <v>0</v>
      </c>
      <c r="FX38" s="261">
        <f>+Sydtrafik!FP9</f>
        <v>0</v>
      </c>
      <c r="FY38" s="261">
        <f>+Sydtrafik!FQ9</f>
        <v>0</v>
      </c>
      <c r="FZ38" s="261">
        <f>+Sydtrafik!FR9</f>
        <v>0</v>
      </c>
      <c r="GA38" s="301"/>
      <c r="GB38" s="284"/>
      <c r="GC38" s="270"/>
      <c r="GD38" s="270"/>
      <c r="GE38" s="270"/>
      <c r="GF38" s="270"/>
      <c r="GG38" s="270"/>
      <c r="GH38" s="270"/>
      <c r="GI38" s="270"/>
      <c r="GJ38" s="270"/>
      <c r="GK38" s="270"/>
      <c r="GL38" s="270"/>
      <c r="GM38" s="270"/>
      <c r="GN38" s="270"/>
      <c r="GO38" s="303"/>
      <c r="GP38" s="284"/>
      <c r="GQ38" s="270"/>
      <c r="GR38" s="270"/>
      <c r="GS38" s="270"/>
      <c r="GT38" s="270"/>
      <c r="GU38" s="270"/>
      <c r="GV38" s="270"/>
      <c r="GW38" s="270"/>
      <c r="GX38" s="270"/>
      <c r="GY38" s="270"/>
      <c r="GZ38" s="270"/>
      <c r="HA38" s="270"/>
      <c r="HB38" s="270"/>
      <c r="HC38" s="303"/>
      <c r="HD38" s="284"/>
      <c r="HE38" s="270"/>
      <c r="HF38" s="270"/>
      <c r="HG38" s="270"/>
      <c r="HH38" s="270"/>
      <c r="HI38" s="270"/>
      <c r="HJ38" s="270"/>
      <c r="HK38" s="270"/>
      <c r="HL38" s="270"/>
      <c r="HM38" s="270"/>
      <c r="HN38" s="270"/>
      <c r="HO38" s="270"/>
      <c r="HP38" s="270"/>
      <c r="HQ38" s="303"/>
      <c r="HR38" s="284" t="str">
        <f t="shared" ref="HR38:ID38" si="92">IFERROR(EZ38/$EZ$38*100,"")</f>
        <v/>
      </c>
      <c r="HS38" s="270" t="str">
        <f t="shared" si="92"/>
        <v/>
      </c>
      <c r="HT38" s="270" t="str">
        <f t="shared" si="92"/>
        <v/>
      </c>
      <c r="HU38" s="270" t="str">
        <f t="shared" si="92"/>
        <v/>
      </c>
      <c r="HV38" s="270" t="str">
        <f t="shared" si="92"/>
        <v/>
      </c>
      <c r="HW38" s="270" t="str">
        <f t="shared" si="92"/>
        <v/>
      </c>
      <c r="HX38" s="270" t="str">
        <f t="shared" si="92"/>
        <v/>
      </c>
      <c r="HY38" s="270" t="str">
        <f t="shared" si="92"/>
        <v/>
      </c>
      <c r="HZ38" s="270" t="str">
        <f t="shared" si="92"/>
        <v/>
      </c>
      <c r="IA38" s="270" t="str">
        <f t="shared" si="92"/>
        <v/>
      </c>
      <c r="IB38" s="270" t="str">
        <f t="shared" si="92"/>
        <v/>
      </c>
      <c r="IC38" s="270" t="str">
        <f t="shared" si="92"/>
        <v/>
      </c>
      <c r="ID38" s="288" t="str">
        <f t="shared" si="92"/>
        <v/>
      </c>
    </row>
    <row r="39" spans="1:238" ht="15.75" thickBot="1" x14ac:dyDescent="0.3">
      <c r="A39" s="308" t="s">
        <v>44</v>
      </c>
      <c r="B39" s="265">
        <f t="shared" ref="B39:N39" si="93">SUM(B33:B38)</f>
        <v>110.9183079</v>
      </c>
      <c r="C39" s="265">
        <f t="shared" si="93"/>
        <v>84.378483799999998</v>
      </c>
      <c r="D39" s="265">
        <f t="shared" si="93"/>
        <v>106.088677</v>
      </c>
      <c r="E39" s="265">
        <f t="shared" si="93"/>
        <v>120.1318677</v>
      </c>
      <c r="F39" s="265">
        <f t="shared" si="93"/>
        <v>134.5030821</v>
      </c>
      <c r="G39" s="265">
        <f t="shared" si="93"/>
        <v>151.87817520000002</v>
      </c>
      <c r="H39" s="265">
        <f t="shared" si="93"/>
        <v>166.3416781</v>
      </c>
      <c r="I39" s="265">
        <f t="shared" si="93"/>
        <v>163.27441558334863</v>
      </c>
      <c r="J39" s="265">
        <f t="shared" si="93"/>
        <v>160.40853750000002</v>
      </c>
      <c r="K39" s="265">
        <f t="shared" si="93"/>
        <v>0</v>
      </c>
      <c r="L39" s="265">
        <f t="shared" si="93"/>
        <v>78.628410000000002</v>
      </c>
      <c r="M39" s="265">
        <f t="shared" si="93"/>
        <v>0</v>
      </c>
      <c r="N39" s="265">
        <f t="shared" si="93"/>
        <v>0</v>
      </c>
      <c r="O39" s="296"/>
      <c r="P39" s="276">
        <f t="shared" ref="P39:AB39" si="94">SUM(P33:P38)</f>
        <v>1765.0898195999998</v>
      </c>
      <c r="Q39" s="265">
        <f t="shared" si="94"/>
        <v>1630.7983376</v>
      </c>
      <c r="R39" s="265">
        <f t="shared" si="94"/>
        <v>1792.8285152999999</v>
      </c>
      <c r="S39" s="265">
        <f t="shared" si="94"/>
        <v>2047.9572150000001</v>
      </c>
      <c r="T39" s="265">
        <f t="shared" si="94"/>
        <v>2240.1162363000003</v>
      </c>
      <c r="U39" s="265">
        <f t="shared" si="94"/>
        <v>2354.9805832000002</v>
      </c>
      <c r="V39" s="265">
        <f t="shared" si="94"/>
        <v>2227.6916046000001</v>
      </c>
      <c r="W39" s="265">
        <f t="shared" si="94"/>
        <v>2314.8324549267063</v>
      </c>
      <c r="X39" s="265">
        <f t="shared" si="94"/>
        <v>2329.6882467</v>
      </c>
      <c r="Y39" s="265">
        <f t="shared" si="94"/>
        <v>0</v>
      </c>
      <c r="Z39" s="265">
        <f t="shared" si="94"/>
        <v>832.83051999999998</v>
      </c>
      <c r="AA39" s="265">
        <f t="shared" si="94"/>
        <v>0</v>
      </c>
      <c r="AB39" s="265">
        <f t="shared" si="94"/>
        <v>0</v>
      </c>
      <c r="AC39" s="296"/>
      <c r="AD39" s="276">
        <f t="shared" ref="AD39:AP39" si="95">SUM(AD33:AD38)</f>
        <v>159.99173099999999</v>
      </c>
      <c r="AE39" s="265">
        <f t="shared" si="95"/>
        <v>174.48344319999998</v>
      </c>
      <c r="AF39" s="265">
        <f t="shared" si="95"/>
        <v>176.23751340000001</v>
      </c>
      <c r="AG39" s="265">
        <f t="shared" si="95"/>
        <v>186.13821590000001</v>
      </c>
      <c r="AH39" s="265">
        <f t="shared" si="95"/>
        <v>180.52382269999998</v>
      </c>
      <c r="AI39" s="265">
        <f t="shared" si="95"/>
        <v>201.78636239999997</v>
      </c>
      <c r="AJ39" s="265">
        <f t="shared" si="95"/>
        <v>206.49855160000001</v>
      </c>
      <c r="AK39" s="265">
        <f t="shared" si="95"/>
        <v>231.71286827803772</v>
      </c>
      <c r="AL39" s="265">
        <f t="shared" si="95"/>
        <v>232.40422560000002</v>
      </c>
      <c r="AM39" s="265">
        <f t="shared" si="95"/>
        <v>0</v>
      </c>
      <c r="AN39" s="265">
        <f t="shared" si="95"/>
        <v>140.19999999999999</v>
      </c>
      <c r="AO39" s="265">
        <f t="shared" si="95"/>
        <v>0</v>
      </c>
      <c r="AP39" s="265">
        <f t="shared" si="95"/>
        <v>0</v>
      </c>
      <c r="AQ39" s="296"/>
      <c r="AR39" s="276">
        <f t="shared" ref="AR39:BD39" si="96">SUM(AR33:AR38)</f>
        <v>0</v>
      </c>
      <c r="AS39" s="265">
        <f t="shared" si="96"/>
        <v>0</v>
      </c>
      <c r="AT39" s="265">
        <f t="shared" si="96"/>
        <v>0</v>
      </c>
      <c r="AU39" s="265">
        <f t="shared" si="96"/>
        <v>0</v>
      </c>
      <c r="AV39" s="265">
        <f t="shared" si="96"/>
        <v>0</v>
      </c>
      <c r="AW39" s="265">
        <f t="shared" si="96"/>
        <v>0</v>
      </c>
      <c r="AX39" s="265">
        <f t="shared" si="96"/>
        <v>0</v>
      </c>
      <c r="AY39" s="265">
        <f t="shared" si="96"/>
        <v>0</v>
      </c>
      <c r="AZ39" s="265">
        <f t="shared" si="96"/>
        <v>0</v>
      </c>
      <c r="BA39" s="265">
        <f t="shared" si="96"/>
        <v>0</v>
      </c>
      <c r="BB39" s="265">
        <f t="shared" si="96"/>
        <v>0</v>
      </c>
      <c r="BC39" s="265">
        <f t="shared" si="96"/>
        <v>0</v>
      </c>
      <c r="BD39" s="265">
        <f t="shared" si="96"/>
        <v>0</v>
      </c>
      <c r="BE39" s="296"/>
      <c r="BF39" s="276">
        <f t="shared" ref="BF39:BR39" si="97">SUM(BF33:BF38)</f>
        <v>1.0184152000000002</v>
      </c>
      <c r="BG39" s="265">
        <f t="shared" si="97"/>
        <v>1.2107348</v>
      </c>
      <c r="BH39" s="265">
        <f t="shared" si="97"/>
        <v>3.11793E-2</v>
      </c>
      <c r="BI39" s="265">
        <f t="shared" si="97"/>
        <v>5.7318499999999994E-2</v>
      </c>
      <c r="BJ39" s="265">
        <f t="shared" si="97"/>
        <v>2.7260000000000001E-3</v>
      </c>
      <c r="BK39" s="265">
        <f t="shared" si="97"/>
        <v>-0.51986249999999989</v>
      </c>
      <c r="BL39" s="265">
        <f t="shared" si="97"/>
        <v>-0.23641020000000001</v>
      </c>
      <c r="BM39" s="265">
        <f t="shared" si="97"/>
        <v>1.5422E-2</v>
      </c>
      <c r="BN39" s="265">
        <f t="shared" si="97"/>
        <v>-0.1407583</v>
      </c>
      <c r="BO39" s="265">
        <f t="shared" si="97"/>
        <v>0</v>
      </c>
      <c r="BP39" s="265">
        <f t="shared" si="97"/>
        <v>0</v>
      </c>
      <c r="BQ39" s="265">
        <f t="shared" si="97"/>
        <v>0</v>
      </c>
      <c r="BR39" s="265">
        <f t="shared" si="97"/>
        <v>0</v>
      </c>
      <c r="BS39" s="296"/>
      <c r="BT39" s="279">
        <f t="shared" ref="BT39:CF39" si="98">SUM(BT33:BT38)</f>
        <v>0</v>
      </c>
      <c r="BU39" s="266">
        <f t="shared" si="98"/>
        <v>11.656801699999992</v>
      </c>
      <c r="BV39" s="266">
        <f t="shared" si="98"/>
        <v>63.448469299999999</v>
      </c>
      <c r="BW39" s="266">
        <f t="shared" si="98"/>
        <v>4.7362508999999999</v>
      </c>
      <c r="BX39" s="266">
        <f t="shared" si="98"/>
        <v>-1.9693430999999997</v>
      </c>
      <c r="BY39" s="266">
        <f t="shared" si="98"/>
        <v>-0.61143130000000001</v>
      </c>
      <c r="BZ39" s="266">
        <f t="shared" si="98"/>
        <v>0</v>
      </c>
      <c r="CA39" s="266">
        <f t="shared" si="98"/>
        <v>0</v>
      </c>
      <c r="CB39" s="266">
        <f t="shared" si="98"/>
        <v>0</v>
      </c>
      <c r="CC39" s="266">
        <f t="shared" si="98"/>
        <v>0</v>
      </c>
      <c r="CD39" s="266">
        <f t="shared" si="98"/>
        <v>0</v>
      </c>
      <c r="CE39" s="266">
        <f t="shared" si="98"/>
        <v>0</v>
      </c>
      <c r="CF39" s="266">
        <f t="shared" si="98"/>
        <v>0</v>
      </c>
      <c r="CG39" s="298"/>
      <c r="CH39" s="279">
        <f t="shared" ref="CH39:CT39" si="99">SUM(CH33:CH38)</f>
        <v>1022.4469658</v>
      </c>
      <c r="CI39" s="266">
        <f t="shared" si="99"/>
        <v>956.43452560000014</v>
      </c>
      <c r="CJ39" s="266">
        <f t="shared" si="99"/>
        <v>1051.5502080000001</v>
      </c>
      <c r="CK39" s="266">
        <f t="shared" si="99"/>
        <v>1228.0137394000001</v>
      </c>
      <c r="CL39" s="266">
        <f t="shared" si="99"/>
        <v>1293.3767849999999</v>
      </c>
      <c r="CM39" s="266">
        <f t="shared" si="99"/>
        <v>1349.3810831000001</v>
      </c>
      <c r="CN39" s="266">
        <f t="shared" si="99"/>
        <v>1326.274823</v>
      </c>
      <c r="CO39" s="266">
        <f t="shared" si="99"/>
        <v>1389.0202125000001</v>
      </c>
      <c r="CP39" s="266">
        <f t="shared" si="99"/>
        <v>1425.5280039999998</v>
      </c>
      <c r="CQ39" s="266">
        <f t="shared" si="99"/>
        <v>0</v>
      </c>
      <c r="CR39" s="266">
        <f t="shared" si="99"/>
        <v>973.03051000000005</v>
      </c>
      <c r="CS39" s="266">
        <f t="shared" si="99"/>
        <v>0</v>
      </c>
      <c r="CT39" s="266">
        <f t="shared" si="99"/>
        <v>0</v>
      </c>
      <c r="CU39" s="298"/>
      <c r="CV39" s="279">
        <f t="shared" ref="CV39:DH39" si="100">SUM(CV33:CV38)</f>
        <v>954.94465790000004</v>
      </c>
      <c r="CW39" s="266">
        <f t="shared" si="100"/>
        <v>1012.0609301</v>
      </c>
      <c r="CX39" s="266">
        <f t="shared" si="100"/>
        <v>986.17646169999989</v>
      </c>
      <c r="CY39" s="266">
        <f t="shared" si="100"/>
        <v>1154.8606308000001</v>
      </c>
      <c r="CZ39" s="266">
        <f t="shared" si="100"/>
        <v>1203.4203459999999</v>
      </c>
      <c r="DA39" s="266">
        <f t="shared" si="100"/>
        <v>1266.3891292000001</v>
      </c>
      <c r="DB39" s="266">
        <f t="shared" si="100"/>
        <v>1233.4449889</v>
      </c>
      <c r="DC39" s="266">
        <f t="shared" si="100"/>
        <v>1292.7923130999998</v>
      </c>
      <c r="DD39" s="266">
        <f t="shared" si="100"/>
        <v>1335.4053664999999</v>
      </c>
      <c r="DE39" s="266">
        <f t="shared" si="100"/>
        <v>0</v>
      </c>
      <c r="DF39" s="266">
        <f t="shared" si="100"/>
        <v>894.40210000000002</v>
      </c>
      <c r="DG39" s="266">
        <f t="shared" si="100"/>
        <v>0</v>
      </c>
      <c r="DH39" s="266">
        <f t="shared" si="100"/>
        <v>0</v>
      </c>
      <c r="DI39" s="298"/>
      <c r="DJ39" s="281">
        <f t="shared" ref="DJ39:DV39" si="101">IFERROR(AD39/CH39,"")</f>
        <v>0.15647924670089522</v>
      </c>
      <c r="DK39" s="267">
        <f t="shared" si="101"/>
        <v>0.18243114246690464</v>
      </c>
      <c r="DL39" s="267">
        <f t="shared" si="101"/>
        <v>0.16759781136384883</v>
      </c>
      <c r="DM39" s="267">
        <f t="shared" si="101"/>
        <v>0.15157665580431209</v>
      </c>
      <c r="DN39" s="267">
        <f t="shared" si="101"/>
        <v>0.13957558601146533</v>
      </c>
      <c r="DO39" s="267">
        <f t="shared" si="101"/>
        <v>0.1495399371809972</v>
      </c>
      <c r="DP39" s="267">
        <f t="shared" si="101"/>
        <v>0.15569816151143209</v>
      </c>
      <c r="DQ39" s="267">
        <f t="shared" si="101"/>
        <v>0.16681749206585986</v>
      </c>
      <c r="DR39" s="267">
        <f t="shared" si="101"/>
        <v>0.1630302771659897</v>
      </c>
      <c r="DS39" s="267" t="str">
        <f t="shared" si="101"/>
        <v/>
      </c>
      <c r="DT39" s="267">
        <f t="shared" si="101"/>
        <v>0.14408592388331171</v>
      </c>
      <c r="DU39" s="267" t="str">
        <f t="shared" si="101"/>
        <v/>
      </c>
      <c r="DV39" s="267" t="str">
        <f t="shared" si="101"/>
        <v/>
      </c>
      <c r="DW39" s="300"/>
      <c r="DX39" s="283">
        <f t="shared" ref="DX39:EJ39" si="102">SUM(DX33:DX38)</f>
        <v>0</v>
      </c>
      <c r="DY39" s="268">
        <f t="shared" si="102"/>
        <v>0</v>
      </c>
      <c r="DZ39" s="268">
        <f t="shared" si="102"/>
        <v>0</v>
      </c>
      <c r="EA39" s="268">
        <f t="shared" si="102"/>
        <v>0</v>
      </c>
      <c r="EB39" s="268">
        <f t="shared" si="102"/>
        <v>0</v>
      </c>
      <c r="EC39" s="268">
        <f t="shared" si="102"/>
        <v>0</v>
      </c>
      <c r="ED39" s="268">
        <f t="shared" si="102"/>
        <v>0</v>
      </c>
      <c r="EE39" s="268">
        <f t="shared" si="102"/>
        <v>0</v>
      </c>
      <c r="EF39" s="268">
        <f t="shared" si="102"/>
        <v>0</v>
      </c>
      <c r="EG39" s="268">
        <f t="shared" si="102"/>
        <v>0</v>
      </c>
      <c r="EH39" s="268">
        <f t="shared" si="102"/>
        <v>0</v>
      </c>
      <c r="EI39" s="268">
        <f t="shared" si="102"/>
        <v>0</v>
      </c>
      <c r="EJ39" s="268">
        <f t="shared" si="102"/>
        <v>0</v>
      </c>
      <c r="EK39" s="302"/>
      <c r="EL39" s="283">
        <f t="shared" ref="EL39:EX39" si="103">SUM(EL33:EL38)</f>
        <v>0</v>
      </c>
      <c r="EM39" s="268">
        <f t="shared" si="103"/>
        <v>0</v>
      </c>
      <c r="EN39" s="268">
        <f t="shared" si="103"/>
        <v>0</v>
      </c>
      <c r="EO39" s="268">
        <f t="shared" si="103"/>
        <v>0</v>
      </c>
      <c r="EP39" s="268">
        <f t="shared" si="103"/>
        <v>0</v>
      </c>
      <c r="EQ39" s="268">
        <f t="shared" si="103"/>
        <v>0</v>
      </c>
      <c r="ER39" s="268">
        <f t="shared" si="103"/>
        <v>0</v>
      </c>
      <c r="ES39" s="268">
        <f t="shared" si="103"/>
        <v>0</v>
      </c>
      <c r="ET39" s="268">
        <f t="shared" si="103"/>
        <v>0</v>
      </c>
      <c r="EU39" s="268">
        <f t="shared" si="103"/>
        <v>0</v>
      </c>
      <c r="EV39" s="268">
        <f t="shared" si="103"/>
        <v>0</v>
      </c>
      <c r="EW39" s="268">
        <f t="shared" si="103"/>
        <v>0</v>
      </c>
      <c r="EX39" s="268">
        <f t="shared" si="103"/>
        <v>0</v>
      </c>
      <c r="EY39" s="302"/>
      <c r="EZ39" s="283">
        <f t="shared" ref="EZ39:FL39" si="104">SUM(EZ33:EZ38)</f>
        <v>3703810</v>
      </c>
      <c r="FA39" s="268">
        <f t="shared" si="104"/>
        <v>3113997</v>
      </c>
      <c r="FB39" s="268">
        <f t="shared" si="104"/>
        <v>3401204</v>
      </c>
      <c r="FC39" s="268">
        <f t="shared" si="104"/>
        <v>3669939</v>
      </c>
      <c r="FD39" s="268">
        <f t="shared" si="104"/>
        <v>3714189</v>
      </c>
      <c r="FE39" s="268">
        <f t="shared" si="104"/>
        <v>3731352</v>
      </c>
      <c r="FF39" s="268">
        <f t="shared" si="104"/>
        <v>3656466</v>
      </c>
      <c r="FG39" s="268">
        <f t="shared" si="104"/>
        <v>3716173.6620499999</v>
      </c>
      <c r="FH39" s="268">
        <f t="shared" si="104"/>
        <v>3755842.95266</v>
      </c>
      <c r="FI39" s="268">
        <f t="shared" si="104"/>
        <v>0</v>
      </c>
      <c r="FJ39" s="268">
        <f t="shared" si="104"/>
        <v>3751308.2413599999</v>
      </c>
      <c r="FK39" s="268">
        <f t="shared" si="104"/>
        <v>0</v>
      </c>
      <c r="FL39" s="268">
        <f t="shared" si="104"/>
        <v>0</v>
      </c>
      <c r="FM39" s="302"/>
      <c r="FN39" s="283">
        <f t="shared" ref="FN39:FZ39" si="105">SUM(FN33:FN38)</f>
        <v>0</v>
      </c>
      <c r="FO39" s="268">
        <f t="shared" si="105"/>
        <v>0</v>
      </c>
      <c r="FP39" s="268">
        <f t="shared" si="105"/>
        <v>0</v>
      </c>
      <c r="FQ39" s="268">
        <f t="shared" si="105"/>
        <v>0</v>
      </c>
      <c r="FR39" s="268">
        <f t="shared" si="105"/>
        <v>0</v>
      </c>
      <c r="FS39" s="268">
        <f t="shared" si="105"/>
        <v>0</v>
      </c>
      <c r="FT39" s="268">
        <f t="shared" si="105"/>
        <v>0</v>
      </c>
      <c r="FU39" s="268">
        <f t="shared" si="105"/>
        <v>0</v>
      </c>
      <c r="FV39" s="268">
        <f t="shared" si="105"/>
        <v>0</v>
      </c>
      <c r="FW39" s="268">
        <f t="shared" si="105"/>
        <v>0</v>
      </c>
      <c r="FX39" s="268">
        <f t="shared" si="105"/>
        <v>0</v>
      </c>
      <c r="FY39" s="268">
        <f t="shared" si="105"/>
        <v>0</v>
      </c>
      <c r="FZ39" s="268">
        <f t="shared" si="105"/>
        <v>0</v>
      </c>
      <c r="GA39" s="302"/>
      <c r="GB39" s="285"/>
      <c r="GC39" s="271"/>
      <c r="GD39" s="271"/>
      <c r="GE39" s="271"/>
      <c r="GF39" s="271"/>
      <c r="GG39" s="271"/>
      <c r="GH39" s="271"/>
      <c r="GI39" s="271"/>
      <c r="GJ39" s="271"/>
      <c r="GK39" s="271"/>
      <c r="GL39" s="271"/>
      <c r="GM39" s="271"/>
      <c r="GN39" s="271"/>
      <c r="GO39" s="304"/>
      <c r="GP39" s="285"/>
      <c r="GQ39" s="271"/>
      <c r="GR39" s="271"/>
      <c r="GS39" s="271"/>
      <c r="GT39" s="271"/>
      <c r="GU39" s="271"/>
      <c r="GV39" s="271"/>
      <c r="GW39" s="271"/>
      <c r="GX39" s="271"/>
      <c r="GY39" s="271"/>
      <c r="GZ39" s="271"/>
      <c r="HA39" s="271"/>
      <c r="HB39" s="271"/>
      <c r="HC39" s="304"/>
      <c r="HD39" s="285"/>
      <c r="HE39" s="271"/>
      <c r="HF39" s="271"/>
      <c r="HG39" s="271"/>
      <c r="HH39" s="271"/>
      <c r="HI39" s="271"/>
      <c r="HJ39" s="271"/>
      <c r="HK39" s="271"/>
      <c r="HL39" s="271"/>
      <c r="HM39" s="271"/>
      <c r="HN39" s="271"/>
      <c r="HO39" s="271"/>
      <c r="HP39" s="271"/>
      <c r="HQ39" s="304"/>
      <c r="HR39" s="285">
        <f t="shared" ref="HR39:ID39" si="106">IFERROR(EZ39/$EZ$39*100,"")</f>
        <v>100</v>
      </c>
      <c r="HS39" s="271">
        <f t="shared" si="106"/>
        <v>84.075506032976861</v>
      </c>
      <c r="HT39" s="271">
        <f t="shared" si="106"/>
        <v>91.829872482659752</v>
      </c>
      <c r="HU39" s="271">
        <f t="shared" si="106"/>
        <v>99.085509245884637</v>
      </c>
      <c r="HV39" s="271">
        <f t="shared" si="106"/>
        <v>100.28022495754372</v>
      </c>
      <c r="HW39" s="271">
        <f t="shared" si="106"/>
        <v>100.74361265831671</v>
      </c>
      <c r="HX39" s="271">
        <f t="shared" si="106"/>
        <v>98.721748685812713</v>
      </c>
      <c r="HY39" s="271">
        <f t="shared" si="106"/>
        <v>100.33380929502323</v>
      </c>
      <c r="HZ39" s="271">
        <f t="shared" si="106"/>
        <v>101.40484940264214</v>
      </c>
      <c r="IA39" s="271">
        <f t="shared" si="106"/>
        <v>0</v>
      </c>
      <c r="IB39" s="271">
        <f t="shared" si="106"/>
        <v>101.28241571138908</v>
      </c>
      <c r="IC39" s="271">
        <f t="shared" si="106"/>
        <v>0</v>
      </c>
      <c r="ID39" s="289">
        <f t="shared" si="106"/>
        <v>0</v>
      </c>
    </row>
    <row r="40" spans="1:238" ht="15" thickTop="1" x14ac:dyDescent="0.2">
      <c r="O40" s="291"/>
      <c r="P40" s="277"/>
      <c r="AC40" s="291"/>
      <c r="AD40" s="277"/>
      <c r="AQ40" s="291"/>
      <c r="AR40" s="277"/>
      <c r="BE40" s="291"/>
      <c r="BF40" s="277"/>
      <c r="BS40" s="291"/>
      <c r="BT40" s="277"/>
      <c r="CG40" s="291"/>
      <c r="CH40" s="277"/>
      <c r="CU40" s="291"/>
      <c r="CV40" s="277"/>
      <c r="DI40" s="291"/>
      <c r="DJ40" s="277"/>
      <c r="DW40" s="291"/>
      <c r="DX40" s="277"/>
      <c r="EK40" s="291"/>
      <c r="EL40" s="277"/>
      <c r="EY40" s="291"/>
      <c r="EZ40" s="277"/>
      <c r="FM40" s="291"/>
      <c r="FN40" s="277"/>
      <c r="GA40" s="291"/>
      <c r="GB40" s="277"/>
      <c r="GO40" s="291"/>
      <c r="GP40" s="277"/>
      <c r="HC40" s="291"/>
      <c r="HD40" s="277"/>
      <c r="HQ40" s="291"/>
      <c r="HR40" s="277"/>
      <c r="ID40" s="290"/>
    </row>
    <row r="41" spans="1:238" ht="15" x14ac:dyDescent="0.25">
      <c r="A41" s="264" t="s">
        <v>301</v>
      </c>
      <c r="B41" s="264"/>
      <c r="C41" s="264"/>
      <c r="D41" s="264"/>
      <c r="E41" s="264"/>
      <c r="F41" s="264"/>
      <c r="G41" s="264"/>
      <c r="H41" s="264"/>
      <c r="I41" s="264"/>
      <c r="J41" s="264"/>
      <c r="K41" s="264"/>
      <c r="L41" s="264"/>
      <c r="M41" s="264"/>
      <c r="N41" s="264"/>
      <c r="O41" s="294"/>
      <c r="P41" s="274"/>
      <c r="Q41" s="264"/>
      <c r="R41" s="264"/>
      <c r="S41" s="264"/>
      <c r="T41" s="264"/>
      <c r="U41" s="264"/>
      <c r="V41" s="264"/>
      <c r="W41" s="264"/>
      <c r="X41" s="264"/>
      <c r="Y41" s="264"/>
      <c r="Z41" s="264"/>
      <c r="AA41" s="264"/>
      <c r="AB41" s="264"/>
      <c r="AC41" s="294"/>
      <c r="AD41" s="274"/>
      <c r="AE41" s="264"/>
      <c r="AF41" s="264"/>
      <c r="AG41" s="264"/>
      <c r="AH41" s="264"/>
      <c r="AI41" s="264"/>
      <c r="AJ41" s="264"/>
      <c r="AK41" s="264"/>
      <c r="AL41" s="264"/>
      <c r="AM41" s="264"/>
      <c r="AN41" s="264"/>
      <c r="AO41" s="264"/>
      <c r="AP41" s="264"/>
      <c r="AQ41" s="294"/>
      <c r="AR41" s="274"/>
      <c r="AS41" s="264"/>
      <c r="AT41" s="264"/>
      <c r="AU41" s="264"/>
      <c r="AV41" s="264"/>
      <c r="AW41" s="264"/>
      <c r="AX41" s="264"/>
      <c r="AY41" s="264"/>
      <c r="AZ41" s="264"/>
      <c r="BA41" s="264"/>
      <c r="BB41" s="264"/>
      <c r="BC41" s="264"/>
      <c r="BD41" s="264"/>
      <c r="BE41" s="294"/>
      <c r="BF41" s="274"/>
      <c r="BG41" s="264"/>
      <c r="BH41" s="264"/>
      <c r="BI41" s="264"/>
      <c r="BJ41" s="264"/>
      <c r="BK41" s="264"/>
      <c r="BL41" s="264"/>
      <c r="BM41" s="264"/>
      <c r="BN41" s="264"/>
      <c r="BO41" s="264"/>
      <c r="BP41" s="264"/>
      <c r="BQ41" s="264"/>
      <c r="BR41" s="264"/>
      <c r="BS41" s="294"/>
      <c r="BT41" s="274"/>
      <c r="BU41" s="264"/>
      <c r="BV41" s="264"/>
      <c r="BW41" s="264"/>
      <c r="BX41" s="264"/>
      <c r="BY41" s="264"/>
      <c r="BZ41" s="264"/>
      <c r="CA41" s="264"/>
      <c r="CB41" s="264"/>
      <c r="CC41" s="264"/>
      <c r="CD41" s="264"/>
      <c r="CE41" s="264"/>
      <c r="CF41" s="264"/>
      <c r="CG41" s="294"/>
      <c r="CH41" s="274"/>
      <c r="CI41" s="264"/>
      <c r="CJ41" s="264"/>
      <c r="CK41" s="264"/>
      <c r="CL41" s="264"/>
      <c r="CM41" s="264"/>
      <c r="CN41" s="264"/>
      <c r="CO41" s="264"/>
      <c r="CP41" s="264"/>
      <c r="CQ41" s="264"/>
      <c r="CR41" s="264"/>
      <c r="CS41" s="264"/>
      <c r="CT41" s="264"/>
      <c r="CU41" s="294"/>
      <c r="CV41" s="274"/>
      <c r="CW41" s="264"/>
      <c r="CX41" s="264"/>
      <c r="CY41" s="264"/>
      <c r="CZ41" s="264"/>
      <c r="DA41" s="264"/>
      <c r="DB41" s="264"/>
      <c r="DC41" s="264"/>
      <c r="DD41" s="264"/>
      <c r="DE41" s="264"/>
      <c r="DF41" s="264"/>
      <c r="DG41" s="264"/>
      <c r="DH41" s="264"/>
      <c r="DI41" s="294"/>
      <c r="DJ41" s="274"/>
      <c r="DK41" s="264"/>
      <c r="DL41" s="264"/>
      <c r="DM41" s="264"/>
      <c r="DN41" s="264"/>
      <c r="DO41" s="264"/>
      <c r="DP41" s="264"/>
      <c r="DQ41" s="264"/>
      <c r="DR41" s="264"/>
      <c r="DS41" s="264"/>
      <c r="DT41" s="264"/>
      <c r="DU41" s="264"/>
      <c r="DV41" s="264"/>
      <c r="DW41" s="294"/>
      <c r="DX41" s="274"/>
      <c r="DY41" s="264"/>
      <c r="DZ41" s="264"/>
      <c r="EA41" s="264"/>
      <c r="EB41" s="264"/>
      <c r="EC41" s="264"/>
      <c r="ED41" s="264"/>
      <c r="EE41" s="264"/>
      <c r="EF41" s="264"/>
      <c r="EG41" s="264"/>
      <c r="EH41" s="264"/>
      <c r="EI41" s="264"/>
      <c r="EJ41" s="264"/>
      <c r="EK41" s="294"/>
      <c r="EL41" s="274"/>
      <c r="EM41" s="264"/>
      <c r="EN41" s="264"/>
      <c r="EO41" s="264"/>
      <c r="EP41" s="264"/>
      <c r="EQ41" s="264"/>
      <c r="ER41" s="264"/>
      <c r="ES41" s="264"/>
      <c r="ET41" s="264"/>
      <c r="EU41" s="264"/>
      <c r="EV41" s="264"/>
      <c r="EW41" s="264"/>
      <c r="EX41" s="264"/>
      <c r="EY41" s="294"/>
      <c r="EZ41" s="274"/>
      <c r="FA41" s="264"/>
      <c r="FB41" s="264"/>
      <c r="FC41" s="264"/>
      <c r="FD41" s="264"/>
      <c r="FE41" s="264"/>
      <c r="FF41" s="264"/>
      <c r="FG41" s="264"/>
      <c r="FH41" s="264"/>
      <c r="FI41" s="264"/>
      <c r="FJ41" s="264"/>
      <c r="FK41" s="264"/>
      <c r="FL41" s="264"/>
      <c r="FM41" s="294"/>
      <c r="FN41" s="274"/>
      <c r="FO41" s="264"/>
      <c r="FP41" s="264"/>
      <c r="FQ41" s="264"/>
      <c r="FR41" s="264"/>
      <c r="FS41" s="264"/>
      <c r="FT41" s="264"/>
      <c r="FU41" s="264"/>
      <c r="FV41" s="264"/>
      <c r="FW41" s="264"/>
      <c r="FX41" s="264"/>
      <c r="FY41" s="264"/>
      <c r="FZ41" s="264"/>
      <c r="GA41" s="294"/>
      <c r="GB41" s="274"/>
      <c r="GC41" s="264"/>
      <c r="GD41" s="264"/>
      <c r="GE41" s="264"/>
      <c r="GF41" s="264"/>
      <c r="GG41" s="264"/>
      <c r="GH41" s="264"/>
      <c r="GI41" s="264"/>
      <c r="GJ41" s="264"/>
      <c r="GK41" s="264"/>
      <c r="GL41" s="264"/>
      <c r="GM41" s="264"/>
      <c r="GN41" s="264"/>
      <c r="GO41" s="294"/>
      <c r="GP41" s="274"/>
      <c r="GQ41" s="264"/>
      <c r="GR41" s="264"/>
      <c r="GS41" s="264"/>
      <c r="GT41" s="264"/>
      <c r="GU41" s="264"/>
      <c r="GV41" s="264"/>
      <c r="GW41" s="264"/>
      <c r="GX41" s="264"/>
      <c r="GY41" s="264"/>
      <c r="GZ41" s="264"/>
      <c r="HA41" s="264"/>
      <c r="HB41" s="264"/>
      <c r="HC41" s="294"/>
      <c r="HD41" s="274"/>
      <c r="HE41" s="264"/>
      <c r="HF41" s="264"/>
      <c r="HG41" s="264"/>
      <c r="HH41" s="264"/>
      <c r="HI41" s="264"/>
      <c r="HJ41" s="264"/>
      <c r="HK41" s="264"/>
      <c r="HL41" s="264"/>
      <c r="HM41" s="264"/>
      <c r="HN41" s="264"/>
      <c r="HO41" s="264"/>
      <c r="HP41" s="264"/>
      <c r="HQ41" s="294"/>
      <c r="HR41" s="274"/>
      <c r="HS41" s="264"/>
      <c r="HT41" s="264"/>
      <c r="HU41" s="264"/>
      <c r="HV41" s="264"/>
      <c r="HW41" s="264"/>
      <c r="HX41" s="264"/>
      <c r="HY41" s="264"/>
      <c r="HZ41" s="264"/>
      <c r="IA41" s="264"/>
      <c r="IB41" s="264"/>
      <c r="IC41" s="264"/>
      <c r="ID41" s="287"/>
    </row>
    <row r="42" spans="1:238" x14ac:dyDescent="0.2">
      <c r="A42" s="307" t="s">
        <v>4</v>
      </c>
      <c r="B42" s="258">
        <f t="shared" ref="B42:N42" si="107">IFERROR(N(B6)-N(B15)-N(B24)-N(B33),"")</f>
        <v>0</v>
      </c>
      <c r="C42" s="258">
        <f t="shared" si="107"/>
        <v>0</v>
      </c>
      <c r="D42" s="258">
        <f t="shared" si="107"/>
        <v>0</v>
      </c>
      <c r="E42" s="258">
        <f t="shared" si="107"/>
        <v>0</v>
      </c>
      <c r="F42" s="258">
        <f t="shared" si="107"/>
        <v>0</v>
      </c>
      <c r="G42" s="258">
        <f t="shared" si="107"/>
        <v>0</v>
      </c>
      <c r="H42" s="258">
        <f t="shared" si="107"/>
        <v>0</v>
      </c>
      <c r="I42" s="258">
        <f t="shared" si="107"/>
        <v>0</v>
      </c>
      <c r="J42" s="258">
        <f t="shared" si="107"/>
        <v>0</v>
      </c>
      <c r="K42" s="258">
        <f t="shared" si="107"/>
        <v>0</v>
      </c>
      <c r="L42" s="258">
        <f t="shared" si="107"/>
        <v>0</v>
      </c>
      <c r="M42" s="258">
        <f t="shared" si="107"/>
        <v>0</v>
      </c>
      <c r="N42" s="258">
        <f t="shared" si="107"/>
        <v>0</v>
      </c>
      <c r="O42" s="295"/>
      <c r="P42" s="275">
        <f t="shared" ref="P42:AB42" si="108">IFERROR(N(P6)-N(P15)-N(P24)-N(P33),"")</f>
        <v>0</v>
      </c>
      <c r="Q42" s="258">
        <f t="shared" si="108"/>
        <v>0</v>
      </c>
      <c r="R42" s="258">
        <f t="shared" si="108"/>
        <v>0</v>
      </c>
      <c r="S42" s="258">
        <f t="shared" si="108"/>
        <v>0</v>
      </c>
      <c r="T42" s="258">
        <f t="shared" si="108"/>
        <v>0</v>
      </c>
      <c r="U42" s="258">
        <f t="shared" si="108"/>
        <v>0</v>
      </c>
      <c r="V42" s="258">
        <f t="shared" si="108"/>
        <v>0</v>
      </c>
      <c r="W42" s="258">
        <f t="shared" si="108"/>
        <v>0</v>
      </c>
      <c r="X42" s="258">
        <f t="shared" si="108"/>
        <v>0</v>
      </c>
      <c r="Y42" s="258">
        <f t="shared" si="108"/>
        <v>0</v>
      </c>
      <c r="Z42" s="258">
        <f t="shared" si="108"/>
        <v>0</v>
      </c>
      <c r="AA42" s="258">
        <f t="shared" si="108"/>
        <v>0</v>
      </c>
      <c r="AB42" s="258">
        <f t="shared" si="108"/>
        <v>0</v>
      </c>
      <c r="AC42" s="295"/>
      <c r="AD42" s="275">
        <f t="shared" ref="AD42:AP42" si="109">IFERROR(N(AD6)-N(AD15)-N(AD24)-N(AD33),"")</f>
        <v>0</v>
      </c>
      <c r="AE42" s="258">
        <f t="shared" si="109"/>
        <v>0</v>
      </c>
      <c r="AF42" s="258">
        <f t="shared" si="109"/>
        <v>0</v>
      </c>
      <c r="AG42" s="258">
        <f t="shared" si="109"/>
        <v>0</v>
      </c>
      <c r="AH42" s="258">
        <f t="shared" si="109"/>
        <v>0</v>
      </c>
      <c r="AI42" s="258">
        <f t="shared" si="109"/>
        <v>0</v>
      </c>
      <c r="AJ42" s="258">
        <f t="shared" si="109"/>
        <v>0</v>
      </c>
      <c r="AK42" s="258">
        <f t="shared" si="109"/>
        <v>0</v>
      </c>
      <c r="AL42" s="258">
        <f t="shared" si="109"/>
        <v>0</v>
      </c>
      <c r="AM42" s="258">
        <f t="shared" si="109"/>
        <v>0</v>
      </c>
      <c r="AN42" s="258">
        <f t="shared" si="109"/>
        <v>0</v>
      </c>
      <c r="AO42" s="258">
        <f t="shared" si="109"/>
        <v>0</v>
      </c>
      <c r="AP42" s="258">
        <f t="shared" si="109"/>
        <v>0</v>
      </c>
      <c r="AQ42" s="295"/>
      <c r="AR42" s="275">
        <f t="shared" ref="AR42:BD42" si="110">IFERROR(N(AR6)-N(AR15)-N(AR24)-N(AR33),"")</f>
        <v>0</v>
      </c>
      <c r="AS42" s="258">
        <f t="shared" si="110"/>
        <v>0</v>
      </c>
      <c r="AT42" s="258">
        <f t="shared" si="110"/>
        <v>0</v>
      </c>
      <c r="AU42" s="258">
        <f t="shared" si="110"/>
        <v>0</v>
      </c>
      <c r="AV42" s="258">
        <f t="shared" si="110"/>
        <v>0</v>
      </c>
      <c r="AW42" s="258">
        <f t="shared" si="110"/>
        <v>0</v>
      </c>
      <c r="AX42" s="258">
        <f t="shared" si="110"/>
        <v>0</v>
      </c>
      <c r="AY42" s="258">
        <f t="shared" si="110"/>
        <v>0</v>
      </c>
      <c r="AZ42" s="258">
        <f t="shared" si="110"/>
        <v>0</v>
      </c>
      <c r="BA42" s="258">
        <f t="shared" si="110"/>
        <v>0</v>
      </c>
      <c r="BB42" s="258">
        <f t="shared" si="110"/>
        <v>0</v>
      </c>
      <c r="BC42" s="258">
        <f t="shared" si="110"/>
        <v>0</v>
      </c>
      <c r="BD42" s="258">
        <f t="shared" si="110"/>
        <v>0</v>
      </c>
      <c r="BE42" s="295"/>
      <c r="BF42" s="275">
        <f t="shared" ref="BF42:BR42" si="111">IFERROR(N(BF6)-N(BF15)-N(BF24)-N(BF33),"")</f>
        <v>0</v>
      </c>
      <c r="BG42" s="258">
        <f t="shared" si="111"/>
        <v>0</v>
      </c>
      <c r="BH42" s="258">
        <f t="shared" si="111"/>
        <v>0</v>
      </c>
      <c r="BI42" s="258">
        <f t="shared" si="111"/>
        <v>0</v>
      </c>
      <c r="BJ42" s="258">
        <f t="shared" si="111"/>
        <v>0</v>
      </c>
      <c r="BK42" s="258">
        <f t="shared" si="111"/>
        <v>0</v>
      </c>
      <c r="BL42" s="258">
        <f t="shared" si="111"/>
        <v>0</v>
      </c>
      <c r="BM42" s="258">
        <f t="shared" si="111"/>
        <v>0</v>
      </c>
      <c r="BN42" s="258">
        <f t="shared" si="111"/>
        <v>0</v>
      </c>
      <c r="BO42" s="258">
        <f t="shared" si="111"/>
        <v>0</v>
      </c>
      <c r="BP42" s="258">
        <f t="shared" si="111"/>
        <v>0</v>
      </c>
      <c r="BQ42" s="258">
        <f t="shared" si="111"/>
        <v>0</v>
      </c>
      <c r="BR42" s="258">
        <f t="shared" si="111"/>
        <v>0</v>
      </c>
      <c r="BS42" s="295"/>
      <c r="BT42" s="278">
        <f t="shared" ref="BT42:CF42" si="112">IFERROR(N(BT6)-N(BT15)-N(BT24)-N(BT33),"")</f>
        <v>0</v>
      </c>
      <c r="BU42" s="259">
        <f t="shared" si="112"/>
        <v>7.2</v>
      </c>
      <c r="BV42" s="259">
        <f t="shared" si="112"/>
        <v>8.9</v>
      </c>
      <c r="BW42" s="259">
        <f t="shared" si="112"/>
        <v>3.1</v>
      </c>
      <c r="BX42" s="259">
        <f t="shared" si="112"/>
        <v>-1</v>
      </c>
      <c r="BY42" s="259">
        <f t="shared" si="112"/>
        <v>0</v>
      </c>
      <c r="BZ42" s="259">
        <f t="shared" si="112"/>
        <v>0</v>
      </c>
      <c r="CA42" s="259">
        <f t="shared" si="112"/>
        <v>0</v>
      </c>
      <c r="CB42" s="259">
        <f t="shared" si="112"/>
        <v>-1.2</v>
      </c>
      <c r="CC42" s="259">
        <f t="shared" si="112"/>
        <v>0</v>
      </c>
      <c r="CD42" s="259">
        <f t="shared" si="112"/>
        <v>0</v>
      </c>
      <c r="CE42" s="259">
        <f t="shared" si="112"/>
        <v>0</v>
      </c>
      <c r="CF42" s="259">
        <f t="shared" si="112"/>
        <v>0</v>
      </c>
      <c r="CG42" s="297"/>
      <c r="CH42" s="278">
        <f t="shared" ref="CH42:CT42" si="113">IFERROR(N(CH6)-N(CH15)-N(CH24)-N(CH33),"")</f>
        <v>61.2</v>
      </c>
      <c r="CI42" s="259">
        <f t="shared" si="113"/>
        <v>55.949999999999996</v>
      </c>
      <c r="CJ42" s="259">
        <f t="shared" si="113"/>
        <v>60.099999999999994</v>
      </c>
      <c r="CK42" s="259">
        <f t="shared" si="113"/>
        <v>62.5</v>
      </c>
      <c r="CL42" s="259">
        <f t="shared" si="113"/>
        <v>63.1</v>
      </c>
      <c r="CM42" s="259">
        <f t="shared" si="113"/>
        <v>72</v>
      </c>
      <c r="CN42" s="259">
        <f t="shared" si="113"/>
        <v>66.239999999999995</v>
      </c>
      <c r="CO42" s="259">
        <f t="shared" si="113"/>
        <v>64.8</v>
      </c>
      <c r="CP42" s="259">
        <f t="shared" si="113"/>
        <v>67</v>
      </c>
      <c r="CQ42" s="259">
        <f t="shared" si="113"/>
        <v>0</v>
      </c>
      <c r="CR42" s="259">
        <f t="shared" si="113"/>
        <v>0</v>
      </c>
      <c r="CS42" s="259">
        <f t="shared" si="113"/>
        <v>0</v>
      </c>
      <c r="CT42" s="259">
        <f t="shared" si="113"/>
        <v>0</v>
      </c>
      <c r="CU42" s="297"/>
      <c r="CV42" s="278">
        <f t="shared" ref="CV42:DH42" si="114">IFERROR(N(CV6)-N(CV15)-N(CV24)-N(CV33),"")</f>
        <v>31.800000000000004</v>
      </c>
      <c r="CW42" s="259">
        <f t="shared" si="114"/>
        <v>26.349999999999994</v>
      </c>
      <c r="CX42" s="259">
        <f t="shared" si="114"/>
        <v>29.099999999999994</v>
      </c>
      <c r="CY42" s="259">
        <f t="shared" si="114"/>
        <v>34.959999999999994</v>
      </c>
      <c r="CZ42" s="259">
        <f t="shared" si="114"/>
        <v>37.460999999999999</v>
      </c>
      <c r="DA42" s="259">
        <f t="shared" si="114"/>
        <v>45.31</v>
      </c>
      <c r="DB42" s="259">
        <f t="shared" si="114"/>
        <v>39.839999999999996</v>
      </c>
      <c r="DC42" s="259">
        <f t="shared" si="114"/>
        <v>35.799999999999997</v>
      </c>
      <c r="DD42" s="259">
        <f t="shared" si="114"/>
        <v>43</v>
      </c>
      <c r="DE42" s="259">
        <f t="shared" si="114"/>
        <v>0</v>
      </c>
      <c r="DF42" s="259">
        <f t="shared" si="114"/>
        <v>0</v>
      </c>
      <c r="DG42" s="259">
        <f t="shared" si="114"/>
        <v>0</v>
      </c>
      <c r="DH42" s="259">
        <f t="shared" si="114"/>
        <v>0</v>
      </c>
      <c r="DI42" s="297"/>
      <c r="DJ42" s="280"/>
      <c r="DK42" s="260"/>
      <c r="DL42" s="260"/>
      <c r="DM42" s="260"/>
      <c r="DN42" s="260"/>
      <c r="DO42" s="260"/>
      <c r="DP42" s="260"/>
      <c r="DQ42" s="260"/>
      <c r="DR42" s="260"/>
      <c r="DS42" s="260"/>
      <c r="DT42" s="260"/>
      <c r="DU42" s="260"/>
      <c r="DV42" s="260"/>
      <c r="DW42" s="299"/>
      <c r="DX42" s="282">
        <f t="shared" ref="DX42:EJ42" si="115">IFERROR(N(DX6)-N(DX15)-N(DX24)-N(DX33),"")</f>
        <v>0</v>
      </c>
      <c r="DY42" s="261">
        <f t="shared" si="115"/>
        <v>0</v>
      </c>
      <c r="DZ42" s="261">
        <f t="shared" si="115"/>
        <v>0</v>
      </c>
      <c r="EA42" s="261">
        <f t="shared" si="115"/>
        <v>0</v>
      </c>
      <c r="EB42" s="261">
        <f t="shared" si="115"/>
        <v>0</v>
      </c>
      <c r="EC42" s="261">
        <f t="shared" si="115"/>
        <v>0</v>
      </c>
      <c r="ED42" s="261">
        <f t="shared" si="115"/>
        <v>0</v>
      </c>
      <c r="EE42" s="261">
        <f t="shared" si="115"/>
        <v>0</v>
      </c>
      <c r="EF42" s="261">
        <f t="shared" si="115"/>
        <v>0</v>
      </c>
      <c r="EG42" s="261">
        <f t="shared" si="115"/>
        <v>0</v>
      </c>
      <c r="EH42" s="261">
        <f t="shared" si="115"/>
        <v>0</v>
      </c>
      <c r="EI42" s="261">
        <f t="shared" si="115"/>
        <v>0</v>
      </c>
      <c r="EJ42" s="261">
        <f t="shared" si="115"/>
        <v>0</v>
      </c>
      <c r="EK42" s="301"/>
      <c r="EL42" s="282">
        <f t="shared" ref="EL42:EX42" si="116">IFERROR(N(EL6)-N(EL15)-N(EL24)-N(EL33),"")</f>
        <v>0</v>
      </c>
      <c r="EM42" s="261">
        <f t="shared" si="116"/>
        <v>0</v>
      </c>
      <c r="EN42" s="261">
        <f t="shared" si="116"/>
        <v>0</v>
      </c>
      <c r="EO42" s="261">
        <f t="shared" si="116"/>
        <v>0</v>
      </c>
      <c r="EP42" s="261">
        <f t="shared" si="116"/>
        <v>0</v>
      </c>
      <c r="EQ42" s="261">
        <f t="shared" si="116"/>
        <v>0</v>
      </c>
      <c r="ER42" s="261">
        <f t="shared" si="116"/>
        <v>0</v>
      </c>
      <c r="ES42" s="261">
        <f t="shared" si="116"/>
        <v>0</v>
      </c>
      <c r="ET42" s="261">
        <f t="shared" si="116"/>
        <v>0</v>
      </c>
      <c r="EU42" s="261">
        <f t="shared" si="116"/>
        <v>0</v>
      </c>
      <c r="EV42" s="261">
        <f t="shared" si="116"/>
        <v>0</v>
      </c>
      <c r="EW42" s="261">
        <f t="shared" si="116"/>
        <v>0</v>
      </c>
      <c r="EX42" s="261">
        <f t="shared" si="116"/>
        <v>0</v>
      </c>
      <c r="EY42" s="301"/>
      <c r="EZ42" s="282">
        <f t="shared" ref="EZ42:FL42" si="117">IFERROR(N(EZ6)-N(EZ15)-N(EZ24)-N(EZ33),"")</f>
        <v>0</v>
      </c>
      <c r="FA42" s="261">
        <f t="shared" si="117"/>
        <v>0</v>
      </c>
      <c r="FB42" s="261">
        <f t="shared" si="117"/>
        <v>0</v>
      </c>
      <c r="FC42" s="261">
        <f t="shared" si="117"/>
        <v>0</v>
      </c>
      <c r="FD42" s="261">
        <f t="shared" si="117"/>
        <v>0</v>
      </c>
      <c r="FE42" s="261">
        <f t="shared" si="117"/>
        <v>0</v>
      </c>
      <c r="FF42" s="261">
        <f t="shared" si="117"/>
        <v>0</v>
      </c>
      <c r="FG42" s="261">
        <f t="shared" si="117"/>
        <v>0</v>
      </c>
      <c r="FH42" s="261">
        <f t="shared" si="117"/>
        <v>0</v>
      </c>
      <c r="FI42" s="261">
        <f t="shared" si="117"/>
        <v>0</v>
      </c>
      <c r="FJ42" s="261">
        <f t="shared" si="117"/>
        <v>0</v>
      </c>
      <c r="FK42" s="261">
        <f t="shared" si="117"/>
        <v>0</v>
      </c>
      <c r="FL42" s="261">
        <f t="shared" si="117"/>
        <v>0</v>
      </c>
      <c r="FM42" s="301"/>
      <c r="FN42" s="282">
        <f t="shared" ref="FN42:FZ42" si="118">IFERROR(N(FN6)-N(FN15)-N(FN24)-N(FN33),"")</f>
        <v>0</v>
      </c>
      <c r="FO42" s="261">
        <f t="shared" si="118"/>
        <v>0</v>
      </c>
      <c r="FP42" s="261">
        <f t="shared" si="118"/>
        <v>0</v>
      </c>
      <c r="FQ42" s="261">
        <f t="shared" si="118"/>
        <v>0</v>
      </c>
      <c r="FR42" s="261">
        <f t="shared" si="118"/>
        <v>0</v>
      </c>
      <c r="FS42" s="261">
        <f t="shared" si="118"/>
        <v>0</v>
      </c>
      <c r="FT42" s="261">
        <f t="shared" si="118"/>
        <v>0</v>
      </c>
      <c r="FU42" s="261">
        <f t="shared" si="118"/>
        <v>0</v>
      </c>
      <c r="FV42" s="261">
        <f t="shared" si="118"/>
        <v>0</v>
      </c>
      <c r="FW42" s="261">
        <f t="shared" si="118"/>
        <v>0</v>
      </c>
      <c r="FX42" s="261">
        <f t="shared" si="118"/>
        <v>0</v>
      </c>
      <c r="FY42" s="261">
        <f t="shared" si="118"/>
        <v>0</v>
      </c>
      <c r="FZ42" s="261">
        <f t="shared" si="118"/>
        <v>0</v>
      </c>
      <c r="GA42" s="301"/>
      <c r="GB42" s="284"/>
      <c r="GC42" s="270"/>
      <c r="GD42" s="270"/>
      <c r="GE42" s="270"/>
      <c r="GF42" s="270"/>
      <c r="GG42" s="270"/>
      <c r="GH42" s="270"/>
      <c r="GI42" s="270"/>
      <c r="GJ42" s="270"/>
      <c r="GK42" s="270"/>
      <c r="GL42" s="270"/>
      <c r="GM42" s="270"/>
      <c r="GN42" s="270"/>
      <c r="GO42" s="303"/>
      <c r="GP42" s="284"/>
      <c r="GQ42" s="270"/>
      <c r="GR42" s="270"/>
      <c r="GS42" s="270"/>
      <c r="GT42" s="270"/>
      <c r="GU42" s="270"/>
      <c r="GV42" s="270"/>
      <c r="GW42" s="270"/>
      <c r="GX42" s="270"/>
      <c r="GY42" s="270"/>
      <c r="GZ42" s="270"/>
      <c r="HA42" s="270"/>
      <c r="HB42" s="270"/>
      <c r="HC42" s="303"/>
      <c r="HD42" s="284"/>
      <c r="HE42" s="270"/>
      <c r="HF42" s="270"/>
      <c r="HG42" s="270"/>
      <c r="HH42" s="270"/>
      <c r="HI42" s="270"/>
      <c r="HJ42" s="270"/>
      <c r="HK42" s="270"/>
      <c r="HL42" s="270"/>
      <c r="HM42" s="270"/>
      <c r="HN42" s="270"/>
      <c r="HO42" s="270"/>
      <c r="HP42" s="270"/>
      <c r="HQ42" s="303"/>
      <c r="HR42" s="284"/>
      <c r="HS42" s="270"/>
      <c r="HT42" s="270"/>
      <c r="HU42" s="270"/>
      <c r="HV42" s="270"/>
      <c r="HW42" s="270"/>
      <c r="HX42" s="270"/>
      <c r="HY42" s="270"/>
      <c r="HZ42" s="270"/>
      <c r="IA42" s="270"/>
      <c r="IB42" s="270"/>
      <c r="IC42" s="270"/>
      <c r="ID42" s="288"/>
    </row>
    <row r="43" spans="1:238" x14ac:dyDescent="0.2">
      <c r="A43" s="307" t="s">
        <v>7</v>
      </c>
      <c r="B43" s="258">
        <f t="shared" ref="B43:N43" si="119">IFERROR(N(B7)-N(B16)-N(B25)-N(B34),"")</f>
        <v>2.6645352591003757E-15</v>
      </c>
      <c r="C43" s="258">
        <f t="shared" si="119"/>
        <v>-1.2434497875801753E-14</v>
      </c>
      <c r="D43" s="258">
        <f t="shared" si="119"/>
        <v>0</v>
      </c>
      <c r="E43" s="258">
        <f t="shared" si="119"/>
        <v>-1.7763568394002505E-15</v>
      </c>
      <c r="F43" s="258">
        <f t="shared" si="119"/>
        <v>-1.7763568394002505E-15</v>
      </c>
      <c r="G43" s="258">
        <f t="shared" si="119"/>
        <v>1.0658141036401503E-14</v>
      </c>
      <c r="H43" s="258">
        <f t="shared" si="119"/>
        <v>9.1539999999999857</v>
      </c>
      <c r="I43" s="258">
        <f t="shared" si="119"/>
        <v>24.59496</v>
      </c>
      <c r="J43" s="258">
        <f t="shared" si="119"/>
        <v>17.5153</v>
      </c>
      <c r="K43" s="258">
        <f t="shared" si="119"/>
        <v>0</v>
      </c>
      <c r="L43" s="258">
        <f t="shared" si="119"/>
        <v>0</v>
      </c>
      <c r="M43" s="258">
        <f t="shared" si="119"/>
        <v>0</v>
      </c>
      <c r="N43" s="258">
        <f t="shared" si="119"/>
        <v>0</v>
      </c>
      <c r="O43" s="295"/>
      <c r="P43" s="275">
        <f t="shared" ref="P43:AB43" si="120">IFERROR(N(P7)-N(P16)-N(P25)-N(P34),"")</f>
        <v>2.8421709430404007E-14</v>
      </c>
      <c r="Q43" s="258">
        <f t="shared" si="120"/>
        <v>7.1054273576010019E-15</v>
      </c>
      <c r="R43" s="258">
        <f t="shared" si="120"/>
        <v>1.4210854715202004E-14</v>
      </c>
      <c r="S43" s="258">
        <f t="shared" si="120"/>
        <v>2.8421709430404007E-14</v>
      </c>
      <c r="T43" s="258">
        <f t="shared" si="120"/>
        <v>0</v>
      </c>
      <c r="U43" s="258">
        <f t="shared" si="120"/>
        <v>5.6843418860808015E-14</v>
      </c>
      <c r="V43" s="258">
        <f t="shared" si="120"/>
        <v>0</v>
      </c>
      <c r="W43" s="258">
        <f t="shared" si="120"/>
        <v>-5.6843418860808015E-14</v>
      </c>
      <c r="X43" s="258">
        <f t="shared" si="120"/>
        <v>0</v>
      </c>
      <c r="Y43" s="258">
        <f t="shared" si="120"/>
        <v>0</v>
      </c>
      <c r="Z43" s="258">
        <f t="shared" si="120"/>
        <v>0</v>
      </c>
      <c r="AA43" s="258">
        <f t="shared" si="120"/>
        <v>0</v>
      </c>
      <c r="AB43" s="258">
        <f t="shared" si="120"/>
        <v>0</v>
      </c>
      <c r="AC43" s="295"/>
      <c r="AD43" s="275">
        <f t="shared" ref="AD43:AP43" si="121">IFERROR(N(AD7)-N(AD16)-N(AD25)-N(AD34),"")</f>
        <v>0</v>
      </c>
      <c r="AE43" s="258">
        <f t="shared" si="121"/>
        <v>7.1054273576010019E-15</v>
      </c>
      <c r="AF43" s="258">
        <f t="shared" si="121"/>
        <v>-3.5527136788005009E-15</v>
      </c>
      <c r="AG43" s="258">
        <f t="shared" si="121"/>
        <v>7.1054273576010019E-15</v>
      </c>
      <c r="AH43" s="258">
        <f t="shared" si="121"/>
        <v>3.5527136788005009E-15</v>
      </c>
      <c r="AI43" s="258">
        <f t="shared" si="121"/>
        <v>3.5527136788005009E-15</v>
      </c>
      <c r="AJ43" s="258">
        <f t="shared" si="121"/>
        <v>7.57</v>
      </c>
      <c r="AK43" s="258">
        <f t="shared" si="121"/>
        <v>12.439999999999991</v>
      </c>
      <c r="AL43" s="258">
        <f t="shared" si="121"/>
        <v>11.556999999999981</v>
      </c>
      <c r="AM43" s="258">
        <f t="shared" si="121"/>
        <v>0</v>
      </c>
      <c r="AN43" s="258">
        <f t="shared" si="121"/>
        <v>0</v>
      </c>
      <c r="AO43" s="258">
        <f t="shared" si="121"/>
        <v>0</v>
      </c>
      <c r="AP43" s="258">
        <f t="shared" si="121"/>
        <v>0</v>
      </c>
      <c r="AQ43" s="295"/>
      <c r="AR43" s="275">
        <f t="shared" ref="AR43:BD43" si="122">IFERROR(N(AR7)-N(AR16)-N(AR25)-N(AR34),"")</f>
        <v>5.5</v>
      </c>
      <c r="AS43" s="258">
        <f t="shared" si="122"/>
        <v>9.8000000000000007</v>
      </c>
      <c r="AT43" s="258">
        <f t="shared" si="122"/>
        <v>9.8000000000000007</v>
      </c>
      <c r="AU43" s="258">
        <f t="shared" si="122"/>
        <v>23.2</v>
      </c>
      <c r="AV43" s="258">
        <f t="shared" si="122"/>
        <v>7.3</v>
      </c>
      <c r="AW43" s="258">
        <f t="shared" si="122"/>
        <v>8.1</v>
      </c>
      <c r="AX43" s="258">
        <f t="shared" si="122"/>
        <v>8.109</v>
      </c>
      <c r="AY43" s="258">
        <f t="shared" si="122"/>
        <v>12.497999999999999</v>
      </c>
      <c r="AZ43" s="258">
        <f t="shared" si="122"/>
        <v>12.497999999999999</v>
      </c>
      <c r="BA43" s="258">
        <f t="shared" si="122"/>
        <v>0</v>
      </c>
      <c r="BB43" s="258">
        <f t="shared" si="122"/>
        <v>0</v>
      </c>
      <c r="BC43" s="258">
        <f t="shared" si="122"/>
        <v>0</v>
      </c>
      <c r="BD43" s="258">
        <f t="shared" si="122"/>
        <v>0</v>
      </c>
      <c r="BE43" s="295"/>
      <c r="BF43" s="275">
        <f t="shared" ref="BF43:BR43" si="123">IFERROR(N(BF7)-N(BF16)-N(BF25)-N(BF34),"")</f>
        <v>0.16400000000000001</v>
      </c>
      <c r="BG43" s="258">
        <f t="shared" si="123"/>
        <v>-0.13400000000000001</v>
      </c>
      <c r="BH43" s="258">
        <f t="shared" si="123"/>
        <v>3.2000000000000001E-2</v>
      </c>
      <c r="BI43" s="258">
        <f t="shared" si="123"/>
        <v>0.47499999999999998</v>
      </c>
      <c r="BJ43" s="258">
        <f t="shared" si="123"/>
        <v>1.6020000000000001</v>
      </c>
      <c r="BK43" s="258">
        <f t="shared" si="123"/>
        <v>-0.72199999999999998</v>
      </c>
      <c r="BL43" s="258">
        <f t="shared" si="123"/>
        <v>-0.17799999999999999</v>
      </c>
      <c r="BM43" s="258">
        <f t="shared" si="123"/>
        <v>0.21199999999999999</v>
      </c>
      <c r="BN43" s="258">
        <f t="shared" si="123"/>
        <v>0.21099999999999999</v>
      </c>
      <c r="BO43" s="258">
        <f t="shared" si="123"/>
        <v>0</v>
      </c>
      <c r="BP43" s="258">
        <f t="shared" si="123"/>
        <v>0</v>
      </c>
      <c r="BQ43" s="258">
        <f t="shared" si="123"/>
        <v>0</v>
      </c>
      <c r="BR43" s="258">
        <f t="shared" si="123"/>
        <v>0</v>
      </c>
      <c r="BS43" s="295"/>
      <c r="BT43" s="278">
        <f t="shared" ref="BT43:CF43" si="124">IFERROR(N(BT7)-N(BT16)-N(BT25)-N(BT34),"")</f>
        <v>0</v>
      </c>
      <c r="BU43" s="259">
        <f t="shared" si="124"/>
        <v>46.878999999999998</v>
      </c>
      <c r="BV43" s="259">
        <f t="shared" si="124"/>
        <v>53.165999999999997</v>
      </c>
      <c r="BW43" s="259">
        <f t="shared" si="124"/>
        <v>18.2</v>
      </c>
      <c r="BX43" s="259">
        <f t="shared" si="124"/>
        <v>10.816000000000001</v>
      </c>
      <c r="BY43" s="259">
        <f t="shared" si="124"/>
        <v>-0.35499999999999998</v>
      </c>
      <c r="BZ43" s="259">
        <f t="shared" si="124"/>
        <v>0</v>
      </c>
      <c r="CA43" s="259">
        <f t="shared" si="124"/>
        <v>0</v>
      </c>
      <c r="CB43" s="259">
        <f t="shared" si="124"/>
        <v>0</v>
      </c>
      <c r="CC43" s="259">
        <f t="shared" si="124"/>
        <v>0</v>
      </c>
      <c r="CD43" s="259">
        <f t="shared" si="124"/>
        <v>0</v>
      </c>
      <c r="CE43" s="259">
        <f t="shared" si="124"/>
        <v>0</v>
      </c>
      <c r="CF43" s="259">
        <f t="shared" si="124"/>
        <v>0</v>
      </c>
      <c r="CG43" s="297"/>
      <c r="CH43" s="278">
        <f t="shared" ref="CH43:CT43" si="125">IFERROR(N(CH7)-N(CH16)-N(CH25)-N(CH34),"")</f>
        <v>675.98900000000003</v>
      </c>
      <c r="CI43" s="259">
        <f t="shared" si="125"/>
        <v>660.69200000000001</v>
      </c>
      <c r="CJ43" s="259">
        <f t="shared" si="125"/>
        <v>697.178</v>
      </c>
      <c r="CK43" s="259">
        <f t="shared" si="125"/>
        <v>765.90900000000011</v>
      </c>
      <c r="CL43" s="259">
        <f t="shared" si="125"/>
        <v>746.49299999999994</v>
      </c>
      <c r="CM43" s="259">
        <f t="shared" si="125"/>
        <v>747.77700000000004</v>
      </c>
      <c r="CN43" s="259">
        <f t="shared" si="125"/>
        <v>745.81700000000001</v>
      </c>
      <c r="CO43" s="259">
        <f t="shared" si="125"/>
        <v>791.74821271453106</v>
      </c>
      <c r="CP43" s="259">
        <f t="shared" si="125"/>
        <v>788.18399999999997</v>
      </c>
      <c r="CQ43" s="259">
        <f t="shared" si="125"/>
        <v>0</v>
      </c>
      <c r="CR43" s="259">
        <f t="shared" si="125"/>
        <v>0</v>
      </c>
      <c r="CS43" s="259">
        <f t="shared" si="125"/>
        <v>0</v>
      </c>
      <c r="CT43" s="259">
        <f t="shared" si="125"/>
        <v>0</v>
      </c>
      <c r="CU43" s="297"/>
      <c r="CV43" s="278">
        <f t="shared" ref="CV43:DH43" si="126">IFERROR(N(CV7)-N(CV16)-N(CV25)-N(CV34),"")</f>
        <v>473.375</v>
      </c>
      <c r="CW43" s="259">
        <f t="shared" si="126"/>
        <v>474.791</v>
      </c>
      <c r="CX43" s="259">
        <f t="shared" si="126"/>
        <v>485.46899999999994</v>
      </c>
      <c r="CY43" s="259">
        <f t="shared" si="126"/>
        <v>582.60700000000008</v>
      </c>
      <c r="CZ43" s="259">
        <f t="shared" si="126"/>
        <v>564.93899999999985</v>
      </c>
      <c r="DA43" s="259">
        <f t="shared" si="126"/>
        <v>578.56400000000008</v>
      </c>
      <c r="DB43" s="259">
        <f t="shared" si="126"/>
        <v>565.03300000000002</v>
      </c>
      <c r="DC43" s="259">
        <f t="shared" si="126"/>
        <v>592.42273653118241</v>
      </c>
      <c r="DD43" s="259">
        <f t="shared" si="126"/>
        <v>603.84669999999994</v>
      </c>
      <c r="DE43" s="259">
        <f t="shared" si="126"/>
        <v>0</v>
      </c>
      <c r="DF43" s="259">
        <f t="shared" si="126"/>
        <v>0</v>
      </c>
      <c r="DG43" s="259">
        <f t="shared" si="126"/>
        <v>0</v>
      </c>
      <c r="DH43" s="259">
        <f t="shared" si="126"/>
        <v>0</v>
      </c>
      <c r="DI43" s="297"/>
      <c r="DJ43" s="280"/>
      <c r="DK43" s="260"/>
      <c r="DL43" s="260"/>
      <c r="DM43" s="260"/>
      <c r="DN43" s="260"/>
      <c r="DO43" s="260"/>
      <c r="DP43" s="260"/>
      <c r="DQ43" s="260"/>
      <c r="DR43" s="260"/>
      <c r="DS43" s="260"/>
      <c r="DT43" s="260"/>
      <c r="DU43" s="260"/>
      <c r="DV43" s="260"/>
      <c r="DW43" s="299"/>
      <c r="DX43" s="282">
        <f t="shared" ref="DX43:EJ43" si="127">IFERROR(N(DX7)-N(DX16)-N(DX25)-N(DX34),"")</f>
        <v>0</v>
      </c>
      <c r="DY43" s="261">
        <f t="shared" si="127"/>
        <v>0</v>
      </c>
      <c r="DZ43" s="261">
        <f t="shared" si="127"/>
        <v>0</v>
      </c>
      <c r="EA43" s="261">
        <f t="shared" si="127"/>
        <v>0</v>
      </c>
      <c r="EB43" s="261">
        <f t="shared" si="127"/>
        <v>0</v>
      </c>
      <c r="EC43" s="261">
        <f t="shared" si="127"/>
        <v>0</v>
      </c>
      <c r="ED43" s="261">
        <f t="shared" si="127"/>
        <v>0</v>
      </c>
      <c r="EE43" s="261">
        <f t="shared" si="127"/>
        <v>0</v>
      </c>
      <c r="EF43" s="261">
        <f t="shared" si="127"/>
        <v>0</v>
      </c>
      <c r="EG43" s="261">
        <f t="shared" si="127"/>
        <v>0</v>
      </c>
      <c r="EH43" s="261">
        <f t="shared" si="127"/>
        <v>0</v>
      </c>
      <c r="EI43" s="261">
        <f t="shared" si="127"/>
        <v>0</v>
      </c>
      <c r="EJ43" s="261">
        <f t="shared" si="127"/>
        <v>0</v>
      </c>
      <c r="EK43" s="301"/>
      <c r="EL43" s="282">
        <f t="shared" ref="EL43:EX43" si="128">IFERROR(N(EL7)-N(EL16)-N(EL25)-N(EL34),"")</f>
        <v>0</v>
      </c>
      <c r="EM43" s="261">
        <f t="shared" si="128"/>
        <v>0</v>
      </c>
      <c r="EN43" s="261">
        <f t="shared" si="128"/>
        <v>0</v>
      </c>
      <c r="EO43" s="261">
        <f t="shared" si="128"/>
        <v>0</v>
      </c>
      <c r="EP43" s="261">
        <f t="shared" si="128"/>
        <v>0</v>
      </c>
      <c r="EQ43" s="261">
        <f t="shared" si="128"/>
        <v>0</v>
      </c>
      <c r="ER43" s="261">
        <f t="shared" si="128"/>
        <v>0</v>
      </c>
      <c r="ES43" s="261">
        <f t="shared" si="128"/>
        <v>0</v>
      </c>
      <c r="ET43" s="261">
        <f t="shared" si="128"/>
        <v>0</v>
      </c>
      <c r="EU43" s="261">
        <f t="shared" si="128"/>
        <v>0</v>
      </c>
      <c r="EV43" s="261">
        <f t="shared" si="128"/>
        <v>0</v>
      </c>
      <c r="EW43" s="261">
        <f t="shared" si="128"/>
        <v>0</v>
      </c>
      <c r="EX43" s="261">
        <f t="shared" si="128"/>
        <v>0</v>
      </c>
      <c r="EY43" s="301"/>
      <c r="EZ43" s="282">
        <f t="shared" ref="EZ43:FL43" si="129">IFERROR(N(EZ7)-N(EZ16)-N(EZ25)-N(EZ34),"")</f>
        <v>0</v>
      </c>
      <c r="FA43" s="261">
        <f t="shared" si="129"/>
        <v>0</v>
      </c>
      <c r="FB43" s="261">
        <f t="shared" si="129"/>
        <v>0</v>
      </c>
      <c r="FC43" s="261">
        <f t="shared" si="129"/>
        <v>0</v>
      </c>
      <c r="FD43" s="261">
        <f t="shared" si="129"/>
        <v>0</v>
      </c>
      <c r="FE43" s="261">
        <f t="shared" si="129"/>
        <v>0</v>
      </c>
      <c r="FF43" s="261">
        <f t="shared" si="129"/>
        <v>0</v>
      </c>
      <c r="FG43" s="261">
        <f t="shared" si="129"/>
        <v>0</v>
      </c>
      <c r="FH43" s="261">
        <f t="shared" si="129"/>
        <v>0</v>
      </c>
      <c r="FI43" s="261">
        <f t="shared" si="129"/>
        <v>0</v>
      </c>
      <c r="FJ43" s="261">
        <f t="shared" si="129"/>
        <v>0</v>
      </c>
      <c r="FK43" s="261">
        <f t="shared" si="129"/>
        <v>0</v>
      </c>
      <c r="FL43" s="261">
        <f t="shared" si="129"/>
        <v>0</v>
      </c>
      <c r="FM43" s="301"/>
      <c r="FN43" s="282">
        <f t="shared" ref="FN43:FZ43" si="130">IFERROR(N(FN7)-N(FN16)-N(FN25)-N(FN34),"")</f>
        <v>0</v>
      </c>
      <c r="FO43" s="261">
        <f t="shared" si="130"/>
        <v>0</v>
      </c>
      <c r="FP43" s="261">
        <f t="shared" si="130"/>
        <v>0</v>
      </c>
      <c r="FQ43" s="261">
        <f t="shared" si="130"/>
        <v>0</v>
      </c>
      <c r="FR43" s="261">
        <f t="shared" si="130"/>
        <v>0</v>
      </c>
      <c r="FS43" s="261">
        <f t="shared" si="130"/>
        <v>0</v>
      </c>
      <c r="FT43" s="261">
        <f t="shared" si="130"/>
        <v>0</v>
      </c>
      <c r="FU43" s="261">
        <f t="shared" si="130"/>
        <v>0</v>
      </c>
      <c r="FV43" s="261">
        <f t="shared" si="130"/>
        <v>0</v>
      </c>
      <c r="FW43" s="261">
        <f t="shared" si="130"/>
        <v>0</v>
      </c>
      <c r="FX43" s="261">
        <f t="shared" si="130"/>
        <v>0</v>
      </c>
      <c r="FY43" s="261">
        <f t="shared" si="130"/>
        <v>0</v>
      </c>
      <c r="FZ43" s="261">
        <f t="shared" si="130"/>
        <v>0</v>
      </c>
      <c r="GA43" s="301"/>
      <c r="GB43" s="284"/>
      <c r="GC43" s="270"/>
      <c r="GD43" s="270"/>
      <c r="GE43" s="270"/>
      <c r="GF43" s="270"/>
      <c r="GG43" s="270"/>
      <c r="GH43" s="270"/>
      <c r="GI43" s="270"/>
      <c r="GJ43" s="270"/>
      <c r="GK43" s="270"/>
      <c r="GL43" s="270"/>
      <c r="GM43" s="270"/>
      <c r="GN43" s="270"/>
      <c r="GO43" s="303"/>
      <c r="GP43" s="284"/>
      <c r="GQ43" s="270"/>
      <c r="GR43" s="270"/>
      <c r="GS43" s="270"/>
      <c r="GT43" s="270"/>
      <c r="GU43" s="270"/>
      <c r="GV43" s="270"/>
      <c r="GW43" s="270"/>
      <c r="GX43" s="270"/>
      <c r="GY43" s="270"/>
      <c r="GZ43" s="270"/>
      <c r="HA43" s="270"/>
      <c r="HB43" s="270"/>
      <c r="HC43" s="303"/>
      <c r="HD43" s="284"/>
      <c r="HE43" s="270"/>
      <c r="HF43" s="270"/>
      <c r="HG43" s="270"/>
      <c r="HH43" s="270"/>
      <c r="HI43" s="270"/>
      <c r="HJ43" s="270"/>
      <c r="HK43" s="270"/>
      <c r="HL43" s="270"/>
      <c r="HM43" s="270"/>
      <c r="HN43" s="270"/>
      <c r="HO43" s="270"/>
      <c r="HP43" s="270"/>
      <c r="HQ43" s="303"/>
      <c r="HR43" s="284"/>
      <c r="HS43" s="270"/>
      <c r="HT43" s="270"/>
      <c r="HU43" s="270"/>
      <c r="HV43" s="270"/>
      <c r="HW43" s="270"/>
      <c r="HX43" s="270"/>
      <c r="HY43" s="270"/>
      <c r="HZ43" s="270"/>
      <c r="IA43" s="270"/>
      <c r="IB43" s="270"/>
      <c r="IC43" s="270"/>
      <c r="ID43" s="288"/>
    </row>
    <row r="44" spans="1:238" x14ac:dyDescent="0.2">
      <c r="A44" s="307" t="s">
        <v>9</v>
      </c>
      <c r="B44" s="258">
        <f t="shared" ref="B44:N44" si="131">IFERROR(N(B8)-N(B17)-N(B26)-N(B35),"")</f>
        <v>9.9999999999999893</v>
      </c>
      <c r="C44" s="258">
        <f t="shared" si="131"/>
        <v>12.499999999999961</v>
      </c>
      <c r="D44" s="258">
        <f t="shared" si="131"/>
        <v>28.199999999999985</v>
      </c>
      <c r="E44" s="258">
        <f t="shared" si="131"/>
        <v>27.29999999999999</v>
      </c>
      <c r="F44" s="258">
        <f t="shared" si="131"/>
        <v>36.700000000000038</v>
      </c>
      <c r="G44" s="258">
        <f t="shared" si="131"/>
        <v>43.700000000000053</v>
      </c>
      <c r="H44" s="258">
        <f t="shared" si="131"/>
        <v>25.142363100000047</v>
      </c>
      <c r="I44" s="258">
        <f t="shared" si="131"/>
        <v>22.492999999999995</v>
      </c>
      <c r="J44" s="258">
        <f t="shared" si="131"/>
        <v>22.767000000000071</v>
      </c>
      <c r="K44" s="258">
        <f t="shared" si="131"/>
        <v>0</v>
      </c>
      <c r="L44" s="258">
        <f t="shared" si="131"/>
        <v>0</v>
      </c>
      <c r="M44" s="258">
        <f t="shared" si="131"/>
        <v>0</v>
      </c>
      <c r="N44" s="258">
        <f t="shared" si="131"/>
        <v>0</v>
      </c>
      <c r="O44" s="295"/>
      <c r="P44" s="275">
        <f t="shared" ref="P44:AB44" si="132">IFERROR(N(P8)-N(P17)-N(P26)-N(P35),"")</f>
        <v>-295.40000000000026</v>
      </c>
      <c r="Q44" s="258">
        <f t="shared" si="132"/>
        <v>-258.49999999999983</v>
      </c>
      <c r="R44" s="258">
        <f t="shared" si="132"/>
        <v>-274.79999999999978</v>
      </c>
      <c r="S44" s="258">
        <f t="shared" si="132"/>
        <v>-295.50000000000006</v>
      </c>
      <c r="T44" s="258">
        <f t="shared" si="132"/>
        <v>-335.40000000000026</v>
      </c>
      <c r="U44" s="258">
        <f t="shared" si="132"/>
        <v>-358.60000000000019</v>
      </c>
      <c r="V44" s="258">
        <f t="shared" si="132"/>
        <v>-322.00259999999957</v>
      </c>
      <c r="W44" s="258">
        <f t="shared" si="132"/>
        <v>-331.57769999999988</v>
      </c>
      <c r="X44" s="258">
        <f t="shared" si="132"/>
        <v>-331.52470000000005</v>
      </c>
      <c r="Y44" s="258">
        <f t="shared" si="132"/>
        <v>0</v>
      </c>
      <c r="Z44" s="258">
        <f t="shared" si="132"/>
        <v>0</v>
      </c>
      <c r="AA44" s="258">
        <f t="shared" si="132"/>
        <v>0</v>
      </c>
      <c r="AB44" s="258">
        <f t="shared" si="132"/>
        <v>0</v>
      </c>
      <c r="AC44" s="295"/>
      <c r="AD44" s="275">
        <f t="shared" ref="AD44:AP44" si="133">IFERROR(N(AD8)-N(AD17)-N(AD26)-N(AD35),"")</f>
        <v>253.9</v>
      </c>
      <c r="AE44" s="258">
        <f t="shared" si="133"/>
        <v>226.6</v>
      </c>
      <c r="AF44" s="258">
        <f t="shared" si="133"/>
        <v>269.7</v>
      </c>
      <c r="AG44" s="258">
        <f t="shared" si="133"/>
        <v>263.5</v>
      </c>
      <c r="AH44" s="258">
        <f t="shared" si="133"/>
        <v>275.60000000000002</v>
      </c>
      <c r="AI44" s="258">
        <f t="shared" si="133"/>
        <v>279.10000000000002</v>
      </c>
      <c r="AJ44" s="258">
        <f t="shared" si="133"/>
        <v>296.49469000000005</v>
      </c>
      <c r="AK44" s="258">
        <f t="shared" si="133"/>
        <v>321.66146000000003</v>
      </c>
      <c r="AL44" s="258">
        <f t="shared" si="133"/>
        <v>324.90446000000003</v>
      </c>
      <c r="AM44" s="258">
        <f t="shared" si="133"/>
        <v>0</v>
      </c>
      <c r="AN44" s="258">
        <f t="shared" si="133"/>
        <v>0</v>
      </c>
      <c r="AO44" s="258">
        <f t="shared" si="133"/>
        <v>0</v>
      </c>
      <c r="AP44" s="258">
        <f t="shared" si="133"/>
        <v>0</v>
      </c>
      <c r="AQ44" s="295"/>
      <c r="AR44" s="275">
        <f t="shared" ref="AR44:BD44" si="134">IFERROR(N(AR8)-N(AR17)-N(AR26)-N(AR35),"")</f>
        <v>1.8</v>
      </c>
      <c r="AS44" s="258">
        <f t="shared" si="134"/>
        <v>1.8</v>
      </c>
      <c r="AT44" s="258">
        <f t="shared" si="134"/>
        <v>1.8</v>
      </c>
      <c r="AU44" s="258">
        <f t="shared" si="134"/>
        <v>2.4</v>
      </c>
      <c r="AV44" s="258">
        <f t="shared" si="134"/>
        <v>2.6</v>
      </c>
      <c r="AW44" s="258">
        <f t="shared" si="134"/>
        <v>2.9</v>
      </c>
      <c r="AX44" s="258">
        <f t="shared" si="134"/>
        <v>3.3737399999999997</v>
      </c>
      <c r="AY44" s="258">
        <f t="shared" si="134"/>
        <v>3.2800000000000002</v>
      </c>
      <c r="AZ44" s="258">
        <f t="shared" si="134"/>
        <v>3.2800000000000002</v>
      </c>
      <c r="BA44" s="258">
        <f t="shared" si="134"/>
        <v>0</v>
      </c>
      <c r="BB44" s="258">
        <f t="shared" si="134"/>
        <v>0</v>
      </c>
      <c r="BC44" s="258">
        <f t="shared" si="134"/>
        <v>0</v>
      </c>
      <c r="BD44" s="258">
        <f t="shared" si="134"/>
        <v>0</v>
      </c>
      <c r="BE44" s="295"/>
      <c r="BF44" s="275">
        <f t="shared" ref="BF44:BR44" si="135">IFERROR(N(BF8)-N(BF17)-N(BF26)-N(BF35),"")</f>
        <v>2.9</v>
      </c>
      <c r="BG44" s="258">
        <f t="shared" si="135"/>
        <v>-1.2</v>
      </c>
      <c r="BH44" s="258">
        <f t="shared" si="135"/>
        <v>4.3000000000000007</v>
      </c>
      <c r="BI44" s="258">
        <f t="shared" si="135"/>
        <v>13.799999999999999</v>
      </c>
      <c r="BJ44" s="258">
        <f t="shared" si="135"/>
        <v>-10.3</v>
      </c>
      <c r="BK44" s="258">
        <f t="shared" si="135"/>
        <v>-10.4</v>
      </c>
      <c r="BL44" s="258">
        <f t="shared" si="135"/>
        <v>-5.7284877299999994</v>
      </c>
      <c r="BM44" s="258">
        <f t="shared" si="135"/>
        <v>0</v>
      </c>
      <c r="BN44" s="258">
        <f t="shared" si="135"/>
        <v>-1.5350000000000001</v>
      </c>
      <c r="BO44" s="258">
        <f t="shared" si="135"/>
        <v>0</v>
      </c>
      <c r="BP44" s="258">
        <f t="shared" si="135"/>
        <v>0</v>
      </c>
      <c r="BQ44" s="258">
        <f t="shared" si="135"/>
        <v>0</v>
      </c>
      <c r="BR44" s="258">
        <f t="shared" si="135"/>
        <v>0</v>
      </c>
      <c r="BS44" s="295"/>
      <c r="BT44" s="278">
        <f t="shared" ref="BT44:CF44" si="136">IFERROR(N(BT8)-N(BT17)-N(BT26)-N(BT35),"")</f>
        <v>0</v>
      </c>
      <c r="BU44" s="259">
        <f t="shared" si="136"/>
        <v>7.8999999999999986</v>
      </c>
      <c r="BV44" s="259">
        <f t="shared" si="136"/>
        <v>14.900000000000016</v>
      </c>
      <c r="BW44" s="259">
        <f t="shared" si="136"/>
        <v>1.7763568394002505E-15</v>
      </c>
      <c r="BX44" s="259">
        <f t="shared" si="136"/>
        <v>0.20000000000000373</v>
      </c>
      <c r="BY44" s="259">
        <f t="shared" si="136"/>
        <v>0</v>
      </c>
      <c r="BZ44" s="259">
        <f t="shared" si="136"/>
        <v>0</v>
      </c>
      <c r="CA44" s="259">
        <f t="shared" si="136"/>
        <v>0</v>
      </c>
      <c r="CB44" s="259">
        <f t="shared" si="136"/>
        <v>0</v>
      </c>
      <c r="CC44" s="259">
        <f t="shared" si="136"/>
        <v>0</v>
      </c>
      <c r="CD44" s="259">
        <f t="shared" si="136"/>
        <v>0</v>
      </c>
      <c r="CE44" s="259">
        <f t="shared" si="136"/>
        <v>0</v>
      </c>
      <c r="CF44" s="259">
        <f t="shared" si="136"/>
        <v>0</v>
      </c>
      <c r="CG44" s="297"/>
      <c r="CH44" s="278">
        <f t="shared" ref="CH44:CT44" si="137">IFERROR(N(CH8)-N(CH17)-N(CH26)-N(CH35),"")</f>
        <v>2145.8999999999996</v>
      </c>
      <c r="CI44" s="259">
        <f t="shared" si="137"/>
        <v>2119.6999999999998</v>
      </c>
      <c r="CJ44" s="259">
        <f t="shared" si="137"/>
        <v>2272</v>
      </c>
      <c r="CK44" s="259">
        <f t="shared" si="137"/>
        <v>2443.2999999999997</v>
      </c>
      <c r="CL44" s="259">
        <f t="shared" si="137"/>
        <v>2439.6999999999998</v>
      </c>
      <c r="CM44" s="259">
        <f t="shared" si="137"/>
        <v>2521.6999999999998</v>
      </c>
      <c r="CN44" s="259">
        <f t="shared" si="137"/>
        <v>2539.7407192700007</v>
      </c>
      <c r="CO44" s="259">
        <f t="shared" si="137"/>
        <v>2643.07206</v>
      </c>
      <c r="CP44" s="259">
        <f t="shared" si="137"/>
        <v>2647.3574600000002</v>
      </c>
      <c r="CQ44" s="259">
        <f t="shared" si="137"/>
        <v>0</v>
      </c>
      <c r="CR44" s="259">
        <f t="shared" si="137"/>
        <v>0</v>
      </c>
      <c r="CS44" s="259">
        <f t="shared" si="137"/>
        <v>0</v>
      </c>
      <c r="CT44" s="259">
        <f t="shared" si="137"/>
        <v>0</v>
      </c>
      <c r="CU44" s="297"/>
      <c r="CV44" s="278">
        <f t="shared" ref="CV44:DH44" si="138">IFERROR(N(CV8)-N(CV17)-N(CV26)-N(CV35),"")</f>
        <v>1360.3999999999996</v>
      </c>
      <c r="CW44" s="259">
        <f t="shared" si="138"/>
        <v>1335.3</v>
      </c>
      <c r="CX44" s="259">
        <f t="shared" si="138"/>
        <v>1434.7</v>
      </c>
      <c r="CY44" s="259">
        <f t="shared" si="138"/>
        <v>1609.2999999999997</v>
      </c>
      <c r="CZ44" s="259">
        <f t="shared" si="138"/>
        <v>1556.1</v>
      </c>
      <c r="DA44" s="259">
        <f t="shared" si="138"/>
        <v>1614.4999999999998</v>
      </c>
      <c r="DB44" s="259">
        <f t="shared" si="138"/>
        <v>1667.7108331700006</v>
      </c>
      <c r="DC44" s="259">
        <f t="shared" si="138"/>
        <v>1753.8560600000001</v>
      </c>
      <c r="DD44" s="259">
        <f t="shared" si="138"/>
        <v>1775.9355600000001</v>
      </c>
      <c r="DE44" s="259">
        <f t="shared" si="138"/>
        <v>0</v>
      </c>
      <c r="DF44" s="259">
        <f t="shared" si="138"/>
        <v>0</v>
      </c>
      <c r="DG44" s="259">
        <f t="shared" si="138"/>
        <v>0</v>
      </c>
      <c r="DH44" s="259">
        <f t="shared" si="138"/>
        <v>0</v>
      </c>
      <c r="DI44" s="297"/>
      <c r="DJ44" s="280"/>
      <c r="DK44" s="260"/>
      <c r="DL44" s="260"/>
      <c r="DM44" s="260"/>
      <c r="DN44" s="260"/>
      <c r="DO44" s="260"/>
      <c r="DP44" s="260"/>
      <c r="DQ44" s="260"/>
      <c r="DR44" s="260"/>
      <c r="DS44" s="260"/>
      <c r="DT44" s="260"/>
      <c r="DU44" s="260"/>
      <c r="DV44" s="260"/>
      <c r="DW44" s="299"/>
      <c r="DX44" s="282">
        <f t="shared" ref="DX44:EJ44" si="139">IFERROR(N(DX8)-N(DX17)-N(DX26)-N(DX35),"")</f>
        <v>0</v>
      </c>
      <c r="DY44" s="261">
        <f t="shared" si="139"/>
        <v>0</v>
      </c>
      <c r="DZ44" s="261">
        <f t="shared" si="139"/>
        <v>0</v>
      </c>
      <c r="EA44" s="261">
        <f t="shared" si="139"/>
        <v>0</v>
      </c>
      <c r="EB44" s="261">
        <f t="shared" si="139"/>
        <v>0</v>
      </c>
      <c r="EC44" s="261">
        <f t="shared" si="139"/>
        <v>0</v>
      </c>
      <c r="ED44" s="261">
        <f t="shared" si="139"/>
        <v>0</v>
      </c>
      <c r="EE44" s="261">
        <f t="shared" si="139"/>
        <v>0</v>
      </c>
      <c r="EF44" s="261">
        <f t="shared" si="139"/>
        <v>0</v>
      </c>
      <c r="EG44" s="261">
        <f t="shared" si="139"/>
        <v>0</v>
      </c>
      <c r="EH44" s="261">
        <f t="shared" si="139"/>
        <v>0</v>
      </c>
      <c r="EI44" s="261">
        <f t="shared" si="139"/>
        <v>0</v>
      </c>
      <c r="EJ44" s="261">
        <f t="shared" si="139"/>
        <v>0</v>
      </c>
      <c r="EK44" s="301"/>
      <c r="EL44" s="282">
        <f t="shared" ref="EL44:EX44" si="140">IFERROR(N(EL8)-N(EL17)-N(EL26)-N(EL35),"")</f>
        <v>0</v>
      </c>
      <c r="EM44" s="261">
        <f t="shared" si="140"/>
        <v>0</v>
      </c>
      <c r="EN44" s="261">
        <f t="shared" si="140"/>
        <v>0</v>
      </c>
      <c r="EO44" s="261">
        <f t="shared" si="140"/>
        <v>0</v>
      </c>
      <c r="EP44" s="261">
        <f t="shared" si="140"/>
        <v>0</v>
      </c>
      <c r="EQ44" s="261">
        <f t="shared" si="140"/>
        <v>0</v>
      </c>
      <c r="ER44" s="261">
        <f t="shared" si="140"/>
        <v>0</v>
      </c>
      <c r="ES44" s="261">
        <f t="shared" si="140"/>
        <v>0</v>
      </c>
      <c r="ET44" s="261">
        <f t="shared" si="140"/>
        <v>0</v>
      </c>
      <c r="EU44" s="261">
        <f t="shared" si="140"/>
        <v>0</v>
      </c>
      <c r="EV44" s="261">
        <f t="shared" si="140"/>
        <v>0</v>
      </c>
      <c r="EW44" s="261">
        <f t="shared" si="140"/>
        <v>0</v>
      </c>
      <c r="EX44" s="261">
        <f t="shared" si="140"/>
        <v>0</v>
      </c>
      <c r="EY44" s="301"/>
      <c r="EZ44" s="282">
        <f t="shared" ref="EZ44:FL44" si="141">IFERROR(N(EZ8)-N(EZ17)-N(EZ26)-N(EZ35),"")</f>
        <v>0</v>
      </c>
      <c r="FA44" s="261">
        <f t="shared" si="141"/>
        <v>0</v>
      </c>
      <c r="FB44" s="261">
        <f t="shared" si="141"/>
        <v>0</v>
      </c>
      <c r="FC44" s="261">
        <f t="shared" si="141"/>
        <v>0</v>
      </c>
      <c r="FD44" s="261">
        <f t="shared" si="141"/>
        <v>0</v>
      </c>
      <c r="FE44" s="261">
        <f t="shared" si="141"/>
        <v>0</v>
      </c>
      <c r="FF44" s="261">
        <f t="shared" si="141"/>
        <v>0</v>
      </c>
      <c r="FG44" s="261">
        <f t="shared" si="141"/>
        <v>0</v>
      </c>
      <c r="FH44" s="261">
        <f t="shared" si="141"/>
        <v>0</v>
      </c>
      <c r="FI44" s="261">
        <f t="shared" si="141"/>
        <v>0</v>
      </c>
      <c r="FJ44" s="261">
        <f t="shared" si="141"/>
        <v>0</v>
      </c>
      <c r="FK44" s="261">
        <f t="shared" si="141"/>
        <v>0</v>
      </c>
      <c r="FL44" s="261">
        <f t="shared" si="141"/>
        <v>0</v>
      </c>
      <c r="FM44" s="301"/>
      <c r="FN44" s="282">
        <f t="shared" ref="FN44:FZ44" si="142">IFERROR(N(FN8)-N(FN17)-N(FN26)-N(FN35),"")</f>
        <v>0</v>
      </c>
      <c r="FO44" s="261">
        <f t="shared" si="142"/>
        <v>0</v>
      </c>
      <c r="FP44" s="261">
        <f t="shared" si="142"/>
        <v>0</v>
      </c>
      <c r="FQ44" s="261">
        <f t="shared" si="142"/>
        <v>0</v>
      </c>
      <c r="FR44" s="261">
        <f t="shared" si="142"/>
        <v>0</v>
      </c>
      <c r="FS44" s="261">
        <f t="shared" si="142"/>
        <v>0</v>
      </c>
      <c r="FT44" s="261">
        <f t="shared" si="142"/>
        <v>0</v>
      </c>
      <c r="FU44" s="261">
        <f t="shared" si="142"/>
        <v>0</v>
      </c>
      <c r="FV44" s="261">
        <f t="shared" si="142"/>
        <v>0</v>
      </c>
      <c r="FW44" s="261">
        <f t="shared" si="142"/>
        <v>0</v>
      </c>
      <c r="FX44" s="261">
        <f t="shared" si="142"/>
        <v>0</v>
      </c>
      <c r="FY44" s="261">
        <f t="shared" si="142"/>
        <v>0</v>
      </c>
      <c r="FZ44" s="261">
        <f t="shared" si="142"/>
        <v>0</v>
      </c>
      <c r="GA44" s="301"/>
      <c r="GB44" s="284"/>
      <c r="GC44" s="270"/>
      <c r="GD44" s="270"/>
      <c r="GE44" s="270"/>
      <c r="GF44" s="270"/>
      <c r="GG44" s="270"/>
      <c r="GH44" s="270"/>
      <c r="GI44" s="270"/>
      <c r="GJ44" s="270"/>
      <c r="GK44" s="270"/>
      <c r="GL44" s="270"/>
      <c r="GM44" s="270"/>
      <c r="GN44" s="270"/>
      <c r="GO44" s="303"/>
      <c r="GP44" s="284"/>
      <c r="GQ44" s="270"/>
      <c r="GR44" s="270"/>
      <c r="GS44" s="270"/>
      <c r="GT44" s="270"/>
      <c r="GU44" s="270"/>
      <c r="GV44" s="270"/>
      <c r="GW44" s="270"/>
      <c r="GX44" s="270"/>
      <c r="GY44" s="270"/>
      <c r="GZ44" s="270"/>
      <c r="HA44" s="270"/>
      <c r="HB44" s="270"/>
      <c r="HC44" s="303"/>
      <c r="HD44" s="284"/>
      <c r="HE44" s="270"/>
      <c r="HF44" s="270"/>
      <c r="HG44" s="270"/>
      <c r="HH44" s="270"/>
      <c r="HI44" s="270"/>
      <c r="HJ44" s="270"/>
      <c r="HK44" s="270"/>
      <c r="HL44" s="270"/>
      <c r="HM44" s="270"/>
      <c r="HN44" s="270"/>
      <c r="HO44" s="270"/>
      <c r="HP44" s="270"/>
      <c r="HQ44" s="303"/>
      <c r="HR44" s="284"/>
      <c r="HS44" s="270"/>
      <c r="HT44" s="270"/>
      <c r="HU44" s="270"/>
      <c r="HV44" s="270"/>
      <c r="HW44" s="270"/>
      <c r="HX44" s="270"/>
      <c r="HY44" s="270"/>
      <c r="HZ44" s="270"/>
      <c r="IA44" s="270"/>
      <c r="IB44" s="270"/>
      <c r="IC44" s="270"/>
      <c r="ID44" s="288"/>
    </row>
    <row r="45" spans="1:238" x14ac:dyDescent="0.2">
      <c r="A45" s="307" t="s">
        <v>12</v>
      </c>
      <c r="B45" s="258">
        <f t="shared" ref="B45:N45" si="143">IFERROR(N(B9)-N(B18)-N(B27)-N(B36),"")</f>
        <v>-3.5527136788005009E-14</v>
      </c>
      <c r="C45" s="258">
        <f t="shared" si="143"/>
        <v>1.4210854715202004E-14</v>
      </c>
      <c r="D45" s="258">
        <f t="shared" si="143"/>
        <v>-9.2370555648813024E-14</v>
      </c>
      <c r="E45" s="258">
        <f t="shared" si="143"/>
        <v>-9.9999999960687092E-6</v>
      </c>
      <c r="F45" s="258">
        <f t="shared" si="143"/>
        <v>-1.0000000017384991E-5</v>
      </c>
      <c r="G45" s="258">
        <f t="shared" si="143"/>
        <v>-1.5631940186722204E-13</v>
      </c>
      <c r="H45" s="258">
        <f t="shared" si="143"/>
        <v>-2.1316282072803006E-13</v>
      </c>
      <c r="I45" s="258">
        <f t="shared" si="143"/>
        <v>1.0000000003174137E-5</v>
      </c>
      <c r="J45" s="258">
        <f t="shared" si="143"/>
        <v>-1.5631940186722204E-13</v>
      </c>
      <c r="K45" s="258">
        <f t="shared" si="143"/>
        <v>0</v>
      </c>
      <c r="L45" s="258">
        <f t="shared" si="143"/>
        <v>1.9895196601282805E-13</v>
      </c>
      <c r="M45" s="258">
        <f t="shared" si="143"/>
        <v>0</v>
      </c>
      <c r="N45" s="258">
        <f t="shared" si="143"/>
        <v>0</v>
      </c>
      <c r="O45" s="295"/>
      <c r="P45" s="275">
        <f t="shared" ref="P45:AB45" si="144">IFERROR(N(P9)-N(P18)-N(P27)-N(P36),"")</f>
        <v>1.0000000088439265E-5</v>
      </c>
      <c r="Q45" s="258">
        <f t="shared" si="144"/>
        <v>2.2737367544323206E-13</v>
      </c>
      <c r="R45" s="258">
        <f t="shared" si="144"/>
        <v>-9.9999998610655894E-6</v>
      </c>
      <c r="S45" s="258">
        <f t="shared" si="144"/>
        <v>-2.2737367544323206E-13</v>
      </c>
      <c r="T45" s="258">
        <f t="shared" si="144"/>
        <v>1.000000031581294E-5</v>
      </c>
      <c r="U45" s="258">
        <f t="shared" si="144"/>
        <v>1.1368683772161603E-13</v>
      </c>
      <c r="V45" s="258">
        <f t="shared" si="144"/>
        <v>4.5474735088646412E-13</v>
      </c>
      <c r="W45" s="258">
        <f t="shared" si="144"/>
        <v>3.4106051316484809E-13</v>
      </c>
      <c r="X45" s="258">
        <f t="shared" si="144"/>
        <v>-4.5474735088646412E-13</v>
      </c>
      <c r="Y45" s="258">
        <f t="shared" si="144"/>
        <v>0</v>
      </c>
      <c r="Z45" s="258">
        <f t="shared" si="144"/>
        <v>-9.9999995200050762E-6</v>
      </c>
      <c r="AA45" s="258">
        <f t="shared" si="144"/>
        <v>0</v>
      </c>
      <c r="AB45" s="258">
        <f t="shared" si="144"/>
        <v>0</v>
      </c>
      <c r="AC45" s="295"/>
      <c r="AD45" s="275">
        <f t="shared" ref="AD45:AP45" si="145">IFERROR(N(AD9)-N(AD18)-N(AD27)-N(AD36),"")</f>
        <v>107.56082000000002</v>
      </c>
      <c r="AE45" s="258">
        <f t="shared" si="145"/>
        <v>109.23420999999992</v>
      </c>
      <c r="AF45" s="258">
        <f t="shared" si="145"/>
        <v>118.79004000000006</v>
      </c>
      <c r="AG45" s="258">
        <f t="shared" si="145"/>
        <v>104.85380000000005</v>
      </c>
      <c r="AH45" s="258">
        <f t="shared" si="145"/>
        <v>117.24673</v>
      </c>
      <c r="AI45" s="258">
        <f t="shared" si="145"/>
        <v>127.08541999999998</v>
      </c>
      <c r="AJ45" s="258">
        <f t="shared" si="145"/>
        <v>119.15272000000003</v>
      </c>
      <c r="AK45" s="258">
        <f t="shared" si="145"/>
        <v>137.52016</v>
      </c>
      <c r="AL45" s="258">
        <f t="shared" si="145"/>
        <v>135.97277999999991</v>
      </c>
      <c r="AM45" s="258">
        <f t="shared" si="145"/>
        <v>0</v>
      </c>
      <c r="AN45" s="258">
        <f t="shared" si="145"/>
        <v>127.54089999999997</v>
      </c>
      <c r="AO45" s="258">
        <f t="shared" si="145"/>
        <v>0</v>
      </c>
      <c r="AP45" s="258">
        <f t="shared" si="145"/>
        <v>0</v>
      </c>
      <c r="AQ45" s="295"/>
      <c r="AR45" s="275">
        <f t="shared" ref="AR45:BD45" si="146">IFERROR(N(AR9)-N(AR18)-N(AR27)-N(AR36),"")</f>
        <v>5.6519500000000029</v>
      </c>
      <c r="AS45" s="258">
        <f t="shared" si="146"/>
        <v>5.8646699999999967</v>
      </c>
      <c r="AT45" s="258">
        <f t="shared" si="146"/>
        <v>6.05396</v>
      </c>
      <c r="AU45" s="258">
        <f t="shared" si="146"/>
        <v>6.3472100000000005</v>
      </c>
      <c r="AV45" s="258">
        <f t="shared" si="146"/>
        <v>6.594850000000001</v>
      </c>
      <c r="AW45" s="258">
        <f t="shared" si="146"/>
        <v>6.9969200000000029</v>
      </c>
      <c r="AX45" s="258">
        <f t="shared" si="146"/>
        <v>7.4344600000000014</v>
      </c>
      <c r="AY45" s="258">
        <f t="shared" si="146"/>
        <v>7.8589900000000021</v>
      </c>
      <c r="AZ45" s="258">
        <f t="shared" si="146"/>
        <v>7.4399400000000036</v>
      </c>
      <c r="BA45" s="258">
        <f t="shared" si="146"/>
        <v>0</v>
      </c>
      <c r="BB45" s="258">
        <f t="shared" si="146"/>
        <v>7.9491700000000023</v>
      </c>
      <c r="BC45" s="258">
        <f t="shared" si="146"/>
        <v>0</v>
      </c>
      <c r="BD45" s="258">
        <f t="shared" si="146"/>
        <v>0</v>
      </c>
      <c r="BE45" s="295"/>
      <c r="BF45" s="275">
        <f t="shared" ref="BF45:BR45" si="147">IFERROR(N(BF9)-N(BF18)-N(BF27)-N(BF36),"")</f>
        <v>7.6390600000000015</v>
      </c>
      <c r="BG45" s="258">
        <f t="shared" si="147"/>
        <v>15.345099999999995</v>
      </c>
      <c r="BH45" s="258">
        <f t="shared" si="147"/>
        <v>3.2044100000000002</v>
      </c>
      <c r="BI45" s="258">
        <f t="shared" si="147"/>
        <v>3.1850300000000011</v>
      </c>
      <c r="BJ45" s="258">
        <f t="shared" si="147"/>
        <v>5.7131599999999985</v>
      </c>
      <c r="BK45" s="258">
        <f t="shared" si="147"/>
        <v>2.2105800000000002</v>
      </c>
      <c r="BL45" s="258">
        <f t="shared" si="147"/>
        <v>5.2542200000000001</v>
      </c>
      <c r="BM45" s="258">
        <f t="shared" si="147"/>
        <v>1.3070599999999999</v>
      </c>
      <c r="BN45" s="258">
        <f t="shared" si="147"/>
        <v>5.7383400000000009</v>
      </c>
      <c r="BO45" s="258">
        <f t="shared" si="147"/>
        <v>0</v>
      </c>
      <c r="BP45" s="258">
        <f t="shared" si="147"/>
        <v>-0.57383000000000006</v>
      </c>
      <c r="BQ45" s="258">
        <f t="shared" si="147"/>
        <v>0</v>
      </c>
      <c r="BR45" s="258">
        <f t="shared" si="147"/>
        <v>0</v>
      </c>
      <c r="BS45" s="295"/>
      <c r="BT45" s="278">
        <f t="shared" ref="BT45:CF45" si="148">IFERROR(N(BT9)-N(BT18)-N(BT27)-N(BT36),"")</f>
        <v>0</v>
      </c>
      <c r="BU45" s="259">
        <f t="shared" si="148"/>
        <v>910.6484200000001</v>
      </c>
      <c r="BV45" s="259">
        <f t="shared" si="148"/>
        <v>927.91438000000005</v>
      </c>
      <c r="BW45" s="259">
        <f t="shared" si="148"/>
        <v>222.30520000000001</v>
      </c>
      <c r="BX45" s="259">
        <f t="shared" si="148"/>
        <v>164.44603000000001</v>
      </c>
      <c r="BY45" s="259">
        <f t="shared" si="148"/>
        <v>4.7263800000000007</v>
      </c>
      <c r="BZ45" s="259">
        <f t="shared" si="148"/>
        <v>0</v>
      </c>
      <c r="CA45" s="259">
        <f t="shared" si="148"/>
        <v>0</v>
      </c>
      <c r="CB45" s="259">
        <f t="shared" si="148"/>
        <v>0</v>
      </c>
      <c r="CC45" s="259">
        <f t="shared" si="148"/>
        <v>0</v>
      </c>
      <c r="CD45" s="259">
        <f t="shared" si="148"/>
        <v>0</v>
      </c>
      <c r="CE45" s="259">
        <f t="shared" si="148"/>
        <v>0</v>
      </c>
      <c r="CF45" s="259">
        <f t="shared" si="148"/>
        <v>0</v>
      </c>
      <c r="CG45" s="297"/>
      <c r="CH45" s="278">
        <f t="shared" ref="CH45:CT45" si="149">IFERROR(N(CH9)-N(CH18)-N(CH27)-N(CH36),"")</f>
        <v>120.8518399999997</v>
      </c>
      <c r="CI45" s="259">
        <f t="shared" si="149"/>
        <v>130.44398000000035</v>
      </c>
      <c r="CJ45" s="259">
        <f t="shared" si="149"/>
        <v>128.0484199999994</v>
      </c>
      <c r="CK45" s="259">
        <f t="shared" si="149"/>
        <v>114.38604000000009</v>
      </c>
      <c r="CL45" s="259">
        <f t="shared" si="149"/>
        <v>129.55472999999961</v>
      </c>
      <c r="CM45" s="259">
        <f t="shared" si="149"/>
        <v>136.29292000000021</v>
      </c>
      <c r="CN45" s="259">
        <f t="shared" si="149"/>
        <v>131.84139999999968</v>
      </c>
      <c r="CO45" s="259">
        <f t="shared" si="149"/>
        <v>146.68621000000019</v>
      </c>
      <c r="CP45" s="259">
        <f t="shared" si="149"/>
        <v>149.15105999999957</v>
      </c>
      <c r="CQ45" s="259">
        <f t="shared" si="149"/>
        <v>0</v>
      </c>
      <c r="CR45" s="259">
        <f t="shared" si="149"/>
        <v>134.91624999999976</v>
      </c>
      <c r="CS45" s="259">
        <f t="shared" si="149"/>
        <v>0</v>
      </c>
      <c r="CT45" s="259">
        <f t="shared" si="149"/>
        <v>0</v>
      </c>
      <c r="CU45" s="297"/>
      <c r="CV45" s="278">
        <f t="shared" ref="CV45:DH45" si="150">IFERROR(N(CV9)-N(CV18)-N(CV27)-N(CV36),"")</f>
        <v>120.85182999999995</v>
      </c>
      <c r="CW45" s="259">
        <f t="shared" si="150"/>
        <v>130.44398999999999</v>
      </c>
      <c r="CX45" s="259">
        <f t="shared" si="150"/>
        <v>128.04841999999974</v>
      </c>
      <c r="CY45" s="259">
        <f t="shared" si="150"/>
        <v>114.38602999999978</v>
      </c>
      <c r="CZ45" s="259">
        <f t="shared" si="150"/>
        <v>129.55474000000027</v>
      </c>
      <c r="DA45" s="259">
        <f t="shared" si="150"/>
        <v>136.29291000000001</v>
      </c>
      <c r="DB45" s="259">
        <f t="shared" si="150"/>
        <v>131.84139000000016</v>
      </c>
      <c r="DC45" s="259">
        <f t="shared" si="150"/>
        <v>146.68620000000033</v>
      </c>
      <c r="DD45" s="259">
        <f t="shared" si="150"/>
        <v>149.15106000000003</v>
      </c>
      <c r="DE45" s="259">
        <f t="shared" si="150"/>
        <v>0</v>
      </c>
      <c r="DF45" s="259">
        <f t="shared" si="150"/>
        <v>134.91624000000024</v>
      </c>
      <c r="DG45" s="259">
        <f t="shared" si="150"/>
        <v>0</v>
      </c>
      <c r="DH45" s="259">
        <f t="shared" si="150"/>
        <v>0</v>
      </c>
      <c r="DI45" s="297"/>
      <c r="DJ45" s="280"/>
      <c r="DK45" s="260"/>
      <c r="DL45" s="260"/>
      <c r="DM45" s="260"/>
      <c r="DN45" s="260"/>
      <c r="DO45" s="260"/>
      <c r="DP45" s="260"/>
      <c r="DQ45" s="260"/>
      <c r="DR45" s="260"/>
      <c r="DS45" s="260"/>
      <c r="DT45" s="260"/>
      <c r="DU45" s="260"/>
      <c r="DV45" s="260"/>
      <c r="DW45" s="299"/>
      <c r="DX45" s="282">
        <f t="shared" ref="DX45:EJ45" si="151">IFERROR(N(DX9)-N(DX18)-N(DX27)-N(DX36),"")</f>
        <v>0</v>
      </c>
      <c r="DY45" s="261">
        <f t="shared" si="151"/>
        <v>0</v>
      </c>
      <c r="DZ45" s="261">
        <f t="shared" si="151"/>
        <v>0</v>
      </c>
      <c r="EA45" s="261">
        <f t="shared" si="151"/>
        <v>0</v>
      </c>
      <c r="EB45" s="261">
        <f t="shared" si="151"/>
        <v>0</v>
      </c>
      <c r="EC45" s="261">
        <f t="shared" si="151"/>
        <v>0</v>
      </c>
      <c r="ED45" s="261">
        <f t="shared" si="151"/>
        <v>0</v>
      </c>
      <c r="EE45" s="261">
        <f t="shared" si="151"/>
        <v>0</v>
      </c>
      <c r="EF45" s="261">
        <f t="shared" si="151"/>
        <v>0</v>
      </c>
      <c r="EG45" s="261">
        <f t="shared" si="151"/>
        <v>0</v>
      </c>
      <c r="EH45" s="261">
        <f t="shared" si="151"/>
        <v>0</v>
      </c>
      <c r="EI45" s="261">
        <f t="shared" si="151"/>
        <v>0</v>
      </c>
      <c r="EJ45" s="261">
        <f t="shared" si="151"/>
        <v>0</v>
      </c>
      <c r="EK45" s="301"/>
      <c r="EL45" s="282">
        <f t="shared" ref="EL45:EX45" si="152">IFERROR(N(EL9)-N(EL18)-N(EL27)-N(EL36),"")</f>
        <v>0</v>
      </c>
      <c r="EM45" s="261">
        <f t="shared" si="152"/>
        <v>0</v>
      </c>
      <c r="EN45" s="261">
        <f t="shared" si="152"/>
        <v>0</v>
      </c>
      <c r="EO45" s="261">
        <f t="shared" si="152"/>
        <v>0</v>
      </c>
      <c r="EP45" s="261">
        <f t="shared" si="152"/>
        <v>0</v>
      </c>
      <c r="EQ45" s="261">
        <f t="shared" si="152"/>
        <v>0</v>
      </c>
      <c r="ER45" s="261">
        <f t="shared" si="152"/>
        <v>0</v>
      </c>
      <c r="ES45" s="261">
        <f t="shared" si="152"/>
        <v>0</v>
      </c>
      <c r="ET45" s="261">
        <f t="shared" si="152"/>
        <v>0</v>
      </c>
      <c r="EU45" s="261">
        <f t="shared" si="152"/>
        <v>0</v>
      </c>
      <c r="EV45" s="261">
        <f t="shared" si="152"/>
        <v>0</v>
      </c>
      <c r="EW45" s="261">
        <f t="shared" si="152"/>
        <v>0</v>
      </c>
      <c r="EX45" s="261">
        <f t="shared" si="152"/>
        <v>0</v>
      </c>
      <c r="EY45" s="301"/>
      <c r="EZ45" s="282">
        <f t="shared" ref="EZ45:FL45" si="153">IFERROR(N(EZ9)-N(EZ18)-N(EZ27)-N(EZ36),"")</f>
        <v>0</v>
      </c>
      <c r="FA45" s="261">
        <f t="shared" si="153"/>
        <v>0</v>
      </c>
      <c r="FB45" s="261">
        <f t="shared" si="153"/>
        <v>0</v>
      </c>
      <c r="FC45" s="261">
        <f t="shared" si="153"/>
        <v>0</v>
      </c>
      <c r="FD45" s="261">
        <f t="shared" si="153"/>
        <v>-1.3038516044616699E-8</v>
      </c>
      <c r="FE45" s="261">
        <f t="shared" si="153"/>
        <v>1.862645149230957E-8</v>
      </c>
      <c r="FF45" s="261">
        <f t="shared" si="153"/>
        <v>-1.000426709651947E-5</v>
      </c>
      <c r="FG45" s="261">
        <f t="shared" si="153"/>
        <v>1.0011252015829086E-5</v>
      </c>
      <c r="FH45" s="261">
        <f t="shared" si="153"/>
        <v>-1.1175870895385742E-8</v>
      </c>
      <c r="FI45" s="261">
        <f t="shared" si="153"/>
        <v>0</v>
      </c>
      <c r="FJ45" s="261">
        <f t="shared" si="153"/>
        <v>-6.0535967350006104E-9</v>
      </c>
      <c r="FK45" s="261">
        <f t="shared" si="153"/>
        <v>0</v>
      </c>
      <c r="FL45" s="261">
        <f t="shared" si="153"/>
        <v>0</v>
      </c>
      <c r="FM45" s="301"/>
      <c r="FN45" s="282">
        <f t="shared" ref="FN45:FZ45" si="154">IFERROR(N(FN9)-N(FN18)-N(FN27)-N(FN36),"")</f>
        <v>0</v>
      </c>
      <c r="FO45" s="261">
        <f t="shared" si="154"/>
        <v>0</v>
      </c>
      <c r="FP45" s="261">
        <f t="shared" si="154"/>
        <v>0</v>
      </c>
      <c r="FQ45" s="261">
        <f t="shared" si="154"/>
        <v>0</v>
      </c>
      <c r="FR45" s="261">
        <f t="shared" si="154"/>
        <v>0</v>
      </c>
      <c r="FS45" s="261">
        <f t="shared" si="154"/>
        <v>0</v>
      </c>
      <c r="FT45" s="261">
        <f t="shared" si="154"/>
        <v>0</v>
      </c>
      <c r="FU45" s="261">
        <f t="shared" si="154"/>
        <v>0</v>
      </c>
      <c r="FV45" s="261">
        <f t="shared" si="154"/>
        <v>0</v>
      </c>
      <c r="FW45" s="261">
        <f t="shared" si="154"/>
        <v>0</v>
      </c>
      <c r="FX45" s="261">
        <f t="shared" si="154"/>
        <v>0</v>
      </c>
      <c r="FY45" s="261">
        <f t="shared" si="154"/>
        <v>0</v>
      </c>
      <c r="FZ45" s="261">
        <f t="shared" si="154"/>
        <v>0</v>
      </c>
      <c r="GA45" s="301"/>
      <c r="GB45" s="284"/>
      <c r="GC45" s="270"/>
      <c r="GD45" s="270"/>
      <c r="GE45" s="270"/>
      <c r="GF45" s="270"/>
      <c r="GG45" s="270"/>
      <c r="GH45" s="270"/>
      <c r="GI45" s="270"/>
      <c r="GJ45" s="270"/>
      <c r="GK45" s="270"/>
      <c r="GL45" s="270"/>
      <c r="GM45" s="270"/>
      <c r="GN45" s="270"/>
      <c r="GO45" s="303"/>
      <c r="GP45" s="284"/>
      <c r="GQ45" s="270"/>
      <c r="GR45" s="270"/>
      <c r="GS45" s="270"/>
      <c r="GT45" s="270"/>
      <c r="GU45" s="270"/>
      <c r="GV45" s="270"/>
      <c r="GW45" s="270"/>
      <c r="GX45" s="270"/>
      <c r="GY45" s="270"/>
      <c r="GZ45" s="270"/>
      <c r="HA45" s="270"/>
      <c r="HB45" s="270"/>
      <c r="HC45" s="303"/>
      <c r="HD45" s="284"/>
      <c r="HE45" s="270"/>
      <c r="HF45" s="270"/>
      <c r="HG45" s="270"/>
      <c r="HH45" s="270"/>
      <c r="HI45" s="270"/>
      <c r="HJ45" s="270"/>
      <c r="HK45" s="270"/>
      <c r="HL45" s="270"/>
      <c r="HM45" s="270"/>
      <c r="HN45" s="270"/>
      <c r="HO45" s="270"/>
      <c r="HP45" s="270"/>
      <c r="HQ45" s="303"/>
      <c r="HR45" s="284"/>
      <c r="HS45" s="270"/>
      <c r="HT45" s="270"/>
      <c r="HU45" s="270"/>
      <c r="HV45" s="270"/>
      <c r="HW45" s="270"/>
      <c r="HX45" s="270"/>
      <c r="HY45" s="270"/>
      <c r="HZ45" s="270"/>
      <c r="IA45" s="270"/>
      <c r="IB45" s="270"/>
      <c r="IC45" s="270"/>
      <c r="ID45" s="288"/>
    </row>
    <row r="46" spans="1:238" x14ac:dyDescent="0.2">
      <c r="A46" s="307" t="s">
        <v>14</v>
      </c>
      <c r="B46" s="258">
        <f t="shared" ref="B46:N46" si="155">IFERROR(N(B10)-N(B19)-N(B28)-N(B37),"")</f>
        <v>-1.4210854715202004E-14</v>
      </c>
      <c r="C46" s="258">
        <f t="shared" si="155"/>
        <v>-1.2434497875801753E-14</v>
      </c>
      <c r="D46" s="258">
        <f t="shared" si="155"/>
        <v>-2.8421709430404007E-14</v>
      </c>
      <c r="E46" s="258">
        <f t="shared" si="155"/>
        <v>1.9539925233402755E-14</v>
      </c>
      <c r="F46" s="258">
        <f t="shared" si="155"/>
        <v>-3.5527136788005009E-15</v>
      </c>
      <c r="G46" s="258">
        <f t="shared" si="155"/>
        <v>-1.5987211554602254E-14</v>
      </c>
      <c r="H46" s="258">
        <f t="shared" si="155"/>
        <v>1.9539925233402755E-14</v>
      </c>
      <c r="I46" s="258">
        <f t="shared" si="155"/>
        <v>-1.0658141036401503E-14</v>
      </c>
      <c r="J46" s="258">
        <f t="shared" si="155"/>
        <v>-1.7763568394002505E-14</v>
      </c>
      <c r="K46" s="258">
        <f t="shared" si="155"/>
        <v>0</v>
      </c>
      <c r="L46" s="258">
        <f t="shared" si="155"/>
        <v>0</v>
      </c>
      <c r="M46" s="258">
        <f t="shared" si="155"/>
        <v>0</v>
      </c>
      <c r="N46" s="258">
        <f t="shared" si="155"/>
        <v>0</v>
      </c>
      <c r="O46" s="295"/>
      <c r="P46" s="275">
        <f t="shared" ref="P46:AB46" si="156">IFERROR(N(P10)-N(P19)-N(P28)-N(P37),"")</f>
        <v>1.1368683772161603E-13</v>
      </c>
      <c r="Q46" s="258">
        <f t="shared" si="156"/>
        <v>-8.5265128291212022E-14</v>
      </c>
      <c r="R46" s="258">
        <f t="shared" si="156"/>
        <v>0</v>
      </c>
      <c r="S46" s="258">
        <f t="shared" si="156"/>
        <v>1.1368683772161603E-13</v>
      </c>
      <c r="T46" s="258">
        <f t="shared" si="156"/>
        <v>0</v>
      </c>
      <c r="U46" s="258">
        <f t="shared" si="156"/>
        <v>-5.6843418860808015E-14</v>
      </c>
      <c r="V46" s="258">
        <f t="shared" si="156"/>
        <v>5.6843418860808015E-14</v>
      </c>
      <c r="W46" s="258">
        <f t="shared" si="156"/>
        <v>1.7053025658242404E-13</v>
      </c>
      <c r="X46" s="258">
        <f t="shared" si="156"/>
        <v>0</v>
      </c>
      <c r="Y46" s="258">
        <f t="shared" si="156"/>
        <v>0</v>
      </c>
      <c r="Z46" s="258">
        <f t="shared" si="156"/>
        <v>0</v>
      </c>
      <c r="AA46" s="258">
        <f t="shared" si="156"/>
        <v>0</v>
      </c>
      <c r="AB46" s="258">
        <f t="shared" si="156"/>
        <v>0</v>
      </c>
      <c r="AC46" s="295"/>
      <c r="AD46" s="275">
        <f t="shared" ref="AD46:AP46" si="157">IFERROR(N(AD10)-N(AD19)-N(AD28)-N(AD37),"")</f>
        <v>-3.5527136788005009E-15</v>
      </c>
      <c r="AE46" s="258">
        <f t="shared" si="157"/>
        <v>-1.7763568394002505E-14</v>
      </c>
      <c r="AF46" s="258">
        <f t="shared" si="157"/>
        <v>-7.1054273576010019E-15</v>
      </c>
      <c r="AG46" s="258">
        <f t="shared" si="157"/>
        <v>3.5527136788005009E-15</v>
      </c>
      <c r="AH46" s="258">
        <f t="shared" si="157"/>
        <v>7.1054273576010019E-15</v>
      </c>
      <c r="AI46" s="258">
        <f t="shared" si="157"/>
        <v>-7.1054273576010019E-15</v>
      </c>
      <c r="AJ46" s="258">
        <f t="shared" si="157"/>
        <v>7.1054273576010019E-15</v>
      </c>
      <c r="AK46" s="258">
        <f t="shared" si="157"/>
        <v>1.4210854715202004E-14</v>
      </c>
      <c r="AL46" s="258">
        <f t="shared" si="157"/>
        <v>-7.1054273576010019E-15</v>
      </c>
      <c r="AM46" s="258">
        <f t="shared" si="157"/>
        <v>0</v>
      </c>
      <c r="AN46" s="258">
        <f t="shared" si="157"/>
        <v>0</v>
      </c>
      <c r="AO46" s="258">
        <f t="shared" si="157"/>
        <v>0</v>
      </c>
      <c r="AP46" s="258">
        <f t="shared" si="157"/>
        <v>0</v>
      </c>
      <c r="AQ46" s="295"/>
      <c r="AR46" s="275">
        <f t="shared" ref="AR46:BD46" si="158">IFERROR(N(AR10)-N(AR19)-N(AR28)-N(AR37),"")</f>
        <v>0</v>
      </c>
      <c r="AS46" s="258">
        <f t="shared" si="158"/>
        <v>0</v>
      </c>
      <c r="AT46" s="258">
        <f t="shared" si="158"/>
        <v>0</v>
      </c>
      <c r="AU46" s="258">
        <f t="shared" si="158"/>
        <v>0</v>
      </c>
      <c r="AV46" s="258">
        <f t="shared" si="158"/>
        <v>0</v>
      </c>
      <c r="AW46" s="258">
        <f t="shared" si="158"/>
        <v>0</v>
      </c>
      <c r="AX46" s="258">
        <f t="shared" si="158"/>
        <v>0</v>
      </c>
      <c r="AY46" s="258">
        <f t="shared" si="158"/>
        <v>0</v>
      </c>
      <c r="AZ46" s="258">
        <f t="shared" si="158"/>
        <v>0</v>
      </c>
      <c r="BA46" s="258">
        <f t="shared" si="158"/>
        <v>0</v>
      </c>
      <c r="BB46" s="258">
        <f t="shared" si="158"/>
        <v>0</v>
      </c>
      <c r="BC46" s="258">
        <f t="shared" si="158"/>
        <v>0</v>
      </c>
      <c r="BD46" s="258">
        <f t="shared" si="158"/>
        <v>0</v>
      </c>
      <c r="BE46" s="295"/>
      <c r="BF46" s="275">
        <f t="shared" ref="BF46:BR46" si="159">IFERROR(N(BF10)-N(BF19)-N(BF28)-N(BF37),"")</f>
        <v>-2.0816681711721685E-17</v>
      </c>
      <c r="BG46" s="258">
        <f t="shared" si="159"/>
        <v>9.0205620750793969E-17</v>
      </c>
      <c r="BH46" s="258">
        <f t="shared" si="159"/>
        <v>1.8735013540549517E-16</v>
      </c>
      <c r="BI46" s="258">
        <f t="shared" si="159"/>
        <v>1.3877787807814457E-17</v>
      </c>
      <c r="BJ46" s="258">
        <f t="shared" si="159"/>
        <v>-1.0495077029659683E-16</v>
      </c>
      <c r="BK46" s="258">
        <f t="shared" si="159"/>
        <v>-1.1102230246251565E-16</v>
      </c>
      <c r="BL46" s="258">
        <f t="shared" si="159"/>
        <v>1.1102230246251565E-16</v>
      </c>
      <c r="BM46" s="258">
        <f t="shared" si="159"/>
        <v>4.6837533851373792E-17</v>
      </c>
      <c r="BN46" s="258">
        <f t="shared" si="159"/>
        <v>1.1102230246251565E-16</v>
      </c>
      <c r="BO46" s="258">
        <f t="shared" si="159"/>
        <v>0</v>
      </c>
      <c r="BP46" s="258">
        <f t="shared" si="159"/>
        <v>0</v>
      </c>
      <c r="BQ46" s="258">
        <f t="shared" si="159"/>
        <v>0</v>
      </c>
      <c r="BR46" s="258">
        <f t="shared" si="159"/>
        <v>0</v>
      </c>
      <c r="BS46" s="295"/>
      <c r="BT46" s="278">
        <f t="shared" ref="BT46:CF46" si="160">IFERROR(N(BT10)-N(BT19)-N(BT28)-N(BT37),"")</f>
        <v>0</v>
      </c>
      <c r="BU46" s="259">
        <f t="shared" si="160"/>
        <v>-3.5527136788005009E-15</v>
      </c>
      <c r="BV46" s="259">
        <f t="shared" si="160"/>
        <v>1.4210854715202004E-14</v>
      </c>
      <c r="BW46" s="259">
        <f t="shared" si="160"/>
        <v>1.7763568394002505E-15</v>
      </c>
      <c r="BX46" s="259">
        <f t="shared" si="160"/>
        <v>-1.7763568394002505E-15</v>
      </c>
      <c r="BY46" s="259">
        <f t="shared" si="160"/>
        <v>2.7755575615628914E-17</v>
      </c>
      <c r="BZ46" s="259">
        <f t="shared" si="160"/>
        <v>0</v>
      </c>
      <c r="CA46" s="259">
        <f t="shared" si="160"/>
        <v>0</v>
      </c>
      <c r="CB46" s="259">
        <f t="shared" si="160"/>
        <v>0</v>
      </c>
      <c r="CC46" s="259">
        <f t="shared" si="160"/>
        <v>0</v>
      </c>
      <c r="CD46" s="259">
        <f t="shared" si="160"/>
        <v>0</v>
      </c>
      <c r="CE46" s="259">
        <f t="shared" si="160"/>
        <v>0</v>
      </c>
      <c r="CF46" s="259">
        <f t="shared" si="160"/>
        <v>0</v>
      </c>
      <c r="CG46" s="297"/>
      <c r="CH46" s="278">
        <f t="shared" ref="CH46:CT46" si="161">IFERROR(N(CH10)-N(CH19)-N(CH28)-N(CH37),"")</f>
        <v>0</v>
      </c>
      <c r="CI46" s="259">
        <f t="shared" si="161"/>
        <v>0</v>
      </c>
      <c r="CJ46" s="259">
        <f t="shared" si="161"/>
        <v>1.1368683772161603E-13</v>
      </c>
      <c r="CK46" s="259">
        <f t="shared" si="161"/>
        <v>-1.7053025658242404E-13</v>
      </c>
      <c r="CL46" s="259">
        <f t="shared" si="161"/>
        <v>5.6843418860808015E-14</v>
      </c>
      <c r="CM46" s="259">
        <f t="shared" si="161"/>
        <v>5.6843418860808015E-14</v>
      </c>
      <c r="CN46" s="259">
        <f t="shared" si="161"/>
        <v>-5.6843418860808015E-14</v>
      </c>
      <c r="CO46" s="259">
        <f t="shared" si="161"/>
        <v>0</v>
      </c>
      <c r="CP46" s="259">
        <f t="shared" si="161"/>
        <v>-5.6843418860808015E-14</v>
      </c>
      <c r="CQ46" s="259">
        <f t="shared" si="161"/>
        <v>0</v>
      </c>
      <c r="CR46" s="259">
        <f t="shared" si="161"/>
        <v>0</v>
      </c>
      <c r="CS46" s="259">
        <f t="shared" si="161"/>
        <v>0</v>
      </c>
      <c r="CT46" s="259">
        <f t="shared" si="161"/>
        <v>0</v>
      </c>
      <c r="CU46" s="297"/>
      <c r="CV46" s="278">
        <f t="shared" ref="CV46:DH46" si="162">IFERROR(N(CV10)-N(CV19)-N(CV28)-N(CV37),"")</f>
        <v>0</v>
      </c>
      <c r="CW46" s="259">
        <f t="shared" si="162"/>
        <v>5.6843418860808015E-14</v>
      </c>
      <c r="CX46" s="259">
        <f t="shared" si="162"/>
        <v>-5.6843418860808015E-14</v>
      </c>
      <c r="CY46" s="259">
        <f t="shared" si="162"/>
        <v>-5.6843418860808015E-14</v>
      </c>
      <c r="CZ46" s="259">
        <f t="shared" si="162"/>
        <v>5.6843418860808015E-14</v>
      </c>
      <c r="DA46" s="259">
        <f t="shared" si="162"/>
        <v>5.6843418860808015E-14</v>
      </c>
      <c r="DB46" s="259">
        <f t="shared" si="162"/>
        <v>5.6843418860808015E-14</v>
      </c>
      <c r="DC46" s="259">
        <f t="shared" si="162"/>
        <v>1.1368683772161603E-13</v>
      </c>
      <c r="DD46" s="259">
        <f t="shared" si="162"/>
        <v>0</v>
      </c>
      <c r="DE46" s="259">
        <f t="shared" si="162"/>
        <v>0</v>
      </c>
      <c r="DF46" s="259">
        <f t="shared" si="162"/>
        <v>0</v>
      </c>
      <c r="DG46" s="259">
        <f t="shared" si="162"/>
        <v>0</v>
      </c>
      <c r="DH46" s="259">
        <f t="shared" si="162"/>
        <v>0</v>
      </c>
      <c r="DI46" s="297"/>
      <c r="DJ46" s="280"/>
      <c r="DK46" s="260"/>
      <c r="DL46" s="260"/>
      <c r="DM46" s="260"/>
      <c r="DN46" s="260"/>
      <c r="DO46" s="260"/>
      <c r="DP46" s="260"/>
      <c r="DQ46" s="260"/>
      <c r="DR46" s="260"/>
      <c r="DS46" s="260"/>
      <c r="DT46" s="260"/>
      <c r="DU46" s="260"/>
      <c r="DV46" s="260"/>
      <c r="DW46" s="299"/>
      <c r="DX46" s="282">
        <f t="shared" ref="DX46:EJ46" si="163">IFERROR(N(DX10)-N(DX19)-N(DX28)-N(DX37),"")</f>
        <v>0</v>
      </c>
      <c r="DY46" s="261">
        <f t="shared" si="163"/>
        <v>0</v>
      </c>
      <c r="DZ46" s="261">
        <f t="shared" si="163"/>
        <v>0</v>
      </c>
      <c r="EA46" s="261">
        <f t="shared" si="163"/>
        <v>0</v>
      </c>
      <c r="EB46" s="261">
        <f t="shared" si="163"/>
        <v>0</v>
      </c>
      <c r="EC46" s="261">
        <f t="shared" si="163"/>
        <v>0</v>
      </c>
      <c r="ED46" s="261">
        <f t="shared" si="163"/>
        <v>0</v>
      </c>
      <c r="EE46" s="261">
        <f t="shared" si="163"/>
        <v>0</v>
      </c>
      <c r="EF46" s="261">
        <f t="shared" si="163"/>
        <v>0</v>
      </c>
      <c r="EG46" s="261">
        <f t="shared" si="163"/>
        <v>0</v>
      </c>
      <c r="EH46" s="261">
        <f t="shared" si="163"/>
        <v>0</v>
      </c>
      <c r="EI46" s="261">
        <f t="shared" si="163"/>
        <v>0</v>
      </c>
      <c r="EJ46" s="261">
        <f t="shared" si="163"/>
        <v>0</v>
      </c>
      <c r="EK46" s="301"/>
      <c r="EL46" s="282">
        <f t="shared" ref="EL46:EX46" si="164">IFERROR(N(EL10)-N(EL19)-N(EL28)-N(EL37),"")</f>
        <v>0</v>
      </c>
      <c r="EM46" s="261">
        <f t="shared" si="164"/>
        <v>0</v>
      </c>
      <c r="EN46" s="261">
        <f t="shared" si="164"/>
        <v>0</v>
      </c>
      <c r="EO46" s="261">
        <f t="shared" si="164"/>
        <v>0</v>
      </c>
      <c r="EP46" s="261">
        <f t="shared" si="164"/>
        <v>0</v>
      </c>
      <c r="EQ46" s="261">
        <f t="shared" si="164"/>
        <v>0</v>
      </c>
      <c r="ER46" s="261">
        <f t="shared" si="164"/>
        <v>0</v>
      </c>
      <c r="ES46" s="261">
        <f t="shared" si="164"/>
        <v>0</v>
      </c>
      <c r="ET46" s="261">
        <f t="shared" si="164"/>
        <v>0</v>
      </c>
      <c r="EU46" s="261">
        <f t="shared" si="164"/>
        <v>0</v>
      </c>
      <c r="EV46" s="261">
        <f t="shared" si="164"/>
        <v>0</v>
      </c>
      <c r="EW46" s="261">
        <f t="shared" si="164"/>
        <v>0</v>
      </c>
      <c r="EX46" s="261">
        <f t="shared" si="164"/>
        <v>0</v>
      </c>
      <c r="EY46" s="301"/>
      <c r="EZ46" s="282">
        <f t="shared" ref="EZ46:FL46" si="165">IFERROR(N(EZ10)-N(EZ19)-N(EZ28)-N(EZ37),"")</f>
        <v>0</v>
      </c>
      <c r="FA46" s="261">
        <f t="shared" si="165"/>
        <v>0</v>
      </c>
      <c r="FB46" s="261">
        <f t="shared" si="165"/>
        <v>0</v>
      </c>
      <c r="FC46" s="261">
        <f t="shared" si="165"/>
        <v>0</v>
      </c>
      <c r="FD46" s="261">
        <f t="shared" si="165"/>
        <v>0</v>
      </c>
      <c r="FE46" s="261">
        <f t="shared" si="165"/>
        <v>0</v>
      </c>
      <c r="FF46" s="261">
        <f t="shared" si="165"/>
        <v>0</v>
      </c>
      <c r="FG46" s="261">
        <f t="shared" si="165"/>
        <v>0</v>
      </c>
      <c r="FH46" s="261">
        <f t="shared" si="165"/>
        <v>0</v>
      </c>
      <c r="FI46" s="261">
        <f t="shared" si="165"/>
        <v>0</v>
      </c>
      <c r="FJ46" s="261">
        <f t="shared" si="165"/>
        <v>0</v>
      </c>
      <c r="FK46" s="261">
        <f t="shared" si="165"/>
        <v>0</v>
      </c>
      <c r="FL46" s="261">
        <f t="shared" si="165"/>
        <v>0</v>
      </c>
      <c r="FM46" s="301"/>
      <c r="FN46" s="282">
        <f t="shared" ref="FN46:FZ46" si="166">IFERROR(N(FN10)-N(FN19)-N(FN28)-N(FN37),"")</f>
        <v>0</v>
      </c>
      <c r="FO46" s="261">
        <f t="shared" si="166"/>
        <v>0</v>
      </c>
      <c r="FP46" s="261">
        <f t="shared" si="166"/>
        <v>0</v>
      </c>
      <c r="FQ46" s="261">
        <f t="shared" si="166"/>
        <v>0</v>
      </c>
      <c r="FR46" s="261">
        <f t="shared" si="166"/>
        <v>0</v>
      </c>
      <c r="FS46" s="261">
        <f t="shared" si="166"/>
        <v>0</v>
      </c>
      <c r="FT46" s="261">
        <f t="shared" si="166"/>
        <v>0</v>
      </c>
      <c r="FU46" s="261">
        <f t="shared" si="166"/>
        <v>0</v>
      </c>
      <c r="FV46" s="261">
        <f t="shared" si="166"/>
        <v>0</v>
      </c>
      <c r="FW46" s="261">
        <f t="shared" si="166"/>
        <v>0</v>
      </c>
      <c r="FX46" s="261">
        <f t="shared" si="166"/>
        <v>0</v>
      </c>
      <c r="FY46" s="261">
        <f t="shared" si="166"/>
        <v>0</v>
      </c>
      <c r="FZ46" s="261">
        <f t="shared" si="166"/>
        <v>0</v>
      </c>
      <c r="GA46" s="301"/>
      <c r="GB46" s="284"/>
      <c r="GC46" s="270"/>
      <c r="GD46" s="270"/>
      <c r="GE46" s="270"/>
      <c r="GF46" s="270"/>
      <c r="GG46" s="270"/>
      <c r="GH46" s="270"/>
      <c r="GI46" s="270"/>
      <c r="GJ46" s="270"/>
      <c r="GK46" s="270"/>
      <c r="GL46" s="270"/>
      <c r="GM46" s="270"/>
      <c r="GN46" s="270"/>
      <c r="GO46" s="303"/>
      <c r="GP46" s="284"/>
      <c r="GQ46" s="270"/>
      <c r="GR46" s="270"/>
      <c r="GS46" s="270"/>
      <c r="GT46" s="270"/>
      <c r="GU46" s="270"/>
      <c r="GV46" s="270"/>
      <c r="GW46" s="270"/>
      <c r="GX46" s="270"/>
      <c r="GY46" s="270"/>
      <c r="GZ46" s="270"/>
      <c r="HA46" s="270"/>
      <c r="HB46" s="270"/>
      <c r="HC46" s="303"/>
      <c r="HD46" s="284"/>
      <c r="HE46" s="270"/>
      <c r="HF46" s="270"/>
      <c r="HG46" s="270"/>
      <c r="HH46" s="270"/>
      <c r="HI46" s="270"/>
      <c r="HJ46" s="270"/>
      <c r="HK46" s="270"/>
      <c r="HL46" s="270"/>
      <c r="HM46" s="270"/>
      <c r="HN46" s="270"/>
      <c r="HO46" s="270"/>
      <c r="HP46" s="270"/>
      <c r="HQ46" s="303"/>
      <c r="HR46" s="284"/>
      <c r="HS46" s="270"/>
      <c r="HT46" s="270"/>
      <c r="HU46" s="270"/>
      <c r="HV46" s="270"/>
      <c r="HW46" s="270"/>
      <c r="HX46" s="270"/>
      <c r="HY46" s="270"/>
      <c r="HZ46" s="270"/>
      <c r="IA46" s="270"/>
      <c r="IB46" s="270"/>
      <c r="IC46" s="270"/>
      <c r="ID46" s="288"/>
    </row>
    <row r="47" spans="1:238" x14ac:dyDescent="0.2">
      <c r="A47" s="307" t="s">
        <v>17</v>
      </c>
      <c r="B47" s="258">
        <f t="shared" ref="B47:N47" si="167">IFERROR(N(B11)-N(B20)-N(B29)-N(B38),"")</f>
        <v>-2.4868995751603507E-14</v>
      </c>
      <c r="C47" s="258">
        <f t="shared" si="167"/>
        <v>0</v>
      </c>
      <c r="D47" s="258">
        <f t="shared" si="167"/>
        <v>1.0658141036401503E-14</v>
      </c>
      <c r="E47" s="258">
        <f t="shared" si="167"/>
        <v>0</v>
      </c>
      <c r="F47" s="258">
        <f t="shared" si="167"/>
        <v>2.1316282072803006E-14</v>
      </c>
      <c r="G47" s="258">
        <f t="shared" si="167"/>
        <v>-7.1054273576010019E-15</v>
      </c>
      <c r="H47" s="258">
        <f t="shared" si="167"/>
        <v>2.1316282072803006E-14</v>
      </c>
      <c r="I47" s="258">
        <f t="shared" si="167"/>
        <v>1.7763568394002505E-14</v>
      </c>
      <c r="J47" s="258">
        <f t="shared" si="167"/>
        <v>-2.1316282072803006E-14</v>
      </c>
      <c r="K47" s="258">
        <f t="shared" si="167"/>
        <v>0</v>
      </c>
      <c r="L47" s="258">
        <f t="shared" si="167"/>
        <v>0</v>
      </c>
      <c r="M47" s="258">
        <f t="shared" si="167"/>
        <v>0</v>
      </c>
      <c r="N47" s="258">
        <f t="shared" si="167"/>
        <v>0</v>
      </c>
      <c r="O47" s="295"/>
      <c r="P47" s="275">
        <f t="shared" ref="P47:AB47" si="168">IFERROR(N(P11)-N(P20)-N(P29)-N(P38),"")</f>
        <v>0</v>
      </c>
      <c r="Q47" s="258">
        <f t="shared" si="168"/>
        <v>-2.8421709430404007E-14</v>
      </c>
      <c r="R47" s="258">
        <f t="shared" si="168"/>
        <v>0</v>
      </c>
      <c r="S47" s="258">
        <f t="shared" si="168"/>
        <v>-5.6843418860808015E-14</v>
      </c>
      <c r="T47" s="258">
        <f t="shared" si="168"/>
        <v>0</v>
      </c>
      <c r="U47" s="258">
        <f t="shared" si="168"/>
        <v>-5.6843418860808015E-14</v>
      </c>
      <c r="V47" s="258">
        <f t="shared" si="168"/>
        <v>0</v>
      </c>
      <c r="W47" s="258">
        <f t="shared" si="168"/>
        <v>-5.6843418860808015E-14</v>
      </c>
      <c r="X47" s="258">
        <f t="shared" si="168"/>
        <v>-5.6843418860808015E-14</v>
      </c>
      <c r="Y47" s="258">
        <f t="shared" si="168"/>
        <v>0</v>
      </c>
      <c r="Z47" s="258">
        <f t="shared" si="168"/>
        <v>0</v>
      </c>
      <c r="AA47" s="258">
        <f t="shared" si="168"/>
        <v>0</v>
      </c>
      <c r="AB47" s="258">
        <f t="shared" si="168"/>
        <v>0</v>
      </c>
      <c r="AC47" s="295"/>
      <c r="AD47" s="275">
        <f t="shared" ref="AD47:AP47" si="169">IFERROR(N(AD11)-N(AD20)-N(AD29)-N(AD38),"")</f>
        <v>0</v>
      </c>
      <c r="AE47" s="258">
        <f t="shared" si="169"/>
        <v>0</v>
      </c>
      <c r="AF47" s="258">
        <f t="shared" si="169"/>
        <v>0</v>
      </c>
      <c r="AG47" s="258">
        <f t="shared" si="169"/>
        <v>-7.1054273576010019E-15</v>
      </c>
      <c r="AH47" s="258">
        <f t="shared" si="169"/>
        <v>0</v>
      </c>
      <c r="AI47" s="258">
        <f t="shared" si="169"/>
        <v>7.1054273576010019E-15</v>
      </c>
      <c r="AJ47" s="258">
        <f t="shared" si="169"/>
        <v>7.1054273576010019E-15</v>
      </c>
      <c r="AK47" s="258">
        <f t="shared" si="169"/>
        <v>-7.1054273576010019E-15</v>
      </c>
      <c r="AL47" s="258">
        <f t="shared" si="169"/>
        <v>-1.4210854715202004E-14</v>
      </c>
      <c r="AM47" s="258">
        <f t="shared" si="169"/>
        <v>0</v>
      </c>
      <c r="AN47" s="258">
        <f t="shared" si="169"/>
        <v>0</v>
      </c>
      <c r="AO47" s="258">
        <f t="shared" si="169"/>
        <v>0</v>
      </c>
      <c r="AP47" s="258">
        <f t="shared" si="169"/>
        <v>0</v>
      </c>
      <c r="AQ47" s="295"/>
      <c r="AR47" s="275">
        <f t="shared" ref="AR47:BD47" si="170">IFERROR(N(AR11)-N(AR20)-N(AR29)-N(AR38),"")</f>
        <v>0</v>
      </c>
      <c r="AS47" s="258">
        <f t="shared" si="170"/>
        <v>0</v>
      </c>
      <c r="AT47" s="258">
        <f t="shared" si="170"/>
        <v>0</v>
      </c>
      <c r="AU47" s="258">
        <f t="shared" si="170"/>
        <v>0</v>
      </c>
      <c r="AV47" s="258">
        <f t="shared" si="170"/>
        <v>0</v>
      </c>
      <c r="AW47" s="258">
        <f t="shared" si="170"/>
        <v>0</v>
      </c>
      <c r="AX47" s="258">
        <f t="shared" si="170"/>
        <v>0</v>
      </c>
      <c r="AY47" s="258">
        <f t="shared" si="170"/>
        <v>0</v>
      </c>
      <c r="AZ47" s="258">
        <f t="shared" si="170"/>
        <v>0</v>
      </c>
      <c r="BA47" s="258">
        <f t="shared" si="170"/>
        <v>0</v>
      </c>
      <c r="BB47" s="258">
        <f t="shared" si="170"/>
        <v>0</v>
      </c>
      <c r="BC47" s="258">
        <f t="shared" si="170"/>
        <v>0</v>
      </c>
      <c r="BD47" s="258">
        <f t="shared" si="170"/>
        <v>0</v>
      </c>
      <c r="BE47" s="295"/>
      <c r="BF47" s="275">
        <f t="shared" ref="BF47:BR47" si="171">IFERROR(N(BF11)-N(BF20)-N(BF29)-N(BF38),"")</f>
        <v>0.3</v>
      </c>
      <c r="BG47" s="258">
        <f t="shared" si="171"/>
        <v>0.7</v>
      </c>
      <c r="BH47" s="258">
        <f t="shared" si="171"/>
        <v>0.2</v>
      </c>
      <c r="BI47" s="258">
        <f t="shared" si="171"/>
        <v>0.8</v>
      </c>
      <c r="BJ47" s="258">
        <f t="shared" si="171"/>
        <v>-1.3</v>
      </c>
      <c r="BK47" s="258">
        <f t="shared" si="171"/>
        <v>-2.1</v>
      </c>
      <c r="BL47" s="258">
        <f t="shared" si="171"/>
        <v>1.1000000000000001</v>
      </c>
      <c r="BM47" s="258">
        <f t="shared" si="171"/>
        <v>-1.22</v>
      </c>
      <c r="BN47" s="258">
        <f t="shared" si="171"/>
        <v>-1.4</v>
      </c>
      <c r="BO47" s="258">
        <f t="shared" si="171"/>
        <v>0</v>
      </c>
      <c r="BP47" s="258">
        <f t="shared" si="171"/>
        <v>0</v>
      </c>
      <c r="BQ47" s="258">
        <f t="shared" si="171"/>
        <v>0</v>
      </c>
      <c r="BR47" s="258">
        <f t="shared" si="171"/>
        <v>0</v>
      </c>
      <c r="BS47" s="295"/>
      <c r="BT47" s="278">
        <f t="shared" ref="BT47:CF47" si="172">IFERROR(N(BT11)-N(BT20)-N(BT29)-N(BT38),"")</f>
        <v>0</v>
      </c>
      <c r="BU47" s="259">
        <f t="shared" si="172"/>
        <v>0</v>
      </c>
      <c r="BV47" s="259">
        <f t="shared" si="172"/>
        <v>-3.5527136788005009E-15</v>
      </c>
      <c r="BW47" s="259">
        <f t="shared" si="172"/>
        <v>0</v>
      </c>
      <c r="BX47" s="259">
        <f t="shared" si="172"/>
        <v>9.1999999999999975</v>
      </c>
      <c r="BY47" s="259">
        <f t="shared" si="172"/>
        <v>0</v>
      </c>
      <c r="BZ47" s="259">
        <f t="shared" si="172"/>
        <v>0</v>
      </c>
      <c r="CA47" s="259">
        <f t="shared" si="172"/>
        <v>0</v>
      </c>
      <c r="CB47" s="259">
        <f t="shared" si="172"/>
        <v>0</v>
      </c>
      <c r="CC47" s="259">
        <f t="shared" si="172"/>
        <v>0</v>
      </c>
      <c r="CD47" s="259">
        <f t="shared" si="172"/>
        <v>0</v>
      </c>
      <c r="CE47" s="259">
        <f t="shared" si="172"/>
        <v>0</v>
      </c>
      <c r="CF47" s="259">
        <f t="shared" si="172"/>
        <v>0</v>
      </c>
      <c r="CG47" s="297"/>
      <c r="CH47" s="278">
        <f t="shared" ref="CH47:CT47" si="173">IFERROR(N(CH11)-N(CH20)-N(CH29)-N(CH38),"")</f>
        <v>1007.4</v>
      </c>
      <c r="CI47" s="259">
        <f t="shared" si="173"/>
        <v>976.80000000000007</v>
      </c>
      <c r="CJ47" s="259">
        <f t="shared" si="173"/>
        <v>977.6</v>
      </c>
      <c r="CK47" s="259">
        <f t="shared" si="173"/>
        <v>1054.9000000000001</v>
      </c>
      <c r="CL47" s="259">
        <f t="shared" si="173"/>
        <v>1086.8</v>
      </c>
      <c r="CM47" s="259">
        <f t="shared" si="173"/>
        <v>1104.1999999999998</v>
      </c>
      <c r="CN47" s="259">
        <f t="shared" si="173"/>
        <v>1088.8999999999999</v>
      </c>
      <c r="CO47" s="259">
        <f t="shared" si="173"/>
        <v>1132.48</v>
      </c>
      <c r="CP47" s="259">
        <f t="shared" si="173"/>
        <v>1143.3999999999999</v>
      </c>
      <c r="CQ47" s="259">
        <f t="shared" si="173"/>
        <v>0</v>
      </c>
      <c r="CR47" s="259">
        <f t="shared" si="173"/>
        <v>0</v>
      </c>
      <c r="CS47" s="259">
        <f t="shared" si="173"/>
        <v>0</v>
      </c>
      <c r="CT47" s="259">
        <f t="shared" si="173"/>
        <v>0</v>
      </c>
      <c r="CU47" s="297"/>
      <c r="CV47" s="278">
        <f t="shared" ref="CV47:DH47" si="174">IFERROR(N(CV11)-N(CV20)-N(CV29)-N(CV38),"")</f>
        <v>742.90000000000009</v>
      </c>
      <c r="CW47" s="259">
        <f t="shared" si="174"/>
        <v>730.1</v>
      </c>
      <c r="CX47" s="259">
        <f t="shared" si="174"/>
        <v>703</v>
      </c>
      <c r="CY47" s="259">
        <f t="shared" si="174"/>
        <v>782.30000000000018</v>
      </c>
      <c r="CZ47" s="259">
        <f t="shared" si="174"/>
        <v>808.79999999999984</v>
      </c>
      <c r="DA47" s="259">
        <f t="shared" si="174"/>
        <v>831.59999999999991</v>
      </c>
      <c r="DB47" s="259">
        <f t="shared" si="174"/>
        <v>826.29999999999984</v>
      </c>
      <c r="DC47" s="259">
        <f t="shared" si="174"/>
        <v>872.38</v>
      </c>
      <c r="DD47" s="259">
        <f t="shared" si="174"/>
        <v>884.19999999999982</v>
      </c>
      <c r="DE47" s="259">
        <f t="shared" si="174"/>
        <v>0</v>
      </c>
      <c r="DF47" s="259">
        <f t="shared" si="174"/>
        <v>0</v>
      </c>
      <c r="DG47" s="259">
        <f t="shared" si="174"/>
        <v>0</v>
      </c>
      <c r="DH47" s="259">
        <f t="shared" si="174"/>
        <v>0</v>
      </c>
      <c r="DI47" s="297"/>
      <c r="DJ47" s="280"/>
      <c r="DK47" s="260"/>
      <c r="DL47" s="260"/>
      <c r="DM47" s="260"/>
      <c r="DN47" s="260"/>
      <c r="DO47" s="260"/>
      <c r="DP47" s="260"/>
      <c r="DQ47" s="260"/>
      <c r="DR47" s="260"/>
      <c r="DS47" s="260"/>
      <c r="DT47" s="260"/>
      <c r="DU47" s="260"/>
      <c r="DV47" s="260"/>
      <c r="DW47" s="299"/>
      <c r="DX47" s="282">
        <f t="shared" ref="DX47:EJ47" si="175">IFERROR(N(DX11)-N(DX20)-N(DX29)-N(DX38),"")</f>
        <v>0</v>
      </c>
      <c r="DY47" s="261">
        <f t="shared" si="175"/>
        <v>0</v>
      </c>
      <c r="DZ47" s="261">
        <f t="shared" si="175"/>
        <v>0</v>
      </c>
      <c r="EA47" s="261">
        <f t="shared" si="175"/>
        <v>0</v>
      </c>
      <c r="EB47" s="261">
        <f t="shared" si="175"/>
        <v>0</v>
      </c>
      <c r="EC47" s="261">
        <f t="shared" si="175"/>
        <v>0</v>
      </c>
      <c r="ED47" s="261">
        <f t="shared" si="175"/>
        <v>0</v>
      </c>
      <c r="EE47" s="261">
        <f t="shared" si="175"/>
        <v>0</v>
      </c>
      <c r="EF47" s="261">
        <f t="shared" si="175"/>
        <v>0</v>
      </c>
      <c r="EG47" s="261">
        <f t="shared" si="175"/>
        <v>0</v>
      </c>
      <c r="EH47" s="261">
        <f t="shared" si="175"/>
        <v>0</v>
      </c>
      <c r="EI47" s="261">
        <f t="shared" si="175"/>
        <v>0</v>
      </c>
      <c r="EJ47" s="261">
        <f t="shared" si="175"/>
        <v>0</v>
      </c>
      <c r="EK47" s="301"/>
      <c r="EL47" s="282">
        <f t="shared" ref="EL47:EX47" si="176">IFERROR(N(EL11)-N(EL20)-N(EL29)-N(EL38),"")</f>
        <v>0</v>
      </c>
      <c r="EM47" s="261">
        <f t="shared" si="176"/>
        <v>0</v>
      </c>
      <c r="EN47" s="261">
        <f t="shared" si="176"/>
        <v>0</v>
      </c>
      <c r="EO47" s="261">
        <f t="shared" si="176"/>
        <v>0</v>
      </c>
      <c r="EP47" s="261">
        <f t="shared" si="176"/>
        <v>0</v>
      </c>
      <c r="EQ47" s="261">
        <f t="shared" si="176"/>
        <v>0</v>
      </c>
      <c r="ER47" s="261">
        <f t="shared" si="176"/>
        <v>0</v>
      </c>
      <c r="ES47" s="261">
        <f t="shared" si="176"/>
        <v>0</v>
      </c>
      <c r="ET47" s="261">
        <f t="shared" si="176"/>
        <v>0</v>
      </c>
      <c r="EU47" s="261">
        <f t="shared" si="176"/>
        <v>0</v>
      </c>
      <c r="EV47" s="261">
        <f t="shared" si="176"/>
        <v>0</v>
      </c>
      <c r="EW47" s="261">
        <f t="shared" si="176"/>
        <v>0</v>
      </c>
      <c r="EX47" s="261">
        <f t="shared" si="176"/>
        <v>0</v>
      </c>
      <c r="EY47" s="301"/>
      <c r="EZ47" s="282">
        <f t="shared" ref="EZ47:FL47" si="177">IFERROR(N(EZ11)-N(EZ20)-N(EZ29)-N(EZ38),"")</f>
        <v>0</v>
      </c>
      <c r="FA47" s="261">
        <f t="shared" si="177"/>
        <v>0</v>
      </c>
      <c r="FB47" s="261">
        <f t="shared" si="177"/>
        <v>0</v>
      </c>
      <c r="FC47" s="261">
        <f t="shared" si="177"/>
        <v>0</v>
      </c>
      <c r="FD47" s="261">
        <f t="shared" si="177"/>
        <v>0</v>
      </c>
      <c r="FE47" s="261">
        <f t="shared" si="177"/>
        <v>0</v>
      </c>
      <c r="FF47" s="261">
        <f t="shared" si="177"/>
        <v>0</v>
      </c>
      <c r="FG47" s="261">
        <f t="shared" si="177"/>
        <v>0</v>
      </c>
      <c r="FH47" s="261">
        <f t="shared" si="177"/>
        <v>0</v>
      </c>
      <c r="FI47" s="261">
        <f t="shared" si="177"/>
        <v>0</v>
      </c>
      <c r="FJ47" s="261">
        <f t="shared" si="177"/>
        <v>0</v>
      </c>
      <c r="FK47" s="261">
        <f t="shared" si="177"/>
        <v>0</v>
      </c>
      <c r="FL47" s="261">
        <f t="shared" si="177"/>
        <v>0</v>
      </c>
      <c r="FM47" s="301"/>
      <c r="FN47" s="282">
        <f t="shared" ref="FN47:FZ47" si="178">IFERROR(N(FN11)-N(FN20)-N(FN29)-N(FN38),"")</f>
        <v>0</v>
      </c>
      <c r="FO47" s="261">
        <f t="shared" si="178"/>
        <v>0</v>
      </c>
      <c r="FP47" s="261">
        <f t="shared" si="178"/>
        <v>0</v>
      </c>
      <c r="FQ47" s="261">
        <f t="shared" si="178"/>
        <v>0</v>
      </c>
      <c r="FR47" s="261">
        <f t="shared" si="178"/>
        <v>0</v>
      </c>
      <c r="FS47" s="261">
        <f t="shared" si="178"/>
        <v>0</v>
      </c>
      <c r="FT47" s="261">
        <f t="shared" si="178"/>
        <v>0</v>
      </c>
      <c r="FU47" s="261">
        <f t="shared" si="178"/>
        <v>0</v>
      </c>
      <c r="FV47" s="261">
        <f t="shared" si="178"/>
        <v>0</v>
      </c>
      <c r="FW47" s="261">
        <f t="shared" si="178"/>
        <v>0</v>
      </c>
      <c r="FX47" s="261">
        <f t="shared" si="178"/>
        <v>0</v>
      </c>
      <c r="FY47" s="261">
        <f t="shared" si="178"/>
        <v>0</v>
      </c>
      <c r="FZ47" s="261">
        <f t="shared" si="178"/>
        <v>0</v>
      </c>
      <c r="GA47" s="301"/>
      <c r="GB47" s="284"/>
      <c r="GC47" s="270"/>
      <c r="GD47" s="270"/>
      <c r="GE47" s="270"/>
      <c r="GF47" s="270"/>
      <c r="GG47" s="270"/>
      <c r="GH47" s="270"/>
      <c r="GI47" s="270"/>
      <c r="GJ47" s="270"/>
      <c r="GK47" s="270"/>
      <c r="GL47" s="270"/>
      <c r="GM47" s="270"/>
      <c r="GN47" s="270"/>
      <c r="GO47" s="303"/>
      <c r="GP47" s="284"/>
      <c r="GQ47" s="270"/>
      <c r="GR47" s="270"/>
      <c r="GS47" s="270"/>
      <c r="GT47" s="270"/>
      <c r="GU47" s="270"/>
      <c r="GV47" s="270"/>
      <c r="GW47" s="270"/>
      <c r="GX47" s="270"/>
      <c r="GY47" s="270"/>
      <c r="GZ47" s="270"/>
      <c r="HA47" s="270"/>
      <c r="HB47" s="270"/>
      <c r="HC47" s="303"/>
      <c r="HD47" s="284"/>
      <c r="HE47" s="270"/>
      <c r="HF47" s="270"/>
      <c r="HG47" s="270"/>
      <c r="HH47" s="270"/>
      <c r="HI47" s="270"/>
      <c r="HJ47" s="270"/>
      <c r="HK47" s="270"/>
      <c r="HL47" s="270"/>
      <c r="HM47" s="270"/>
      <c r="HN47" s="270"/>
      <c r="HO47" s="270"/>
      <c r="HP47" s="270"/>
      <c r="HQ47" s="303"/>
      <c r="HR47" s="284"/>
      <c r="HS47" s="270"/>
      <c r="HT47" s="270"/>
      <c r="HU47" s="270"/>
      <c r="HV47" s="270"/>
      <c r="HW47" s="270"/>
      <c r="HX47" s="270"/>
      <c r="HY47" s="270"/>
      <c r="HZ47" s="270"/>
      <c r="IA47" s="270"/>
      <c r="IB47" s="270"/>
      <c r="IC47" s="270"/>
      <c r="ID47" s="288"/>
    </row>
    <row r="48" spans="1:238" ht="15.75" thickBot="1" x14ac:dyDescent="0.3">
      <c r="A48" s="308" t="s">
        <v>44</v>
      </c>
      <c r="B48" s="265">
        <f t="shared" ref="B48:N48" si="179">SUM(B42:B47)</f>
        <v>9.9999999999999183</v>
      </c>
      <c r="C48" s="265">
        <f t="shared" si="179"/>
        <v>12.49999999999995</v>
      </c>
      <c r="D48" s="265">
        <f t="shared" si="179"/>
        <v>28.199999999999875</v>
      </c>
      <c r="E48" s="265">
        <f t="shared" si="179"/>
        <v>27.299990000000015</v>
      </c>
      <c r="F48" s="265">
        <f t="shared" si="179"/>
        <v>36.699990000000035</v>
      </c>
      <c r="G48" s="265">
        <f t="shared" si="179"/>
        <v>43.699999999999882</v>
      </c>
      <c r="H48" s="265">
        <f t="shared" si="179"/>
        <v>34.296363099999866</v>
      </c>
      <c r="I48" s="265">
        <f t="shared" si="179"/>
        <v>47.087969999999999</v>
      </c>
      <c r="J48" s="265">
        <f t="shared" si="179"/>
        <v>40.282299999999871</v>
      </c>
      <c r="K48" s="265">
        <f t="shared" si="179"/>
        <v>0</v>
      </c>
      <c r="L48" s="265">
        <f t="shared" si="179"/>
        <v>1.9895196601282805E-13</v>
      </c>
      <c r="M48" s="265">
        <f t="shared" si="179"/>
        <v>0</v>
      </c>
      <c r="N48" s="265">
        <f t="shared" si="179"/>
        <v>0</v>
      </c>
      <c r="O48" s="296"/>
      <c r="P48" s="276">
        <f t="shared" ref="P48:AB48" si="180">SUM(P42:P47)</f>
        <v>-295.39999</v>
      </c>
      <c r="Q48" s="265">
        <f t="shared" si="180"/>
        <v>-258.49999999999966</v>
      </c>
      <c r="R48" s="265">
        <f t="shared" si="180"/>
        <v>-274.80000999999965</v>
      </c>
      <c r="S48" s="265">
        <f t="shared" si="180"/>
        <v>-295.50000000000017</v>
      </c>
      <c r="T48" s="265">
        <f t="shared" si="180"/>
        <v>-335.39998999999995</v>
      </c>
      <c r="U48" s="265">
        <f t="shared" si="180"/>
        <v>-358.60000000000014</v>
      </c>
      <c r="V48" s="265">
        <f t="shared" si="180"/>
        <v>-322.00259999999906</v>
      </c>
      <c r="W48" s="265">
        <f t="shared" si="180"/>
        <v>-331.57769999999948</v>
      </c>
      <c r="X48" s="265">
        <f t="shared" si="180"/>
        <v>-331.52470000000056</v>
      </c>
      <c r="Y48" s="265">
        <f t="shared" si="180"/>
        <v>0</v>
      </c>
      <c r="Z48" s="265">
        <f t="shared" si="180"/>
        <v>-9.9999995200050762E-6</v>
      </c>
      <c r="AA48" s="265">
        <f t="shared" si="180"/>
        <v>0</v>
      </c>
      <c r="AB48" s="265">
        <f t="shared" si="180"/>
        <v>0</v>
      </c>
      <c r="AC48" s="296"/>
      <c r="AD48" s="276">
        <f t="shared" ref="AD48:AP48" si="181">SUM(AD42:AD47)</f>
        <v>361.46082000000001</v>
      </c>
      <c r="AE48" s="265">
        <f t="shared" si="181"/>
        <v>335.83420999999993</v>
      </c>
      <c r="AF48" s="265">
        <f t="shared" si="181"/>
        <v>388.49004000000002</v>
      </c>
      <c r="AG48" s="265">
        <f t="shared" si="181"/>
        <v>368.35380000000004</v>
      </c>
      <c r="AH48" s="265">
        <f t="shared" si="181"/>
        <v>392.84673000000004</v>
      </c>
      <c r="AI48" s="265">
        <f t="shared" si="181"/>
        <v>406.18542000000002</v>
      </c>
      <c r="AJ48" s="265">
        <f t="shared" si="181"/>
        <v>423.21741000000009</v>
      </c>
      <c r="AK48" s="265">
        <f t="shared" si="181"/>
        <v>471.62162000000001</v>
      </c>
      <c r="AL48" s="265">
        <f t="shared" si="181"/>
        <v>472.43423999999993</v>
      </c>
      <c r="AM48" s="265">
        <f t="shared" si="181"/>
        <v>0</v>
      </c>
      <c r="AN48" s="265">
        <f t="shared" si="181"/>
        <v>127.54089999999997</v>
      </c>
      <c r="AO48" s="265">
        <f t="shared" si="181"/>
        <v>0</v>
      </c>
      <c r="AP48" s="265">
        <f t="shared" si="181"/>
        <v>0</v>
      </c>
      <c r="AQ48" s="296"/>
      <c r="AR48" s="276">
        <f t="shared" ref="AR48:BD48" si="182">SUM(AR42:AR47)</f>
        <v>12.951950000000004</v>
      </c>
      <c r="AS48" s="265">
        <f t="shared" si="182"/>
        <v>17.464669999999998</v>
      </c>
      <c r="AT48" s="265">
        <f t="shared" si="182"/>
        <v>17.653960000000001</v>
      </c>
      <c r="AU48" s="265">
        <f t="shared" si="182"/>
        <v>31.947209999999998</v>
      </c>
      <c r="AV48" s="265">
        <f t="shared" si="182"/>
        <v>16.49485</v>
      </c>
      <c r="AW48" s="265">
        <f t="shared" si="182"/>
        <v>17.996920000000003</v>
      </c>
      <c r="AX48" s="265">
        <f t="shared" si="182"/>
        <v>18.917200000000001</v>
      </c>
      <c r="AY48" s="265">
        <f t="shared" si="182"/>
        <v>23.636990000000001</v>
      </c>
      <c r="AZ48" s="265">
        <f t="shared" si="182"/>
        <v>23.217940000000002</v>
      </c>
      <c r="BA48" s="265">
        <f t="shared" si="182"/>
        <v>0</v>
      </c>
      <c r="BB48" s="265">
        <f t="shared" si="182"/>
        <v>7.9491700000000023</v>
      </c>
      <c r="BC48" s="265">
        <f t="shared" si="182"/>
        <v>0</v>
      </c>
      <c r="BD48" s="265">
        <f t="shared" si="182"/>
        <v>0</v>
      </c>
      <c r="BE48" s="296"/>
      <c r="BF48" s="276">
        <f t="shared" ref="BF48:BR48" si="183">SUM(BF42:BF47)</f>
        <v>11.003060000000001</v>
      </c>
      <c r="BG48" s="265">
        <f t="shared" si="183"/>
        <v>14.711099999999995</v>
      </c>
      <c r="BH48" s="265">
        <f t="shared" si="183"/>
        <v>7.7364100000000011</v>
      </c>
      <c r="BI48" s="265">
        <f t="shared" si="183"/>
        <v>18.26003</v>
      </c>
      <c r="BJ48" s="265">
        <f t="shared" si="183"/>
        <v>-4.2848400000000018</v>
      </c>
      <c r="BK48" s="265">
        <f t="shared" si="183"/>
        <v>-11.011419999999999</v>
      </c>
      <c r="BL48" s="265">
        <f t="shared" si="183"/>
        <v>0.44773227000000093</v>
      </c>
      <c r="BM48" s="265">
        <f t="shared" si="183"/>
        <v>0.29905999999999988</v>
      </c>
      <c r="BN48" s="265">
        <f t="shared" si="183"/>
        <v>3.0143400000000011</v>
      </c>
      <c r="BO48" s="265">
        <f t="shared" si="183"/>
        <v>0</v>
      </c>
      <c r="BP48" s="265">
        <f t="shared" si="183"/>
        <v>-0.57383000000000006</v>
      </c>
      <c r="BQ48" s="265">
        <f t="shared" si="183"/>
        <v>0</v>
      </c>
      <c r="BR48" s="265">
        <f t="shared" si="183"/>
        <v>0</v>
      </c>
      <c r="BS48" s="296"/>
      <c r="BT48" s="279">
        <f t="shared" ref="BT48:CF48" si="184">SUM(BT42:BT47)</f>
        <v>0</v>
      </c>
      <c r="BU48" s="266">
        <f t="shared" si="184"/>
        <v>972.62742000000014</v>
      </c>
      <c r="BV48" s="266">
        <f t="shared" si="184"/>
        <v>1004.8803800000001</v>
      </c>
      <c r="BW48" s="266">
        <f t="shared" si="184"/>
        <v>243.60520000000002</v>
      </c>
      <c r="BX48" s="266">
        <f t="shared" si="184"/>
        <v>183.66203000000002</v>
      </c>
      <c r="BY48" s="266">
        <f t="shared" si="184"/>
        <v>4.3713800000000003</v>
      </c>
      <c r="BZ48" s="266">
        <f t="shared" si="184"/>
        <v>0</v>
      </c>
      <c r="CA48" s="266">
        <f t="shared" si="184"/>
        <v>0</v>
      </c>
      <c r="CB48" s="266">
        <f t="shared" si="184"/>
        <v>-1.2</v>
      </c>
      <c r="CC48" s="266">
        <f t="shared" si="184"/>
        <v>0</v>
      </c>
      <c r="CD48" s="266">
        <f t="shared" si="184"/>
        <v>0</v>
      </c>
      <c r="CE48" s="266">
        <f t="shared" si="184"/>
        <v>0</v>
      </c>
      <c r="CF48" s="266">
        <f t="shared" si="184"/>
        <v>0</v>
      </c>
      <c r="CG48" s="298"/>
      <c r="CH48" s="279">
        <f t="shared" ref="CH48:CT48" si="185">SUM(CH42:CH47)</f>
        <v>4011.3408399999998</v>
      </c>
      <c r="CI48" s="266">
        <f t="shared" si="185"/>
        <v>3943.5859800000003</v>
      </c>
      <c r="CJ48" s="266">
        <f t="shared" si="185"/>
        <v>4134.9264199999998</v>
      </c>
      <c r="CK48" s="266">
        <f t="shared" si="185"/>
        <v>4440.9950399999998</v>
      </c>
      <c r="CL48" s="266">
        <f t="shared" si="185"/>
        <v>4465.6477299999997</v>
      </c>
      <c r="CM48" s="266">
        <f t="shared" si="185"/>
        <v>4581.9699199999995</v>
      </c>
      <c r="CN48" s="266">
        <f t="shared" si="185"/>
        <v>4572.5391192700008</v>
      </c>
      <c r="CO48" s="266">
        <f t="shared" si="185"/>
        <v>4778.7864827145313</v>
      </c>
      <c r="CP48" s="266">
        <f t="shared" si="185"/>
        <v>4795.0925200000001</v>
      </c>
      <c r="CQ48" s="266">
        <f t="shared" si="185"/>
        <v>0</v>
      </c>
      <c r="CR48" s="266">
        <f t="shared" si="185"/>
        <v>134.91624999999976</v>
      </c>
      <c r="CS48" s="266">
        <f t="shared" si="185"/>
        <v>0</v>
      </c>
      <c r="CT48" s="266">
        <f t="shared" si="185"/>
        <v>0</v>
      </c>
      <c r="CU48" s="298"/>
      <c r="CV48" s="279">
        <f t="shared" ref="CV48:DH48" si="186">SUM(CV42:CV47)</f>
        <v>2729.3268299999995</v>
      </c>
      <c r="CW48" s="266">
        <f t="shared" si="186"/>
        <v>2696.9849899999999</v>
      </c>
      <c r="CX48" s="266">
        <f t="shared" si="186"/>
        <v>2780.3174199999999</v>
      </c>
      <c r="CY48" s="266">
        <f t="shared" si="186"/>
        <v>3123.5530299999996</v>
      </c>
      <c r="CZ48" s="266">
        <f t="shared" si="186"/>
        <v>3096.8547400000002</v>
      </c>
      <c r="DA48" s="266">
        <f t="shared" si="186"/>
        <v>3206.2669099999998</v>
      </c>
      <c r="DB48" s="266">
        <f t="shared" si="186"/>
        <v>3230.7252231700004</v>
      </c>
      <c r="DC48" s="266">
        <f t="shared" si="186"/>
        <v>3401.1449965311831</v>
      </c>
      <c r="DD48" s="266">
        <f t="shared" si="186"/>
        <v>3456.1333199999999</v>
      </c>
      <c r="DE48" s="266">
        <f t="shared" si="186"/>
        <v>0</v>
      </c>
      <c r="DF48" s="266">
        <f t="shared" si="186"/>
        <v>134.91624000000024</v>
      </c>
      <c r="DG48" s="266">
        <f t="shared" si="186"/>
        <v>0</v>
      </c>
      <c r="DH48" s="266">
        <f t="shared" si="186"/>
        <v>0</v>
      </c>
      <c r="DI48" s="298"/>
      <c r="DJ48" s="281"/>
      <c r="DK48" s="267"/>
      <c r="DL48" s="267"/>
      <c r="DM48" s="267"/>
      <c r="DN48" s="267"/>
      <c r="DO48" s="267"/>
      <c r="DP48" s="267"/>
      <c r="DQ48" s="267"/>
      <c r="DR48" s="267"/>
      <c r="DS48" s="267"/>
      <c r="DT48" s="267"/>
      <c r="DU48" s="267"/>
      <c r="DV48" s="267"/>
      <c r="DW48" s="300"/>
      <c r="DX48" s="283">
        <f t="shared" ref="DX48:EJ48" si="187">SUM(DX42:DX47)</f>
        <v>0</v>
      </c>
      <c r="DY48" s="268">
        <f t="shared" si="187"/>
        <v>0</v>
      </c>
      <c r="DZ48" s="268">
        <f t="shared" si="187"/>
        <v>0</v>
      </c>
      <c r="EA48" s="268">
        <f t="shared" si="187"/>
        <v>0</v>
      </c>
      <c r="EB48" s="268">
        <f t="shared" si="187"/>
        <v>0</v>
      </c>
      <c r="EC48" s="268">
        <f t="shared" si="187"/>
        <v>0</v>
      </c>
      <c r="ED48" s="268">
        <f t="shared" si="187"/>
        <v>0</v>
      </c>
      <c r="EE48" s="268">
        <f t="shared" si="187"/>
        <v>0</v>
      </c>
      <c r="EF48" s="268">
        <f t="shared" si="187"/>
        <v>0</v>
      </c>
      <c r="EG48" s="268">
        <f t="shared" si="187"/>
        <v>0</v>
      </c>
      <c r="EH48" s="268">
        <f t="shared" si="187"/>
        <v>0</v>
      </c>
      <c r="EI48" s="268">
        <f t="shared" si="187"/>
        <v>0</v>
      </c>
      <c r="EJ48" s="268">
        <f t="shared" si="187"/>
        <v>0</v>
      </c>
      <c r="EK48" s="302"/>
      <c r="EL48" s="283">
        <f t="shared" ref="EL48:EX48" si="188">SUM(EL42:EL47)</f>
        <v>0</v>
      </c>
      <c r="EM48" s="268">
        <f t="shared" si="188"/>
        <v>0</v>
      </c>
      <c r="EN48" s="268">
        <f t="shared" si="188"/>
        <v>0</v>
      </c>
      <c r="EO48" s="268">
        <f t="shared" si="188"/>
        <v>0</v>
      </c>
      <c r="EP48" s="268">
        <f t="shared" si="188"/>
        <v>0</v>
      </c>
      <c r="EQ48" s="268">
        <f t="shared" si="188"/>
        <v>0</v>
      </c>
      <c r="ER48" s="268">
        <f t="shared" si="188"/>
        <v>0</v>
      </c>
      <c r="ES48" s="268">
        <f t="shared" si="188"/>
        <v>0</v>
      </c>
      <c r="ET48" s="268">
        <f t="shared" si="188"/>
        <v>0</v>
      </c>
      <c r="EU48" s="268">
        <f t="shared" si="188"/>
        <v>0</v>
      </c>
      <c r="EV48" s="268">
        <f t="shared" si="188"/>
        <v>0</v>
      </c>
      <c r="EW48" s="268">
        <f t="shared" si="188"/>
        <v>0</v>
      </c>
      <c r="EX48" s="268">
        <f t="shared" si="188"/>
        <v>0</v>
      </c>
      <c r="EY48" s="302"/>
      <c r="EZ48" s="283">
        <f t="shared" ref="EZ48:FL48" si="189">SUM(EZ42:EZ47)</f>
        <v>0</v>
      </c>
      <c r="FA48" s="268">
        <f t="shared" si="189"/>
        <v>0</v>
      </c>
      <c r="FB48" s="268">
        <f t="shared" si="189"/>
        <v>0</v>
      </c>
      <c r="FC48" s="268">
        <f t="shared" si="189"/>
        <v>0</v>
      </c>
      <c r="FD48" s="268">
        <f t="shared" si="189"/>
        <v>-1.3038516044616699E-8</v>
      </c>
      <c r="FE48" s="268">
        <f t="shared" si="189"/>
        <v>1.862645149230957E-8</v>
      </c>
      <c r="FF48" s="268">
        <f t="shared" si="189"/>
        <v>-1.000426709651947E-5</v>
      </c>
      <c r="FG48" s="268">
        <f t="shared" si="189"/>
        <v>1.0011252015829086E-5</v>
      </c>
      <c r="FH48" s="268">
        <f t="shared" si="189"/>
        <v>-1.1175870895385742E-8</v>
      </c>
      <c r="FI48" s="268">
        <f t="shared" si="189"/>
        <v>0</v>
      </c>
      <c r="FJ48" s="268">
        <f t="shared" si="189"/>
        <v>-6.0535967350006104E-9</v>
      </c>
      <c r="FK48" s="268">
        <f t="shared" si="189"/>
        <v>0</v>
      </c>
      <c r="FL48" s="268">
        <f t="shared" si="189"/>
        <v>0</v>
      </c>
      <c r="FM48" s="302"/>
      <c r="FN48" s="283">
        <f t="shared" ref="FN48:FZ48" si="190">SUM(FN42:FN47)</f>
        <v>0</v>
      </c>
      <c r="FO48" s="268">
        <f t="shared" si="190"/>
        <v>0</v>
      </c>
      <c r="FP48" s="268">
        <f t="shared" si="190"/>
        <v>0</v>
      </c>
      <c r="FQ48" s="268">
        <f t="shared" si="190"/>
        <v>0</v>
      </c>
      <c r="FR48" s="268">
        <f t="shared" si="190"/>
        <v>0</v>
      </c>
      <c r="FS48" s="268">
        <f t="shared" si="190"/>
        <v>0</v>
      </c>
      <c r="FT48" s="268">
        <f t="shared" si="190"/>
        <v>0</v>
      </c>
      <c r="FU48" s="268">
        <f t="shared" si="190"/>
        <v>0</v>
      </c>
      <c r="FV48" s="268">
        <f t="shared" si="190"/>
        <v>0</v>
      </c>
      <c r="FW48" s="268">
        <f t="shared" si="190"/>
        <v>0</v>
      </c>
      <c r="FX48" s="268">
        <f t="shared" si="190"/>
        <v>0</v>
      </c>
      <c r="FY48" s="268">
        <f t="shared" si="190"/>
        <v>0</v>
      </c>
      <c r="FZ48" s="268">
        <f t="shared" si="190"/>
        <v>0</v>
      </c>
      <c r="GA48" s="302"/>
      <c r="GB48" s="285"/>
      <c r="GC48" s="271"/>
      <c r="GD48" s="271"/>
      <c r="GE48" s="271"/>
      <c r="GF48" s="271"/>
      <c r="GG48" s="271"/>
      <c r="GH48" s="271"/>
      <c r="GI48" s="271"/>
      <c r="GJ48" s="271"/>
      <c r="GK48" s="271"/>
      <c r="GL48" s="271"/>
      <c r="GM48" s="271"/>
      <c r="GN48" s="271"/>
      <c r="GO48" s="304"/>
      <c r="GP48" s="285"/>
      <c r="GQ48" s="271"/>
      <c r="GR48" s="271"/>
      <c r="GS48" s="271"/>
      <c r="GT48" s="271"/>
      <c r="GU48" s="271"/>
      <c r="GV48" s="271"/>
      <c r="GW48" s="271"/>
      <c r="GX48" s="271"/>
      <c r="GY48" s="271"/>
      <c r="GZ48" s="271"/>
      <c r="HA48" s="271"/>
      <c r="HB48" s="271"/>
      <c r="HC48" s="304"/>
      <c r="HD48" s="285"/>
      <c r="HE48" s="271"/>
      <c r="HF48" s="271"/>
      <c r="HG48" s="271"/>
      <c r="HH48" s="271"/>
      <c r="HI48" s="271"/>
      <c r="HJ48" s="271"/>
      <c r="HK48" s="271"/>
      <c r="HL48" s="271"/>
      <c r="HM48" s="271"/>
      <c r="HN48" s="271"/>
      <c r="HO48" s="271"/>
      <c r="HP48" s="271"/>
      <c r="HQ48" s="304"/>
      <c r="HR48" s="285"/>
      <c r="HS48" s="271"/>
      <c r="HT48" s="271"/>
      <c r="HU48" s="271"/>
      <c r="HV48" s="271"/>
      <c r="HW48" s="271"/>
      <c r="HX48" s="271"/>
      <c r="HY48" s="271"/>
      <c r="HZ48" s="271"/>
      <c r="IA48" s="271"/>
      <c r="IB48" s="271"/>
      <c r="IC48" s="271"/>
      <c r="ID48" s="289"/>
    </row>
    <row r="49" spans="1:225" ht="15" thickTop="1" x14ac:dyDescent="0.2">
      <c r="O49" s="291"/>
      <c r="AC49" s="291"/>
      <c r="AQ49" s="291"/>
      <c r="BE49" s="291"/>
      <c r="BS49" s="291"/>
      <c r="CG49" s="291"/>
      <c r="CU49" s="291"/>
      <c r="DI49" s="291"/>
      <c r="DW49" s="291"/>
      <c r="EK49" s="291"/>
      <c r="EY49" s="291"/>
      <c r="FM49" s="291"/>
      <c r="GA49" s="291"/>
      <c r="GO49" s="291"/>
      <c r="GP49" s="310" t="s">
        <v>309</v>
      </c>
      <c r="HC49" s="291"/>
      <c r="HQ49" s="291"/>
    </row>
    <row r="50" spans="1:225" x14ac:dyDescent="0.2">
      <c r="A50" s="269" t="s">
        <v>300</v>
      </c>
      <c r="O50" s="291"/>
      <c r="AC50" s="291"/>
      <c r="AQ50" s="291"/>
      <c r="BE50" s="291"/>
      <c r="BS50" s="291"/>
      <c r="CG50" s="291"/>
      <c r="CU50" s="291"/>
      <c r="DI50" s="291"/>
      <c r="DW50" s="291"/>
      <c r="EK50" s="291"/>
      <c r="EY50" s="291"/>
      <c r="FM50" s="291"/>
      <c r="GA50" s="291"/>
      <c r="GO50" s="291"/>
      <c r="HC50" s="291"/>
      <c r="HQ50" s="291"/>
    </row>
    <row r="51" spans="1:225" x14ac:dyDescent="0.2">
      <c r="A51" s="269" t="s">
        <v>306</v>
      </c>
      <c r="O51" s="291"/>
      <c r="AC51" s="291"/>
      <c r="AQ51" s="291"/>
      <c r="BE51" s="291"/>
      <c r="BS51" s="291"/>
      <c r="CG51" s="291"/>
      <c r="CU51" s="291"/>
      <c r="DI51" s="291"/>
      <c r="DW51" s="291"/>
      <c r="EK51" s="291"/>
      <c r="EY51" s="291"/>
      <c r="FM51" s="291"/>
      <c r="GA51" s="291"/>
      <c r="GO51" s="291"/>
      <c r="HC51" s="291"/>
      <c r="HQ51" s="291"/>
    </row>
  </sheetData>
  <mergeCells count="17">
    <mergeCell ref="FN3:FZ3"/>
    <mergeCell ref="GB3:GN3"/>
    <mergeCell ref="HD3:HP3"/>
    <mergeCell ref="HR3:ID3"/>
    <mergeCell ref="GP3:HB3"/>
    <mergeCell ref="EZ3:FL3"/>
    <mergeCell ref="B3:N3"/>
    <mergeCell ref="P3:AB3"/>
    <mergeCell ref="AD3:AP3"/>
    <mergeCell ref="AR3:BD3"/>
    <mergeCell ref="BF3:BR3"/>
    <mergeCell ref="BT3:CF3"/>
    <mergeCell ref="CH3:CT3"/>
    <mergeCell ref="CV3:DH3"/>
    <mergeCell ref="DJ3:DV3"/>
    <mergeCell ref="DX3:EJ3"/>
    <mergeCell ref="EL3:EX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FR85"/>
  <sheetViews>
    <sheetView showGridLines="0" zoomScale="85" zoomScaleNormal="85" workbookViewId="0">
      <pane xSplit="5" ySplit="5" topLeftCell="F6" activePane="bottomRight" state="frozen"/>
      <selection pane="topRight" activeCell="BL1" sqref="BL1"/>
      <selection pane="bottomLeft" activeCell="A32" sqref="A32"/>
      <selection pane="bottomRight" activeCell="CF36" sqref="CF36"/>
    </sheetView>
  </sheetViews>
  <sheetFormatPr defaultColWidth="9" defaultRowHeight="15.75" outlineLevelCol="1" x14ac:dyDescent="0.25"/>
  <cols>
    <col min="1" max="3" width="9" style="2" hidden="1" outlineLevel="1"/>
    <col min="4" max="4" width="9" style="75" hidden="1" outlineLevel="1"/>
    <col min="5" max="5" width="32.625" style="2" customWidth="1" collapsed="1"/>
    <col min="6" max="83" width="8.625" style="2" customWidth="1"/>
    <col min="84" max="109" width="8.625" style="2" customWidth="1" outlineLevel="1"/>
    <col min="110" max="110" width="12.375" style="2" customWidth="1"/>
    <col min="111" max="115" width="8.625" style="2" customWidth="1"/>
    <col min="116" max="117" width="12.375" style="2" customWidth="1"/>
    <col min="118" max="122" width="8.625" style="2" customWidth="1"/>
    <col min="123" max="123" width="11.25" style="2" customWidth="1"/>
    <col min="124" max="138" width="8.625" style="2" customWidth="1"/>
    <col min="139" max="142" width="7" style="2" customWidth="1"/>
    <col min="143" max="143" width="8" style="2" customWidth="1"/>
    <col min="144" max="146" width="7" style="2" customWidth="1"/>
    <col min="147" max="148" width="9" style="2"/>
    <col min="149" max="152" width="6.75" style="2" customWidth="1"/>
    <col min="153" max="154" width="5.75" style="2" customWidth="1"/>
    <col min="155" max="155" width="6.375" style="2" customWidth="1"/>
    <col min="156" max="156" width="6.75" style="2" customWidth="1"/>
    <col min="157" max="157" width="7" style="2" customWidth="1"/>
    <col min="158" max="159" width="6.25" style="2" customWidth="1"/>
    <col min="160" max="160" width="7" style="2" customWidth="1"/>
    <col min="161" max="16384" width="9" style="2"/>
  </cols>
  <sheetData>
    <row r="1" spans="4:174" x14ac:dyDescent="0.25">
      <c r="E1" s="4"/>
    </row>
    <row r="2" spans="4:174" x14ac:dyDescent="0.25">
      <c r="F2" s="3"/>
      <c r="G2" s="3"/>
      <c r="H2" s="3"/>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row>
    <row r="3" spans="4:174" x14ac:dyDescent="0.25">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row>
    <row r="4" spans="4:174" s="77" customFormat="1" ht="40.5" customHeight="1" x14ac:dyDescent="0.2">
      <c r="D4" s="78"/>
      <c r="E4" s="79" t="s">
        <v>4</v>
      </c>
      <c r="F4" s="321" t="s">
        <v>26</v>
      </c>
      <c r="G4" s="321"/>
      <c r="H4" s="321"/>
      <c r="I4" s="321"/>
      <c r="J4" s="321"/>
      <c r="K4" s="321"/>
      <c r="L4" s="321"/>
      <c r="M4" s="321"/>
      <c r="N4" s="321"/>
      <c r="O4" s="321"/>
      <c r="P4" s="321"/>
      <c r="Q4" s="321"/>
      <c r="R4" s="321"/>
      <c r="S4" s="321" t="s">
        <v>27</v>
      </c>
      <c r="T4" s="321"/>
      <c r="U4" s="321"/>
      <c r="V4" s="321"/>
      <c r="W4" s="321"/>
      <c r="X4" s="321"/>
      <c r="Y4" s="321"/>
      <c r="Z4" s="321"/>
      <c r="AA4" s="321"/>
      <c r="AB4" s="321"/>
      <c r="AC4" s="321"/>
      <c r="AD4" s="321"/>
      <c r="AE4" s="321"/>
      <c r="AF4" s="321" t="s">
        <v>28</v>
      </c>
      <c r="AG4" s="321"/>
      <c r="AH4" s="321"/>
      <c r="AI4" s="321"/>
      <c r="AJ4" s="321"/>
      <c r="AK4" s="321"/>
      <c r="AL4" s="321"/>
      <c r="AM4" s="321"/>
      <c r="AN4" s="321"/>
      <c r="AO4" s="321"/>
      <c r="AP4" s="321"/>
      <c r="AQ4" s="321"/>
      <c r="AR4" s="321"/>
      <c r="AS4" s="321" t="s">
        <v>29</v>
      </c>
      <c r="AT4" s="321"/>
      <c r="AU4" s="321"/>
      <c r="AV4" s="321"/>
      <c r="AW4" s="321"/>
      <c r="AX4" s="321"/>
      <c r="AY4" s="321"/>
      <c r="AZ4" s="321"/>
      <c r="BA4" s="321"/>
      <c r="BB4" s="321"/>
      <c r="BC4" s="321"/>
      <c r="BD4" s="321"/>
      <c r="BE4" s="321"/>
      <c r="BF4" s="321" t="s">
        <v>30</v>
      </c>
      <c r="BG4" s="321"/>
      <c r="BH4" s="321"/>
      <c r="BI4" s="321"/>
      <c r="BJ4" s="321"/>
      <c r="BK4" s="321"/>
      <c r="BL4" s="321"/>
      <c r="BM4" s="321"/>
      <c r="BN4" s="321"/>
      <c r="BO4" s="321"/>
      <c r="BP4" s="321"/>
      <c r="BQ4" s="321"/>
      <c r="BR4" s="321"/>
      <c r="BS4" s="321" t="s">
        <v>31</v>
      </c>
      <c r="BT4" s="321"/>
      <c r="BU4" s="321"/>
      <c r="BV4" s="321"/>
      <c r="BW4" s="321"/>
      <c r="BX4" s="321"/>
      <c r="BY4" s="321"/>
      <c r="BZ4" s="321"/>
      <c r="CA4" s="321"/>
      <c r="CB4" s="321"/>
      <c r="CC4" s="321"/>
      <c r="CD4" s="321"/>
      <c r="CE4" s="321"/>
      <c r="CF4" s="321" t="s">
        <v>32</v>
      </c>
      <c r="CG4" s="321"/>
      <c r="CH4" s="321"/>
      <c r="CI4" s="321"/>
      <c r="CJ4" s="321"/>
      <c r="CK4" s="321"/>
      <c r="CL4" s="321"/>
      <c r="CM4" s="321"/>
      <c r="CN4" s="321"/>
      <c r="CO4" s="321"/>
      <c r="CP4" s="321"/>
      <c r="CQ4" s="321"/>
      <c r="CR4" s="321"/>
      <c r="CS4" s="322" t="s">
        <v>33</v>
      </c>
      <c r="CT4" s="322"/>
      <c r="CU4" s="322"/>
      <c r="CV4" s="322"/>
      <c r="CW4" s="322"/>
      <c r="CX4" s="322"/>
      <c r="CY4" s="322"/>
      <c r="CZ4" s="322"/>
      <c r="DA4" s="322"/>
      <c r="DB4" s="322"/>
      <c r="DC4" s="322"/>
      <c r="DD4" s="322"/>
      <c r="DE4" s="322"/>
      <c r="DF4" s="323" t="s">
        <v>34</v>
      </c>
      <c r="DG4" s="323"/>
      <c r="DH4" s="323"/>
      <c r="DI4" s="323"/>
      <c r="DJ4" s="323"/>
      <c r="DK4" s="323"/>
      <c r="DL4" s="323"/>
      <c r="DM4" s="323"/>
      <c r="DN4" s="323"/>
      <c r="DO4" s="323"/>
      <c r="DP4" s="323"/>
      <c r="DQ4" s="323"/>
      <c r="DR4" s="323"/>
      <c r="DS4" s="321" t="s">
        <v>35</v>
      </c>
      <c r="DT4" s="321"/>
      <c r="DU4" s="321"/>
      <c r="DV4" s="321"/>
      <c r="DW4" s="321"/>
      <c r="DX4" s="321"/>
      <c r="DY4" s="321"/>
      <c r="DZ4" s="321"/>
      <c r="EA4" s="321"/>
      <c r="EB4" s="321"/>
      <c r="EC4" s="321"/>
      <c r="ED4" s="321"/>
      <c r="EE4" s="321"/>
      <c r="EF4" s="321" t="s">
        <v>36</v>
      </c>
      <c r="EG4" s="321"/>
      <c r="EH4" s="321"/>
      <c r="EI4" s="321"/>
      <c r="EJ4" s="321"/>
      <c r="EK4" s="321"/>
      <c r="EL4" s="321"/>
      <c r="EM4" s="321"/>
      <c r="EN4" s="321"/>
      <c r="EO4" s="321"/>
      <c r="EP4" s="321"/>
      <c r="EQ4" s="321"/>
      <c r="ER4" s="321"/>
      <c r="ES4" s="321" t="s">
        <v>49</v>
      </c>
      <c r="ET4" s="321"/>
      <c r="EU4" s="321"/>
      <c r="EV4" s="321"/>
      <c r="EW4" s="321"/>
      <c r="EX4" s="321"/>
      <c r="EY4" s="321"/>
      <c r="EZ4" s="321"/>
      <c r="FA4" s="321"/>
      <c r="FB4" s="321"/>
      <c r="FC4" s="321"/>
      <c r="FD4" s="321"/>
      <c r="FE4" s="321"/>
      <c r="FF4" s="321" t="s">
        <v>50</v>
      </c>
      <c r="FG4" s="321"/>
      <c r="FH4" s="321"/>
      <c r="FI4" s="321"/>
      <c r="FJ4" s="321"/>
      <c r="FK4" s="321"/>
      <c r="FL4" s="321"/>
      <c r="FM4" s="321"/>
      <c r="FN4" s="321"/>
      <c r="FO4" s="321"/>
      <c r="FP4" s="321"/>
      <c r="FQ4" s="321"/>
      <c r="FR4" s="321"/>
    </row>
    <row r="5" spans="4:174" x14ac:dyDescent="0.25">
      <c r="E5" s="80"/>
      <c r="F5" s="81" t="s">
        <v>310</v>
      </c>
      <c r="G5" s="80" t="s">
        <v>311</v>
      </c>
      <c r="H5" s="80" t="s">
        <v>312</v>
      </c>
      <c r="I5" s="10" t="s">
        <v>313</v>
      </c>
      <c r="J5" s="10" t="s">
        <v>314</v>
      </c>
      <c r="K5" s="10" t="s">
        <v>315</v>
      </c>
      <c r="L5" s="82" t="s">
        <v>42</v>
      </c>
      <c r="M5" s="82" t="s">
        <v>43</v>
      </c>
      <c r="N5" s="10" t="s">
        <v>37</v>
      </c>
      <c r="O5" s="10" t="s">
        <v>38</v>
      </c>
      <c r="P5" s="10" t="s">
        <v>39</v>
      </c>
      <c r="Q5" s="10" t="s">
        <v>40</v>
      </c>
      <c r="R5" s="11" t="s">
        <v>41</v>
      </c>
      <c r="S5" s="81" t="s">
        <v>310</v>
      </c>
      <c r="T5" s="3" t="s">
        <v>311</v>
      </c>
      <c r="U5" s="3" t="s">
        <v>312</v>
      </c>
      <c r="V5" s="82" t="s">
        <v>313</v>
      </c>
      <c r="W5" s="82" t="s">
        <v>314</v>
      </c>
      <c r="X5" s="82" t="s">
        <v>315</v>
      </c>
      <c r="Y5" s="82" t="s">
        <v>42</v>
      </c>
      <c r="Z5" s="82" t="s">
        <v>43</v>
      </c>
      <c r="AA5" s="82" t="s">
        <v>37</v>
      </c>
      <c r="AB5" s="10" t="s">
        <v>38</v>
      </c>
      <c r="AC5" s="10" t="s">
        <v>39</v>
      </c>
      <c r="AD5" s="10" t="s">
        <v>40</v>
      </c>
      <c r="AE5" s="11" t="s">
        <v>41</v>
      </c>
      <c r="AF5" s="10" t="s">
        <v>310</v>
      </c>
      <c r="AG5" s="80" t="s">
        <v>311</v>
      </c>
      <c r="AH5" s="80" t="s">
        <v>312</v>
      </c>
      <c r="AI5" s="10" t="s">
        <v>313</v>
      </c>
      <c r="AJ5" s="10" t="s">
        <v>314</v>
      </c>
      <c r="AK5" s="10" t="s">
        <v>315</v>
      </c>
      <c r="AL5" s="10" t="s">
        <v>42</v>
      </c>
      <c r="AM5" s="82" t="s">
        <v>43</v>
      </c>
      <c r="AN5" s="10" t="s">
        <v>37</v>
      </c>
      <c r="AO5" s="10" t="s">
        <v>38</v>
      </c>
      <c r="AP5" s="10" t="s">
        <v>39</v>
      </c>
      <c r="AQ5" s="10" t="s">
        <v>40</v>
      </c>
      <c r="AR5" s="10" t="s">
        <v>41</v>
      </c>
      <c r="AS5" s="81" t="s">
        <v>310</v>
      </c>
      <c r="AT5" s="80" t="s">
        <v>311</v>
      </c>
      <c r="AU5" s="80" t="s">
        <v>312</v>
      </c>
      <c r="AV5" s="10" t="s">
        <v>313</v>
      </c>
      <c r="AW5" s="10" t="s">
        <v>314</v>
      </c>
      <c r="AX5" s="10" t="s">
        <v>315</v>
      </c>
      <c r="AY5" s="10" t="s">
        <v>42</v>
      </c>
      <c r="AZ5" s="82" t="s">
        <v>43</v>
      </c>
      <c r="BA5" s="82" t="s">
        <v>37</v>
      </c>
      <c r="BB5" s="10" t="s">
        <v>38</v>
      </c>
      <c r="BC5" s="10" t="s">
        <v>39</v>
      </c>
      <c r="BD5" s="10" t="s">
        <v>40</v>
      </c>
      <c r="BE5" s="11" t="s">
        <v>41</v>
      </c>
      <c r="BF5" s="10" t="s">
        <v>310</v>
      </c>
      <c r="BG5" s="80" t="s">
        <v>311</v>
      </c>
      <c r="BH5" s="80" t="s">
        <v>312</v>
      </c>
      <c r="BI5" s="10" t="s">
        <v>313</v>
      </c>
      <c r="BJ5" s="10" t="s">
        <v>314</v>
      </c>
      <c r="BK5" s="10" t="s">
        <v>315</v>
      </c>
      <c r="BL5" s="10" t="s">
        <v>42</v>
      </c>
      <c r="BM5" s="82" t="s">
        <v>43</v>
      </c>
      <c r="BN5" s="10" t="s">
        <v>37</v>
      </c>
      <c r="BO5" s="10" t="s">
        <v>38</v>
      </c>
      <c r="BP5" s="10" t="s">
        <v>39</v>
      </c>
      <c r="BQ5" s="10" t="s">
        <v>40</v>
      </c>
      <c r="BR5" s="10" t="s">
        <v>41</v>
      </c>
      <c r="BS5" s="81" t="s">
        <v>310</v>
      </c>
      <c r="BT5" s="80" t="s">
        <v>311</v>
      </c>
      <c r="BU5" s="80" t="s">
        <v>312</v>
      </c>
      <c r="BV5" s="10" t="s">
        <v>313</v>
      </c>
      <c r="BW5" s="10" t="s">
        <v>314</v>
      </c>
      <c r="BX5" s="10" t="s">
        <v>315</v>
      </c>
      <c r="BY5" s="10" t="s">
        <v>42</v>
      </c>
      <c r="BZ5" s="82" t="s">
        <v>43</v>
      </c>
      <c r="CA5" s="82" t="s">
        <v>37</v>
      </c>
      <c r="CB5" s="10" t="s">
        <v>38</v>
      </c>
      <c r="CC5" s="10" t="s">
        <v>39</v>
      </c>
      <c r="CD5" s="10" t="s">
        <v>40</v>
      </c>
      <c r="CE5" s="11" t="s">
        <v>41</v>
      </c>
      <c r="CF5" s="10" t="s">
        <v>310</v>
      </c>
      <c r="CG5" s="80" t="s">
        <v>311</v>
      </c>
      <c r="CH5" s="80" t="s">
        <v>312</v>
      </c>
      <c r="CI5" s="10" t="s">
        <v>313</v>
      </c>
      <c r="CJ5" s="10" t="s">
        <v>314</v>
      </c>
      <c r="CK5" s="10" t="s">
        <v>315</v>
      </c>
      <c r="CL5" s="10" t="s">
        <v>42</v>
      </c>
      <c r="CM5" s="82" t="s">
        <v>43</v>
      </c>
      <c r="CN5" s="10" t="s">
        <v>37</v>
      </c>
      <c r="CO5" s="10" t="s">
        <v>38</v>
      </c>
      <c r="CP5" s="10" t="s">
        <v>39</v>
      </c>
      <c r="CQ5" s="10" t="s">
        <v>40</v>
      </c>
      <c r="CR5" s="10" t="s">
        <v>41</v>
      </c>
      <c r="CS5" s="81" t="s">
        <v>310</v>
      </c>
      <c r="CT5" s="80" t="s">
        <v>311</v>
      </c>
      <c r="CU5" s="80" t="s">
        <v>312</v>
      </c>
      <c r="CV5" s="10" t="s">
        <v>313</v>
      </c>
      <c r="CW5" s="10" t="s">
        <v>314</v>
      </c>
      <c r="CX5" s="10" t="s">
        <v>315</v>
      </c>
      <c r="CY5" s="10" t="s">
        <v>42</v>
      </c>
      <c r="CZ5" s="82" t="s">
        <v>43</v>
      </c>
      <c r="DA5" s="82" t="s">
        <v>37</v>
      </c>
      <c r="DB5" s="10" t="s">
        <v>38</v>
      </c>
      <c r="DC5" s="10" t="s">
        <v>39</v>
      </c>
      <c r="DD5" s="10" t="s">
        <v>40</v>
      </c>
      <c r="DE5" s="10" t="s">
        <v>41</v>
      </c>
      <c r="DF5" s="81" t="s">
        <v>310</v>
      </c>
      <c r="DG5" s="80" t="s">
        <v>311</v>
      </c>
      <c r="DH5" s="80" t="s">
        <v>312</v>
      </c>
      <c r="DI5" s="10" t="s">
        <v>313</v>
      </c>
      <c r="DJ5" s="10" t="s">
        <v>314</v>
      </c>
      <c r="DK5" s="10" t="s">
        <v>315</v>
      </c>
      <c r="DL5" s="10" t="s">
        <v>42</v>
      </c>
      <c r="DM5" s="82" t="s">
        <v>43</v>
      </c>
      <c r="DN5" s="10" t="s">
        <v>37</v>
      </c>
      <c r="DO5" s="10" t="s">
        <v>38</v>
      </c>
      <c r="DP5" s="10" t="s">
        <v>39</v>
      </c>
      <c r="DQ5" s="10" t="s">
        <v>40</v>
      </c>
      <c r="DR5" s="11" t="s">
        <v>41</v>
      </c>
      <c r="DS5" s="83" t="s">
        <v>310</v>
      </c>
      <c r="DT5" s="3" t="s">
        <v>311</v>
      </c>
      <c r="DU5" s="3" t="s">
        <v>312</v>
      </c>
      <c r="DV5" s="82" t="s">
        <v>313</v>
      </c>
      <c r="DW5" s="82" t="s">
        <v>314</v>
      </c>
      <c r="DX5" s="82" t="s">
        <v>315</v>
      </c>
      <c r="DY5" s="82" t="s">
        <v>42</v>
      </c>
      <c r="DZ5" s="82" t="s">
        <v>43</v>
      </c>
      <c r="EA5" s="82" t="s">
        <v>37</v>
      </c>
      <c r="EB5" s="82" t="s">
        <v>38</v>
      </c>
      <c r="EC5" s="10" t="s">
        <v>39</v>
      </c>
      <c r="ED5" s="10" t="s">
        <v>40</v>
      </c>
      <c r="EE5" s="11" t="s">
        <v>41</v>
      </c>
      <c r="EF5" s="81" t="s">
        <v>310</v>
      </c>
      <c r="EG5" s="80" t="s">
        <v>311</v>
      </c>
      <c r="EH5" s="80" t="s">
        <v>312</v>
      </c>
      <c r="EI5" s="10" t="s">
        <v>313</v>
      </c>
      <c r="EJ5" s="10" t="s">
        <v>314</v>
      </c>
      <c r="EK5" s="10" t="s">
        <v>315</v>
      </c>
      <c r="EL5" s="82" t="s">
        <v>42</v>
      </c>
      <c r="EM5" s="82" t="s">
        <v>43</v>
      </c>
      <c r="EN5" s="10" t="s">
        <v>37</v>
      </c>
      <c r="EO5" s="10" t="s">
        <v>38</v>
      </c>
      <c r="EP5" s="10" t="s">
        <v>39</v>
      </c>
      <c r="EQ5" s="10" t="s">
        <v>40</v>
      </c>
      <c r="ER5" s="11" t="s">
        <v>41</v>
      </c>
      <c r="ES5" s="83" t="s">
        <v>310</v>
      </c>
      <c r="ET5" s="3" t="s">
        <v>311</v>
      </c>
      <c r="EU5" s="3" t="s">
        <v>312</v>
      </c>
      <c r="EV5" s="82" t="s">
        <v>313</v>
      </c>
      <c r="EW5" s="82" t="s">
        <v>314</v>
      </c>
      <c r="EX5" s="82" t="s">
        <v>315</v>
      </c>
      <c r="EY5" s="82" t="s">
        <v>42</v>
      </c>
      <c r="EZ5" s="82" t="s">
        <v>43</v>
      </c>
      <c r="FA5" s="82" t="s">
        <v>37</v>
      </c>
      <c r="FB5" s="82" t="s">
        <v>38</v>
      </c>
      <c r="FC5" s="82" t="s">
        <v>39</v>
      </c>
      <c r="FD5" s="82" t="s">
        <v>40</v>
      </c>
      <c r="FE5" s="11" t="s">
        <v>41</v>
      </c>
      <c r="FF5" s="81" t="s">
        <v>310</v>
      </c>
      <c r="FG5" s="80" t="s">
        <v>311</v>
      </c>
      <c r="FH5" s="80" t="s">
        <v>312</v>
      </c>
      <c r="FI5" s="10" t="s">
        <v>313</v>
      </c>
      <c r="FJ5" s="10" t="s">
        <v>314</v>
      </c>
      <c r="FK5" s="10" t="s">
        <v>315</v>
      </c>
      <c r="FL5" s="82" t="s">
        <v>42</v>
      </c>
      <c r="FM5" s="82" t="s">
        <v>43</v>
      </c>
      <c r="FN5" s="10" t="s">
        <v>37</v>
      </c>
      <c r="FO5" s="10" t="s">
        <v>38</v>
      </c>
      <c r="FP5" s="10" t="s">
        <v>39</v>
      </c>
      <c r="FQ5" s="10" t="s">
        <v>40</v>
      </c>
      <c r="FR5" s="11" t="s">
        <v>41</v>
      </c>
    </row>
    <row r="6" spans="4:174" ht="16.5" customHeight="1" x14ac:dyDescent="0.25">
      <c r="E6" s="84" t="s">
        <v>44</v>
      </c>
      <c r="F6" s="85">
        <f t="shared" ref="F6:AE6" si="0">F9+F31+F35+F56</f>
        <v>29.4</v>
      </c>
      <c r="G6" s="86">
        <f t="shared" si="0"/>
        <v>22.4</v>
      </c>
      <c r="H6" s="86">
        <f t="shared" si="0"/>
        <v>22.1</v>
      </c>
      <c r="I6" s="86">
        <f t="shared" si="0"/>
        <v>24.44</v>
      </c>
      <c r="J6" s="86">
        <f t="shared" si="0"/>
        <v>26.638999999999999</v>
      </c>
      <c r="K6" s="86">
        <f t="shared" si="0"/>
        <v>26.69</v>
      </c>
      <c r="L6" s="86">
        <f t="shared" si="0"/>
        <v>26.4</v>
      </c>
      <c r="M6" s="86">
        <f t="shared" si="0"/>
        <v>29</v>
      </c>
      <c r="N6" s="86">
        <f t="shared" si="0"/>
        <v>24</v>
      </c>
      <c r="O6" s="86">
        <f t="shared" si="0"/>
        <v>0</v>
      </c>
      <c r="P6" s="86">
        <f t="shared" si="0"/>
        <v>0</v>
      </c>
      <c r="Q6" s="86">
        <f t="shared" si="0"/>
        <v>0</v>
      </c>
      <c r="R6" s="87">
        <f t="shared" si="0"/>
        <v>0</v>
      </c>
      <c r="S6" s="85">
        <f t="shared" si="0"/>
        <v>53.6</v>
      </c>
      <c r="T6" s="86">
        <f t="shared" si="0"/>
        <v>48.65</v>
      </c>
      <c r="U6" s="86">
        <f t="shared" si="0"/>
        <v>50.9</v>
      </c>
      <c r="V6" s="86">
        <f t="shared" si="0"/>
        <v>56.6</v>
      </c>
      <c r="W6" s="86">
        <f t="shared" si="0"/>
        <v>56</v>
      </c>
      <c r="X6" s="86">
        <f t="shared" si="0"/>
        <v>64.8</v>
      </c>
      <c r="Y6" s="86">
        <f t="shared" si="0"/>
        <v>61</v>
      </c>
      <c r="Z6" s="86">
        <f t="shared" si="0"/>
        <v>59</v>
      </c>
      <c r="AA6" s="86">
        <f t="shared" si="0"/>
        <v>61</v>
      </c>
      <c r="AB6" s="86">
        <f t="shared" si="0"/>
        <v>0</v>
      </c>
      <c r="AC6" s="86">
        <f t="shared" si="0"/>
        <v>0</v>
      </c>
      <c r="AD6" s="86">
        <f t="shared" si="0"/>
        <v>0</v>
      </c>
      <c r="AE6" s="87">
        <f t="shared" si="0"/>
        <v>0</v>
      </c>
      <c r="AF6" s="86">
        <f t="shared" ref="AF6:AK6" si="1">AF56</f>
        <v>7.6</v>
      </c>
      <c r="AG6" s="86">
        <f t="shared" si="1"/>
        <v>7.3</v>
      </c>
      <c r="AH6" s="86">
        <f t="shared" si="1"/>
        <v>9.1999999999999993</v>
      </c>
      <c r="AI6" s="86">
        <f t="shared" si="1"/>
        <v>5.9</v>
      </c>
      <c r="AJ6" s="86">
        <f t="shared" si="1"/>
        <v>7.1</v>
      </c>
      <c r="AK6" s="86">
        <f t="shared" si="1"/>
        <v>7.2</v>
      </c>
      <c r="AL6" s="86">
        <f t="shared" ref="AL6:AR6" si="2">AL56+AL9+AL31+AL35</f>
        <v>5.24</v>
      </c>
      <c r="AM6" s="86">
        <f t="shared" si="2"/>
        <v>5.8</v>
      </c>
      <c r="AN6" s="86">
        <f t="shared" si="2"/>
        <v>6</v>
      </c>
      <c r="AO6" s="86">
        <f t="shared" si="2"/>
        <v>0</v>
      </c>
      <c r="AP6" s="86">
        <f t="shared" si="2"/>
        <v>0</v>
      </c>
      <c r="AQ6" s="86">
        <f t="shared" si="2"/>
        <v>0</v>
      </c>
      <c r="AR6" s="86">
        <f t="shared" si="2"/>
        <v>0</v>
      </c>
      <c r="AS6" s="85">
        <f t="shared" ref="AS6:BR6" si="3">AS56</f>
        <v>0</v>
      </c>
      <c r="AT6" s="86">
        <f t="shared" si="3"/>
        <v>0</v>
      </c>
      <c r="AU6" s="86">
        <f t="shared" si="3"/>
        <v>0</v>
      </c>
      <c r="AV6" s="86">
        <f t="shared" si="3"/>
        <v>0</v>
      </c>
      <c r="AW6" s="86">
        <f t="shared" si="3"/>
        <v>0</v>
      </c>
      <c r="AX6" s="86">
        <f t="shared" si="3"/>
        <v>0</v>
      </c>
      <c r="AY6" s="86">
        <f t="shared" si="3"/>
        <v>0</v>
      </c>
      <c r="AZ6" s="86">
        <f t="shared" si="3"/>
        <v>0</v>
      </c>
      <c r="BA6" s="86">
        <f t="shared" si="3"/>
        <v>0</v>
      </c>
      <c r="BB6" s="86">
        <f t="shared" si="3"/>
        <v>0</v>
      </c>
      <c r="BC6" s="86">
        <f t="shared" si="3"/>
        <v>0</v>
      </c>
      <c r="BD6" s="86">
        <f t="shared" si="3"/>
        <v>0</v>
      </c>
      <c r="BE6" s="87">
        <f t="shared" si="3"/>
        <v>0</v>
      </c>
      <c r="BF6" s="86">
        <f t="shared" si="3"/>
        <v>0</v>
      </c>
      <c r="BG6" s="86">
        <f t="shared" si="3"/>
        <v>0</v>
      </c>
      <c r="BH6" s="86">
        <f t="shared" si="3"/>
        <v>0</v>
      </c>
      <c r="BI6" s="86">
        <f t="shared" si="3"/>
        <v>0</v>
      </c>
      <c r="BJ6" s="86">
        <f t="shared" si="3"/>
        <v>0</v>
      </c>
      <c r="BK6" s="86">
        <f t="shared" si="3"/>
        <v>0</v>
      </c>
      <c r="BL6" s="86">
        <f t="shared" si="3"/>
        <v>0</v>
      </c>
      <c r="BM6" s="86">
        <f t="shared" si="3"/>
        <v>0</v>
      </c>
      <c r="BN6" s="86">
        <f t="shared" si="3"/>
        <v>0</v>
      </c>
      <c r="BO6" s="86">
        <f t="shared" si="3"/>
        <v>0</v>
      </c>
      <c r="BP6" s="86">
        <f t="shared" si="3"/>
        <v>0</v>
      </c>
      <c r="BQ6" s="86">
        <f t="shared" si="3"/>
        <v>0</v>
      </c>
      <c r="BR6" s="86">
        <f t="shared" si="3"/>
        <v>0</v>
      </c>
      <c r="BS6" s="30">
        <v>0</v>
      </c>
      <c r="BT6" s="31">
        <f>BT9+BT31+BT35+BT56</f>
        <v>7.2</v>
      </c>
      <c r="BU6" s="31">
        <f>BU9+BU31+BU35+BU56</f>
        <v>8.9</v>
      </c>
      <c r="BV6" s="31">
        <f>BV9+BV31+BV35+BV56</f>
        <v>3.1</v>
      </c>
      <c r="BW6" s="31">
        <f>BW9+BW31+BW35+BW56</f>
        <v>-1</v>
      </c>
      <c r="BX6" s="31"/>
      <c r="BY6" s="31"/>
      <c r="BZ6" s="31"/>
      <c r="CA6" s="31"/>
      <c r="CB6" s="31"/>
      <c r="CC6" s="31"/>
      <c r="CD6" s="31"/>
      <c r="CE6" s="88"/>
      <c r="CF6" s="31">
        <f t="shared" ref="CF6:CR6" si="4">+BF6+AS6+AF6+S6</f>
        <v>61.2</v>
      </c>
      <c r="CG6" s="31">
        <f t="shared" si="4"/>
        <v>55.949999999999996</v>
      </c>
      <c r="CH6" s="31">
        <f t="shared" si="4"/>
        <v>60.099999999999994</v>
      </c>
      <c r="CI6" s="31">
        <f t="shared" si="4"/>
        <v>62.5</v>
      </c>
      <c r="CJ6" s="31">
        <f t="shared" si="4"/>
        <v>63.1</v>
      </c>
      <c r="CK6" s="31">
        <f t="shared" si="4"/>
        <v>72</v>
      </c>
      <c r="CL6" s="31">
        <f t="shared" si="4"/>
        <v>66.239999999999995</v>
      </c>
      <c r="CM6" s="31">
        <f t="shared" si="4"/>
        <v>64.8</v>
      </c>
      <c r="CN6" s="31">
        <f t="shared" si="4"/>
        <v>67</v>
      </c>
      <c r="CO6" s="31">
        <f t="shared" si="4"/>
        <v>0</v>
      </c>
      <c r="CP6" s="31">
        <f t="shared" si="4"/>
        <v>0</v>
      </c>
      <c r="CQ6" s="31">
        <f t="shared" si="4"/>
        <v>0</v>
      </c>
      <c r="CR6" s="31">
        <f t="shared" si="4"/>
        <v>0</v>
      </c>
      <c r="CS6" s="30">
        <f t="shared" ref="CS6:DE6" si="5">+CF6-BS6-F6</f>
        <v>31.800000000000004</v>
      </c>
      <c r="CT6" s="31">
        <f t="shared" si="5"/>
        <v>26.349999999999994</v>
      </c>
      <c r="CU6" s="31">
        <f t="shared" si="5"/>
        <v>29.099999999999994</v>
      </c>
      <c r="CV6" s="31">
        <f t="shared" si="5"/>
        <v>34.959999999999994</v>
      </c>
      <c r="CW6" s="31">
        <f t="shared" si="5"/>
        <v>37.460999999999999</v>
      </c>
      <c r="CX6" s="31">
        <f t="shared" si="5"/>
        <v>45.31</v>
      </c>
      <c r="CY6" s="31">
        <f t="shared" si="5"/>
        <v>39.839999999999996</v>
      </c>
      <c r="CZ6" s="31">
        <f t="shared" si="5"/>
        <v>35.799999999999997</v>
      </c>
      <c r="DA6" s="31">
        <f t="shared" si="5"/>
        <v>43</v>
      </c>
      <c r="DB6" s="31">
        <f t="shared" si="5"/>
        <v>0</v>
      </c>
      <c r="DC6" s="31">
        <f t="shared" si="5"/>
        <v>0</v>
      </c>
      <c r="DD6" s="31">
        <f t="shared" si="5"/>
        <v>0</v>
      </c>
      <c r="DE6" s="31">
        <f t="shared" si="5"/>
        <v>0</v>
      </c>
      <c r="DF6" s="32">
        <f t="shared" ref="DF6:DK6" si="6">IFERROR(AF6/CF6,0)</f>
        <v>0.1241830065359477</v>
      </c>
      <c r="DG6" s="33">
        <f t="shared" si="6"/>
        <v>0.13047363717605004</v>
      </c>
      <c r="DH6" s="33">
        <f t="shared" si="6"/>
        <v>0.15307820299500832</v>
      </c>
      <c r="DI6" s="33">
        <f t="shared" si="6"/>
        <v>9.4400000000000012E-2</v>
      </c>
      <c r="DJ6" s="33">
        <f t="shared" si="6"/>
        <v>0.11251980982567353</v>
      </c>
      <c r="DK6" s="33">
        <f t="shared" si="6"/>
        <v>0.1</v>
      </c>
      <c r="DL6" s="33">
        <f t="shared" ref="DL6:DR6" si="7">IFERROR((+AL6/CL6),0)</f>
        <v>7.9106280193236719E-2</v>
      </c>
      <c r="DM6" s="33">
        <f t="shared" si="7"/>
        <v>8.9506172839506168E-2</v>
      </c>
      <c r="DN6" s="33">
        <f t="shared" si="7"/>
        <v>8.9552238805970144E-2</v>
      </c>
      <c r="DO6" s="33">
        <f t="shared" si="7"/>
        <v>0</v>
      </c>
      <c r="DP6" s="33">
        <f t="shared" si="7"/>
        <v>0</v>
      </c>
      <c r="DQ6" s="33">
        <f t="shared" si="7"/>
        <v>0</v>
      </c>
      <c r="DR6" s="33">
        <f t="shared" si="7"/>
        <v>0</v>
      </c>
      <c r="DS6" s="35">
        <f t="shared" ref="DS6:EB6" si="8">DS35</f>
        <v>88761</v>
      </c>
      <c r="DT6" s="35">
        <f t="shared" si="8"/>
        <v>88761</v>
      </c>
      <c r="DU6" s="35">
        <f t="shared" si="8"/>
        <v>78740</v>
      </c>
      <c r="DV6" s="35">
        <f t="shared" si="8"/>
        <v>78740</v>
      </c>
      <c r="DW6" s="35">
        <f t="shared" si="8"/>
        <v>84587</v>
      </c>
      <c r="DX6" s="35">
        <f t="shared" si="8"/>
        <v>81757</v>
      </c>
      <c r="DY6" s="35">
        <f t="shared" si="8"/>
        <v>72390</v>
      </c>
      <c r="DZ6" s="35">
        <f t="shared" si="8"/>
        <v>72035</v>
      </c>
      <c r="EA6" s="35">
        <f t="shared" si="8"/>
        <v>0</v>
      </c>
      <c r="EB6" s="35">
        <f t="shared" si="8"/>
        <v>0</v>
      </c>
      <c r="EC6" s="89"/>
      <c r="ED6" s="89"/>
      <c r="EE6" s="90"/>
      <c r="EF6" s="32"/>
      <c r="EG6" s="33"/>
      <c r="EH6" s="33"/>
      <c r="EI6" s="33"/>
      <c r="EJ6" s="33"/>
      <c r="EK6" s="33"/>
      <c r="EL6" s="89"/>
      <c r="EM6" s="89"/>
      <c r="EN6" s="89"/>
      <c r="EO6" s="89"/>
      <c r="EP6" s="89"/>
      <c r="EQ6" s="89"/>
      <c r="ER6" s="34"/>
      <c r="ES6" s="35">
        <f t="shared" ref="ES6:FD6" si="9">ES35+ES31</f>
        <v>0</v>
      </c>
      <c r="ET6" s="35">
        <f t="shared" si="9"/>
        <v>0</v>
      </c>
      <c r="EU6" s="35">
        <f t="shared" si="9"/>
        <v>0</v>
      </c>
      <c r="EV6" s="35">
        <f t="shared" si="9"/>
        <v>0</v>
      </c>
      <c r="EW6" s="35">
        <f t="shared" si="9"/>
        <v>0</v>
      </c>
      <c r="EX6" s="35">
        <f t="shared" si="9"/>
        <v>0</v>
      </c>
      <c r="EY6" s="35">
        <f t="shared" si="9"/>
        <v>0</v>
      </c>
      <c r="EZ6" s="35">
        <f t="shared" si="9"/>
        <v>0</v>
      </c>
      <c r="FA6" s="35">
        <f t="shared" si="9"/>
        <v>0</v>
      </c>
      <c r="FB6" s="35">
        <f t="shared" si="9"/>
        <v>0</v>
      </c>
      <c r="FC6" s="35">
        <f t="shared" si="9"/>
        <v>0</v>
      </c>
      <c r="FD6" s="35">
        <f t="shared" si="9"/>
        <v>0</v>
      </c>
      <c r="FE6" s="90"/>
      <c r="FF6" s="32"/>
      <c r="FG6" s="33"/>
      <c r="FH6" s="33"/>
      <c r="FI6" s="33"/>
      <c r="FJ6" s="33"/>
      <c r="FK6" s="33"/>
      <c r="FL6" s="89"/>
      <c r="FM6" s="89"/>
      <c r="FN6" s="89"/>
      <c r="FO6" s="89"/>
      <c r="FP6" s="89"/>
      <c r="FQ6" s="89"/>
      <c r="FR6" s="90"/>
    </row>
    <row r="7" spans="4:174" ht="16.5" customHeight="1" x14ac:dyDescent="0.25">
      <c r="F7" s="91"/>
      <c r="R7" s="13"/>
      <c r="S7" s="91"/>
      <c r="AE7" s="13"/>
      <c r="AS7" s="91"/>
      <c r="BE7" s="13"/>
      <c r="BS7" s="91"/>
      <c r="CE7" s="13"/>
      <c r="DF7" s="91"/>
      <c r="DR7" s="13"/>
      <c r="DS7" s="91"/>
      <c r="EE7" s="13"/>
      <c r="EF7" s="91"/>
      <c r="ER7" s="13"/>
      <c r="ES7" s="91"/>
      <c r="FE7" s="13"/>
      <c r="FF7" s="91"/>
      <c r="FR7" s="13"/>
    </row>
    <row r="8" spans="4:174" x14ac:dyDescent="0.25">
      <c r="F8" s="91"/>
      <c r="R8" s="13"/>
      <c r="S8" s="91"/>
      <c r="AE8" s="13"/>
      <c r="AS8" s="91"/>
      <c r="BE8" s="13"/>
      <c r="BS8" s="91"/>
      <c r="CE8" s="13"/>
      <c r="DF8" s="91"/>
      <c r="DR8" s="13"/>
      <c r="DS8" s="91"/>
      <c r="EE8" s="13"/>
      <c r="EF8" s="91"/>
      <c r="ER8" s="13"/>
      <c r="ES8" s="91"/>
      <c r="FE8" s="13"/>
      <c r="FF8" s="91"/>
      <c r="FR8" s="13"/>
    </row>
    <row r="9" spans="4:174" s="4" customFormat="1" ht="18.75" customHeight="1" x14ac:dyDescent="0.3">
      <c r="D9" s="92"/>
      <c r="E9" s="93" t="s">
        <v>51</v>
      </c>
      <c r="F9" s="94">
        <v>0</v>
      </c>
      <c r="G9" s="95">
        <v>0</v>
      </c>
      <c r="H9" s="95">
        <v>0</v>
      </c>
      <c r="I9" s="95">
        <v>0</v>
      </c>
      <c r="J9" s="95">
        <v>0</v>
      </c>
      <c r="K9" s="95">
        <v>0</v>
      </c>
      <c r="L9" s="95">
        <f t="shared" ref="L9:R9" si="10">SUM(L10:L28)</f>
        <v>0</v>
      </c>
      <c r="M9" s="95">
        <f t="shared" si="10"/>
        <v>0</v>
      </c>
      <c r="N9" s="95">
        <f t="shared" si="10"/>
        <v>0</v>
      </c>
      <c r="O9" s="95">
        <f t="shared" si="10"/>
        <v>0</v>
      </c>
      <c r="P9" s="95">
        <f t="shared" si="10"/>
        <v>0</v>
      </c>
      <c r="Q9" s="95">
        <f t="shared" si="10"/>
        <v>0</v>
      </c>
      <c r="R9" s="96">
        <f t="shared" si="10"/>
        <v>0</v>
      </c>
      <c r="S9" s="94">
        <f t="shared" ref="S9:AE9" si="11">SUM(S10:S29)</f>
        <v>0</v>
      </c>
      <c r="T9" s="95">
        <f t="shared" si="11"/>
        <v>0</v>
      </c>
      <c r="U9" s="95">
        <f t="shared" si="11"/>
        <v>0</v>
      </c>
      <c r="V9" s="95">
        <f t="shared" si="11"/>
        <v>0</v>
      </c>
      <c r="W9" s="95">
        <f t="shared" si="11"/>
        <v>0</v>
      </c>
      <c r="X9" s="95">
        <f t="shared" si="11"/>
        <v>0</v>
      </c>
      <c r="Y9" s="95">
        <f t="shared" si="11"/>
        <v>0</v>
      </c>
      <c r="Z9" s="95">
        <f t="shared" si="11"/>
        <v>0</v>
      </c>
      <c r="AA9" s="95">
        <f t="shared" si="11"/>
        <v>0</v>
      </c>
      <c r="AB9" s="95">
        <f t="shared" si="11"/>
        <v>0</v>
      </c>
      <c r="AC9" s="95">
        <f t="shared" si="11"/>
        <v>0</v>
      </c>
      <c r="AD9" s="95">
        <f t="shared" si="11"/>
        <v>0</v>
      </c>
      <c r="AE9" s="96">
        <f t="shared" si="11"/>
        <v>0</v>
      </c>
      <c r="AF9" s="97"/>
      <c r="AG9" s="97"/>
      <c r="AH9" s="97"/>
      <c r="AI9" s="97"/>
      <c r="AJ9" s="98"/>
      <c r="AK9" s="98"/>
      <c r="AL9" s="98"/>
      <c r="AM9" s="98"/>
      <c r="AN9" s="98"/>
      <c r="AO9" s="98"/>
      <c r="AP9" s="98"/>
      <c r="AQ9" s="98"/>
      <c r="AR9" s="98"/>
      <c r="AS9" s="99"/>
      <c r="AT9" s="97"/>
      <c r="AU9" s="97"/>
      <c r="AV9" s="97"/>
      <c r="AW9" s="97"/>
      <c r="AX9" s="97"/>
      <c r="AY9" s="97"/>
      <c r="AZ9" s="97"/>
      <c r="BA9" s="97"/>
      <c r="BB9" s="97"/>
      <c r="BC9" s="97"/>
      <c r="BD9" s="97"/>
      <c r="BE9" s="100"/>
      <c r="BF9" s="97"/>
      <c r="BG9" s="97"/>
      <c r="BH9" s="97"/>
      <c r="BI9" s="97"/>
      <c r="BJ9" s="97"/>
      <c r="BK9" s="97"/>
      <c r="BL9" s="97"/>
      <c r="BM9" s="97"/>
      <c r="BN9" s="97"/>
      <c r="BO9" s="97"/>
      <c r="BP9" s="97"/>
      <c r="BQ9" s="97"/>
      <c r="BR9" s="97"/>
      <c r="BS9" s="99"/>
      <c r="BT9" s="97"/>
      <c r="BU9" s="97"/>
      <c r="BV9" s="97"/>
      <c r="BW9" s="97"/>
      <c r="BX9" s="97"/>
      <c r="BY9" s="97"/>
      <c r="BZ9" s="97"/>
      <c r="CA9" s="97"/>
      <c r="CB9" s="97"/>
      <c r="CC9" s="97"/>
      <c r="CD9" s="97"/>
      <c r="CE9" s="100"/>
      <c r="DF9" s="101"/>
      <c r="DR9" s="102"/>
      <c r="DS9" s="99"/>
      <c r="DT9" s="97"/>
      <c r="DU9" s="97"/>
      <c r="DV9" s="97"/>
      <c r="DW9" s="97"/>
      <c r="DX9" s="97"/>
      <c r="DY9" s="97"/>
      <c r="DZ9" s="97"/>
      <c r="EA9" s="97"/>
      <c r="EB9" s="97"/>
      <c r="EC9" s="97"/>
      <c r="ED9" s="97"/>
      <c r="EE9" s="100"/>
      <c r="EF9" s="99"/>
      <c r="EG9" s="97"/>
      <c r="EH9" s="97"/>
      <c r="EI9" s="97"/>
      <c r="EJ9" s="97"/>
      <c r="EK9" s="97"/>
      <c r="EL9" s="97"/>
      <c r="EM9" s="97"/>
      <c r="EN9" s="97"/>
      <c r="EO9" s="97"/>
      <c r="EP9" s="97"/>
      <c r="EQ9" s="97"/>
      <c r="ER9" s="100"/>
      <c r="ES9" s="99"/>
      <c r="ET9" s="97"/>
      <c r="EU9" s="97"/>
      <c r="EV9" s="97"/>
      <c r="EW9" s="97"/>
      <c r="EX9" s="97"/>
      <c r="EY9" s="97"/>
      <c r="EZ9" s="97"/>
      <c r="FA9" s="97"/>
      <c r="FB9" s="97"/>
      <c r="FC9" s="97"/>
      <c r="FD9" s="97"/>
      <c r="FE9" s="100"/>
      <c r="FF9" s="99"/>
      <c r="FG9" s="97"/>
      <c r="FH9" s="97"/>
      <c r="FI9" s="97"/>
      <c r="FJ9" s="97"/>
      <c r="FK9" s="97"/>
      <c r="FL9" s="97"/>
      <c r="FM9" s="97"/>
      <c r="FN9" s="97"/>
      <c r="FO9" s="97"/>
      <c r="FP9" s="97"/>
      <c r="FQ9" s="97"/>
      <c r="FR9" s="100"/>
    </row>
    <row r="10" spans="4:174" x14ac:dyDescent="0.25">
      <c r="F10" s="91"/>
      <c r="M10" s="103"/>
      <c r="N10" s="103"/>
      <c r="O10" s="103"/>
      <c r="P10" s="103"/>
      <c r="Q10" s="103"/>
      <c r="R10" s="104"/>
      <c r="S10" s="91"/>
      <c r="Z10" s="103"/>
      <c r="AA10" s="103"/>
      <c r="AB10" s="103"/>
      <c r="AC10" s="103"/>
      <c r="AD10" s="103"/>
      <c r="AE10" s="104"/>
      <c r="AJ10" s="15"/>
      <c r="AK10" s="15"/>
      <c r="AL10" s="15"/>
      <c r="AM10" s="15"/>
      <c r="AN10" s="15"/>
      <c r="AO10" s="15"/>
      <c r="AP10" s="15"/>
      <c r="AQ10" s="15"/>
      <c r="AR10" s="15"/>
      <c r="AS10" s="91"/>
      <c r="BE10" s="13"/>
      <c r="BS10" s="91"/>
      <c r="CE10" s="13"/>
      <c r="DF10" s="91"/>
      <c r="DR10" s="13"/>
      <c r="DS10" s="15"/>
      <c r="EE10" s="13"/>
      <c r="EF10" s="15"/>
      <c r="ER10" s="13"/>
      <c r="ES10" s="15"/>
      <c r="FE10" s="13"/>
      <c r="FF10" s="15"/>
      <c r="FR10" s="13"/>
    </row>
    <row r="11" spans="4:174" x14ac:dyDescent="0.25">
      <c r="F11" s="91"/>
      <c r="M11" s="103"/>
      <c r="N11" s="103"/>
      <c r="O11" s="103"/>
      <c r="P11" s="103"/>
      <c r="Q11" s="103"/>
      <c r="R11" s="104"/>
      <c r="S11" s="91"/>
      <c r="Z11" s="103"/>
      <c r="AA11" s="103"/>
      <c r="AB11" s="103"/>
      <c r="AC11" s="103"/>
      <c r="AD11" s="103"/>
      <c r="AE11" s="104"/>
      <c r="AJ11" s="15"/>
      <c r="AK11" s="15"/>
      <c r="AL11" s="15"/>
      <c r="AM11" s="15"/>
      <c r="AN11" s="15"/>
      <c r="AO11" s="15"/>
      <c r="AP11" s="15"/>
      <c r="AQ11" s="15"/>
      <c r="AR11" s="15"/>
      <c r="AS11" s="91"/>
      <c r="BE11" s="13"/>
      <c r="BS11" s="91"/>
      <c r="CE11" s="13"/>
      <c r="DF11" s="91"/>
      <c r="DR11" s="13"/>
      <c r="DS11" s="15"/>
      <c r="EE11" s="13"/>
      <c r="EF11" s="15"/>
      <c r="ER11" s="13"/>
      <c r="ES11" s="15"/>
      <c r="FE11" s="13"/>
      <c r="FF11" s="15"/>
      <c r="FR11" s="13"/>
    </row>
    <row r="12" spans="4:174" x14ac:dyDescent="0.25">
      <c r="F12" s="91"/>
      <c r="M12" s="103"/>
      <c r="N12" s="103"/>
      <c r="O12" s="103"/>
      <c r="P12" s="103"/>
      <c r="Q12" s="103"/>
      <c r="R12" s="104"/>
      <c r="S12" s="91"/>
      <c r="Z12" s="103"/>
      <c r="AA12" s="103"/>
      <c r="AB12" s="103"/>
      <c r="AC12" s="103"/>
      <c r="AD12" s="103"/>
      <c r="AE12" s="104"/>
      <c r="AJ12" s="15"/>
      <c r="AK12" s="15"/>
      <c r="AL12" s="15"/>
      <c r="AM12" s="15"/>
      <c r="AN12" s="15"/>
      <c r="AO12" s="15"/>
      <c r="AP12" s="15"/>
      <c r="AQ12" s="15"/>
      <c r="AR12" s="15"/>
      <c r="AS12" s="91"/>
      <c r="BE12" s="13"/>
      <c r="BS12" s="91"/>
      <c r="CE12" s="13"/>
      <c r="DF12" s="91"/>
      <c r="DR12" s="13"/>
      <c r="DS12" s="15"/>
      <c r="EE12" s="13"/>
      <c r="EF12" s="15"/>
      <c r="ER12" s="13"/>
      <c r="ES12" s="15"/>
      <c r="FE12" s="13"/>
      <c r="FF12" s="15"/>
      <c r="FR12" s="13"/>
    </row>
    <row r="13" spans="4:174" x14ac:dyDescent="0.25">
      <c r="F13" s="91"/>
      <c r="M13" s="103"/>
      <c r="N13" s="103"/>
      <c r="O13" s="103"/>
      <c r="P13" s="103"/>
      <c r="Q13" s="103"/>
      <c r="R13" s="104"/>
      <c r="S13" s="91"/>
      <c r="Z13" s="103"/>
      <c r="AA13" s="103"/>
      <c r="AB13" s="103"/>
      <c r="AC13" s="103"/>
      <c r="AD13" s="103"/>
      <c r="AE13" s="104"/>
      <c r="AJ13" s="15"/>
      <c r="AK13" s="15"/>
      <c r="AL13" s="15"/>
      <c r="AM13" s="15"/>
      <c r="AN13" s="15"/>
      <c r="AO13" s="15"/>
      <c r="AP13" s="15"/>
      <c r="AQ13" s="15"/>
      <c r="AR13" s="15"/>
      <c r="AS13" s="91"/>
      <c r="BE13" s="13"/>
      <c r="BS13" s="91"/>
      <c r="CE13" s="13"/>
      <c r="DF13" s="91"/>
      <c r="DR13" s="13"/>
      <c r="DS13" s="15"/>
      <c r="EE13" s="13"/>
      <c r="EF13" s="15"/>
      <c r="ER13" s="13"/>
      <c r="ES13" s="15"/>
      <c r="FE13" s="13"/>
      <c r="FF13" s="15"/>
      <c r="FR13" s="13"/>
    </row>
    <row r="14" spans="4:174" x14ac:dyDescent="0.25">
      <c r="F14" s="91"/>
      <c r="M14" s="103"/>
      <c r="N14" s="103"/>
      <c r="O14" s="103"/>
      <c r="P14" s="103"/>
      <c r="Q14" s="103"/>
      <c r="R14" s="104"/>
      <c r="S14" s="91"/>
      <c r="Z14" s="103"/>
      <c r="AA14" s="103"/>
      <c r="AB14" s="103"/>
      <c r="AC14" s="103"/>
      <c r="AD14" s="103"/>
      <c r="AE14" s="104"/>
      <c r="AJ14" s="15"/>
      <c r="AK14" s="15"/>
      <c r="AL14" s="15"/>
      <c r="AM14" s="15"/>
      <c r="AN14" s="15"/>
      <c r="AO14" s="15"/>
      <c r="AP14" s="15"/>
      <c r="AQ14" s="15"/>
      <c r="AR14" s="15"/>
      <c r="AS14" s="91"/>
      <c r="BE14" s="13"/>
      <c r="BS14" s="91"/>
      <c r="CE14" s="13"/>
      <c r="DF14" s="91"/>
      <c r="DR14" s="13"/>
      <c r="DS14" s="15"/>
      <c r="EE14" s="13"/>
      <c r="EF14" s="15"/>
      <c r="ER14" s="13"/>
      <c r="ES14" s="15"/>
      <c r="FE14" s="13"/>
      <c r="FF14" s="15"/>
      <c r="FR14" s="13"/>
    </row>
    <row r="15" spans="4:174" x14ac:dyDescent="0.25">
      <c r="F15" s="91"/>
      <c r="M15" s="103"/>
      <c r="N15" s="103"/>
      <c r="O15" s="103"/>
      <c r="P15" s="103"/>
      <c r="Q15" s="103"/>
      <c r="R15" s="104"/>
      <c r="S15" s="91"/>
      <c r="Z15" s="103"/>
      <c r="AA15" s="103"/>
      <c r="AB15" s="103"/>
      <c r="AC15" s="103"/>
      <c r="AD15" s="103"/>
      <c r="AE15" s="104"/>
      <c r="AJ15" s="15"/>
      <c r="AK15" s="15"/>
      <c r="AL15" s="15"/>
      <c r="AM15" s="15"/>
      <c r="AN15" s="15"/>
      <c r="AO15" s="15"/>
      <c r="AP15" s="15"/>
      <c r="AQ15" s="15"/>
      <c r="AR15" s="15"/>
      <c r="AS15" s="91"/>
      <c r="BE15" s="13"/>
      <c r="BS15" s="91"/>
      <c r="CE15" s="13"/>
      <c r="DF15" s="91"/>
      <c r="DR15" s="13"/>
      <c r="DS15" s="15"/>
      <c r="EE15" s="13"/>
      <c r="EF15" s="15"/>
      <c r="ER15" s="13"/>
      <c r="ES15" s="15"/>
      <c r="FE15" s="13"/>
      <c r="FF15" s="15"/>
      <c r="FR15" s="13"/>
    </row>
    <row r="16" spans="4:174" x14ac:dyDescent="0.25">
      <c r="F16" s="91"/>
      <c r="M16" s="103"/>
      <c r="N16" s="103"/>
      <c r="O16" s="103"/>
      <c r="P16" s="103"/>
      <c r="Q16" s="103"/>
      <c r="R16" s="104"/>
      <c r="S16" s="91"/>
      <c r="Z16" s="103"/>
      <c r="AA16" s="103"/>
      <c r="AB16" s="103"/>
      <c r="AC16" s="103"/>
      <c r="AD16" s="103"/>
      <c r="AE16" s="104"/>
      <c r="AJ16" s="15"/>
      <c r="AK16" s="15"/>
      <c r="AL16" s="15"/>
      <c r="AM16" s="15"/>
      <c r="AN16" s="15"/>
      <c r="AO16" s="15"/>
      <c r="AP16" s="15"/>
      <c r="AQ16" s="15"/>
      <c r="AR16" s="15"/>
      <c r="AS16" s="91"/>
      <c r="BE16" s="13"/>
      <c r="BS16" s="91"/>
      <c r="CE16" s="13"/>
      <c r="DF16" s="91"/>
      <c r="DR16" s="13"/>
      <c r="DS16" s="15"/>
      <c r="EE16" s="13"/>
      <c r="EF16" s="15"/>
      <c r="ER16" s="13"/>
      <c r="ES16" s="15"/>
      <c r="FE16" s="13"/>
      <c r="FF16" s="15"/>
      <c r="FR16" s="13"/>
    </row>
    <row r="17" spans="4:174" x14ac:dyDescent="0.25">
      <c r="F17" s="91"/>
      <c r="M17" s="103"/>
      <c r="N17" s="103"/>
      <c r="O17" s="103"/>
      <c r="P17" s="103"/>
      <c r="Q17" s="103"/>
      <c r="R17" s="104"/>
      <c r="S17" s="91"/>
      <c r="Z17" s="103"/>
      <c r="AA17" s="103"/>
      <c r="AB17" s="103"/>
      <c r="AC17" s="103"/>
      <c r="AD17" s="103"/>
      <c r="AE17" s="104"/>
      <c r="AJ17" s="15"/>
      <c r="AK17" s="15"/>
      <c r="AL17" s="15"/>
      <c r="AM17" s="15"/>
      <c r="AN17" s="15"/>
      <c r="AO17" s="15"/>
      <c r="AP17" s="15"/>
      <c r="AQ17" s="15"/>
      <c r="AR17" s="15"/>
      <c r="AS17" s="91"/>
      <c r="BE17" s="13"/>
      <c r="BS17" s="91"/>
      <c r="CE17" s="13"/>
      <c r="DF17" s="91"/>
      <c r="DR17" s="13"/>
      <c r="DS17" s="15"/>
      <c r="EE17" s="13"/>
      <c r="EF17" s="15"/>
      <c r="ER17" s="13"/>
      <c r="ES17" s="15"/>
      <c r="FE17" s="13"/>
      <c r="FF17" s="15"/>
      <c r="FR17" s="13"/>
    </row>
    <row r="18" spans="4:174" x14ac:dyDescent="0.25">
      <c r="F18" s="91"/>
      <c r="M18" s="103"/>
      <c r="N18" s="103"/>
      <c r="O18" s="103"/>
      <c r="P18" s="103"/>
      <c r="Q18" s="103"/>
      <c r="R18" s="104"/>
      <c r="S18" s="91"/>
      <c r="Z18" s="103"/>
      <c r="AA18" s="103"/>
      <c r="AB18" s="103"/>
      <c r="AC18" s="103"/>
      <c r="AD18" s="103"/>
      <c r="AE18" s="104"/>
      <c r="AJ18" s="15"/>
      <c r="AK18" s="15"/>
      <c r="AL18" s="15"/>
      <c r="AM18" s="15"/>
      <c r="AN18" s="15"/>
      <c r="AO18" s="15"/>
      <c r="AP18" s="15"/>
      <c r="AQ18" s="15"/>
      <c r="AR18" s="15"/>
      <c r="AS18" s="91"/>
      <c r="BE18" s="13"/>
      <c r="BS18" s="91"/>
      <c r="CE18" s="13"/>
      <c r="DF18" s="91"/>
      <c r="DR18" s="13"/>
      <c r="DS18" s="15"/>
      <c r="EE18" s="13"/>
      <c r="EF18" s="15"/>
      <c r="ER18" s="13"/>
      <c r="ES18" s="15"/>
      <c r="FE18" s="13"/>
      <c r="FF18" s="15"/>
      <c r="FR18" s="13"/>
    </row>
    <row r="19" spans="4:174" x14ac:dyDescent="0.25">
      <c r="F19" s="91"/>
      <c r="M19" s="103"/>
      <c r="N19" s="103"/>
      <c r="O19" s="103"/>
      <c r="P19" s="103"/>
      <c r="Q19" s="103"/>
      <c r="R19" s="104"/>
      <c r="S19" s="91"/>
      <c r="Z19" s="103"/>
      <c r="AA19" s="103"/>
      <c r="AB19" s="103"/>
      <c r="AC19" s="103"/>
      <c r="AD19" s="103"/>
      <c r="AE19" s="104"/>
      <c r="AJ19" s="15"/>
      <c r="AK19" s="15"/>
      <c r="AL19" s="15"/>
      <c r="AM19" s="15"/>
      <c r="AN19" s="15"/>
      <c r="AO19" s="15"/>
      <c r="AP19" s="15"/>
      <c r="AQ19" s="15"/>
      <c r="AR19" s="15"/>
      <c r="AS19" s="91"/>
      <c r="BE19" s="13"/>
      <c r="BS19" s="91"/>
      <c r="CE19" s="13"/>
      <c r="DF19" s="91"/>
      <c r="DR19" s="13"/>
      <c r="EE19" s="13"/>
      <c r="ER19" s="13"/>
      <c r="FE19" s="13"/>
      <c r="FR19" s="13"/>
    </row>
    <row r="20" spans="4:174" x14ac:dyDescent="0.25">
      <c r="F20" s="91"/>
      <c r="M20" s="103"/>
      <c r="N20" s="103"/>
      <c r="O20" s="103"/>
      <c r="P20" s="103"/>
      <c r="Q20" s="103"/>
      <c r="R20" s="104"/>
      <c r="S20" s="91"/>
      <c r="Z20" s="103"/>
      <c r="AA20" s="103"/>
      <c r="AB20" s="103"/>
      <c r="AC20" s="103"/>
      <c r="AD20" s="103"/>
      <c r="AE20" s="104"/>
      <c r="AJ20" s="15"/>
      <c r="AK20" s="15"/>
      <c r="AL20" s="15"/>
      <c r="AM20" s="15"/>
      <c r="AN20" s="15"/>
      <c r="AO20" s="15"/>
      <c r="AP20" s="15"/>
      <c r="AQ20" s="15"/>
      <c r="AR20" s="15"/>
      <c r="AS20" s="91"/>
      <c r="BE20" s="13"/>
      <c r="BS20" s="91"/>
      <c r="CE20" s="13"/>
      <c r="DF20" s="91"/>
      <c r="DR20" s="13"/>
      <c r="DS20" s="15"/>
      <c r="EE20" s="13"/>
      <c r="EF20" s="15"/>
      <c r="ER20" s="13"/>
      <c r="ES20" s="15"/>
      <c r="FE20" s="13"/>
      <c r="FF20" s="15"/>
      <c r="FR20" s="13"/>
    </row>
    <row r="21" spans="4:174" x14ac:dyDescent="0.25">
      <c r="F21" s="91"/>
      <c r="M21" s="103"/>
      <c r="N21" s="103"/>
      <c r="O21" s="103"/>
      <c r="P21" s="103"/>
      <c r="Q21" s="103"/>
      <c r="R21" s="104"/>
      <c r="S21" s="91"/>
      <c r="Z21" s="103"/>
      <c r="AA21" s="103"/>
      <c r="AB21" s="103"/>
      <c r="AC21" s="103"/>
      <c r="AD21" s="103"/>
      <c r="AE21" s="104"/>
      <c r="AJ21" s="15"/>
      <c r="AK21" s="15"/>
      <c r="AL21" s="15"/>
      <c r="AM21" s="15"/>
      <c r="AN21" s="15"/>
      <c r="AO21" s="15"/>
      <c r="AP21" s="15"/>
      <c r="AQ21" s="15"/>
      <c r="AR21" s="15"/>
      <c r="AS21" s="91"/>
      <c r="BE21" s="13"/>
      <c r="BS21" s="91"/>
      <c r="CE21" s="13"/>
      <c r="DF21" s="91"/>
      <c r="DR21" s="13"/>
      <c r="DS21" s="15"/>
      <c r="EE21" s="13"/>
      <c r="EF21" s="15"/>
      <c r="ER21" s="13"/>
      <c r="ES21" s="15"/>
      <c r="FE21" s="13"/>
      <c r="FF21" s="15"/>
      <c r="FR21" s="13"/>
    </row>
    <row r="22" spans="4:174" x14ac:dyDescent="0.25">
      <c r="F22" s="91"/>
      <c r="M22" s="103"/>
      <c r="N22" s="103"/>
      <c r="O22" s="103"/>
      <c r="P22" s="103"/>
      <c r="Q22" s="103"/>
      <c r="R22" s="104"/>
      <c r="S22" s="91"/>
      <c r="Z22" s="103"/>
      <c r="AA22" s="103"/>
      <c r="AB22" s="103"/>
      <c r="AC22" s="103"/>
      <c r="AD22" s="103"/>
      <c r="AE22" s="104"/>
      <c r="AJ22" s="15"/>
      <c r="AK22" s="15"/>
      <c r="AL22" s="15"/>
      <c r="AM22" s="15"/>
      <c r="AN22" s="15"/>
      <c r="AO22" s="15"/>
      <c r="AP22" s="15"/>
      <c r="AQ22" s="15"/>
      <c r="AR22" s="15"/>
      <c r="AS22" s="91"/>
      <c r="BE22" s="13"/>
      <c r="BS22" s="91"/>
      <c r="CE22" s="13"/>
      <c r="DF22" s="91"/>
      <c r="DR22" s="13"/>
      <c r="DS22" s="15"/>
      <c r="EE22" s="13"/>
      <c r="EF22" s="15"/>
      <c r="ER22" s="13"/>
      <c r="ES22" s="15"/>
      <c r="FE22" s="13"/>
      <c r="FF22" s="15"/>
      <c r="FR22" s="13"/>
    </row>
    <row r="23" spans="4:174" x14ac:dyDescent="0.25">
      <c r="F23" s="91"/>
      <c r="M23" s="103"/>
      <c r="N23" s="103"/>
      <c r="O23" s="103"/>
      <c r="P23" s="103"/>
      <c r="Q23" s="103"/>
      <c r="R23" s="104"/>
      <c r="S23" s="91"/>
      <c r="Z23" s="103"/>
      <c r="AA23" s="103"/>
      <c r="AB23" s="103"/>
      <c r="AC23" s="103"/>
      <c r="AD23" s="103"/>
      <c r="AE23" s="104"/>
      <c r="AJ23" s="15"/>
      <c r="AK23" s="15"/>
      <c r="AL23" s="15"/>
      <c r="AM23" s="15"/>
      <c r="AN23" s="15"/>
      <c r="AO23" s="15"/>
      <c r="AP23" s="15"/>
      <c r="AQ23" s="15"/>
      <c r="AR23" s="15"/>
      <c r="AS23" s="91"/>
      <c r="BE23" s="13"/>
      <c r="BS23" s="91"/>
      <c r="CE23" s="13"/>
      <c r="DF23" s="91"/>
      <c r="DR23" s="13"/>
      <c r="DS23" s="15"/>
      <c r="EE23" s="13"/>
      <c r="EF23" s="15"/>
      <c r="ER23" s="13"/>
      <c r="ES23" s="15"/>
      <c r="FE23" s="13"/>
      <c r="FF23" s="15"/>
      <c r="FR23" s="13"/>
    </row>
    <row r="24" spans="4:174" x14ac:dyDescent="0.25">
      <c r="F24" s="91"/>
      <c r="M24" s="103"/>
      <c r="N24" s="103"/>
      <c r="O24" s="103"/>
      <c r="P24" s="103"/>
      <c r="Q24" s="103"/>
      <c r="R24" s="104"/>
      <c r="S24" s="91"/>
      <c r="Z24" s="103"/>
      <c r="AA24" s="103"/>
      <c r="AB24" s="103"/>
      <c r="AC24" s="103"/>
      <c r="AD24" s="103"/>
      <c r="AE24" s="104"/>
      <c r="AJ24" s="15"/>
      <c r="AK24" s="15"/>
      <c r="AL24" s="15"/>
      <c r="AM24" s="15"/>
      <c r="AN24" s="15"/>
      <c r="AO24" s="15"/>
      <c r="AP24" s="15"/>
      <c r="AQ24" s="15"/>
      <c r="AR24" s="15"/>
      <c r="AS24" s="91"/>
      <c r="BE24" s="13"/>
      <c r="BS24" s="91"/>
      <c r="CE24" s="13"/>
      <c r="DF24" s="91"/>
      <c r="DR24" s="13"/>
      <c r="DS24" s="15"/>
      <c r="EE24" s="13"/>
      <c r="EF24" s="15"/>
      <c r="ER24" s="13"/>
      <c r="ES24" s="15"/>
      <c r="FE24" s="13"/>
      <c r="FF24" s="15"/>
      <c r="FR24" s="13"/>
    </row>
    <row r="25" spans="4:174" x14ac:dyDescent="0.25">
      <c r="F25" s="91"/>
      <c r="M25" s="103"/>
      <c r="N25" s="103"/>
      <c r="O25" s="103"/>
      <c r="P25" s="103"/>
      <c r="Q25" s="103"/>
      <c r="R25" s="104"/>
      <c r="S25" s="91"/>
      <c r="Z25" s="103"/>
      <c r="AA25" s="103"/>
      <c r="AB25" s="103"/>
      <c r="AC25" s="103"/>
      <c r="AD25" s="103"/>
      <c r="AE25" s="104"/>
      <c r="AJ25" s="15"/>
      <c r="AK25" s="15"/>
      <c r="AL25" s="15"/>
      <c r="AM25" s="15"/>
      <c r="AN25" s="15"/>
      <c r="AO25" s="15"/>
      <c r="AP25" s="15"/>
      <c r="AQ25" s="15"/>
      <c r="AR25" s="15"/>
      <c r="AS25" s="91"/>
      <c r="BE25" s="13"/>
      <c r="BS25" s="91"/>
      <c r="CE25" s="13"/>
      <c r="DF25" s="91"/>
      <c r="DR25" s="13"/>
      <c r="DS25" s="15"/>
      <c r="EE25" s="13"/>
      <c r="EF25" s="15"/>
      <c r="ER25" s="13"/>
      <c r="ES25" s="15"/>
      <c r="FE25" s="13"/>
      <c r="FF25" s="15"/>
      <c r="FR25" s="13"/>
    </row>
    <row r="26" spans="4:174" x14ac:dyDescent="0.25">
      <c r="F26" s="91"/>
      <c r="M26" s="103"/>
      <c r="N26" s="103"/>
      <c r="O26" s="103"/>
      <c r="P26" s="103"/>
      <c r="Q26" s="103"/>
      <c r="R26" s="104"/>
      <c r="S26" s="91"/>
      <c r="Z26" s="103"/>
      <c r="AA26" s="103"/>
      <c r="AB26" s="103"/>
      <c r="AC26" s="103"/>
      <c r="AD26" s="103"/>
      <c r="AE26" s="104"/>
      <c r="AJ26" s="15"/>
      <c r="AK26" s="15"/>
      <c r="AL26" s="15"/>
      <c r="AM26" s="15"/>
      <c r="AN26" s="15"/>
      <c r="AO26" s="15"/>
      <c r="AP26" s="15"/>
      <c r="AQ26" s="15"/>
      <c r="AR26" s="15"/>
      <c r="AS26" s="91"/>
      <c r="BE26" s="13"/>
      <c r="BS26" s="91"/>
      <c r="CE26" s="13"/>
      <c r="DF26" s="91"/>
      <c r="DR26" s="13"/>
      <c r="DS26" s="15"/>
      <c r="EE26" s="13"/>
      <c r="EF26" s="15"/>
      <c r="ER26" s="13"/>
      <c r="ES26" s="15"/>
      <c r="FE26" s="13"/>
      <c r="FF26" s="15"/>
      <c r="FR26" s="13"/>
    </row>
    <row r="27" spans="4:174" x14ac:dyDescent="0.25">
      <c r="F27" s="91"/>
      <c r="M27" s="103"/>
      <c r="N27" s="103"/>
      <c r="O27" s="103"/>
      <c r="P27" s="103"/>
      <c r="Q27" s="103"/>
      <c r="R27" s="104"/>
      <c r="S27" s="91"/>
      <c r="Z27" s="103"/>
      <c r="AA27" s="103"/>
      <c r="AB27" s="103"/>
      <c r="AC27" s="103"/>
      <c r="AD27" s="103"/>
      <c r="AE27" s="104"/>
      <c r="AJ27" s="15"/>
      <c r="AK27" s="15"/>
      <c r="AL27" s="15"/>
      <c r="AM27" s="15"/>
      <c r="AN27" s="15"/>
      <c r="AO27" s="15"/>
      <c r="AP27" s="15"/>
      <c r="AQ27" s="15"/>
      <c r="AR27" s="15"/>
      <c r="AS27" s="91"/>
      <c r="BE27" s="13"/>
      <c r="BS27" s="91"/>
      <c r="CE27" s="13"/>
      <c r="DF27" s="91"/>
      <c r="DR27" s="13"/>
      <c r="DS27" s="15"/>
      <c r="EE27" s="13"/>
      <c r="EF27" s="15"/>
      <c r="ER27" s="13"/>
      <c r="ES27" s="15"/>
      <c r="FE27" s="13"/>
      <c r="FF27" s="15"/>
      <c r="FR27" s="13"/>
    </row>
    <row r="28" spans="4:174" x14ac:dyDescent="0.25">
      <c r="F28" s="91"/>
      <c r="M28" s="103"/>
      <c r="N28" s="103"/>
      <c r="O28" s="103"/>
      <c r="P28" s="103"/>
      <c r="Q28" s="103"/>
      <c r="R28" s="104"/>
      <c r="S28" s="91"/>
      <c r="Z28" s="103"/>
      <c r="AA28" s="103"/>
      <c r="AB28" s="103"/>
      <c r="AC28" s="103"/>
      <c r="AD28" s="103"/>
      <c r="AE28" s="104"/>
      <c r="AJ28" s="15"/>
      <c r="AK28" s="15"/>
      <c r="AL28" s="15"/>
      <c r="AM28" s="15"/>
      <c r="AN28" s="15"/>
      <c r="AO28" s="15"/>
      <c r="AP28" s="15"/>
      <c r="AQ28" s="15"/>
      <c r="AR28" s="15"/>
      <c r="AS28" s="91"/>
      <c r="BE28" s="13"/>
      <c r="BS28" s="91"/>
      <c r="CE28" s="13"/>
      <c r="DF28" s="91"/>
      <c r="DR28" s="13"/>
      <c r="DS28" s="15"/>
      <c r="EE28" s="13"/>
      <c r="EF28" s="15"/>
      <c r="ER28" s="13"/>
      <c r="ES28" s="15"/>
      <c r="FE28" s="13"/>
      <c r="FF28" s="15"/>
      <c r="FR28" s="13"/>
    </row>
    <row r="29" spans="4:174" x14ac:dyDescent="0.25">
      <c r="F29" s="91"/>
      <c r="M29" s="103"/>
      <c r="N29" s="103"/>
      <c r="O29" s="103"/>
      <c r="P29" s="103"/>
      <c r="Q29" s="103"/>
      <c r="R29" s="104"/>
      <c r="S29" s="91"/>
      <c r="Z29" s="103"/>
      <c r="AA29" s="103"/>
      <c r="AB29" s="103"/>
      <c r="AC29" s="103"/>
      <c r="AD29" s="103"/>
      <c r="AE29" s="104"/>
      <c r="AJ29" s="15"/>
      <c r="AK29" s="15"/>
      <c r="AL29" s="15"/>
      <c r="AM29" s="15"/>
      <c r="AN29" s="15"/>
      <c r="AO29" s="15"/>
      <c r="AP29" s="15"/>
      <c r="AQ29" s="15"/>
      <c r="AR29" s="15"/>
      <c r="AS29" s="91"/>
      <c r="BE29" s="13"/>
      <c r="BS29" s="91"/>
      <c r="CE29" s="13"/>
      <c r="DF29" s="91"/>
      <c r="DR29" s="13"/>
      <c r="DS29" s="15"/>
      <c r="EE29" s="13"/>
      <c r="EF29" s="15"/>
      <c r="ER29" s="13"/>
      <c r="ES29" s="15"/>
      <c r="FE29" s="13"/>
      <c r="FF29" s="15"/>
      <c r="FR29" s="13"/>
    </row>
    <row r="30" spans="4:174" x14ac:dyDescent="0.25">
      <c r="F30" s="91"/>
      <c r="R30" s="13"/>
      <c r="S30" s="91"/>
      <c r="AE30" s="13"/>
      <c r="AJ30" s="15"/>
      <c r="AK30" s="15"/>
      <c r="AL30" s="15"/>
      <c r="AM30" s="15"/>
      <c r="AN30" s="15"/>
      <c r="AO30" s="15"/>
      <c r="AP30" s="15"/>
      <c r="AQ30" s="15"/>
      <c r="AR30" s="15"/>
      <c r="AS30" s="91"/>
      <c r="BE30" s="13"/>
      <c r="BS30" s="91"/>
      <c r="CE30" s="13"/>
      <c r="DF30" s="91"/>
      <c r="DR30" s="13"/>
      <c r="DS30" s="91"/>
      <c r="EE30" s="13"/>
      <c r="EF30" s="91"/>
      <c r="ER30" s="13"/>
      <c r="ES30" s="91"/>
      <c r="FE30" s="13"/>
      <c r="FF30" s="91"/>
      <c r="FR30" s="13"/>
    </row>
    <row r="31" spans="4:174" s="4" customFormat="1" ht="18.75" customHeight="1" x14ac:dyDescent="0.3">
      <c r="D31" s="92"/>
      <c r="E31" s="105" t="s">
        <v>52</v>
      </c>
      <c r="F31" s="99">
        <v>0</v>
      </c>
      <c r="G31" s="97">
        <v>0</v>
      </c>
      <c r="H31" s="97">
        <v>0</v>
      </c>
      <c r="I31" s="97">
        <v>0</v>
      </c>
      <c r="J31" s="97">
        <v>0</v>
      </c>
      <c r="K31" s="97">
        <v>0</v>
      </c>
      <c r="L31" s="97">
        <f t="shared" ref="L31:AE31" si="12">SUM(L32:L33)</f>
        <v>0</v>
      </c>
      <c r="M31" s="97">
        <f t="shared" si="12"/>
        <v>0</v>
      </c>
      <c r="N31" s="97">
        <f t="shared" si="12"/>
        <v>0</v>
      </c>
      <c r="O31" s="97">
        <f t="shared" si="12"/>
        <v>0</v>
      </c>
      <c r="P31" s="97">
        <f t="shared" si="12"/>
        <v>0</v>
      </c>
      <c r="Q31" s="97">
        <f t="shared" si="12"/>
        <v>0</v>
      </c>
      <c r="R31" s="100">
        <f t="shared" si="12"/>
        <v>0</v>
      </c>
      <c r="S31" s="94">
        <f t="shared" si="12"/>
        <v>0</v>
      </c>
      <c r="T31" s="95">
        <f t="shared" si="12"/>
        <v>0</v>
      </c>
      <c r="U31" s="95">
        <f t="shared" si="12"/>
        <v>0</v>
      </c>
      <c r="V31" s="95">
        <f t="shared" si="12"/>
        <v>0</v>
      </c>
      <c r="W31" s="95">
        <f t="shared" si="12"/>
        <v>0</v>
      </c>
      <c r="X31" s="95">
        <f t="shared" si="12"/>
        <v>0</v>
      </c>
      <c r="Y31" s="95">
        <f t="shared" si="12"/>
        <v>0</v>
      </c>
      <c r="Z31" s="95">
        <f t="shared" si="12"/>
        <v>0</v>
      </c>
      <c r="AA31" s="95">
        <f t="shared" si="12"/>
        <v>0</v>
      </c>
      <c r="AB31" s="95">
        <f t="shared" si="12"/>
        <v>0</v>
      </c>
      <c r="AC31" s="95">
        <f t="shared" si="12"/>
        <v>0</v>
      </c>
      <c r="AD31" s="95">
        <f t="shared" si="12"/>
        <v>0</v>
      </c>
      <c r="AE31" s="96">
        <f t="shared" si="12"/>
        <v>0</v>
      </c>
      <c r="AF31" s="97"/>
      <c r="AG31" s="97"/>
      <c r="AH31" s="97"/>
      <c r="AI31" s="97"/>
      <c r="AJ31" s="97"/>
      <c r="AK31" s="97"/>
      <c r="AL31" s="97"/>
      <c r="AM31" s="97"/>
      <c r="AN31" s="97"/>
      <c r="AO31" s="97"/>
      <c r="AP31" s="97"/>
      <c r="AQ31" s="97"/>
      <c r="AR31" s="97"/>
      <c r="AS31" s="99"/>
      <c r="AT31" s="97"/>
      <c r="AU31" s="97"/>
      <c r="AV31" s="97"/>
      <c r="AW31" s="97"/>
      <c r="AX31" s="97"/>
      <c r="AY31" s="97"/>
      <c r="AZ31" s="97"/>
      <c r="BA31" s="97"/>
      <c r="BB31" s="97"/>
      <c r="BC31" s="97"/>
      <c r="BD31" s="97"/>
      <c r="BE31" s="100"/>
      <c r="BF31" s="97"/>
      <c r="BG31" s="97"/>
      <c r="BH31" s="97"/>
      <c r="BI31" s="97"/>
      <c r="BJ31" s="97"/>
      <c r="BK31" s="97"/>
      <c r="BL31" s="97"/>
      <c r="BM31" s="97"/>
      <c r="BN31" s="97"/>
      <c r="BO31" s="97"/>
      <c r="BP31" s="97"/>
      <c r="BQ31" s="97"/>
      <c r="BR31" s="97"/>
      <c r="BS31" s="99"/>
      <c r="BT31" s="97"/>
      <c r="BU31" s="97"/>
      <c r="BV31" s="97"/>
      <c r="BW31" s="97"/>
      <c r="BX31" s="97"/>
      <c r="BY31" s="97"/>
      <c r="BZ31" s="97"/>
      <c r="CA31" s="97"/>
      <c r="CB31" s="97"/>
      <c r="CC31" s="97"/>
      <c r="CD31" s="97"/>
      <c r="CE31" s="100"/>
      <c r="CJ31" s="106"/>
      <c r="DF31" s="101"/>
      <c r="DR31" s="102"/>
      <c r="DS31" s="99"/>
      <c r="DT31" s="97"/>
      <c r="DU31" s="97"/>
      <c r="DV31" s="97"/>
      <c r="DW31" s="97"/>
      <c r="DX31" s="97"/>
      <c r="DY31" s="97"/>
      <c r="DZ31" s="97"/>
      <c r="EA31" s="97"/>
      <c r="EB31" s="97"/>
      <c r="EC31" s="97"/>
      <c r="ED31" s="97"/>
      <c r="EE31" s="100"/>
      <c r="EF31" s="99"/>
      <c r="EG31" s="97"/>
      <c r="EH31" s="97"/>
      <c r="EI31" s="97"/>
      <c r="EJ31" s="97"/>
      <c r="EK31" s="97"/>
      <c r="EL31" s="97"/>
      <c r="EM31" s="97"/>
      <c r="EN31" s="97"/>
      <c r="EO31" s="97"/>
      <c r="EP31" s="97"/>
      <c r="EQ31" s="97"/>
      <c r="ER31" s="100"/>
      <c r="ES31" s="99"/>
      <c r="ET31" s="97"/>
      <c r="EU31" s="97"/>
      <c r="EV31" s="97"/>
      <c r="EW31" s="97"/>
      <c r="EX31" s="97"/>
      <c r="EY31" s="97"/>
      <c r="EZ31" s="97"/>
      <c r="FA31" s="97"/>
      <c r="FB31" s="97"/>
      <c r="FC31" s="97"/>
      <c r="FD31" s="97"/>
      <c r="FE31" s="100"/>
      <c r="FF31" s="99"/>
      <c r="FG31" s="97"/>
      <c r="FH31" s="97"/>
      <c r="FI31" s="97"/>
      <c r="FJ31" s="97"/>
      <c r="FK31" s="97"/>
      <c r="FL31" s="97"/>
      <c r="FM31" s="97"/>
      <c r="FN31" s="97"/>
      <c r="FO31" s="97"/>
      <c r="FP31" s="97"/>
      <c r="FQ31" s="97"/>
      <c r="FR31" s="100"/>
    </row>
    <row r="32" spans="4:174" x14ac:dyDescent="0.25">
      <c r="F32" s="91"/>
      <c r="M32" s="103"/>
      <c r="N32" s="103"/>
      <c r="O32" s="103"/>
      <c r="P32" s="103"/>
      <c r="Q32" s="103"/>
      <c r="R32" s="104"/>
      <c r="S32" s="91"/>
      <c r="Z32" s="103"/>
      <c r="AA32" s="103"/>
      <c r="AB32" s="103"/>
      <c r="AC32" s="103"/>
      <c r="AD32" s="103"/>
      <c r="AE32" s="104"/>
      <c r="AS32" s="91"/>
      <c r="BE32" s="13"/>
      <c r="BS32" s="91"/>
      <c r="CE32" s="13"/>
      <c r="CJ32" s="107"/>
      <c r="DF32" s="91"/>
      <c r="DR32" s="13"/>
      <c r="DS32" s="20"/>
      <c r="DT32" s="21"/>
      <c r="DU32" s="21"/>
      <c r="DV32" s="21"/>
      <c r="DW32" s="21"/>
      <c r="DX32" s="21"/>
      <c r="EE32" s="13"/>
      <c r="EF32" s="20"/>
      <c r="EG32" s="21"/>
      <c r="EH32" s="21"/>
      <c r="EI32" s="21"/>
      <c r="EJ32" s="21"/>
      <c r="EK32" s="21"/>
      <c r="ER32" s="13"/>
      <c r="ES32" s="20"/>
      <c r="ET32" s="21"/>
      <c r="EU32" s="21"/>
      <c r="EV32" s="21"/>
      <c r="EW32" s="21"/>
      <c r="EX32" s="21"/>
      <c r="FE32" s="13"/>
      <c r="FF32" s="20"/>
      <c r="FG32" s="21"/>
      <c r="FH32" s="21"/>
      <c r="FI32" s="21"/>
      <c r="FJ32" s="21"/>
      <c r="FK32" s="21"/>
      <c r="FR32" s="13"/>
    </row>
    <row r="33" spans="4:174" x14ac:dyDescent="0.25">
      <c r="F33" s="91"/>
      <c r="M33" s="103"/>
      <c r="N33" s="103"/>
      <c r="O33" s="103"/>
      <c r="P33" s="103"/>
      <c r="Q33" s="103"/>
      <c r="R33" s="104"/>
      <c r="S33" s="91"/>
      <c r="Z33" s="103"/>
      <c r="AA33" s="103"/>
      <c r="AB33" s="103"/>
      <c r="AC33" s="103"/>
      <c r="AD33" s="103"/>
      <c r="AE33" s="104"/>
      <c r="AS33" s="91"/>
      <c r="BE33" s="13"/>
      <c r="BS33" s="91"/>
      <c r="CE33" s="13"/>
      <c r="CJ33" s="107"/>
      <c r="DF33" s="91"/>
      <c r="DR33" s="13"/>
      <c r="DS33" s="20"/>
      <c r="DT33" s="21"/>
      <c r="DU33" s="21"/>
      <c r="DV33" s="21"/>
      <c r="DW33" s="21"/>
      <c r="DX33" s="21"/>
      <c r="EE33" s="13"/>
      <c r="EF33" s="20"/>
      <c r="EG33" s="21"/>
      <c r="EH33" s="21"/>
      <c r="EI33" s="21"/>
      <c r="EJ33" s="21"/>
      <c r="EK33" s="21"/>
      <c r="ER33" s="13"/>
      <c r="ES33" s="20"/>
      <c r="ET33" s="21"/>
      <c r="EU33" s="21"/>
      <c r="EV33" s="21"/>
      <c r="EW33" s="21"/>
      <c r="EX33" s="21"/>
      <c r="FE33" s="13"/>
      <c r="FF33" s="20"/>
      <c r="FG33" s="21"/>
      <c r="FH33" s="21"/>
      <c r="FI33" s="21"/>
      <c r="FJ33" s="21"/>
      <c r="FK33" s="21"/>
      <c r="FR33" s="13"/>
    </row>
    <row r="34" spans="4:174" x14ac:dyDescent="0.25">
      <c r="F34" s="91"/>
      <c r="R34" s="13"/>
      <c r="S34" s="91"/>
      <c r="AE34" s="13"/>
      <c r="AS34" s="91"/>
      <c r="BE34" s="13"/>
      <c r="BS34" s="91"/>
      <c r="CE34" s="13"/>
      <c r="CJ34" s="107"/>
      <c r="DF34" s="91"/>
      <c r="DR34" s="13"/>
      <c r="DS34" s="91"/>
      <c r="EE34" s="13"/>
      <c r="EF34" s="91"/>
      <c r="ER34" s="13"/>
      <c r="ES34" s="91"/>
      <c r="FE34" s="13"/>
      <c r="FF34" s="91"/>
      <c r="FR34" s="13"/>
    </row>
    <row r="35" spans="4:174" s="4" customFormat="1" ht="18.75" customHeight="1" x14ac:dyDescent="0.3">
      <c r="D35" s="92"/>
      <c r="E35" s="105" t="s">
        <v>53</v>
      </c>
      <c r="F35" s="94">
        <v>29.4</v>
      </c>
      <c r="G35" s="95">
        <v>22.4</v>
      </c>
      <c r="H35" s="95">
        <v>22.1</v>
      </c>
      <c r="I35" s="95">
        <v>24.44</v>
      </c>
      <c r="J35" s="95">
        <v>26.638999999999999</v>
      </c>
      <c r="K35" s="95">
        <v>26.69</v>
      </c>
      <c r="L35" s="95">
        <v>26.4</v>
      </c>
      <c r="M35" s="95">
        <v>29</v>
      </c>
      <c r="N35" s="95">
        <v>24</v>
      </c>
      <c r="O35" s="95">
        <f>SUM(O36:O54)</f>
        <v>0</v>
      </c>
      <c r="P35" s="95">
        <f>SUM(P36:P54)</f>
        <v>0</v>
      </c>
      <c r="Q35" s="95">
        <f>SUM(Q36:Q54)</f>
        <v>0</v>
      </c>
      <c r="R35" s="96">
        <f>SUM(R36:R54)</f>
        <v>0</v>
      </c>
      <c r="S35" s="94">
        <v>53.6</v>
      </c>
      <c r="T35" s="95">
        <v>48.65</v>
      </c>
      <c r="U35" s="95">
        <v>50.9</v>
      </c>
      <c r="V35" s="95">
        <v>56.6</v>
      </c>
      <c r="W35" s="95">
        <v>56</v>
      </c>
      <c r="X35" s="95">
        <v>64.8</v>
      </c>
      <c r="Y35" s="95">
        <v>61</v>
      </c>
      <c r="Z35" s="95">
        <v>59</v>
      </c>
      <c r="AA35" s="95">
        <v>61</v>
      </c>
      <c r="AB35" s="95">
        <f>SUM(AB36:AB54)</f>
        <v>0</v>
      </c>
      <c r="AC35" s="95">
        <f>SUM(AC36:AC54)</f>
        <v>0</v>
      </c>
      <c r="AD35" s="95">
        <f>SUM(AD36:AD54)</f>
        <v>0</v>
      </c>
      <c r="AE35" s="96">
        <f>SUM(AE36:AE54)</f>
        <v>0</v>
      </c>
      <c r="AF35" s="97">
        <v>7.6</v>
      </c>
      <c r="AG35" s="97">
        <v>7.3</v>
      </c>
      <c r="AH35" s="97">
        <v>9.1999999999999993</v>
      </c>
      <c r="AI35" s="97">
        <v>5.9</v>
      </c>
      <c r="AJ35" s="97">
        <v>7.1</v>
      </c>
      <c r="AK35" s="97">
        <v>7.2</v>
      </c>
      <c r="AL35" s="97">
        <v>5.24</v>
      </c>
      <c r="AM35" s="97">
        <v>5.8</v>
      </c>
      <c r="AN35" s="97">
        <v>6</v>
      </c>
      <c r="AO35" s="97">
        <f>SUM(AO36:AO54)</f>
        <v>0</v>
      </c>
      <c r="AP35" s="97">
        <f>SUM(AP36:AP54)</f>
        <v>0</v>
      </c>
      <c r="AQ35" s="97">
        <f>SUM(AQ36:AQ54)</f>
        <v>0</v>
      </c>
      <c r="AR35" s="97">
        <f>SUM(AR36:AR54)</f>
        <v>0</v>
      </c>
      <c r="AS35" s="99"/>
      <c r="AT35" s="97"/>
      <c r="AU35" s="97"/>
      <c r="AV35" s="97"/>
      <c r="AW35" s="97"/>
      <c r="AX35" s="97"/>
      <c r="AY35" s="97"/>
      <c r="AZ35" s="97"/>
      <c r="BA35" s="97"/>
      <c r="BB35" s="97"/>
      <c r="BC35" s="97"/>
      <c r="BD35" s="97"/>
      <c r="BE35" s="100"/>
      <c r="BF35" s="97"/>
      <c r="BG35" s="97"/>
      <c r="BH35" s="97"/>
      <c r="BI35" s="97"/>
      <c r="BJ35" s="97"/>
      <c r="BK35" s="97"/>
      <c r="BL35" s="97"/>
      <c r="BM35" s="97"/>
      <c r="BN35" s="97"/>
      <c r="BO35" s="97"/>
      <c r="BP35" s="97"/>
      <c r="BQ35" s="97"/>
      <c r="BR35" s="97"/>
      <c r="BS35" s="99"/>
      <c r="BT35" s="97"/>
      <c r="BU35" s="97"/>
      <c r="BV35" s="97"/>
      <c r="BW35" s="97"/>
      <c r="BX35" s="97"/>
      <c r="BY35" s="97"/>
      <c r="BZ35" s="97"/>
      <c r="CA35" s="97">
        <v>1.2</v>
      </c>
      <c r="CB35" s="97"/>
      <c r="CC35" s="97"/>
      <c r="CD35" s="97"/>
      <c r="CE35" s="100"/>
      <c r="DF35" s="101"/>
      <c r="DR35" s="102"/>
      <c r="DS35" s="108">
        <f t="shared" ref="DS35:ED35" si="13">SUM(DS36:DS55)</f>
        <v>88761</v>
      </c>
      <c r="DT35" s="108">
        <f t="shared" si="13"/>
        <v>88761</v>
      </c>
      <c r="DU35" s="108">
        <f t="shared" si="13"/>
        <v>78740</v>
      </c>
      <c r="DV35" s="108">
        <f t="shared" si="13"/>
        <v>78740</v>
      </c>
      <c r="DW35" s="108">
        <f t="shared" si="13"/>
        <v>84587</v>
      </c>
      <c r="DX35" s="108">
        <f t="shared" si="13"/>
        <v>81757</v>
      </c>
      <c r="DY35" s="108">
        <f t="shared" si="13"/>
        <v>72390</v>
      </c>
      <c r="DZ35" s="108">
        <f t="shared" si="13"/>
        <v>72035</v>
      </c>
      <c r="EA35" s="108">
        <f t="shared" si="13"/>
        <v>0</v>
      </c>
      <c r="EB35" s="108">
        <f t="shared" si="13"/>
        <v>0</v>
      </c>
      <c r="EC35" s="108">
        <f t="shared" si="13"/>
        <v>0</v>
      </c>
      <c r="ED35" s="108">
        <f t="shared" si="13"/>
        <v>0</v>
      </c>
      <c r="EE35" s="100"/>
      <c r="EF35" s="99"/>
      <c r="EG35" s="97"/>
      <c r="EH35" s="97"/>
      <c r="EI35" s="97"/>
      <c r="EJ35" s="97"/>
      <c r="EK35" s="97"/>
      <c r="EL35" s="97"/>
      <c r="EM35" s="97"/>
      <c r="EN35" s="97"/>
      <c r="EO35" s="97"/>
      <c r="EP35" s="97"/>
      <c r="EQ35" s="97"/>
      <c r="ER35" s="100"/>
      <c r="ES35" s="99"/>
      <c r="ET35" s="97"/>
      <c r="EU35" s="97"/>
      <c r="EV35" s="97"/>
      <c r="EW35" s="97"/>
      <c r="EX35" s="97"/>
      <c r="EY35" s="97"/>
      <c r="EZ35" s="97"/>
      <c r="FA35" s="97"/>
      <c r="FB35" s="97"/>
      <c r="FC35" s="97"/>
      <c r="FD35" s="97"/>
      <c r="FE35" s="100"/>
      <c r="FF35" s="99"/>
      <c r="FG35" s="97"/>
      <c r="FH35" s="97"/>
      <c r="FI35" s="97"/>
      <c r="FJ35" s="97"/>
      <c r="FK35" s="97"/>
      <c r="FL35" s="97"/>
      <c r="FM35" s="97"/>
      <c r="FN35" s="97"/>
      <c r="FO35" s="97"/>
      <c r="FP35" s="97"/>
      <c r="FQ35" s="97"/>
      <c r="FR35" s="100"/>
    </row>
    <row r="36" spans="4:174" x14ac:dyDescent="0.25">
      <c r="E36" s="2" t="s">
        <v>54</v>
      </c>
      <c r="F36" s="91"/>
      <c r="M36" s="103"/>
      <c r="N36" s="103"/>
      <c r="O36" s="103"/>
      <c r="P36" s="103"/>
      <c r="Q36" s="103"/>
      <c r="R36" s="104"/>
      <c r="S36" s="91"/>
      <c r="Z36" s="103"/>
      <c r="AA36" s="103"/>
      <c r="AB36" s="103"/>
      <c r="AC36" s="103"/>
      <c r="AD36" s="103"/>
      <c r="AE36" s="104"/>
      <c r="AS36" s="91"/>
      <c r="BE36" s="13"/>
      <c r="BS36" s="91"/>
      <c r="CE36" s="13"/>
      <c r="DF36" s="91"/>
      <c r="DR36" s="13"/>
      <c r="DS36" s="20">
        <v>88761</v>
      </c>
      <c r="DT36" s="21">
        <v>88761</v>
      </c>
      <c r="DU36" s="21">
        <v>78740</v>
      </c>
      <c r="DV36" s="21">
        <v>78740</v>
      </c>
      <c r="DW36" s="21">
        <v>84587</v>
      </c>
      <c r="DX36" s="21">
        <v>81757</v>
      </c>
      <c r="DY36" s="21">
        <v>72390</v>
      </c>
      <c r="DZ36" s="21">
        <v>72035</v>
      </c>
      <c r="EA36" s="21"/>
      <c r="EB36" s="21"/>
      <c r="EC36" s="21"/>
      <c r="ED36" s="21"/>
      <c r="EE36" s="21"/>
      <c r="EF36" s="20"/>
      <c r="EG36" s="21"/>
      <c r="EH36" s="21"/>
      <c r="EI36" s="21"/>
      <c r="EJ36" s="21"/>
      <c r="EK36" s="21"/>
      <c r="ER36" s="13"/>
      <c r="ES36" s="20"/>
      <c r="ET36" s="21"/>
      <c r="EU36" s="21"/>
      <c r="EV36" s="21"/>
      <c r="EW36" s="21"/>
      <c r="EX36" s="21"/>
      <c r="FE36" s="13"/>
      <c r="FF36" s="20"/>
      <c r="FG36" s="21"/>
      <c r="FH36" s="21"/>
      <c r="FI36" s="21"/>
      <c r="FJ36" s="21"/>
      <c r="FK36" s="21"/>
      <c r="FR36" s="13"/>
    </row>
    <row r="37" spans="4:174" x14ac:dyDescent="0.25">
      <c r="F37" s="91"/>
      <c r="M37" s="103"/>
      <c r="N37" s="103"/>
      <c r="O37" s="103"/>
      <c r="P37" s="103"/>
      <c r="Q37" s="103"/>
      <c r="R37" s="104"/>
      <c r="S37" s="91"/>
      <c r="Z37" s="103"/>
      <c r="AA37" s="103"/>
      <c r="AB37" s="103"/>
      <c r="AC37" s="103"/>
      <c r="AD37" s="103"/>
      <c r="AE37" s="104"/>
      <c r="AS37" s="91"/>
      <c r="BE37" s="13"/>
      <c r="BS37" s="91"/>
      <c r="CE37" s="13"/>
      <c r="DF37" s="91"/>
      <c r="DR37" s="13"/>
      <c r="DS37" s="20"/>
      <c r="DT37" s="21"/>
      <c r="DU37" s="21"/>
      <c r="DV37" s="21"/>
      <c r="DW37" s="21"/>
      <c r="DX37" s="21"/>
      <c r="DY37" s="21"/>
      <c r="EE37" s="13"/>
      <c r="EF37" s="20"/>
      <c r="EG37" s="21"/>
      <c r="EH37" s="21"/>
      <c r="EI37" s="21"/>
      <c r="EJ37" s="21"/>
      <c r="EK37" s="21"/>
      <c r="ER37" s="13"/>
      <c r="ES37" s="20"/>
      <c r="ET37" s="21"/>
      <c r="EU37" s="21"/>
      <c r="EV37" s="21"/>
      <c r="EW37" s="21"/>
      <c r="EX37" s="21"/>
      <c r="FE37" s="13"/>
      <c r="FF37" s="20"/>
      <c r="FG37" s="21"/>
      <c r="FH37" s="21"/>
      <c r="FI37" s="21"/>
      <c r="FJ37" s="21"/>
      <c r="FK37" s="21"/>
      <c r="FR37" s="13"/>
    </row>
    <row r="38" spans="4:174" x14ac:dyDescent="0.25">
      <c r="F38" s="91"/>
      <c r="M38" s="103"/>
      <c r="N38" s="103"/>
      <c r="O38" s="103"/>
      <c r="P38" s="103"/>
      <c r="Q38" s="103"/>
      <c r="R38" s="104"/>
      <c r="S38" s="91"/>
      <c r="Z38" s="103"/>
      <c r="AA38" s="103"/>
      <c r="AB38" s="103"/>
      <c r="AC38" s="103"/>
      <c r="AD38" s="103"/>
      <c r="AE38" s="104"/>
      <c r="AS38" s="91"/>
      <c r="BE38" s="13"/>
      <c r="BS38" s="91"/>
      <c r="CE38" s="13"/>
      <c r="DF38" s="91"/>
      <c r="DR38" s="13"/>
      <c r="DS38" s="20"/>
      <c r="DT38" s="21"/>
      <c r="DU38" s="21"/>
      <c r="DV38" s="21"/>
      <c r="DW38" s="21"/>
      <c r="DX38" s="21"/>
      <c r="DY38" s="21"/>
      <c r="EE38" s="13"/>
      <c r="EF38" s="20"/>
      <c r="EG38" s="21"/>
      <c r="EH38" s="21"/>
      <c r="EI38" s="21"/>
      <c r="EJ38" s="21"/>
      <c r="EK38" s="21"/>
      <c r="ER38" s="13"/>
      <c r="ES38" s="20"/>
      <c r="ET38" s="21"/>
      <c r="EU38" s="21"/>
      <c r="EV38" s="21"/>
      <c r="EW38" s="21"/>
      <c r="EX38" s="21"/>
      <c r="FE38" s="13"/>
      <c r="FF38" s="20"/>
      <c r="FG38" s="21"/>
      <c r="FH38" s="21"/>
      <c r="FI38" s="21"/>
      <c r="FJ38" s="21"/>
      <c r="FK38" s="21"/>
      <c r="FR38" s="13"/>
    </row>
    <row r="39" spans="4:174" x14ac:dyDescent="0.25">
      <c r="F39" s="91"/>
      <c r="M39" s="103"/>
      <c r="N39" s="103"/>
      <c r="O39" s="103"/>
      <c r="P39" s="103"/>
      <c r="Q39" s="103"/>
      <c r="R39" s="104"/>
      <c r="S39" s="91"/>
      <c r="Z39" s="103"/>
      <c r="AA39" s="103"/>
      <c r="AB39" s="103"/>
      <c r="AC39" s="103"/>
      <c r="AD39" s="103"/>
      <c r="AE39" s="104"/>
      <c r="AS39" s="91"/>
      <c r="BE39" s="13"/>
      <c r="BS39" s="91"/>
      <c r="CE39" s="13"/>
      <c r="DF39" s="91"/>
      <c r="DR39" s="13"/>
      <c r="DS39" s="20"/>
      <c r="DT39" s="21"/>
      <c r="DU39" s="21"/>
      <c r="DV39" s="21"/>
      <c r="DW39" s="21"/>
      <c r="DX39" s="21"/>
      <c r="DY39" s="21"/>
      <c r="EE39" s="13"/>
      <c r="EF39" s="20"/>
      <c r="EG39" s="21"/>
      <c r="EH39" s="21"/>
      <c r="EI39" s="21"/>
      <c r="EJ39" s="21"/>
      <c r="EK39" s="21"/>
      <c r="ER39" s="13"/>
      <c r="ES39" s="20"/>
      <c r="ET39" s="21"/>
      <c r="EU39" s="21"/>
      <c r="EV39" s="21"/>
      <c r="EW39" s="21"/>
      <c r="EX39" s="21"/>
      <c r="FE39" s="13"/>
      <c r="FF39" s="20"/>
      <c r="FG39" s="21"/>
      <c r="FH39" s="21"/>
      <c r="FI39" s="21"/>
      <c r="FJ39" s="21"/>
      <c r="FK39" s="21"/>
      <c r="FR39" s="13"/>
    </row>
    <row r="40" spans="4:174" x14ac:dyDescent="0.25">
      <c r="F40" s="91"/>
      <c r="M40" s="103"/>
      <c r="N40" s="103"/>
      <c r="O40" s="103"/>
      <c r="P40" s="103"/>
      <c r="Q40" s="103"/>
      <c r="R40" s="104"/>
      <c r="S40" s="91"/>
      <c r="Z40" s="103"/>
      <c r="AA40" s="103"/>
      <c r="AB40" s="103"/>
      <c r="AC40" s="103"/>
      <c r="AD40" s="103"/>
      <c r="AE40" s="104"/>
      <c r="AS40" s="91"/>
      <c r="BE40" s="13"/>
      <c r="BS40" s="91"/>
      <c r="CE40" s="13"/>
      <c r="DF40" s="91"/>
      <c r="DR40" s="13"/>
      <c r="DS40" s="20"/>
      <c r="DT40" s="21"/>
      <c r="DU40" s="21"/>
      <c r="DV40" s="21"/>
      <c r="DW40" s="21"/>
      <c r="DX40" s="21"/>
      <c r="DY40" s="21"/>
      <c r="EE40" s="13"/>
      <c r="EF40" s="20"/>
      <c r="EG40" s="21"/>
      <c r="EH40" s="21"/>
      <c r="EI40" s="21"/>
      <c r="EJ40" s="21"/>
      <c r="EK40" s="21"/>
      <c r="ER40" s="13"/>
      <c r="ES40" s="20"/>
      <c r="ET40" s="21"/>
      <c r="EU40" s="21"/>
      <c r="EV40" s="21"/>
      <c r="EW40" s="21"/>
      <c r="EX40" s="21"/>
      <c r="FE40" s="13"/>
      <c r="FF40" s="20"/>
      <c r="FG40" s="21"/>
      <c r="FH40" s="21"/>
      <c r="FI40" s="21"/>
      <c r="FJ40" s="21"/>
      <c r="FK40" s="21"/>
      <c r="FR40" s="13"/>
    </row>
    <row r="41" spans="4:174" x14ac:dyDescent="0.25">
      <c r="F41" s="91"/>
      <c r="M41" s="103"/>
      <c r="N41" s="103"/>
      <c r="O41" s="103"/>
      <c r="P41" s="103"/>
      <c r="Q41" s="103"/>
      <c r="R41" s="104"/>
      <c r="S41" s="91"/>
      <c r="Z41" s="103"/>
      <c r="AA41" s="103"/>
      <c r="AB41" s="103"/>
      <c r="AC41" s="103"/>
      <c r="AD41" s="103"/>
      <c r="AE41" s="104"/>
      <c r="AS41" s="91"/>
      <c r="BE41" s="13"/>
      <c r="BS41" s="91"/>
      <c r="CE41" s="13"/>
      <c r="DF41" s="91"/>
      <c r="DR41" s="13"/>
      <c r="DS41" s="20"/>
      <c r="DT41" s="21"/>
      <c r="DU41" s="21"/>
      <c r="DV41" s="21"/>
      <c r="DW41" s="21"/>
      <c r="DX41" s="21"/>
      <c r="DY41" s="21"/>
      <c r="EE41" s="13"/>
      <c r="EF41" s="20"/>
      <c r="EG41" s="21"/>
      <c r="EH41" s="21"/>
      <c r="EI41" s="21"/>
      <c r="EJ41" s="21"/>
      <c r="EK41" s="21"/>
      <c r="ER41" s="13"/>
      <c r="ES41" s="20"/>
      <c r="ET41" s="21"/>
      <c r="EU41" s="21"/>
      <c r="EV41" s="21"/>
      <c r="EW41" s="21"/>
      <c r="EX41" s="21"/>
      <c r="FE41" s="13"/>
      <c r="FF41" s="20"/>
      <c r="FG41" s="21"/>
      <c r="FH41" s="21"/>
      <c r="FI41" s="21"/>
      <c r="FJ41" s="21"/>
      <c r="FK41" s="21"/>
      <c r="FR41" s="13"/>
    </row>
    <row r="42" spans="4:174" x14ac:dyDescent="0.25">
      <c r="F42" s="91"/>
      <c r="M42" s="103"/>
      <c r="N42" s="103"/>
      <c r="O42" s="103"/>
      <c r="P42" s="103"/>
      <c r="Q42" s="103"/>
      <c r="R42" s="104"/>
      <c r="S42" s="91"/>
      <c r="Z42" s="103"/>
      <c r="AA42" s="103"/>
      <c r="AB42" s="103"/>
      <c r="AC42" s="103"/>
      <c r="AD42" s="103"/>
      <c r="AE42" s="104"/>
      <c r="AS42" s="91"/>
      <c r="BE42" s="13"/>
      <c r="BS42" s="91"/>
      <c r="CE42" s="13"/>
      <c r="DF42" s="91"/>
      <c r="DR42" s="13"/>
      <c r="DS42" s="20"/>
      <c r="DT42" s="21"/>
      <c r="DU42" s="21"/>
      <c r="DV42" s="21"/>
      <c r="DW42" s="21"/>
      <c r="DX42" s="21"/>
      <c r="DY42" s="21"/>
      <c r="EE42" s="13"/>
      <c r="EF42" s="20"/>
      <c r="EG42" s="21"/>
      <c r="EH42" s="21"/>
      <c r="EI42" s="21"/>
      <c r="EJ42" s="21"/>
      <c r="EK42" s="21"/>
      <c r="ER42" s="13"/>
      <c r="ES42" s="20"/>
      <c r="ET42" s="21"/>
      <c r="EU42" s="21"/>
      <c r="EV42" s="21"/>
      <c r="EW42" s="21"/>
      <c r="EX42" s="21"/>
      <c r="FE42" s="13"/>
      <c r="FF42" s="20"/>
      <c r="FG42" s="21"/>
      <c r="FH42" s="21"/>
      <c r="FI42" s="21"/>
      <c r="FJ42" s="21"/>
      <c r="FK42" s="21"/>
      <c r="FR42" s="13"/>
    </row>
    <row r="43" spans="4:174" x14ac:dyDescent="0.25">
      <c r="F43" s="91"/>
      <c r="M43" s="103"/>
      <c r="N43" s="103"/>
      <c r="O43" s="103"/>
      <c r="P43" s="103"/>
      <c r="Q43" s="103"/>
      <c r="R43" s="104"/>
      <c r="S43" s="91"/>
      <c r="Z43" s="103"/>
      <c r="AA43" s="103"/>
      <c r="AB43" s="103"/>
      <c r="AC43" s="103"/>
      <c r="AD43" s="103"/>
      <c r="AE43" s="104"/>
      <c r="AS43" s="91"/>
      <c r="BE43" s="13"/>
      <c r="BS43" s="91"/>
      <c r="CE43" s="13"/>
      <c r="DF43" s="91"/>
      <c r="DR43" s="13"/>
      <c r="DS43" s="20"/>
      <c r="DT43" s="21"/>
      <c r="DU43" s="21"/>
      <c r="DV43" s="21"/>
      <c r="DW43" s="21"/>
      <c r="DX43" s="21"/>
      <c r="DY43" s="21"/>
      <c r="EE43" s="13"/>
      <c r="EF43" s="20"/>
      <c r="EG43" s="21"/>
      <c r="EH43" s="21"/>
      <c r="EI43" s="21"/>
      <c r="EJ43" s="21"/>
      <c r="EK43" s="21"/>
      <c r="ER43" s="13"/>
      <c r="ES43" s="20"/>
      <c r="ET43" s="21"/>
      <c r="EU43" s="21"/>
      <c r="EV43" s="21"/>
      <c r="EW43" s="21"/>
      <c r="EX43" s="21"/>
      <c r="FE43" s="13"/>
      <c r="FF43" s="20"/>
      <c r="FG43" s="21"/>
      <c r="FH43" s="21"/>
      <c r="FI43" s="21"/>
      <c r="FJ43" s="21"/>
      <c r="FK43" s="21"/>
      <c r="FR43" s="13"/>
    </row>
    <row r="44" spans="4:174" x14ac:dyDescent="0.25">
      <c r="F44" s="91"/>
      <c r="M44" s="103"/>
      <c r="N44" s="103"/>
      <c r="O44" s="103"/>
      <c r="P44" s="103"/>
      <c r="Q44" s="103"/>
      <c r="R44" s="104"/>
      <c r="S44" s="91"/>
      <c r="Z44" s="103"/>
      <c r="AA44" s="103"/>
      <c r="AB44" s="103"/>
      <c r="AC44" s="103"/>
      <c r="AD44" s="103"/>
      <c r="AE44" s="104"/>
      <c r="AS44" s="91"/>
      <c r="BE44" s="13"/>
      <c r="BS44" s="91"/>
      <c r="CE44" s="13"/>
      <c r="DF44" s="91"/>
      <c r="DR44" s="13"/>
      <c r="DS44" s="20"/>
      <c r="DT44" s="21"/>
      <c r="DU44" s="21"/>
      <c r="DV44" s="21"/>
      <c r="DW44" s="21"/>
      <c r="DX44" s="21"/>
      <c r="DY44" s="21"/>
      <c r="EE44" s="13"/>
      <c r="EF44" s="20"/>
      <c r="EG44" s="21"/>
      <c r="EH44" s="21"/>
      <c r="EI44" s="21"/>
      <c r="EJ44" s="21"/>
      <c r="EK44" s="21"/>
      <c r="ER44" s="13"/>
      <c r="ES44" s="20"/>
      <c r="ET44" s="21"/>
      <c r="EU44" s="21"/>
      <c r="EV44" s="21"/>
      <c r="EW44" s="21"/>
      <c r="EX44" s="21"/>
      <c r="FE44" s="13"/>
      <c r="FF44" s="20"/>
      <c r="FG44" s="21"/>
      <c r="FH44" s="21"/>
      <c r="FI44" s="21"/>
      <c r="FJ44" s="21"/>
      <c r="FK44" s="21"/>
      <c r="FR44" s="13"/>
    </row>
    <row r="45" spans="4:174" x14ac:dyDescent="0.25">
      <c r="F45" s="91"/>
      <c r="M45" s="103"/>
      <c r="N45" s="103"/>
      <c r="O45" s="103"/>
      <c r="P45" s="103"/>
      <c r="Q45" s="103"/>
      <c r="R45" s="104"/>
      <c r="S45" s="91"/>
      <c r="Z45" s="103"/>
      <c r="AA45" s="103"/>
      <c r="AB45" s="103"/>
      <c r="AC45" s="103"/>
      <c r="AD45" s="103"/>
      <c r="AE45" s="104"/>
      <c r="AS45" s="91"/>
      <c r="BE45" s="13"/>
      <c r="BS45" s="91"/>
      <c r="CE45" s="13"/>
      <c r="DF45" s="91"/>
      <c r="DR45" s="13"/>
      <c r="DS45" s="20"/>
      <c r="DT45" s="21"/>
      <c r="DU45" s="21"/>
      <c r="DV45" s="21"/>
      <c r="DW45" s="21"/>
      <c r="DX45" s="21"/>
      <c r="DY45" s="21"/>
      <c r="EE45" s="13"/>
      <c r="EF45" s="20"/>
      <c r="EG45" s="21"/>
      <c r="EH45" s="21"/>
      <c r="EI45" s="21"/>
      <c r="EJ45" s="21"/>
      <c r="EK45" s="21"/>
      <c r="ER45" s="13"/>
      <c r="ES45" s="20"/>
      <c r="ET45" s="21"/>
      <c r="EU45" s="21"/>
      <c r="EV45" s="21"/>
      <c r="EW45" s="21"/>
      <c r="EX45" s="21"/>
      <c r="FE45" s="13"/>
      <c r="FF45" s="20"/>
      <c r="FG45" s="21"/>
      <c r="FH45" s="21"/>
      <c r="FI45" s="21"/>
      <c r="FJ45" s="21"/>
      <c r="FK45" s="21"/>
      <c r="FR45" s="13"/>
    </row>
    <row r="46" spans="4:174" x14ac:dyDescent="0.25">
      <c r="F46" s="91"/>
      <c r="M46" s="103"/>
      <c r="N46" s="103"/>
      <c r="O46" s="103"/>
      <c r="P46" s="103"/>
      <c r="Q46" s="103"/>
      <c r="R46" s="104"/>
      <c r="S46" s="91"/>
      <c r="Z46" s="103"/>
      <c r="AA46" s="103"/>
      <c r="AB46" s="103"/>
      <c r="AC46" s="103"/>
      <c r="AD46" s="103"/>
      <c r="AE46" s="104"/>
      <c r="AS46" s="91"/>
      <c r="BE46" s="13"/>
      <c r="BS46" s="91"/>
      <c r="CE46" s="13"/>
      <c r="DF46" s="91"/>
      <c r="DR46" s="13"/>
      <c r="DS46" s="20"/>
      <c r="DT46" s="21"/>
      <c r="DU46" s="21"/>
      <c r="DV46" s="21"/>
      <c r="DW46" s="21"/>
      <c r="DX46" s="21"/>
      <c r="DY46" s="21"/>
      <c r="EE46" s="13"/>
      <c r="EF46" s="20"/>
      <c r="EG46" s="21"/>
      <c r="EH46" s="21"/>
      <c r="EI46" s="21"/>
      <c r="EJ46" s="21"/>
      <c r="EK46" s="21"/>
      <c r="ER46" s="13"/>
      <c r="ES46" s="20"/>
      <c r="ET46" s="21"/>
      <c r="EU46" s="21"/>
      <c r="EV46" s="21"/>
      <c r="EW46" s="21"/>
      <c r="EX46" s="21"/>
      <c r="FE46" s="13"/>
      <c r="FF46" s="20"/>
      <c r="FG46" s="21"/>
      <c r="FH46" s="21"/>
      <c r="FI46" s="21"/>
      <c r="FJ46" s="21"/>
      <c r="FK46" s="21"/>
      <c r="FR46" s="13"/>
    </row>
    <row r="47" spans="4:174" x14ac:dyDescent="0.25">
      <c r="F47" s="91"/>
      <c r="M47" s="103"/>
      <c r="N47" s="103"/>
      <c r="O47" s="103"/>
      <c r="P47" s="103"/>
      <c r="Q47" s="103"/>
      <c r="R47" s="104"/>
      <c r="S47" s="91"/>
      <c r="Z47" s="103"/>
      <c r="AA47" s="103"/>
      <c r="AB47" s="103"/>
      <c r="AC47" s="103"/>
      <c r="AD47" s="103"/>
      <c r="AE47" s="104"/>
      <c r="AS47" s="91"/>
      <c r="BE47" s="13"/>
      <c r="BS47" s="91"/>
      <c r="CE47" s="13"/>
      <c r="DF47" s="91"/>
      <c r="DR47" s="13"/>
      <c r="DS47" s="20"/>
      <c r="DT47" s="21"/>
      <c r="DU47" s="21"/>
      <c r="DV47" s="21"/>
      <c r="DW47" s="21"/>
      <c r="DX47" s="21"/>
      <c r="DY47" s="21"/>
      <c r="EE47" s="13"/>
      <c r="EF47" s="20"/>
      <c r="EG47" s="21"/>
      <c r="EH47" s="21"/>
      <c r="EI47" s="21"/>
      <c r="EJ47" s="21"/>
      <c r="EK47" s="21"/>
      <c r="ER47" s="13"/>
      <c r="ES47" s="20"/>
      <c r="ET47" s="21"/>
      <c r="EU47" s="21"/>
      <c r="EV47" s="21"/>
      <c r="EW47" s="21"/>
      <c r="EX47" s="21"/>
      <c r="FE47" s="13"/>
      <c r="FF47" s="20"/>
      <c r="FG47" s="21"/>
      <c r="FH47" s="21"/>
      <c r="FI47" s="21"/>
      <c r="FJ47" s="21"/>
      <c r="FK47" s="21"/>
      <c r="FR47" s="13"/>
    </row>
    <row r="48" spans="4:174" ht="15.6" x14ac:dyDescent="0.3">
      <c r="F48" s="91"/>
      <c r="M48" s="103"/>
      <c r="N48" s="103"/>
      <c r="O48" s="103"/>
      <c r="P48" s="103"/>
      <c r="Q48" s="103"/>
      <c r="R48" s="104"/>
      <c r="S48" s="91"/>
      <c r="Z48" s="103"/>
      <c r="AA48" s="103"/>
      <c r="AB48" s="103"/>
      <c r="AC48" s="103"/>
      <c r="AD48" s="103"/>
      <c r="AE48" s="104"/>
      <c r="AS48" s="91"/>
      <c r="BE48" s="13"/>
      <c r="BS48" s="91"/>
      <c r="CE48" s="13"/>
      <c r="DF48" s="91"/>
      <c r="DR48" s="13"/>
      <c r="DS48" s="20"/>
      <c r="DT48" s="21"/>
      <c r="DU48" s="21"/>
      <c r="DV48" s="21"/>
      <c r="DW48" s="21"/>
      <c r="DX48" s="21"/>
      <c r="DY48" s="21"/>
      <c r="EE48" s="13"/>
      <c r="EF48" s="20"/>
      <c r="EG48" s="21"/>
      <c r="EH48" s="21"/>
      <c r="EI48" s="21"/>
      <c r="EJ48" s="21"/>
      <c r="EK48" s="21"/>
      <c r="ER48" s="13"/>
      <c r="ES48" s="20"/>
      <c r="ET48" s="21"/>
      <c r="EU48" s="21"/>
      <c r="EV48" s="21"/>
      <c r="EW48" s="21"/>
      <c r="EX48" s="21"/>
      <c r="FE48" s="13"/>
      <c r="FF48" s="20"/>
      <c r="FG48" s="21"/>
      <c r="FH48" s="21"/>
      <c r="FI48" s="21"/>
      <c r="FJ48" s="21"/>
      <c r="FK48" s="21"/>
      <c r="FR48" s="13"/>
    </row>
    <row r="49" spans="1:174" ht="15.6" x14ac:dyDescent="0.3">
      <c r="F49" s="91"/>
      <c r="M49" s="103"/>
      <c r="N49" s="103"/>
      <c r="O49" s="103"/>
      <c r="P49" s="103"/>
      <c r="Q49" s="103"/>
      <c r="R49" s="104"/>
      <c r="S49" s="91"/>
      <c r="Z49" s="103"/>
      <c r="AA49" s="103"/>
      <c r="AB49" s="103"/>
      <c r="AC49" s="103"/>
      <c r="AD49" s="103"/>
      <c r="AE49" s="104"/>
      <c r="AS49" s="91"/>
      <c r="BE49" s="13"/>
      <c r="BS49" s="91"/>
      <c r="CE49" s="13"/>
      <c r="DF49" s="91"/>
      <c r="DR49" s="13"/>
      <c r="DS49" s="20"/>
      <c r="DT49" s="21"/>
      <c r="DU49" s="21"/>
      <c r="DV49" s="21"/>
      <c r="DW49" s="21"/>
      <c r="DX49" s="21"/>
      <c r="DY49" s="21"/>
      <c r="EE49" s="13"/>
      <c r="EF49" s="20"/>
      <c r="EG49" s="21"/>
      <c r="EH49" s="21"/>
      <c r="EI49" s="21"/>
      <c r="EJ49" s="21"/>
      <c r="EK49" s="21"/>
      <c r="ER49" s="13"/>
      <c r="ES49" s="20"/>
      <c r="ET49" s="21"/>
      <c r="EU49" s="21"/>
      <c r="EV49" s="21"/>
      <c r="EW49" s="21"/>
      <c r="EX49" s="21"/>
      <c r="FE49" s="13"/>
      <c r="FF49" s="20"/>
      <c r="FG49" s="21"/>
      <c r="FH49" s="21"/>
      <c r="FI49" s="21"/>
      <c r="FJ49" s="21"/>
      <c r="FK49" s="21"/>
      <c r="FR49" s="13"/>
    </row>
    <row r="50" spans="1:174" ht="15.6" x14ac:dyDescent="0.3">
      <c r="F50" s="91"/>
      <c r="M50" s="103"/>
      <c r="N50" s="103"/>
      <c r="O50" s="103"/>
      <c r="P50" s="103"/>
      <c r="Q50" s="103"/>
      <c r="R50" s="104"/>
      <c r="S50" s="91"/>
      <c r="Z50" s="103"/>
      <c r="AA50" s="103"/>
      <c r="AB50" s="103"/>
      <c r="AC50" s="103"/>
      <c r="AD50" s="103"/>
      <c r="AE50" s="104"/>
      <c r="AS50" s="91"/>
      <c r="BE50" s="13"/>
      <c r="BS50" s="91"/>
      <c r="CE50" s="13"/>
      <c r="DF50" s="91"/>
      <c r="DR50" s="13"/>
      <c r="DS50" s="20"/>
      <c r="DT50" s="21"/>
      <c r="DU50" s="21"/>
      <c r="DV50" s="21"/>
      <c r="DW50" s="21"/>
      <c r="DX50" s="21"/>
      <c r="DY50" s="21"/>
      <c r="EE50" s="13"/>
      <c r="EF50" s="20"/>
      <c r="EG50" s="21"/>
      <c r="EH50" s="21"/>
      <c r="EI50" s="21"/>
      <c r="EJ50" s="21"/>
      <c r="EK50" s="21"/>
      <c r="ER50" s="13"/>
      <c r="ES50" s="20"/>
      <c r="ET50" s="21"/>
      <c r="EU50" s="21"/>
      <c r="EV50" s="21"/>
      <c r="EW50" s="21"/>
      <c r="EX50" s="21"/>
      <c r="FE50" s="13"/>
      <c r="FF50" s="20"/>
      <c r="FG50" s="21"/>
      <c r="FH50" s="21"/>
      <c r="FI50" s="21"/>
      <c r="FJ50" s="21"/>
      <c r="FK50" s="21"/>
      <c r="FR50" s="13"/>
    </row>
    <row r="51" spans="1:174" ht="15.6" x14ac:dyDescent="0.3">
      <c r="F51" s="91"/>
      <c r="M51" s="103"/>
      <c r="N51" s="103"/>
      <c r="O51" s="103"/>
      <c r="P51" s="103"/>
      <c r="Q51" s="103"/>
      <c r="R51" s="104"/>
      <c r="S51" s="91"/>
      <c r="Z51" s="103"/>
      <c r="AA51" s="103"/>
      <c r="AB51" s="103"/>
      <c r="AC51" s="103"/>
      <c r="AD51" s="103"/>
      <c r="AE51" s="104"/>
      <c r="AS51" s="91"/>
      <c r="BE51" s="13"/>
      <c r="BS51" s="91"/>
      <c r="CE51" s="13"/>
      <c r="DF51" s="91"/>
      <c r="DR51" s="13"/>
      <c r="DS51" s="20"/>
      <c r="DT51" s="21"/>
      <c r="DU51" s="21"/>
      <c r="DV51" s="21"/>
      <c r="DW51" s="21"/>
      <c r="DX51" s="21"/>
      <c r="DY51" s="21"/>
      <c r="EE51" s="13"/>
      <c r="EF51" s="20"/>
      <c r="EG51" s="21"/>
      <c r="EH51" s="21"/>
      <c r="EI51" s="21"/>
      <c r="EJ51" s="21"/>
      <c r="EK51" s="21"/>
      <c r="ER51" s="13"/>
      <c r="ES51" s="20"/>
      <c r="ET51" s="21"/>
      <c r="EU51" s="21"/>
      <c r="EV51" s="21"/>
      <c r="EW51" s="21"/>
      <c r="EX51" s="21"/>
      <c r="FE51" s="13"/>
      <c r="FF51" s="20"/>
      <c r="FG51" s="21"/>
      <c r="FH51" s="21"/>
      <c r="FI51" s="21"/>
      <c r="FJ51" s="21"/>
      <c r="FK51" s="21"/>
      <c r="FR51" s="13"/>
    </row>
    <row r="52" spans="1:174" ht="15.6" x14ac:dyDescent="0.3">
      <c r="F52" s="91"/>
      <c r="M52" s="103"/>
      <c r="N52" s="103"/>
      <c r="O52" s="103"/>
      <c r="P52" s="103"/>
      <c r="Q52" s="103"/>
      <c r="R52" s="104"/>
      <c r="S52" s="91"/>
      <c r="Z52" s="103"/>
      <c r="AA52" s="103"/>
      <c r="AB52" s="103"/>
      <c r="AC52" s="103"/>
      <c r="AD52" s="103"/>
      <c r="AE52" s="104"/>
      <c r="AS52" s="91"/>
      <c r="BE52" s="13"/>
      <c r="BS52" s="91"/>
      <c r="CE52" s="13"/>
      <c r="DF52" s="91"/>
      <c r="DR52" s="13"/>
      <c r="DS52" s="20"/>
      <c r="DT52" s="21"/>
      <c r="DU52" s="21"/>
      <c r="DV52" s="21"/>
      <c r="DW52" s="21"/>
      <c r="DX52" s="21"/>
      <c r="DY52" s="21"/>
      <c r="EE52" s="13"/>
      <c r="EF52" s="20"/>
      <c r="EG52" s="21"/>
      <c r="EH52" s="21"/>
      <c r="EI52" s="21"/>
      <c r="EJ52" s="21"/>
      <c r="EK52" s="21"/>
      <c r="ER52" s="13"/>
      <c r="ES52" s="20"/>
      <c r="ET52" s="21"/>
      <c r="EU52" s="21"/>
      <c r="EV52" s="21"/>
      <c r="EW52" s="21"/>
      <c r="EX52" s="21"/>
      <c r="FE52" s="13"/>
      <c r="FF52" s="20"/>
      <c r="FG52" s="21"/>
      <c r="FH52" s="21"/>
      <c r="FI52" s="21"/>
      <c r="FJ52" s="21"/>
      <c r="FK52" s="21"/>
      <c r="FR52" s="13"/>
    </row>
    <row r="53" spans="1:174" ht="15.6" x14ac:dyDescent="0.3">
      <c r="F53" s="91"/>
      <c r="M53" s="103"/>
      <c r="N53" s="103"/>
      <c r="O53" s="103"/>
      <c r="P53" s="103"/>
      <c r="Q53" s="103"/>
      <c r="R53" s="104"/>
      <c r="S53" s="91"/>
      <c r="Z53" s="103"/>
      <c r="AA53" s="103"/>
      <c r="AB53" s="103"/>
      <c r="AC53" s="103"/>
      <c r="AD53" s="103"/>
      <c r="AE53" s="104"/>
      <c r="AS53" s="91"/>
      <c r="BE53" s="13"/>
      <c r="BS53" s="91"/>
      <c r="CE53" s="13"/>
      <c r="DF53" s="91"/>
      <c r="DR53" s="13"/>
      <c r="DS53" s="20"/>
      <c r="DT53" s="21"/>
      <c r="DU53" s="21"/>
      <c r="DV53" s="21"/>
      <c r="DW53" s="21"/>
      <c r="DX53" s="21"/>
      <c r="DY53" s="21"/>
      <c r="EE53" s="13"/>
      <c r="EF53" s="20"/>
      <c r="EG53" s="21"/>
      <c r="EH53" s="21"/>
      <c r="EI53" s="21"/>
      <c r="EJ53" s="21"/>
      <c r="EK53" s="21"/>
      <c r="ER53" s="13"/>
      <c r="ES53" s="20"/>
      <c r="ET53" s="21"/>
      <c r="EU53" s="21"/>
      <c r="EV53" s="21"/>
      <c r="EW53" s="21"/>
      <c r="EX53" s="21"/>
      <c r="FE53" s="13"/>
      <c r="FF53" s="20"/>
      <c r="FG53" s="21"/>
      <c r="FH53" s="21"/>
      <c r="FI53" s="21"/>
      <c r="FJ53" s="21"/>
      <c r="FK53" s="21"/>
      <c r="FR53" s="13"/>
    </row>
    <row r="54" spans="1:174" ht="15.6" x14ac:dyDescent="0.3">
      <c r="F54" s="91"/>
      <c r="M54" s="103"/>
      <c r="N54" s="103"/>
      <c r="O54" s="103"/>
      <c r="P54" s="103"/>
      <c r="Q54" s="103"/>
      <c r="R54" s="104"/>
      <c r="S54" s="91"/>
      <c r="Z54" s="103"/>
      <c r="AA54" s="103"/>
      <c r="AB54" s="103"/>
      <c r="AC54" s="103"/>
      <c r="AD54" s="103"/>
      <c r="AE54" s="104"/>
      <c r="AS54" s="91"/>
      <c r="BE54" s="13"/>
      <c r="BS54" s="91"/>
      <c r="CE54" s="13"/>
      <c r="DF54" s="91"/>
      <c r="DR54" s="13"/>
      <c r="DS54" s="20"/>
      <c r="DT54" s="21"/>
      <c r="DU54" s="21"/>
      <c r="DV54" s="21"/>
      <c r="DW54" s="21"/>
      <c r="DX54" s="21"/>
      <c r="DY54" s="21"/>
      <c r="EE54" s="13"/>
      <c r="EF54" s="20"/>
      <c r="EG54" s="21"/>
      <c r="EH54" s="21"/>
      <c r="EI54" s="21"/>
      <c r="EJ54" s="21"/>
      <c r="EK54" s="21"/>
      <c r="ER54" s="13"/>
      <c r="ES54" s="20"/>
      <c r="ET54" s="21"/>
      <c r="EU54" s="21"/>
      <c r="EV54" s="21"/>
      <c r="EW54" s="21"/>
      <c r="EX54" s="21"/>
      <c r="FE54" s="13"/>
      <c r="FF54" s="20"/>
      <c r="FG54" s="21"/>
      <c r="FH54" s="21"/>
      <c r="FI54" s="21"/>
      <c r="FJ54" s="21"/>
      <c r="FK54" s="21"/>
      <c r="FR54" s="13"/>
    </row>
    <row r="55" spans="1:174" ht="15.6" x14ac:dyDescent="0.3">
      <c r="F55" s="91"/>
      <c r="R55" s="13"/>
      <c r="S55" s="91"/>
      <c r="AE55" s="13"/>
      <c r="AS55" s="91"/>
      <c r="BE55" s="13"/>
      <c r="BS55" s="91"/>
      <c r="CE55" s="13"/>
      <c r="DF55" s="91"/>
      <c r="DR55" s="13"/>
      <c r="DS55" s="20"/>
      <c r="DT55" s="21"/>
      <c r="DU55" s="21"/>
      <c r="DV55" s="21"/>
      <c r="DW55" s="21"/>
      <c r="DX55" s="21"/>
      <c r="DY55" s="21"/>
      <c r="EE55" s="13"/>
      <c r="EF55" s="20"/>
      <c r="EG55" s="21"/>
      <c r="EH55" s="21"/>
      <c r="EI55" s="21"/>
      <c r="EJ55" s="21"/>
      <c r="EK55" s="21"/>
      <c r="ER55" s="13"/>
      <c r="ES55" s="20"/>
      <c r="ET55" s="21"/>
      <c r="EU55" s="21"/>
      <c r="EV55" s="21"/>
      <c r="EW55" s="21"/>
      <c r="EX55" s="21"/>
      <c r="FE55" s="13"/>
      <c r="FF55" s="20"/>
      <c r="FG55" s="21"/>
      <c r="FH55" s="21"/>
      <c r="FI55" s="21"/>
      <c r="FJ55" s="21"/>
      <c r="FK55" s="21"/>
      <c r="FR55" s="13"/>
    </row>
    <row r="56" spans="1:174" s="4" customFormat="1" ht="18.75" customHeight="1" x14ac:dyDescent="0.35">
      <c r="B56" s="109"/>
      <c r="D56" s="92"/>
      <c r="E56" s="105" t="s">
        <v>55</v>
      </c>
      <c r="F56" s="110">
        <f t="shared" ref="F56:R56" si="14">SUM(F57:F75)</f>
        <v>0</v>
      </c>
      <c r="G56" s="111">
        <f t="shared" si="14"/>
        <v>0</v>
      </c>
      <c r="H56" s="111">
        <f t="shared" si="14"/>
        <v>0</v>
      </c>
      <c r="I56" s="111">
        <f t="shared" si="14"/>
        <v>0</v>
      </c>
      <c r="J56" s="111">
        <f t="shared" si="14"/>
        <v>0</v>
      </c>
      <c r="K56" s="111">
        <f t="shared" si="14"/>
        <v>0</v>
      </c>
      <c r="L56" s="111">
        <f t="shared" si="14"/>
        <v>0</v>
      </c>
      <c r="M56" s="111">
        <f t="shared" si="14"/>
        <v>0</v>
      </c>
      <c r="N56" s="111">
        <f t="shared" si="14"/>
        <v>0</v>
      </c>
      <c r="O56" s="111">
        <f t="shared" si="14"/>
        <v>0</v>
      </c>
      <c r="P56" s="111">
        <f t="shared" si="14"/>
        <v>0</v>
      </c>
      <c r="Q56" s="111">
        <f t="shared" si="14"/>
        <v>0</v>
      </c>
      <c r="R56" s="112">
        <f t="shared" si="14"/>
        <v>0</v>
      </c>
      <c r="S56" s="94">
        <f t="shared" ref="S56:AE56" si="15">SUM(S57:S76)</f>
        <v>0</v>
      </c>
      <c r="T56" s="95">
        <f t="shared" si="15"/>
        <v>0</v>
      </c>
      <c r="U56" s="95">
        <f t="shared" si="15"/>
        <v>0</v>
      </c>
      <c r="V56" s="95">
        <f t="shared" si="15"/>
        <v>0</v>
      </c>
      <c r="W56" s="95">
        <f t="shared" si="15"/>
        <v>0</v>
      </c>
      <c r="X56" s="95">
        <f t="shared" si="15"/>
        <v>0</v>
      </c>
      <c r="Y56" s="95">
        <f t="shared" si="15"/>
        <v>0</v>
      </c>
      <c r="Z56" s="95">
        <f t="shared" si="15"/>
        <v>0</v>
      </c>
      <c r="AA56" s="95">
        <f t="shared" si="15"/>
        <v>0</v>
      </c>
      <c r="AB56" s="95">
        <f t="shared" si="15"/>
        <v>0</v>
      </c>
      <c r="AC56" s="95">
        <f t="shared" si="15"/>
        <v>0</v>
      </c>
      <c r="AD56" s="95">
        <f t="shared" si="15"/>
        <v>0</v>
      </c>
      <c r="AE56" s="96">
        <f t="shared" si="15"/>
        <v>0</v>
      </c>
      <c r="AF56" s="95">
        <v>7.6</v>
      </c>
      <c r="AG56" s="95">
        <v>7.3</v>
      </c>
      <c r="AH56" s="95">
        <v>9.1999999999999993</v>
      </c>
      <c r="AI56" s="95">
        <v>5.9</v>
      </c>
      <c r="AJ56" s="95">
        <v>7.1</v>
      </c>
      <c r="AK56" s="95">
        <v>7.2</v>
      </c>
      <c r="AL56" s="95">
        <f t="shared" ref="AL56:AR56" si="16">SUM(AL57:AL77)</f>
        <v>0</v>
      </c>
      <c r="AM56" s="95">
        <f t="shared" si="16"/>
        <v>0</v>
      </c>
      <c r="AN56" s="95">
        <f t="shared" si="16"/>
        <v>0</v>
      </c>
      <c r="AO56" s="95">
        <f t="shared" si="16"/>
        <v>0</v>
      </c>
      <c r="AP56" s="95">
        <f t="shared" si="16"/>
        <v>0</v>
      </c>
      <c r="AQ56" s="95">
        <f t="shared" si="16"/>
        <v>0</v>
      </c>
      <c r="AR56" s="95">
        <f t="shared" si="16"/>
        <v>0</v>
      </c>
      <c r="AS56" s="95">
        <f t="shared" ref="AS56:BR56" si="17">SUM(AS57:AS75)</f>
        <v>0</v>
      </c>
      <c r="AT56" s="95">
        <f t="shared" si="17"/>
        <v>0</v>
      </c>
      <c r="AU56" s="95">
        <f t="shared" si="17"/>
        <v>0</v>
      </c>
      <c r="AV56" s="95">
        <f t="shared" si="17"/>
        <v>0</v>
      </c>
      <c r="AW56" s="95">
        <f t="shared" si="17"/>
        <v>0</v>
      </c>
      <c r="AX56" s="95">
        <f t="shared" si="17"/>
        <v>0</v>
      </c>
      <c r="AY56" s="95">
        <f t="shared" si="17"/>
        <v>0</v>
      </c>
      <c r="AZ56" s="95">
        <f t="shared" si="17"/>
        <v>0</v>
      </c>
      <c r="BA56" s="95">
        <f t="shared" si="17"/>
        <v>0</v>
      </c>
      <c r="BB56" s="95">
        <f t="shared" si="17"/>
        <v>0</v>
      </c>
      <c r="BC56" s="95">
        <f t="shared" si="17"/>
        <v>0</v>
      </c>
      <c r="BD56" s="95">
        <f t="shared" si="17"/>
        <v>0</v>
      </c>
      <c r="BE56" s="96">
        <f t="shared" si="17"/>
        <v>0</v>
      </c>
      <c r="BF56" s="95">
        <f t="shared" si="17"/>
        <v>0</v>
      </c>
      <c r="BG56" s="95">
        <f t="shared" si="17"/>
        <v>0</v>
      </c>
      <c r="BH56" s="95">
        <f t="shared" si="17"/>
        <v>0</v>
      </c>
      <c r="BI56" s="95">
        <f t="shared" si="17"/>
        <v>0</v>
      </c>
      <c r="BJ56" s="95">
        <f t="shared" si="17"/>
        <v>0</v>
      </c>
      <c r="BK56" s="95">
        <f t="shared" si="17"/>
        <v>0</v>
      </c>
      <c r="BL56" s="95">
        <f t="shared" si="17"/>
        <v>0</v>
      </c>
      <c r="BM56" s="95">
        <f t="shared" si="17"/>
        <v>0</v>
      </c>
      <c r="BN56" s="95">
        <f t="shared" si="17"/>
        <v>0</v>
      </c>
      <c r="BO56" s="95">
        <f t="shared" si="17"/>
        <v>0</v>
      </c>
      <c r="BP56" s="95">
        <f t="shared" si="17"/>
        <v>0</v>
      </c>
      <c r="BQ56" s="95">
        <f t="shared" si="17"/>
        <v>0</v>
      </c>
      <c r="BR56" s="96">
        <f t="shared" si="17"/>
        <v>0</v>
      </c>
      <c r="BS56" s="99">
        <v>0</v>
      </c>
      <c r="BT56" s="97">
        <v>7.2</v>
      </c>
      <c r="BU56" s="97">
        <v>8.9</v>
      </c>
      <c r="BV56" s="97">
        <v>3.1</v>
      </c>
      <c r="BW56" s="97">
        <v>-1</v>
      </c>
      <c r="BX56" s="97">
        <v>0</v>
      </c>
      <c r="BY56" s="97"/>
      <c r="BZ56" s="97"/>
      <c r="CA56" s="97"/>
      <c r="CB56" s="97"/>
      <c r="CC56" s="97"/>
      <c r="CD56" s="97"/>
      <c r="CE56" s="100"/>
      <c r="DF56" s="101"/>
      <c r="DR56" s="102"/>
      <c r="DS56" s="99"/>
      <c r="DT56" s="97"/>
      <c r="DU56" s="97"/>
      <c r="DV56" s="97"/>
      <c r="DW56" s="97"/>
      <c r="DX56" s="97"/>
      <c r="DY56" s="97"/>
      <c r="DZ56" s="97"/>
      <c r="EA56" s="97"/>
      <c r="EB56" s="97"/>
      <c r="EC56" s="97"/>
      <c r="ED56" s="97"/>
      <c r="EE56" s="100"/>
      <c r="EF56" s="99"/>
      <c r="EG56" s="97"/>
      <c r="EH56" s="97"/>
      <c r="EI56" s="97"/>
      <c r="EJ56" s="97"/>
      <c r="EK56" s="97"/>
      <c r="EL56" s="97"/>
      <c r="EM56" s="97"/>
      <c r="EN56" s="97"/>
      <c r="EO56" s="97"/>
      <c r="EP56" s="97"/>
      <c r="EQ56" s="97"/>
      <c r="ER56" s="100"/>
      <c r="ES56" s="99"/>
      <c r="ET56" s="97"/>
      <c r="EU56" s="97"/>
      <c r="EV56" s="97"/>
      <c r="EW56" s="97"/>
      <c r="EX56" s="97"/>
      <c r="EY56" s="97"/>
      <c r="EZ56" s="97"/>
      <c r="FA56" s="97"/>
      <c r="FB56" s="97"/>
      <c r="FC56" s="97"/>
      <c r="FD56" s="97"/>
      <c r="FE56" s="100"/>
      <c r="FF56" s="99"/>
      <c r="FG56" s="97"/>
      <c r="FH56" s="97"/>
      <c r="FI56" s="97"/>
      <c r="FJ56" s="97"/>
      <c r="FK56" s="97"/>
      <c r="FL56" s="97"/>
      <c r="FM56" s="97"/>
      <c r="FN56" s="97"/>
      <c r="FO56" s="97"/>
      <c r="FP56" s="97"/>
      <c r="FQ56" s="97"/>
      <c r="FR56" s="100"/>
    </row>
    <row r="57" spans="1:174" ht="15.6" x14ac:dyDescent="0.3">
      <c r="A57" s="113"/>
      <c r="B57" s="114"/>
      <c r="D57" s="114"/>
      <c r="F57" s="91"/>
      <c r="M57" s="103"/>
      <c r="N57" s="103"/>
      <c r="O57" s="103"/>
      <c r="P57" s="103"/>
      <c r="Q57" s="103"/>
      <c r="R57" s="104"/>
      <c r="S57" s="91"/>
      <c r="Z57" s="103"/>
      <c r="AA57" s="103"/>
      <c r="AB57" s="103"/>
      <c r="AC57" s="103"/>
      <c r="AD57" s="103"/>
      <c r="AE57" s="104"/>
      <c r="AM57" s="103"/>
      <c r="AN57" s="103"/>
      <c r="AO57" s="103"/>
      <c r="AP57" s="103"/>
      <c r="AQ57" s="103"/>
      <c r="AR57" s="103"/>
      <c r="AS57" s="91"/>
      <c r="AZ57" s="103"/>
      <c r="BA57" s="103"/>
      <c r="BB57" s="103"/>
      <c r="BC57" s="103"/>
      <c r="BD57" s="103"/>
      <c r="BE57" s="104"/>
      <c r="BM57" s="103"/>
      <c r="BN57" s="103"/>
      <c r="BO57" s="103"/>
      <c r="BP57" s="103"/>
      <c r="BQ57" s="103"/>
      <c r="BR57" s="103"/>
      <c r="BS57" s="91"/>
      <c r="CE57" s="13"/>
      <c r="DF57" s="91"/>
      <c r="DR57" s="13"/>
      <c r="EE57" s="115"/>
      <c r="ER57" s="115"/>
      <c r="FE57" s="115"/>
      <c r="FR57" s="115"/>
    </row>
    <row r="58" spans="1:174" ht="15.6" x14ac:dyDescent="0.3">
      <c r="A58" s="113"/>
      <c r="B58" s="114"/>
      <c r="D58" s="114"/>
      <c r="F58" s="91"/>
      <c r="M58" s="103"/>
      <c r="N58" s="103"/>
      <c r="O58" s="103"/>
      <c r="P58" s="103"/>
      <c r="Q58" s="103"/>
      <c r="R58" s="104"/>
      <c r="S58" s="91"/>
      <c r="Z58" s="103"/>
      <c r="AA58" s="103"/>
      <c r="AB58" s="103"/>
      <c r="AC58" s="103"/>
      <c r="AD58" s="103"/>
      <c r="AE58" s="104"/>
      <c r="AM58" s="103"/>
      <c r="AN58" s="103"/>
      <c r="AO58" s="103"/>
      <c r="AP58" s="103"/>
      <c r="AQ58" s="103"/>
      <c r="AR58" s="103"/>
      <c r="AS58" s="91"/>
      <c r="AZ58" s="103"/>
      <c r="BA58" s="103"/>
      <c r="BB58" s="103"/>
      <c r="BC58" s="103"/>
      <c r="BD58" s="103"/>
      <c r="BE58" s="104"/>
      <c r="BM58" s="103"/>
      <c r="BN58" s="103"/>
      <c r="BO58" s="103"/>
      <c r="BP58" s="103"/>
      <c r="BQ58" s="103"/>
      <c r="BR58" s="103"/>
      <c r="BS58" s="91"/>
      <c r="CE58" s="13"/>
      <c r="DF58" s="91"/>
      <c r="DR58" s="13"/>
      <c r="DS58" s="20"/>
      <c r="DT58" s="21"/>
      <c r="DU58" s="21"/>
      <c r="DV58" s="21"/>
      <c r="DW58" s="21"/>
      <c r="DX58" s="21"/>
      <c r="EE58" s="13"/>
      <c r="EF58" s="20"/>
      <c r="EG58" s="21"/>
      <c r="EH58" s="21"/>
      <c r="EI58" s="21"/>
      <c r="EJ58" s="21"/>
      <c r="EK58" s="21"/>
      <c r="ER58" s="13"/>
      <c r="ES58" s="20"/>
      <c r="ET58" s="21"/>
      <c r="EU58" s="21"/>
      <c r="EV58" s="21"/>
      <c r="EW58" s="21"/>
      <c r="EX58" s="21"/>
      <c r="FE58" s="13"/>
      <c r="FF58" s="20"/>
      <c r="FG58" s="21"/>
      <c r="FH58" s="21"/>
      <c r="FI58" s="21"/>
      <c r="FJ58" s="21"/>
      <c r="FK58" s="21"/>
      <c r="FR58" s="13"/>
    </row>
    <row r="59" spans="1:174" ht="15.6" x14ac:dyDescent="0.3">
      <c r="A59" s="113"/>
      <c r="B59" s="114"/>
      <c r="D59" s="114"/>
      <c r="F59" s="91"/>
      <c r="M59" s="103"/>
      <c r="N59" s="103"/>
      <c r="O59" s="103"/>
      <c r="P59" s="103"/>
      <c r="Q59" s="103"/>
      <c r="R59" s="104"/>
      <c r="S59" s="91"/>
      <c r="Z59" s="103"/>
      <c r="AA59" s="103"/>
      <c r="AB59" s="103"/>
      <c r="AC59" s="103"/>
      <c r="AD59" s="103"/>
      <c r="AE59" s="104"/>
      <c r="AM59" s="103"/>
      <c r="AN59" s="103"/>
      <c r="AO59" s="103"/>
      <c r="AP59" s="103"/>
      <c r="AQ59" s="103"/>
      <c r="AR59" s="103"/>
      <c r="AS59" s="91"/>
      <c r="AZ59" s="103"/>
      <c r="BA59" s="103"/>
      <c r="BB59" s="103"/>
      <c r="BC59" s="103"/>
      <c r="BD59" s="103"/>
      <c r="BE59" s="104"/>
      <c r="BM59" s="103"/>
      <c r="BN59" s="103"/>
      <c r="BO59" s="103"/>
      <c r="BP59" s="103"/>
      <c r="BQ59" s="103"/>
      <c r="BR59" s="103"/>
      <c r="BS59" s="91"/>
      <c r="CE59" s="13"/>
      <c r="DF59" s="91"/>
      <c r="DR59" s="13"/>
      <c r="DS59" s="20"/>
      <c r="DT59" s="21"/>
      <c r="DU59" s="21"/>
      <c r="DV59" s="21"/>
      <c r="DW59" s="21"/>
      <c r="DX59" s="21"/>
      <c r="EE59" s="13"/>
      <c r="EF59" s="20"/>
      <c r="EG59" s="21"/>
      <c r="EH59" s="21"/>
      <c r="EI59" s="21"/>
      <c r="EJ59" s="21"/>
      <c r="EK59" s="21"/>
      <c r="ER59" s="13"/>
      <c r="ES59" s="20"/>
      <c r="ET59" s="21"/>
      <c r="EU59" s="21"/>
      <c r="EV59" s="21"/>
      <c r="EW59" s="21"/>
      <c r="EX59" s="21"/>
      <c r="FE59" s="13"/>
      <c r="FF59" s="20"/>
      <c r="FG59" s="21"/>
      <c r="FH59" s="21"/>
      <c r="FI59" s="21"/>
      <c r="FJ59" s="21"/>
      <c r="FK59" s="21"/>
      <c r="FR59" s="13"/>
    </row>
    <row r="60" spans="1:174" ht="15.6" x14ac:dyDescent="0.3">
      <c r="A60" s="113"/>
      <c r="B60" s="114"/>
      <c r="D60" s="114"/>
      <c r="F60" s="91"/>
      <c r="M60" s="103"/>
      <c r="N60" s="103"/>
      <c r="O60" s="103"/>
      <c r="P60" s="103"/>
      <c r="Q60" s="103"/>
      <c r="R60" s="104"/>
      <c r="S60" s="91"/>
      <c r="Z60" s="103"/>
      <c r="AA60" s="103"/>
      <c r="AB60" s="103"/>
      <c r="AC60" s="103"/>
      <c r="AD60" s="103"/>
      <c r="AE60" s="104"/>
      <c r="AM60" s="103"/>
      <c r="AN60" s="103"/>
      <c r="AO60" s="103"/>
      <c r="AP60" s="103"/>
      <c r="AQ60" s="103"/>
      <c r="AR60" s="103"/>
      <c r="AS60" s="91"/>
      <c r="AZ60" s="103"/>
      <c r="BA60" s="103"/>
      <c r="BB60" s="103"/>
      <c r="BC60" s="103"/>
      <c r="BD60" s="103"/>
      <c r="BE60" s="104"/>
      <c r="BM60" s="103"/>
      <c r="BN60" s="103"/>
      <c r="BO60" s="103"/>
      <c r="BP60" s="103"/>
      <c r="BQ60" s="103"/>
      <c r="BR60" s="103"/>
      <c r="BS60" s="91"/>
      <c r="CE60" s="13"/>
      <c r="DF60" s="91"/>
      <c r="DR60" s="13"/>
      <c r="DS60" s="20"/>
      <c r="DT60" s="21"/>
      <c r="DU60" s="21"/>
      <c r="DV60" s="21"/>
      <c r="DW60" s="21"/>
      <c r="DX60" s="21"/>
      <c r="EE60" s="13"/>
      <c r="EF60" s="20"/>
      <c r="EG60" s="21"/>
      <c r="EH60" s="21"/>
      <c r="EI60" s="21"/>
      <c r="EJ60" s="21"/>
      <c r="EK60" s="21"/>
      <c r="ER60" s="13"/>
      <c r="ES60" s="20"/>
      <c r="ET60" s="21"/>
      <c r="EU60" s="21"/>
      <c r="EV60" s="21"/>
      <c r="EW60" s="21"/>
      <c r="EX60" s="21"/>
      <c r="FE60" s="13"/>
      <c r="FF60" s="20"/>
      <c r="FG60" s="21"/>
      <c r="FH60" s="21"/>
      <c r="FI60" s="21"/>
      <c r="FJ60" s="21"/>
      <c r="FK60" s="21"/>
      <c r="FR60" s="13"/>
    </row>
    <row r="61" spans="1:174" ht="15.6" x14ac:dyDescent="0.3">
      <c r="A61" s="113"/>
      <c r="B61" s="114"/>
      <c r="D61" s="114"/>
      <c r="F61" s="91"/>
      <c r="M61" s="103"/>
      <c r="N61" s="103"/>
      <c r="O61" s="103"/>
      <c r="P61" s="103"/>
      <c r="Q61" s="103"/>
      <c r="R61" s="104"/>
      <c r="S61" s="91"/>
      <c r="Z61" s="103"/>
      <c r="AA61" s="103"/>
      <c r="AB61" s="103"/>
      <c r="AC61" s="103"/>
      <c r="AD61" s="103"/>
      <c r="AE61" s="104"/>
      <c r="AM61" s="103"/>
      <c r="AN61" s="103"/>
      <c r="AO61" s="103"/>
      <c r="AP61" s="103"/>
      <c r="AQ61" s="103"/>
      <c r="AR61" s="103"/>
      <c r="AS61" s="91"/>
      <c r="AZ61" s="103"/>
      <c r="BA61" s="103"/>
      <c r="BB61" s="103"/>
      <c r="BC61" s="103"/>
      <c r="BD61" s="103"/>
      <c r="BE61" s="104"/>
      <c r="BM61" s="103"/>
      <c r="BN61" s="103"/>
      <c r="BO61" s="103"/>
      <c r="BP61" s="103"/>
      <c r="BQ61" s="103"/>
      <c r="BR61" s="103"/>
      <c r="BS61" s="91"/>
      <c r="CE61" s="13"/>
      <c r="DF61" s="91"/>
      <c r="DR61" s="13"/>
      <c r="DS61" s="20"/>
      <c r="DT61" s="21"/>
      <c r="DU61" s="21"/>
      <c r="DV61" s="21"/>
      <c r="DW61" s="21"/>
      <c r="DX61" s="21"/>
      <c r="EE61" s="13"/>
      <c r="EF61" s="20"/>
      <c r="EG61" s="21"/>
      <c r="EH61" s="21"/>
      <c r="EI61" s="21"/>
      <c r="EJ61" s="21"/>
      <c r="EK61" s="21"/>
      <c r="ER61" s="13"/>
      <c r="ES61" s="20"/>
      <c r="ET61" s="21"/>
      <c r="EU61" s="21"/>
      <c r="EV61" s="21"/>
      <c r="EW61" s="21"/>
      <c r="EX61" s="21"/>
      <c r="FE61" s="13"/>
      <c r="FF61" s="20"/>
      <c r="FG61" s="21"/>
      <c r="FH61" s="21"/>
      <c r="FI61" s="21"/>
      <c r="FJ61" s="21"/>
      <c r="FK61" s="21"/>
      <c r="FR61" s="13"/>
    </row>
    <row r="62" spans="1:174" ht="15.6" x14ac:dyDescent="0.3">
      <c r="A62" s="113"/>
      <c r="B62" s="114"/>
      <c r="D62" s="114"/>
      <c r="F62" s="91"/>
      <c r="M62" s="103"/>
      <c r="N62" s="103"/>
      <c r="O62" s="103"/>
      <c r="P62" s="103"/>
      <c r="Q62" s="103"/>
      <c r="R62" s="104"/>
      <c r="S62" s="91"/>
      <c r="Z62" s="103"/>
      <c r="AA62" s="103"/>
      <c r="AB62" s="103"/>
      <c r="AC62" s="103"/>
      <c r="AD62" s="103"/>
      <c r="AE62" s="104"/>
      <c r="AM62" s="103"/>
      <c r="AN62" s="103"/>
      <c r="AO62" s="103"/>
      <c r="AP62" s="103"/>
      <c r="AQ62" s="103"/>
      <c r="AR62" s="103"/>
      <c r="AS62" s="91"/>
      <c r="AZ62" s="103"/>
      <c r="BA62" s="103"/>
      <c r="BB62" s="103"/>
      <c r="BC62" s="103"/>
      <c r="BD62" s="103"/>
      <c r="BE62" s="104"/>
      <c r="BM62" s="103"/>
      <c r="BN62" s="103"/>
      <c r="BO62" s="103"/>
      <c r="BP62" s="103"/>
      <c r="BQ62" s="103"/>
      <c r="BR62" s="103"/>
      <c r="BS62" s="91"/>
      <c r="CE62" s="13"/>
      <c r="DF62" s="91"/>
      <c r="DR62" s="13"/>
      <c r="DS62" s="20"/>
      <c r="DT62" s="21"/>
      <c r="DU62" s="21"/>
      <c r="DV62" s="21"/>
      <c r="DW62" s="21"/>
      <c r="DX62" s="21"/>
      <c r="EE62" s="13"/>
      <c r="EF62" s="20"/>
      <c r="EG62" s="21"/>
      <c r="EH62" s="21"/>
      <c r="EI62" s="21"/>
      <c r="EJ62" s="21"/>
      <c r="EK62" s="21"/>
      <c r="ER62" s="13"/>
      <c r="ES62" s="20"/>
      <c r="ET62" s="21"/>
      <c r="EU62" s="21"/>
      <c r="EV62" s="21"/>
      <c r="EW62" s="21"/>
      <c r="EX62" s="21"/>
      <c r="FE62" s="13"/>
      <c r="FF62" s="20"/>
      <c r="FG62" s="21"/>
      <c r="FH62" s="21"/>
      <c r="FI62" s="21"/>
      <c r="FJ62" s="21"/>
      <c r="FK62" s="21"/>
      <c r="FR62" s="13"/>
    </row>
    <row r="63" spans="1:174" ht="15.6" x14ac:dyDescent="0.3">
      <c r="A63" s="113"/>
      <c r="B63" s="114"/>
      <c r="D63" s="114"/>
      <c r="F63" s="91"/>
      <c r="M63" s="103"/>
      <c r="N63" s="103"/>
      <c r="O63" s="103"/>
      <c r="P63" s="103"/>
      <c r="Q63" s="103"/>
      <c r="R63" s="104"/>
      <c r="S63" s="91"/>
      <c r="Z63" s="103"/>
      <c r="AA63" s="103"/>
      <c r="AB63" s="103"/>
      <c r="AC63" s="103"/>
      <c r="AD63" s="103"/>
      <c r="AE63" s="104"/>
      <c r="AM63" s="103"/>
      <c r="AN63" s="103"/>
      <c r="AO63" s="103"/>
      <c r="AP63" s="103"/>
      <c r="AQ63" s="103"/>
      <c r="AR63" s="103"/>
      <c r="AS63" s="91"/>
      <c r="AZ63" s="103"/>
      <c r="BA63" s="103"/>
      <c r="BB63" s="103"/>
      <c r="BC63" s="103"/>
      <c r="BD63" s="103"/>
      <c r="BE63" s="104"/>
      <c r="BM63" s="103"/>
      <c r="BN63" s="103"/>
      <c r="BO63" s="103"/>
      <c r="BP63" s="103"/>
      <c r="BQ63" s="103"/>
      <c r="BR63" s="103"/>
      <c r="BS63" s="91"/>
      <c r="CE63" s="13"/>
      <c r="DF63" s="91"/>
      <c r="DR63" s="13"/>
      <c r="DS63" s="20"/>
      <c r="DT63" s="21"/>
      <c r="DU63" s="21"/>
      <c r="DV63" s="21"/>
      <c r="DW63" s="21"/>
      <c r="DX63" s="21"/>
      <c r="EE63" s="13"/>
      <c r="EF63" s="20"/>
      <c r="EG63" s="21"/>
      <c r="EH63" s="21"/>
      <c r="EI63" s="21"/>
      <c r="EJ63" s="21"/>
      <c r="EK63" s="21"/>
      <c r="ER63" s="13"/>
      <c r="ES63" s="20"/>
      <c r="ET63" s="21"/>
      <c r="EU63" s="21"/>
      <c r="EV63" s="21"/>
      <c r="EW63" s="21"/>
      <c r="EX63" s="21"/>
      <c r="FE63" s="13"/>
      <c r="FF63" s="20"/>
      <c r="FG63" s="21"/>
      <c r="FH63" s="21"/>
      <c r="FI63" s="21"/>
      <c r="FJ63" s="21"/>
      <c r="FK63" s="21"/>
      <c r="FR63" s="13"/>
    </row>
    <row r="64" spans="1:174" ht="15.6" x14ac:dyDescent="0.3">
      <c r="A64" s="113"/>
      <c r="B64" s="114"/>
      <c r="D64" s="114"/>
      <c r="F64" s="91"/>
      <c r="M64" s="103"/>
      <c r="N64" s="103"/>
      <c r="O64" s="103"/>
      <c r="P64" s="103"/>
      <c r="Q64" s="103"/>
      <c r="R64" s="104"/>
      <c r="S64" s="91"/>
      <c r="Z64" s="103"/>
      <c r="AA64" s="103"/>
      <c r="AB64" s="103"/>
      <c r="AC64" s="103"/>
      <c r="AD64" s="103"/>
      <c r="AE64" s="104"/>
      <c r="AM64" s="103"/>
      <c r="AN64" s="103"/>
      <c r="AO64" s="103"/>
      <c r="AP64" s="103"/>
      <c r="AQ64" s="103"/>
      <c r="AR64" s="103"/>
      <c r="AS64" s="91"/>
      <c r="AZ64" s="103"/>
      <c r="BA64" s="103"/>
      <c r="BB64" s="103"/>
      <c r="BC64" s="103"/>
      <c r="BD64" s="103"/>
      <c r="BE64" s="104"/>
      <c r="BM64" s="103"/>
      <c r="BN64" s="103"/>
      <c r="BO64" s="103"/>
      <c r="BP64" s="103"/>
      <c r="BQ64" s="103"/>
      <c r="BR64" s="103"/>
      <c r="BS64" s="91"/>
      <c r="CE64" s="13"/>
      <c r="DF64" s="91"/>
      <c r="DR64" s="13"/>
      <c r="DS64" s="20"/>
      <c r="DT64" s="21"/>
      <c r="DU64" s="21"/>
      <c r="DV64" s="21"/>
      <c r="DW64" s="21"/>
      <c r="DX64" s="21"/>
      <c r="EE64" s="13"/>
      <c r="EF64" s="20"/>
      <c r="EG64" s="21"/>
      <c r="EH64" s="21"/>
      <c r="EI64" s="21"/>
      <c r="EJ64" s="21"/>
      <c r="EK64" s="21"/>
      <c r="ER64" s="13"/>
      <c r="ES64" s="20"/>
      <c r="ET64" s="21"/>
      <c r="EU64" s="21"/>
      <c r="EV64" s="21"/>
      <c r="EW64" s="21"/>
      <c r="EX64" s="21"/>
      <c r="FE64" s="13"/>
      <c r="FF64" s="20"/>
      <c r="FG64" s="21"/>
      <c r="FH64" s="21"/>
      <c r="FI64" s="21"/>
      <c r="FJ64" s="21"/>
      <c r="FK64" s="21"/>
      <c r="FR64" s="13"/>
    </row>
    <row r="65" spans="1:174" ht="15.6" x14ac:dyDescent="0.3">
      <c r="A65" s="113"/>
      <c r="B65" s="114"/>
      <c r="D65" s="114"/>
      <c r="F65" s="91"/>
      <c r="M65" s="103"/>
      <c r="N65" s="103"/>
      <c r="O65" s="103"/>
      <c r="P65" s="103"/>
      <c r="Q65" s="103"/>
      <c r="R65" s="104"/>
      <c r="S65" s="91"/>
      <c r="Z65" s="103"/>
      <c r="AA65" s="103"/>
      <c r="AB65" s="103"/>
      <c r="AC65" s="103"/>
      <c r="AD65" s="103"/>
      <c r="AE65" s="104"/>
      <c r="AM65" s="103"/>
      <c r="AN65" s="103"/>
      <c r="AO65" s="103"/>
      <c r="AP65" s="103"/>
      <c r="AQ65" s="103"/>
      <c r="AR65" s="103"/>
      <c r="AS65" s="91"/>
      <c r="AZ65" s="103"/>
      <c r="BA65" s="103"/>
      <c r="BB65" s="103"/>
      <c r="BC65" s="103"/>
      <c r="BD65" s="103"/>
      <c r="BE65" s="104"/>
      <c r="BM65" s="103"/>
      <c r="BN65" s="103"/>
      <c r="BO65" s="103"/>
      <c r="BP65" s="103"/>
      <c r="BQ65" s="103"/>
      <c r="BR65" s="103"/>
      <c r="BS65" s="91"/>
      <c r="CE65" s="13"/>
      <c r="DF65" s="91"/>
      <c r="DR65" s="13"/>
      <c r="DS65" s="20"/>
      <c r="DT65" s="21"/>
      <c r="DU65" s="21"/>
      <c r="DV65" s="21"/>
      <c r="DW65" s="21"/>
      <c r="DX65" s="21"/>
      <c r="EE65" s="13"/>
      <c r="EF65" s="20"/>
      <c r="EG65" s="21"/>
      <c r="EH65" s="21"/>
      <c r="EI65" s="21"/>
      <c r="EJ65" s="21"/>
      <c r="EK65" s="21"/>
      <c r="ER65" s="13"/>
      <c r="ES65" s="20"/>
      <c r="ET65" s="21"/>
      <c r="EU65" s="21"/>
      <c r="EV65" s="21"/>
      <c r="EW65" s="21"/>
      <c r="EX65" s="21"/>
      <c r="FE65" s="13"/>
      <c r="FF65" s="20"/>
      <c r="FG65" s="21"/>
      <c r="FH65" s="21"/>
      <c r="FI65" s="21"/>
      <c r="FJ65" s="21"/>
      <c r="FK65" s="21"/>
      <c r="FR65" s="13"/>
    </row>
    <row r="66" spans="1:174" ht="15.6" x14ac:dyDescent="0.3">
      <c r="A66" s="113"/>
      <c r="B66" s="114"/>
      <c r="D66" s="114"/>
      <c r="F66" s="91"/>
      <c r="M66" s="103"/>
      <c r="N66" s="103"/>
      <c r="O66" s="103"/>
      <c r="P66" s="103"/>
      <c r="Q66" s="103"/>
      <c r="R66" s="104"/>
      <c r="S66" s="91"/>
      <c r="Z66" s="103"/>
      <c r="AA66" s="103"/>
      <c r="AB66" s="103"/>
      <c r="AC66" s="103"/>
      <c r="AD66" s="103"/>
      <c r="AE66" s="104"/>
      <c r="AM66" s="103"/>
      <c r="AN66" s="103"/>
      <c r="AO66" s="103"/>
      <c r="AP66" s="103"/>
      <c r="AQ66" s="103"/>
      <c r="AR66" s="103"/>
      <c r="AS66" s="91"/>
      <c r="AZ66" s="103"/>
      <c r="BA66" s="103"/>
      <c r="BB66" s="103"/>
      <c r="BC66" s="103"/>
      <c r="BD66" s="103"/>
      <c r="BE66" s="104"/>
      <c r="BM66" s="103"/>
      <c r="BN66" s="103"/>
      <c r="BO66" s="103"/>
      <c r="BP66" s="103"/>
      <c r="BQ66" s="103"/>
      <c r="BR66" s="103"/>
      <c r="BS66" s="91"/>
      <c r="CE66" s="13"/>
      <c r="DF66" s="91"/>
      <c r="DR66" s="13"/>
      <c r="DS66" s="20"/>
      <c r="DT66" s="21"/>
      <c r="DU66" s="21"/>
      <c r="DV66" s="21"/>
      <c r="DW66" s="21"/>
      <c r="DX66" s="21"/>
      <c r="EE66" s="13"/>
      <c r="EF66" s="20"/>
      <c r="EG66" s="21"/>
      <c r="EH66" s="21"/>
      <c r="EI66" s="21"/>
      <c r="EJ66" s="21"/>
      <c r="EK66" s="21"/>
      <c r="ER66" s="13"/>
      <c r="ES66" s="20"/>
      <c r="ET66" s="21"/>
      <c r="EU66" s="21"/>
      <c r="EV66" s="21"/>
      <c r="EW66" s="21"/>
      <c r="EX66" s="21"/>
      <c r="FE66" s="13"/>
      <c r="FF66" s="20"/>
      <c r="FG66" s="21"/>
      <c r="FH66" s="21"/>
      <c r="FI66" s="21"/>
      <c r="FJ66" s="21"/>
      <c r="FK66" s="21"/>
      <c r="FR66" s="13"/>
    </row>
    <row r="67" spans="1:174" ht="15.6" x14ac:dyDescent="0.3">
      <c r="A67" s="113"/>
      <c r="B67" s="114"/>
      <c r="D67" s="114"/>
      <c r="F67" s="91"/>
      <c r="M67" s="103"/>
      <c r="N67" s="103"/>
      <c r="O67" s="103"/>
      <c r="P67" s="103"/>
      <c r="Q67" s="103"/>
      <c r="R67" s="104"/>
      <c r="S67" s="91"/>
      <c r="Z67" s="103"/>
      <c r="AA67" s="103"/>
      <c r="AB67" s="103"/>
      <c r="AC67" s="103"/>
      <c r="AD67" s="103"/>
      <c r="AE67" s="104"/>
      <c r="AM67" s="103"/>
      <c r="AN67" s="103"/>
      <c r="AO67" s="103"/>
      <c r="AP67" s="103"/>
      <c r="AQ67" s="103"/>
      <c r="AR67" s="103"/>
      <c r="AS67" s="91"/>
      <c r="AZ67" s="103"/>
      <c r="BA67" s="103"/>
      <c r="BB67" s="103"/>
      <c r="BC67" s="103"/>
      <c r="BD67" s="103"/>
      <c r="BE67" s="104"/>
      <c r="BM67" s="103"/>
      <c r="BN67" s="103"/>
      <c r="BO67" s="103"/>
      <c r="BP67" s="103"/>
      <c r="BQ67" s="103"/>
      <c r="BR67" s="103"/>
      <c r="BS67" s="91"/>
      <c r="CE67" s="13"/>
      <c r="DF67" s="91"/>
      <c r="DR67" s="13"/>
      <c r="DS67" s="20"/>
      <c r="DT67" s="21"/>
      <c r="DU67" s="21"/>
      <c r="DV67" s="21"/>
      <c r="DW67" s="21"/>
      <c r="DX67" s="21"/>
      <c r="EE67" s="13"/>
      <c r="EF67" s="20"/>
      <c r="EG67" s="21"/>
      <c r="EH67" s="21"/>
      <c r="EI67" s="21"/>
      <c r="EJ67" s="21"/>
      <c r="EK67" s="21"/>
      <c r="ER67" s="13"/>
      <c r="ES67" s="20"/>
      <c r="ET67" s="21"/>
      <c r="EU67" s="21"/>
      <c r="EV67" s="21"/>
      <c r="EW67" s="21"/>
      <c r="EX67" s="21"/>
      <c r="FE67" s="13"/>
      <c r="FF67" s="20"/>
      <c r="FG67" s="21"/>
      <c r="FH67" s="21"/>
      <c r="FI67" s="21"/>
      <c r="FJ67" s="21"/>
      <c r="FK67" s="21"/>
      <c r="FR67" s="13"/>
    </row>
    <row r="68" spans="1:174" ht="15.6" x14ac:dyDescent="0.3">
      <c r="A68" s="113"/>
      <c r="B68" s="114"/>
      <c r="D68" s="114"/>
      <c r="F68" s="91"/>
      <c r="M68" s="103"/>
      <c r="N68" s="103"/>
      <c r="O68" s="103"/>
      <c r="P68" s="103"/>
      <c r="Q68" s="103"/>
      <c r="R68" s="104"/>
      <c r="S68" s="91"/>
      <c r="Z68" s="103"/>
      <c r="AA68" s="103"/>
      <c r="AB68" s="103"/>
      <c r="AC68" s="103"/>
      <c r="AD68" s="103"/>
      <c r="AE68" s="104"/>
      <c r="AM68" s="103"/>
      <c r="AN68" s="103"/>
      <c r="AO68" s="103"/>
      <c r="AP68" s="103"/>
      <c r="AQ68" s="103"/>
      <c r="AR68" s="103"/>
      <c r="AS68" s="91"/>
      <c r="AZ68" s="103"/>
      <c r="BA68" s="103"/>
      <c r="BB68" s="103"/>
      <c r="BC68" s="103"/>
      <c r="BD68" s="103"/>
      <c r="BE68" s="104"/>
      <c r="BM68" s="103"/>
      <c r="BN68" s="103"/>
      <c r="BO68" s="103"/>
      <c r="BP68" s="103"/>
      <c r="BQ68" s="103"/>
      <c r="BR68" s="103"/>
      <c r="BS68" s="91"/>
      <c r="CE68" s="13"/>
      <c r="DF68" s="91"/>
      <c r="DR68" s="13"/>
      <c r="DS68" s="20"/>
      <c r="DT68" s="21"/>
      <c r="DU68" s="21"/>
      <c r="DV68" s="21"/>
      <c r="DW68" s="21"/>
      <c r="DX68" s="21"/>
      <c r="EE68" s="13"/>
      <c r="EF68" s="20"/>
      <c r="EG68" s="21"/>
      <c r="EH68" s="21"/>
      <c r="EI68" s="21"/>
      <c r="EJ68" s="21"/>
      <c r="EK68" s="21"/>
      <c r="ER68" s="13"/>
      <c r="ES68" s="20"/>
      <c r="ET68" s="21"/>
      <c r="EU68" s="21"/>
      <c r="EV68" s="21"/>
      <c r="EW68" s="21"/>
      <c r="EX68" s="21"/>
      <c r="FE68" s="13"/>
      <c r="FF68" s="20"/>
      <c r="FG68" s="21"/>
      <c r="FH68" s="21"/>
      <c r="FI68" s="21"/>
      <c r="FJ68" s="21"/>
      <c r="FK68" s="21"/>
      <c r="FR68" s="13"/>
    </row>
    <row r="69" spans="1:174" ht="15.6" x14ac:dyDescent="0.3">
      <c r="A69" s="113"/>
      <c r="B69" s="114"/>
      <c r="D69" s="114"/>
      <c r="F69" s="91"/>
      <c r="M69" s="103"/>
      <c r="N69" s="103"/>
      <c r="O69" s="103"/>
      <c r="P69" s="103"/>
      <c r="Q69" s="103"/>
      <c r="R69" s="104"/>
      <c r="S69" s="91"/>
      <c r="Z69" s="103"/>
      <c r="AA69" s="103"/>
      <c r="AB69" s="103"/>
      <c r="AC69" s="103"/>
      <c r="AD69" s="103"/>
      <c r="AE69" s="104"/>
      <c r="AM69" s="103"/>
      <c r="AN69" s="103"/>
      <c r="AO69" s="103"/>
      <c r="AP69" s="103"/>
      <c r="AQ69" s="103"/>
      <c r="AR69" s="103"/>
      <c r="AS69" s="91"/>
      <c r="AZ69" s="103"/>
      <c r="BA69" s="103"/>
      <c r="BB69" s="103"/>
      <c r="BC69" s="103"/>
      <c r="BD69" s="103"/>
      <c r="BE69" s="104"/>
      <c r="BM69" s="103"/>
      <c r="BN69" s="103"/>
      <c r="BO69" s="103"/>
      <c r="BP69" s="103"/>
      <c r="BQ69" s="103"/>
      <c r="BR69" s="103"/>
      <c r="BS69" s="91"/>
      <c r="CE69" s="13"/>
      <c r="DF69" s="91"/>
      <c r="DR69" s="13"/>
      <c r="DS69" s="20"/>
      <c r="DT69" s="21"/>
      <c r="DU69" s="21"/>
      <c r="DV69" s="21"/>
      <c r="DW69" s="21"/>
      <c r="DX69" s="21"/>
      <c r="EE69" s="13"/>
      <c r="EF69" s="20"/>
      <c r="EG69" s="21"/>
      <c r="EH69" s="21"/>
      <c r="EI69" s="21"/>
      <c r="EJ69" s="21"/>
      <c r="EK69" s="21"/>
      <c r="ER69" s="13"/>
      <c r="ES69" s="20"/>
      <c r="ET69" s="21"/>
      <c r="EU69" s="21"/>
      <c r="EV69" s="21"/>
      <c r="EW69" s="21"/>
      <c r="EX69" s="21"/>
      <c r="FE69" s="13"/>
      <c r="FF69" s="20"/>
      <c r="FG69" s="21"/>
      <c r="FH69" s="21"/>
      <c r="FI69" s="21"/>
      <c r="FJ69" s="21"/>
      <c r="FK69" s="21"/>
      <c r="FR69" s="13"/>
    </row>
    <row r="70" spans="1:174" ht="15.6" x14ac:dyDescent="0.3">
      <c r="A70" s="113"/>
      <c r="B70" s="114"/>
      <c r="D70" s="114"/>
      <c r="F70" s="91"/>
      <c r="M70" s="103"/>
      <c r="N70" s="103"/>
      <c r="O70" s="103"/>
      <c r="P70" s="103"/>
      <c r="Q70" s="103"/>
      <c r="R70" s="104"/>
      <c r="S70" s="91"/>
      <c r="Z70" s="103"/>
      <c r="AA70" s="103"/>
      <c r="AB70" s="103"/>
      <c r="AC70" s="103"/>
      <c r="AD70" s="103"/>
      <c r="AE70" s="104"/>
      <c r="AM70" s="103"/>
      <c r="AN70" s="103"/>
      <c r="AO70" s="103"/>
      <c r="AP70" s="103"/>
      <c r="AQ70" s="103"/>
      <c r="AR70" s="103"/>
      <c r="AS70" s="91"/>
      <c r="AZ70" s="103"/>
      <c r="BA70" s="103"/>
      <c r="BB70" s="103"/>
      <c r="BC70" s="103"/>
      <c r="BD70" s="103"/>
      <c r="BE70" s="104"/>
      <c r="BM70" s="103"/>
      <c r="BN70" s="103"/>
      <c r="BO70" s="103"/>
      <c r="BP70" s="103"/>
      <c r="BQ70" s="103"/>
      <c r="BR70" s="103"/>
      <c r="BS70" s="91"/>
      <c r="CE70" s="13"/>
      <c r="DF70" s="91"/>
      <c r="DR70" s="13"/>
      <c r="DS70" s="20"/>
      <c r="DT70" s="21"/>
      <c r="DU70" s="21"/>
      <c r="DV70" s="21"/>
      <c r="DW70" s="21"/>
      <c r="DX70" s="21"/>
      <c r="EE70" s="13"/>
      <c r="EF70" s="20"/>
      <c r="EG70" s="21"/>
      <c r="EH70" s="21"/>
      <c r="EI70" s="21"/>
      <c r="EJ70" s="21"/>
      <c r="EK70" s="21"/>
      <c r="ER70" s="13"/>
      <c r="ES70" s="20"/>
      <c r="ET70" s="21"/>
      <c r="EU70" s="21"/>
      <c r="EV70" s="21"/>
      <c r="EW70" s="21"/>
      <c r="EX70" s="21"/>
      <c r="FE70" s="13"/>
      <c r="FF70" s="20"/>
      <c r="FG70" s="21"/>
      <c r="FH70" s="21"/>
      <c r="FI70" s="21"/>
      <c r="FJ70" s="21"/>
      <c r="FK70" s="21"/>
      <c r="FR70" s="13"/>
    </row>
    <row r="71" spans="1:174" ht="15.6" x14ac:dyDescent="0.3">
      <c r="A71" s="113"/>
      <c r="B71" s="114"/>
      <c r="D71" s="114"/>
      <c r="F71" s="91"/>
      <c r="M71" s="103"/>
      <c r="N71" s="103"/>
      <c r="O71" s="103"/>
      <c r="P71" s="103"/>
      <c r="Q71" s="103"/>
      <c r="R71" s="104"/>
      <c r="S71" s="91"/>
      <c r="Z71" s="103"/>
      <c r="AA71" s="103"/>
      <c r="AB71" s="103"/>
      <c r="AC71" s="103"/>
      <c r="AD71" s="103"/>
      <c r="AE71" s="104"/>
      <c r="AM71" s="103"/>
      <c r="AN71" s="103"/>
      <c r="AO71" s="103"/>
      <c r="AP71" s="103"/>
      <c r="AQ71" s="103"/>
      <c r="AR71" s="103"/>
      <c r="AS71" s="91"/>
      <c r="AZ71" s="103"/>
      <c r="BA71" s="103"/>
      <c r="BB71" s="103"/>
      <c r="BC71" s="103"/>
      <c r="BD71" s="103"/>
      <c r="BE71" s="104"/>
      <c r="BM71" s="103"/>
      <c r="BN71" s="103"/>
      <c r="BO71" s="103"/>
      <c r="BP71" s="103"/>
      <c r="BQ71" s="103"/>
      <c r="BR71" s="103"/>
      <c r="BS71" s="91"/>
      <c r="CE71" s="13"/>
      <c r="DF71" s="91"/>
      <c r="DR71" s="13"/>
      <c r="DS71" s="20"/>
      <c r="DT71" s="21"/>
      <c r="DU71" s="21"/>
      <c r="DV71" s="21"/>
      <c r="DW71" s="21"/>
      <c r="DX71" s="21"/>
      <c r="EE71" s="13"/>
      <c r="EF71" s="20"/>
      <c r="EG71" s="21"/>
      <c r="EH71" s="21"/>
      <c r="EI71" s="21"/>
      <c r="EJ71" s="21"/>
      <c r="EK71" s="21"/>
      <c r="ER71" s="13"/>
      <c r="ES71" s="20"/>
      <c r="ET71" s="21"/>
      <c r="EU71" s="21"/>
      <c r="EV71" s="21"/>
      <c r="EW71" s="21"/>
      <c r="EX71" s="21"/>
      <c r="FE71" s="13"/>
      <c r="FF71" s="20"/>
      <c r="FG71" s="21"/>
      <c r="FH71" s="21"/>
      <c r="FI71" s="21"/>
      <c r="FJ71" s="21"/>
      <c r="FK71" s="21"/>
      <c r="FR71" s="13"/>
    </row>
    <row r="72" spans="1:174" ht="15.6" x14ac:dyDescent="0.3">
      <c r="A72" s="113"/>
      <c r="B72" s="114"/>
      <c r="D72" s="114"/>
      <c r="F72" s="91"/>
      <c r="M72" s="103"/>
      <c r="N72" s="103"/>
      <c r="O72" s="103"/>
      <c r="P72" s="103"/>
      <c r="Q72" s="103"/>
      <c r="R72" s="104"/>
      <c r="S72" s="91"/>
      <c r="Z72" s="103"/>
      <c r="AA72" s="103"/>
      <c r="AB72" s="103"/>
      <c r="AC72" s="103"/>
      <c r="AD72" s="103"/>
      <c r="AE72" s="104"/>
      <c r="AM72" s="103"/>
      <c r="AN72" s="103"/>
      <c r="AO72" s="103"/>
      <c r="AP72" s="103"/>
      <c r="AQ72" s="103"/>
      <c r="AR72" s="103"/>
      <c r="AS72" s="91"/>
      <c r="AZ72" s="103"/>
      <c r="BA72" s="103"/>
      <c r="BB72" s="103"/>
      <c r="BC72" s="103"/>
      <c r="BD72" s="103"/>
      <c r="BE72" s="104"/>
      <c r="BM72" s="103"/>
      <c r="BN72" s="103"/>
      <c r="BO72" s="103"/>
      <c r="BP72" s="103"/>
      <c r="BQ72" s="103"/>
      <c r="BR72" s="103"/>
      <c r="BS72" s="91"/>
      <c r="CE72" s="13"/>
      <c r="DF72" s="91"/>
      <c r="DR72" s="13"/>
      <c r="DS72" s="20"/>
      <c r="DT72" s="21"/>
      <c r="DU72" s="21"/>
      <c r="DV72" s="21"/>
      <c r="DW72" s="21"/>
      <c r="DX72" s="21"/>
      <c r="EE72" s="13"/>
      <c r="EF72" s="20"/>
      <c r="EG72" s="21"/>
      <c r="EH72" s="21"/>
      <c r="EI72" s="21"/>
      <c r="EJ72" s="21"/>
      <c r="EK72" s="21"/>
      <c r="ER72" s="13"/>
      <c r="ES72" s="20"/>
      <c r="ET72" s="21"/>
      <c r="EU72" s="21"/>
      <c r="EV72" s="21"/>
      <c r="EW72" s="21"/>
      <c r="EX72" s="21"/>
      <c r="FE72" s="13"/>
      <c r="FF72" s="20"/>
      <c r="FG72" s="21"/>
      <c r="FH72" s="21"/>
      <c r="FI72" s="21"/>
      <c r="FJ72" s="21"/>
      <c r="FK72" s="21"/>
      <c r="FR72" s="13"/>
    </row>
    <row r="73" spans="1:174" ht="15.6" x14ac:dyDescent="0.3">
      <c r="A73" s="113"/>
      <c r="B73" s="114"/>
      <c r="D73" s="114"/>
      <c r="F73" s="91"/>
      <c r="M73" s="103"/>
      <c r="N73" s="103"/>
      <c r="O73" s="103"/>
      <c r="P73" s="103"/>
      <c r="Q73" s="103"/>
      <c r="R73" s="104"/>
      <c r="S73" s="91"/>
      <c r="Z73" s="103"/>
      <c r="AA73" s="103"/>
      <c r="AB73" s="103"/>
      <c r="AC73" s="103"/>
      <c r="AD73" s="103"/>
      <c r="AE73" s="104"/>
      <c r="AM73" s="103"/>
      <c r="AN73" s="103"/>
      <c r="AO73" s="103"/>
      <c r="AP73" s="103"/>
      <c r="AQ73" s="103"/>
      <c r="AR73" s="103"/>
      <c r="AS73" s="91"/>
      <c r="AZ73" s="103"/>
      <c r="BA73" s="103"/>
      <c r="BB73" s="103"/>
      <c r="BC73" s="103"/>
      <c r="BD73" s="103"/>
      <c r="BE73" s="104"/>
      <c r="BM73" s="103"/>
      <c r="BN73" s="103"/>
      <c r="BO73" s="103"/>
      <c r="BP73" s="103"/>
      <c r="BQ73" s="103"/>
      <c r="BR73" s="103"/>
      <c r="BS73" s="91"/>
      <c r="CE73" s="13"/>
      <c r="DF73" s="91"/>
      <c r="DR73" s="13"/>
      <c r="DS73" s="20"/>
      <c r="DT73" s="21"/>
      <c r="DU73" s="21"/>
      <c r="DV73" s="21"/>
      <c r="DW73" s="21"/>
      <c r="DX73" s="21"/>
      <c r="EE73" s="13"/>
      <c r="EF73" s="20"/>
      <c r="EG73" s="21"/>
      <c r="EH73" s="21"/>
      <c r="EI73" s="21"/>
      <c r="EJ73" s="21"/>
      <c r="EK73" s="21"/>
      <c r="ER73" s="13"/>
      <c r="ES73" s="20"/>
      <c r="ET73" s="21"/>
      <c r="EU73" s="21"/>
      <c r="EV73" s="21"/>
      <c r="EW73" s="21"/>
      <c r="EX73" s="21"/>
      <c r="FE73" s="13"/>
      <c r="FF73" s="20"/>
      <c r="FG73" s="21"/>
      <c r="FH73" s="21"/>
      <c r="FI73" s="21"/>
      <c r="FJ73" s="21"/>
      <c r="FK73" s="21"/>
      <c r="FR73" s="13"/>
    </row>
    <row r="74" spans="1:174" ht="15.6" x14ac:dyDescent="0.3">
      <c r="A74" s="113"/>
      <c r="B74" s="114"/>
      <c r="D74" s="114"/>
      <c r="F74" s="91"/>
      <c r="M74" s="103"/>
      <c r="N74" s="103"/>
      <c r="O74" s="103"/>
      <c r="P74" s="103"/>
      <c r="Q74" s="103"/>
      <c r="R74" s="104"/>
      <c r="S74" s="91"/>
      <c r="Z74" s="103"/>
      <c r="AA74" s="103"/>
      <c r="AB74" s="103"/>
      <c r="AC74" s="103"/>
      <c r="AD74" s="103"/>
      <c r="AE74" s="104"/>
      <c r="AM74" s="103"/>
      <c r="AN74" s="103"/>
      <c r="AO74" s="103"/>
      <c r="AP74" s="103"/>
      <c r="AQ74" s="103"/>
      <c r="AR74" s="103"/>
      <c r="AS74" s="91"/>
      <c r="AZ74" s="103"/>
      <c r="BA74" s="103"/>
      <c r="BB74" s="103"/>
      <c r="BC74" s="103"/>
      <c r="BD74" s="103"/>
      <c r="BE74" s="104"/>
      <c r="BM74" s="103"/>
      <c r="BN74" s="103"/>
      <c r="BO74" s="103"/>
      <c r="BP74" s="103"/>
      <c r="BQ74" s="103"/>
      <c r="BR74" s="103"/>
      <c r="BS74" s="91"/>
      <c r="CE74" s="13"/>
      <c r="DF74" s="91"/>
      <c r="DR74" s="13"/>
      <c r="DS74" s="20"/>
      <c r="DT74" s="21"/>
      <c r="DU74" s="21"/>
      <c r="DV74" s="21"/>
      <c r="DW74" s="21"/>
      <c r="DX74" s="21"/>
      <c r="EE74" s="13"/>
      <c r="EF74" s="20"/>
      <c r="EG74" s="21"/>
      <c r="EH74" s="21"/>
      <c r="EI74" s="21"/>
      <c r="EJ74" s="21"/>
      <c r="EK74" s="21"/>
      <c r="ER74" s="13"/>
      <c r="ES74" s="20"/>
      <c r="ET74" s="21"/>
      <c r="EU74" s="21"/>
      <c r="EV74" s="21"/>
      <c r="EW74" s="21"/>
      <c r="EX74" s="21"/>
      <c r="FE74" s="13"/>
      <c r="FF74" s="20"/>
      <c r="FG74" s="21"/>
      <c r="FH74" s="21"/>
      <c r="FI74" s="21"/>
      <c r="FJ74" s="21"/>
      <c r="FK74" s="21"/>
      <c r="FR74" s="13"/>
    </row>
    <row r="75" spans="1:174" ht="15.6" x14ac:dyDescent="0.3">
      <c r="A75" s="113"/>
      <c r="B75" s="114"/>
      <c r="D75" s="114"/>
      <c r="F75" s="91"/>
      <c r="M75" s="103"/>
      <c r="N75" s="103"/>
      <c r="O75" s="103"/>
      <c r="P75" s="103"/>
      <c r="Q75" s="103"/>
      <c r="R75" s="104"/>
      <c r="S75" s="91"/>
      <c r="Z75" s="103"/>
      <c r="AA75" s="103"/>
      <c r="AB75" s="103"/>
      <c r="AC75" s="103"/>
      <c r="AD75" s="103"/>
      <c r="AE75" s="104"/>
      <c r="AM75" s="103"/>
      <c r="AN75" s="103"/>
      <c r="AO75" s="103"/>
      <c r="AP75" s="103"/>
      <c r="AQ75" s="103"/>
      <c r="AR75" s="103"/>
      <c r="AS75" s="91"/>
      <c r="AZ75" s="103"/>
      <c r="BA75" s="103"/>
      <c r="BB75" s="103"/>
      <c r="BC75" s="103"/>
      <c r="BD75" s="103"/>
      <c r="BE75" s="104"/>
      <c r="BM75" s="103"/>
      <c r="BN75" s="103"/>
      <c r="BO75" s="103"/>
      <c r="BP75" s="103"/>
      <c r="BQ75" s="103"/>
      <c r="BR75" s="103"/>
      <c r="BS75" s="91"/>
      <c r="CE75" s="13"/>
      <c r="DF75" s="91"/>
      <c r="DR75" s="13"/>
      <c r="DS75" s="20"/>
      <c r="DT75" s="21"/>
      <c r="DU75" s="21"/>
      <c r="DV75" s="21"/>
      <c r="DW75" s="21"/>
      <c r="DX75" s="21"/>
      <c r="EE75" s="13"/>
      <c r="EF75" s="20"/>
      <c r="EG75" s="21"/>
      <c r="EH75" s="21"/>
      <c r="EI75" s="21"/>
      <c r="EJ75" s="21"/>
      <c r="EK75" s="21"/>
      <c r="ER75" s="13"/>
      <c r="ES75" s="20"/>
      <c r="ET75" s="21"/>
      <c r="EU75" s="21"/>
      <c r="EV75" s="21"/>
      <c r="EW75" s="21"/>
      <c r="EX75" s="21"/>
      <c r="FE75" s="13"/>
      <c r="FF75" s="20"/>
      <c r="FG75" s="21"/>
      <c r="FH75" s="21"/>
      <c r="FI75" s="21"/>
      <c r="FJ75" s="21"/>
      <c r="FK75" s="21"/>
      <c r="FR75" s="13"/>
    </row>
    <row r="76" spans="1:174" ht="15.6" x14ac:dyDescent="0.3">
      <c r="B76" s="114"/>
      <c r="D76" s="114"/>
      <c r="F76" s="91"/>
      <c r="R76" s="13"/>
      <c r="S76" s="91"/>
      <c r="Z76" s="103"/>
      <c r="AA76" s="103"/>
      <c r="AB76" s="103"/>
      <c r="AC76" s="103"/>
      <c r="AD76" s="103"/>
      <c r="AE76" s="104"/>
      <c r="AM76" s="103"/>
      <c r="AN76" s="103"/>
      <c r="AO76" s="103"/>
      <c r="AP76" s="103"/>
      <c r="AQ76" s="103"/>
      <c r="AR76" s="103"/>
      <c r="AS76" s="91"/>
      <c r="BE76" s="13"/>
      <c r="BS76" s="91"/>
      <c r="CE76" s="13"/>
      <c r="DF76" s="91"/>
      <c r="DR76" s="13"/>
      <c r="DS76" s="20"/>
      <c r="DT76" s="21"/>
      <c r="DU76" s="21"/>
      <c r="DV76" s="21"/>
      <c r="DW76" s="21"/>
      <c r="DX76" s="21"/>
      <c r="EE76" s="13"/>
      <c r="EF76" s="20"/>
      <c r="EG76" s="21"/>
      <c r="EH76" s="21"/>
      <c r="EI76" s="21"/>
      <c r="EJ76" s="21"/>
      <c r="EK76" s="21"/>
      <c r="ER76" s="13"/>
      <c r="ES76" s="20"/>
      <c r="ET76" s="21"/>
      <c r="EU76" s="21"/>
      <c r="EV76" s="21"/>
      <c r="EW76" s="21"/>
      <c r="EX76" s="21"/>
      <c r="FE76" s="13"/>
      <c r="FF76" s="20"/>
      <c r="FG76" s="21"/>
      <c r="FH76" s="21"/>
      <c r="FI76" s="21"/>
      <c r="FJ76" s="21"/>
      <c r="FK76" s="21"/>
      <c r="FR76" s="13"/>
    </row>
    <row r="77" spans="1:174" ht="15.6" x14ac:dyDescent="0.3">
      <c r="F77" s="91"/>
      <c r="R77" s="13"/>
      <c r="S77" s="91"/>
      <c r="Z77" s="116"/>
      <c r="AA77" s="117"/>
      <c r="AB77" s="117"/>
      <c r="AC77" s="117"/>
      <c r="AD77" s="117"/>
      <c r="AE77" s="118"/>
      <c r="AS77" s="91"/>
      <c r="BE77" s="13"/>
      <c r="BS77" s="91"/>
      <c r="CE77" s="13"/>
      <c r="DF77" s="91"/>
      <c r="DR77" s="13"/>
      <c r="DS77" s="20"/>
      <c r="DT77" s="21"/>
      <c r="DU77" s="21"/>
      <c r="DV77" s="21"/>
      <c r="DW77" s="21"/>
      <c r="DX77" s="21"/>
      <c r="EE77" s="13"/>
      <c r="EF77" s="20"/>
      <c r="EG77" s="21"/>
      <c r="EH77" s="21"/>
      <c r="EI77" s="21"/>
      <c r="EJ77" s="21"/>
      <c r="EK77" s="21"/>
      <c r="ER77" s="13"/>
      <c r="ES77" s="20"/>
      <c r="ET77" s="21"/>
      <c r="EU77" s="21"/>
      <c r="EV77" s="21"/>
      <c r="EW77" s="21"/>
      <c r="EX77" s="21"/>
      <c r="FE77" s="13"/>
      <c r="FF77" s="20"/>
      <c r="FG77" s="21"/>
      <c r="FH77" s="21"/>
      <c r="FI77" s="21"/>
      <c r="FJ77" s="21"/>
      <c r="FK77" s="21"/>
      <c r="FR77" s="13"/>
    </row>
    <row r="78" spans="1:174" ht="15.6" x14ac:dyDescent="0.3">
      <c r="E78" s="119" t="s">
        <v>56</v>
      </c>
      <c r="F78" s="120">
        <f t="shared" ref="F78:AK78" si="18">F9+F31+F35+F56</f>
        <v>29.4</v>
      </c>
      <c r="G78" s="121">
        <f t="shared" si="18"/>
        <v>22.4</v>
      </c>
      <c r="H78" s="121">
        <f t="shared" si="18"/>
        <v>22.1</v>
      </c>
      <c r="I78" s="121">
        <f t="shared" si="18"/>
        <v>24.44</v>
      </c>
      <c r="J78" s="121">
        <f t="shared" si="18"/>
        <v>26.638999999999999</v>
      </c>
      <c r="K78" s="121">
        <f t="shared" si="18"/>
        <v>26.69</v>
      </c>
      <c r="L78" s="121">
        <f t="shared" si="18"/>
        <v>26.4</v>
      </c>
      <c r="M78" s="121">
        <f t="shared" si="18"/>
        <v>29</v>
      </c>
      <c r="N78" s="121">
        <f t="shared" si="18"/>
        <v>24</v>
      </c>
      <c r="O78" s="121">
        <f t="shared" si="18"/>
        <v>0</v>
      </c>
      <c r="P78" s="121">
        <f t="shared" si="18"/>
        <v>0</v>
      </c>
      <c r="Q78" s="121">
        <f t="shared" si="18"/>
        <v>0</v>
      </c>
      <c r="R78" s="122">
        <f t="shared" si="18"/>
        <v>0</v>
      </c>
      <c r="S78" s="120">
        <f t="shared" si="18"/>
        <v>53.6</v>
      </c>
      <c r="T78" s="121">
        <f t="shared" si="18"/>
        <v>48.65</v>
      </c>
      <c r="U78" s="121">
        <f t="shared" si="18"/>
        <v>50.9</v>
      </c>
      <c r="V78" s="121">
        <f t="shared" si="18"/>
        <v>56.6</v>
      </c>
      <c r="W78" s="121">
        <f t="shared" si="18"/>
        <v>56</v>
      </c>
      <c r="X78" s="121">
        <f t="shared" si="18"/>
        <v>64.8</v>
      </c>
      <c r="Y78" s="121">
        <f t="shared" si="18"/>
        <v>61</v>
      </c>
      <c r="Z78" s="121">
        <f t="shared" si="18"/>
        <v>59</v>
      </c>
      <c r="AA78" s="121">
        <f t="shared" si="18"/>
        <v>61</v>
      </c>
      <c r="AB78" s="121">
        <f t="shared" si="18"/>
        <v>0</v>
      </c>
      <c r="AC78" s="121">
        <f t="shared" si="18"/>
        <v>0</v>
      </c>
      <c r="AD78" s="121">
        <f t="shared" si="18"/>
        <v>0</v>
      </c>
      <c r="AE78" s="122">
        <f t="shared" si="18"/>
        <v>0</v>
      </c>
      <c r="AF78" s="121">
        <f t="shared" si="18"/>
        <v>15.2</v>
      </c>
      <c r="AG78" s="121">
        <f t="shared" si="18"/>
        <v>14.6</v>
      </c>
      <c r="AH78" s="121">
        <f t="shared" si="18"/>
        <v>18.399999999999999</v>
      </c>
      <c r="AI78" s="121">
        <f t="shared" si="18"/>
        <v>11.8</v>
      </c>
      <c r="AJ78" s="121">
        <f t="shared" si="18"/>
        <v>14.2</v>
      </c>
      <c r="AK78" s="121">
        <f t="shared" si="18"/>
        <v>14.4</v>
      </c>
      <c r="AL78" s="121">
        <f t="shared" ref="AL78:BQ78" si="19">AL9+AL31+AL35+AL56</f>
        <v>5.24</v>
      </c>
      <c r="AM78" s="121">
        <f t="shared" si="19"/>
        <v>5.8</v>
      </c>
      <c r="AN78" s="121">
        <f t="shared" si="19"/>
        <v>6</v>
      </c>
      <c r="AO78" s="121">
        <f t="shared" si="19"/>
        <v>0</v>
      </c>
      <c r="AP78" s="121">
        <f t="shared" si="19"/>
        <v>0</v>
      </c>
      <c r="AQ78" s="121">
        <f t="shared" si="19"/>
        <v>0</v>
      </c>
      <c r="AR78" s="122">
        <f t="shared" si="19"/>
        <v>0</v>
      </c>
      <c r="AS78" s="121">
        <f t="shared" si="19"/>
        <v>0</v>
      </c>
      <c r="AT78" s="121">
        <f t="shared" si="19"/>
        <v>0</v>
      </c>
      <c r="AU78" s="121">
        <f t="shared" si="19"/>
        <v>0</v>
      </c>
      <c r="AV78" s="121">
        <f t="shared" si="19"/>
        <v>0</v>
      </c>
      <c r="AW78" s="121">
        <f t="shared" si="19"/>
        <v>0</v>
      </c>
      <c r="AX78" s="121">
        <f t="shared" si="19"/>
        <v>0</v>
      </c>
      <c r="AY78" s="121">
        <f t="shared" si="19"/>
        <v>0</v>
      </c>
      <c r="AZ78" s="121">
        <f t="shared" si="19"/>
        <v>0</v>
      </c>
      <c r="BA78" s="121">
        <f t="shared" si="19"/>
        <v>0</v>
      </c>
      <c r="BB78" s="121">
        <f t="shared" si="19"/>
        <v>0</v>
      </c>
      <c r="BC78" s="121">
        <f t="shared" si="19"/>
        <v>0</v>
      </c>
      <c r="BD78" s="121">
        <f t="shared" si="19"/>
        <v>0</v>
      </c>
      <c r="BE78" s="122">
        <f t="shared" si="19"/>
        <v>0</v>
      </c>
      <c r="BF78" s="121">
        <f t="shared" si="19"/>
        <v>0</v>
      </c>
      <c r="BG78" s="121">
        <f t="shared" si="19"/>
        <v>0</v>
      </c>
      <c r="BH78" s="121">
        <f t="shared" si="19"/>
        <v>0</v>
      </c>
      <c r="BI78" s="121">
        <f t="shared" si="19"/>
        <v>0</v>
      </c>
      <c r="BJ78" s="121">
        <f t="shared" si="19"/>
        <v>0</v>
      </c>
      <c r="BK78" s="121">
        <f t="shared" si="19"/>
        <v>0</v>
      </c>
      <c r="BL78" s="121">
        <f t="shared" si="19"/>
        <v>0</v>
      </c>
      <c r="BM78" s="121">
        <f t="shared" si="19"/>
        <v>0</v>
      </c>
      <c r="BN78" s="121">
        <f t="shared" si="19"/>
        <v>0</v>
      </c>
      <c r="BO78" s="121">
        <f t="shared" si="19"/>
        <v>0</v>
      </c>
      <c r="BP78" s="121">
        <f t="shared" si="19"/>
        <v>0</v>
      </c>
      <c r="BQ78" s="121">
        <f t="shared" si="19"/>
        <v>0</v>
      </c>
      <c r="BR78" s="122">
        <f t="shared" ref="BR78:BX78" si="20">BR9+BR31+BR35+BR56</f>
        <v>0</v>
      </c>
      <c r="BS78" s="120">
        <f t="shared" si="20"/>
        <v>0</v>
      </c>
      <c r="BT78" s="121">
        <f t="shared" si="20"/>
        <v>7.2</v>
      </c>
      <c r="BU78" s="121">
        <f t="shared" si="20"/>
        <v>8.9</v>
      </c>
      <c r="BV78" s="121">
        <f t="shared" si="20"/>
        <v>3.1</v>
      </c>
      <c r="BW78" s="121">
        <f t="shared" si="20"/>
        <v>-1</v>
      </c>
      <c r="BX78" s="121">
        <f t="shared" si="20"/>
        <v>0</v>
      </c>
      <c r="BY78" s="121"/>
      <c r="BZ78" s="121">
        <f t="shared" ref="BZ78:CE78" si="21">BZ9+BZ31+BZ35+BZ56</f>
        <v>0</v>
      </c>
      <c r="CA78" s="121">
        <f t="shared" si="21"/>
        <v>1.2</v>
      </c>
      <c r="CB78" s="121">
        <f t="shared" si="21"/>
        <v>0</v>
      </c>
      <c r="CC78" s="121">
        <f t="shared" si="21"/>
        <v>0</v>
      </c>
      <c r="CD78" s="121">
        <f t="shared" si="21"/>
        <v>0</v>
      </c>
      <c r="CE78" s="122">
        <f t="shared" si="21"/>
        <v>0</v>
      </c>
      <c r="CF78" s="123"/>
      <c r="CG78" s="123"/>
      <c r="CH78" s="123"/>
      <c r="CI78" s="123"/>
      <c r="CJ78" s="123"/>
      <c r="CK78" s="123"/>
      <c r="CL78" s="123"/>
      <c r="CM78" s="124"/>
      <c r="CN78" s="124"/>
      <c r="CO78" s="124"/>
      <c r="CP78" s="124"/>
      <c r="CQ78" s="124"/>
      <c r="CR78" s="124"/>
      <c r="CS78" s="123"/>
      <c r="CT78" s="123"/>
      <c r="CU78" s="123"/>
      <c r="CV78" s="123"/>
      <c r="CW78" s="123"/>
      <c r="CX78" s="123"/>
      <c r="CY78" s="123"/>
      <c r="CZ78" s="123"/>
      <c r="DA78" s="123"/>
      <c r="DB78" s="123"/>
      <c r="DC78" s="123"/>
      <c r="DD78" s="123"/>
      <c r="DE78" s="123"/>
      <c r="DF78" s="125"/>
      <c r="DG78" s="123"/>
      <c r="DH78" s="123"/>
      <c r="DI78" s="123"/>
      <c r="DJ78" s="123"/>
      <c r="DK78" s="123"/>
      <c r="DL78" s="123"/>
      <c r="DM78" s="123"/>
      <c r="DN78" s="123"/>
      <c r="DO78" s="123"/>
      <c r="DP78" s="123"/>
      <c r="DQ78" s="123"/>
      <c r="DR78" s="126"/>
      <c r="DS78" s="99"/>
      <c r="DT78" s="97"/>
      <c r="DU78" s="97"/>
      <c r="DV78" s="97"/>
      <c r="DW78" s="97"/>
      <c r="DX78" s="97"/>
      <c r="DY78" s="97"/>
      <c r="DZ78" s="97"/>
      <c r="EA78" s="97"/>
      <c r="EB78" s="97"/>
      <c r="EC78" s="97"/>
      <c r="ED78" s="97"/>
      <c r="EE78" s="100"/>
      <c r="EF78" s="99"/>
      <c r="EG78" s="97"/>
      <c r="EH78" s="97"/>
      <c r="EI78" s="97"/>
      <c r="EJ78" s="97"/>
      <c r="EK78" s="97"/>
      <c r="EL78" s="97"/>
      <c r="EM78" s="97"/>
      <c r="EN78" s="97"/>
      <c r="EO78" s="97"/>
      <c r="EP78" s="97"/>
      <c r="EQ78" s="97"/>
      <c r="ER78" s="100"/>
      <c r="ES78" s="99"/>
      <c r="ET78" s="97"/>
      <c r="EU78" s="97"/>
      <c r="EV78" s="97"/>
      <c r="EW78" s="97"/>
      <c r="EX78" s="97"/>
      <c r="EY78" s="97"/>
      <c r="EZ78" s="97"/>
      <c r="FA78" s="97"/>
      <c r="FB78" s="97"/>
      <c r="FC78" s="97"/>
      <c r="FD78" s="97"/>
      <c r="FE78" s="100"/>
      <c r="FF78" s="99"/>
      <c r="FG78" s="97"/>
      <c r="FH78" s="97"/>
      <c r="FI78" s="97"/>
      <c r="FJ78" s="97"/>
      <c r="FK78" s="97"/>
      <c r="FL78" s="97"/>
      <c r="FM78" s="97"/>
      <c r="FN78" s="97"/>
      <c r="FO78" s="97"/>
      <c r="FP78" s="97"/>
      <c r="FQ78" s="97"/>
      <c r="FR78" s="100"/>
    </row>
    <row r="79" spans="1:174" ht="15.6" x14ac:dyDescent="0.3">
      <c r="Z79" s="103"/>
      <c r="AA79" s="103"/>
      <c r="AB79" s="103"/>
      <c r="AC79" s="103"/>
      <c r="AD79" s="103"/>
      <c r="AE79" s="103"/>
      <c r="BT79" s="4"/>
      <c r="BU79" s="4"/>
      <c r="BV79" s="4"/>
      <c r="BW79" s="4"/>
    </row>
    <row r="82" spans="13:18" ht="15.6" x14ac:dyDescent="0.3">
      <c r="M82" s="103"/>
      <c r="N82" s="103"/>
      <c r="O82" s="103"/>
      <c r="P82" s="103"/>
      <c r="Q82" s="103"/>
      <c r="R82" s="103"/>
    </row>
    <row r="85" spans="13:18" ht="15.6" x14ac:dyDescent="0.3">
      <c r="M85" s="103"/>
      <c r="N85" s="103"/>
      <c r="O85" s="103"/>
      <c r="P85" s="103"/>
      <c r="Q85" s="103"/>
      <c r="R85" s="103"/>
    </row>
  </sheetData>
  <mergeCells count="13">
    <mergeCell ref="EF4:ER4"/>
    <mergeCell ref="ES4:FE4"/>
    <mergeCell ref="FF4:FR4"/>
    <mergeCell ref="BS4:CE4"/>
    <mergeCell ref="CF4:CR4"/>
    <mergeCell ref="CS4:DE4"/>
    <mergeCell ref="DF4:DR4"/>
    <mergeCell ref="DS4:EE4"/>
    <mergeCell ref="F4:R4"/>
    <mergeCell ref="S4:AE4"/>
    <mergeCell ref="AF4:AR4"/>
    <mergeCell ref="AS4:BE4"/>
    <mergeCell ref="BF4:BR4"/>
  </mergeCells>
  <pageMargins left="0.7" right="0.7" top="0.75" bottom="0.75" header="0.511811023622047" footer="0.511811023622047"/>
  <pageSetup paperSize="8"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FR85"/>
  <sheetViews>
    <sheetView showGridLines="0" tabSelected="1" zoomScale="80" zoomScaleNormal="80" workbookViewId="0">
      <pane xSplit="5" topLeftCell="F1" activePane="topRight" state="frozen"/>
      <selection activeCell="A8" sqref="A8"/>
      <selection pane="topRight" activeCell="O6" sqref="O6"/>
    </sheetView>
  </sheetViews>
  <sheetFormatPr defaultColWidth="9" defaultRowHeight="15.75" outlineLevelCol="1" x14ac:dyDescent="0.25"/>
  <cols>
    <col min="1" max="3" width="9" style="2" hidden="1" outlineLevel="1"/>
    <col min="4" max="4" width="9" style="75" hidden="1" outlineLevel="1"/>
    <col min="5" max="5" width="32.625" style="2" customWidth="1" collapsed="1"/>
    <col min="6" max="83" width="8.625" style="2" customWidth="1"/>
    <col min="84" max="109" width="8.625" style="2" customWidth="1" outlineLevel="1"/>
    <col min="110" max="110" width="12.375" style="2" customWidth="1"/>
    <col min="111" max="115" width="8.625" style="2" customWidth="1"/>
    <col min="116" max="116" width="12.375" style="2" customWidth="1"/>
    <col min="117" max="122" width="8.625" style="2" customWidth="1"/>
    <col min="123" max="123" width="10.625" style="2" customWidth="1"/>
    <col min="124" max="131" width="9.375" style="2" customWidth="1"/>
    <col min="132" max="138" width="8.625" style="2" customWidth="1"/>
    <col min="139" max="140" width="7" style="2" customWidth="1"/>
    <col min="141" max="144" width="10.125" style="2" customWidth="1"/>
    <col min="145" max="146" width="7" style="2" customWidth="1"/>
    <col min="147" max="148" width="9" style="2"/>
    <col min="149" max="149" width="15.125" style="2" customWidth="1"/>
    <col min="150" max="150" width="12.625" style="2" customWidth="1"/>
    <col min="151" max="151" width="14.625" style="2" customWidth="1"/>
    <col min="152" max="152" width="13.875" style="2" customWidth="1"/>
    <col min="153" max="153" width="12.625" style="2" customWidth="1"/>
    <col min="154" max="157" width="12" style="2" customWidth="1"/>
    <col min="158" max="159" width="6.25" style="2" customWidth="1"/>
    <col min="160" max="160" width="7" style="2" customWidth="1"/>
    <col min="161" max="16384" width="9" style="2"/>
  </cols>
  <sheetData>
    <row r="1" spans="4:174" x14ac:dyDescent="0.25">
      <c r="E1" s="4"/>
    </row>
    <row r="2" spans="4:174" x14ac:dyDescent="0.25">
      <c r="F2" s="3"/>
      <c r="G2" s="3"/>
      <c r="H2" s="3"/>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row>
    <row r="3" spans="4:174" x14ac:dyDescent="0.25">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row>
    <row r="4" spans="4:174" s="77" customFormat="1" ht="40.5" customHeight="1" x14ac:dyDescent="0.2">
      <c r="D4" s="78"/>
      <c r="E4" s="127" t="s">
        <v>7</v>
      </c>
      <c r="F4" s="321" t="s">
        <v>26</v>
      </c>
      <c r="G4" s="321"/>
      <c r="H4" s="321"/>
      <c r="I4" s="321"/>
      <c r="J4" s="321"/>
      <c r="K4" s="321"/>
      <c r="L4" s="321"/>
      <c r="M4" s="321"/>
      <c r="N4" s="321"/>
      <c r="O4" s="321"/>
      <c r="P4" s="321"/>
      <c r="Q4" s="321"/>
      <c r="R4" s="321"/>
      <c r="S4" s="321" t="s">
        <v>27</v>
      </c>
      <c r="T4" s="321"/>
      <c r="U4" s="321"/>
      <c r="V4" s="321"/>
      <c r="W4" s="321"/>
      <c r="X4" s="321"/>
      <c r="Y4" s="321"/>
      <c r="Z4" s="321"/>
      <c r="AA4" s="321"/>
      <c r="AB4" s="321"/>
      <c r="AC4" s="321"/>
      <c r="AD4" s="321"/>
      <c r="AE4" s="321"/>
      <c r="AF4" s="321" t="s">
        <v>57</v>
      </c>
      <c r="AG4" s="321"/>
      <c r="AH4" s="321"/>
      <c r="AI4" s="321"/>
      <c r="AJ4" s="321"/>
      <c r="AK4" s="321"/>
      <c r="AL4" s="321"/>
      <c r="AM4" s="321"/>
      <c r="AN4" s="321"/>
      <c r="AO4" s="321"/>
      <c r="AP4" s="321"/>
      <c r="AQ4" s="321"/>
      <c r="AR4" s="321"/>
      <c r="AS4" s="321" t="s">
        <v>29</v>
      </c>
      <c r="AT4" s="321"/>
      <c r="AU4" s="321"/>
      <c r="AV4" s="321"/>
      <c r="AW4" s="321"/>
      <c r="AX4" s="321"/>
      <c r="AY4" s="321"/>
      <c r="AZ4" s="321"/>
      <c r="BA4" s="321"/>
      <c r="BB4" s="321"/>
      <c r="BC4" s="321"/>
      <c r="BD4" s="321"/>
      <c r="BE4" s="321"/>
      <c r="BF4" s="321" t="s">
        <v>30</v>
      </c>
      <c r="BG4" s="321"/>
      <c r="BH4" s="321"/>
      <c r="BI4" s="321"/>
      <c r="BJ4" s="321"/>
      <c r="BK4" s="321"/>
      <c r="BL4" s="321"/>
      <c r="BM4" s="321"/>
      <c r="BN4" s="321"/>
      <c r="BO4" s="321"/>
      <c r="BP4" s="321"/>
      <c r="BQ4" s="321"/>
      <c r="BR4" s="321"/>
      <c r="BS4" s="321" t="s">
        <v>31</v>
      </c>
      <c r="BT4" s="321"/>
      <c r="BU4" s="321"/>
      <c r="BV4" s="321"/>
      <c r="BW4" s="321"/>
      <c r="BX4" s="321"/>
      <c r="BY4" s="321"/>
      <c r="BZ4" s="321"/>
      <c r="CA4" s="321"/>
      <c r="CB4" s="321"/>
      <c r="CC4" s="321"/>
      <c r="CD4" s="321"/>
      <c r="CE4" s="321"/>
      <c r="CF4" s="324" t="s">
        <v>32</v>
      </c>
      <c r="CG4" s="324"/>
      <c r="CH4" s="324"/>
      <c r="CI4" s="324"/>
      <c r="CJ4" s="324"/>
      <c r="CK4" s="324"/>
      <c r="CL4" s="324"/>
      <c r="CM4" s="324"/>
      <c r="CN4" s="324"/>
      <c r="CO4" s="324"/>
      <c r="CP4" s="324"/>
      <c r="CQ4" s="324"/>
      <c r="CR4" s="324"/>
      <c r="CS4" s="322" t="s">
        <v>33</v>
      </c>
      <c r="CT4" s="322"/>
      <c r="CU4" s="322"/>
      <c r="CV4" s="322"/>
      <c r="CW4" s="322"/>
      <c r="CX4" s="322"/>
      <c r="CY4" s="322"/>
      <c r="CZ4" s="322"/>
      <c r="DA4" s="322"/>
      <c r="DB4" s="322"/>
      <c r="DC4" s="322"/>
      <c r="DD4" s="322"/>
      <c r="DE4" s="322"/>
      <c r="DF4" s="323" t="s">
        <v>34</v>
      </c>
      <c r="DG4" s="323"/>
      <c r="DH4" s="323"/>
      <c r="DI4" s="323"/>
      <c r="DJ4" s="323"/>
      <c r="DK4" s="323"/>
      <c r="DL4" s="323"/>
      <c r="DM4" s="323"/>
      <c r="DN4" s="323"/>
      <c r="DO4" s="323"/>
      <c r="DP4" s="323"/>
      <c r="DQ4" s="323"/>
      <c r="DR4" s="323"/>
      <c r="DS4" s="321" t="s">
        <v>35</v>
      </c>
      <c r="DT4" s="321"/>
      <c r="DU4" s="321"/>
      <c r="DV4" s="321"/>
      <c r="DW4" s="321"/>
      <c r="DX4" s="321"/>
      <c r="DY4" s="321"/>
      <c r="DZ4" s="321"/>
      <c r="EA4" s="321"/>
      <c r="EB4" s="321"/>
      <c r="EC4" s="321"/>
      <c r="ED4" s="321"/>
      <c r="EE4" s="321"/>
      <c r="EF4" s="321" t="s">
        <v>36</v>
      </c>
      <c r="EG4" s="321"/>
      <c r="EH4" s="321"/>
      <c r="EI4" s="321"/>
      <c r="EJ4" s="321"/>
      <c r="EK4" s="321"/>
      <c r="EL4" s="321"/>
      <c r="EM4" s="321"/>
      <c r="EN4" s="321"/>
      <c r="EO4" s="321"/>
      <c r="EP4" s="321"/>
      <c r="EQ4" s="321"/>
      <c r="ER4" s="321"/>
      <c r="ES4" s="321" t="s">
        <v>49</v>
      </c>
      <c r="ET4" s="321"/>
      <c r="EU4" s="321"/>
      <c r="EV4" s="321"/>
      <c r="EW4" s="321"/>
      <c r="EX4" s="321"/>
      <c r="EY4" s="321"/>
      <c r="EZ4" s="321"/>
      <c r="FA4" s="321"/>
      <c r="FB4" s="321"/>
      <c r="FC4" s="321"/>
      <c r="FD4" s="321"/>
      <c r="FE4" s="321"/>
      <c r="FF4" s="321" t="s">
        <v>50</v>
      </c>
      <c r="FG4" s="321"/>
      <c r="FH4" s="321"/>
      <c r="FI4" s="321"/>
      <c r="FJ4" s="321"/>
      <c r="FK4" s="321"/>
      <c r="FL4" s="321"/>
      <c r="FM4" s="321"/>
      <c r="FN4" s="321"/>
      <c r="FO4" s="321"/>
      <c r="FP4" s="321"/>
      <c r="FQ4" s="321"/>
      <c r="FR4" s="321"/>
    </row>
    <row r="5" spans="4:174" x14ac:dyDescent="0.25">
      <c r="E5" s="128"/>
      <c r="F5" s="81" t="s">
        <v>310</v>
      </c>
      <c r="G5" s="80" t="s">
        <v>311</v>
      </c>
      <c r="H5" s="80" t="s">
        <v>312</v>
      </c>
      <c r="I5" s="10" t="s">
        <v>313</v>
      </c>
      <c r="J5" s="10" t="s">
        <v>314</v>
      </c>
      <c r="K5" s="10" t="s">
        <v>315</v>
      </c>
      <c r="L5" s="82" t="s">
        <v>42</v>
      </c>
      <c r="M5" s="82" t="s">
        <v>43</v>
      </c>
      <c r="N5" s="10" t="s">
        <v>37</v>
      </c>
      <c r="O5" s="10" t="s">
        <v>38</v>
      </c>
      <c r="P5" s="10" t="s">
        <v>39</v>
      </c>
      <c r="Q5" s="10" t="s">
        <v>40</v>
      </c>
      <c r="R5" s="11" t="s">
        <v>41</v>
      </c>
      <c r="S5" s="129" t="s">
        <v>310</v>
      </c>
      <c r="T5" s="130" t="s">
        <v>311</v>
      </c>
      <c r="U5" s="130" t="s">
        <v>312</v>
      </c>
      <c r="V5" s="131" t="s">
        <v>313</v>
      </c>
      <c r="W5" s="131" t="s">
        <v>314</v>
      </c>
      <c r="X5" s="131" t="s">
        <v>315</v>
      </c>
      <c r="Y5" s="131" t="s">
        <v>42</v>
      </c>
      <c r="Z5" s="131" t="s">
        <v>43</v>
      </c>
      <c r="AA5" s="131" t="s">
        <v>37</v>
      </c>
      <c r="AB5" s="10" t="s">
        <v>38</v>
      </c>
      <c r="AC5" s="10" t="s">
        <v>39</v>
      </c>
      <c r="AD5" s="10" t="s">
        <v>40</v>
      </c>
      <c r="AE5" s="11" t="s">
        <v>41</v>
      </c>
      <c r="AF5" s="81" t="s">
        <v>310</v>
      </c>
      <c r="AG5" s="80" t="s">
        <v>311</v>
      </c>
      <c r="AH5" s="80" t="s">
        <v>312</v>
      </c>
      <c r="AI5" s="10" t="s">
        <v>313</v>
      </c>
      <c r="AJ5" s="10" t="s">
        <v>314</v>
      </c>
      <c r="AK5" s="10" t="s">
        <v>315</v>
      </c>
      <c r="AL5" s="10" t="s">
        <v>42</v>
      </c>
      <c r="AM5" s="10" t="s">
        <v>43</v>
      </c>
      <c r="AN5" s="10" t="s">
        <v>37</v>
      </c>
      <c r="AO5" s="10" t="s">
        <v>38</v>
      </c>
      <c r="AP5" s="10" t="s">
        <v>39</v>
      </c>
      <c r="AQ5" s="10" t="s">
        <v>40</v>
      </c>
      <c r="AR5" s="11" t="s">
        <v>41</v>
      </c>
      <c r="AS5" s="81" t="s">
        <v>310</v>
      </c>
      <c r="AT5" s="80" t="s">
        <v>311</v>
      </c>
      <c r="AU5" s="80" t="s">
        <v>312</v>
      </c>
      <c r="AV5" s="10" t="s">
        <v>313</v>
      </c>
      <c r="AW5" s="10" t="s">
        <v>314</v>
      </c>
      <c r="AX5" s="10" t="s">
        <v>315</v>
      </c>
      <c r="AY5" s="10" t="s">
        <v>42</v>
      </c>
      <c r="AZ5" s="10" t="s">
        <v>43</v>
      </c>
      <c r="BA5" s="10" t="s">
        <v>37</v>
      </c>
      <c r="BB5" s="10" t="s">
        <v>38</v>
      </c>
      <c r="BC5" s="10" t="s">
        <v>39</v>
      </c>
      <c r="BD5" s="10" t="s">
        <v>40</v>
      </c>
      <c r="BE5" s="11" t="s">
        <v>41</v>
      </c>
      <c r="BF5" s="81" t="s">
        <v>310</v>
      </c>
      <c r="BG5" s="80" t="s">
        <v>311</v>
      </c>
      <c r="BH5" s="80" t="s">
        <v>312</v>
      </c>
      <c r="BI5" s="10" t="s">
        <v>313</v>
      </c>
      <c r="BJ5" s="10" t="s">
        <v>314</v>
      </c>
      <c r="BK5" s="10" t="s">
        <v>315</v>
      </c>
      <c r="BL5" s="10" t="s">
        <v>42</v>
      </c>
      <c r="BM5" s="10" t="s">
        <v>43</v>
      </c>
      <c r="BN5" s="10" t="s">
        <v>37</v>
      </c>
      <c r="BO5" s="10" t="s">
        <v>38</v>
      </c>
      <c r="BP5" s="10" t="s">
        <v>39</v>
      </c>
      <c r="BQ5" s="10" t="s">
        <v>40</v>
      </c>
      <c r="BR5" s="11" t="s">
        <v>41</v>
      </c>
      <c r="BS5" s="81" t="s">
        <v>310</v>
      </c>
      <c r="BT5" s="80" t="s">
        <v>311</v>
      </c>
      <c r="BU5" s="80" t="s">
        <v>312</v>
      </c>
      <c r="BV5" s="10" t="s">
        <v>313</v>
      </c>
      <c r="BW5" s="10" t="s">
        <v>314</v>
      </c>
      <c r="BX5" s="10" t="s">
        <v>315</v>
      </c>
      <c r="BY5" s="82" t="s">
        <v>42</v>
      </c>
      <c r="BZ5" s="82" t="s">
        <v>43</v>
      </c>
      <c r="CA5" s="10" t="s">
        <v>37</v>
      </c>
      <c r="CB5" s="10" t="s">
        <v>38</v>
      </c>
      <c r="CC5" s="10" t="s">
        <v>39</v>
      </c>
      <c r="CD5" s="10" t="s">
        <v>40</v>
      </c>
      <c r="CE5" s="11" t="s">
        <v>41</v>
      </c>
      <c r="CF5" s="10" t="s">
        <v>310</v>
      </c>
      <c r="CG5" s="80" t="s">
        <v>311</v>
      </c>
      <c r="CH5" s="80" t="s">
        <v>312</v>
      </c>
      <c r="CI5" s="10" t="s">
        <v>313</v>
      </c>
      <c r="CJ5" s="10" t="s">
        <v>314</v>
      </c>
      <c r="CK5" s="10" t="s">
        <v>315</v>
      </c>
      <c r="CL5" s="82" t="s">
        <v>42</v>
      </c>
      <c r="CM5" s="82" t="s">
        <v>43</v>
      </c>
      <c r="CN5" s="82" t="s">
        <v>37</v>
      </c>
      <c r="CO5" s="10" t="s">
        <v>38</v>
      </c>
      <c r="CP5" s="10" t="s">
        <v>39</v>
      </c>
      <c r="CQ5" s="10" t="s">
        <v>40</v>
      </c>
      <c r="CR5" s="11" t="s">
        <v>41</v>
      </c>
      <c r="CS5" s="81" t="s">
        <v>310</v>
      </c>
      <c r="CT5" s="80" t="s">
        <v>311</v>
      </c>
      <c r="CU5" s="80" t="s">
        <v>312</v>
      </c>
      <c r="CV5" s="10" t="s">
        <v>313</v>
      </c>
      <c r="CW5" s="10" t="s">
        <v>314</v>
      </c>
      <c r="CX5" s="10" t="s">
        <v>315</v>
      </c>
      <c r="CY5" s="82" t="s">
        <v>42</v>
      </c>
      <c r="CZ5" s="82" t="s">
        <v>43</v>
      </c>
      <c r="DA5" s="10" t="s">
        <v>37</v>
      </c>
      <c r="DB5" s="10" t="s">
        <v>38</v>
      </c>
      <c r="DC5" s="10" t="s">
        <v>39</v>
      </c>
      <c r="DD5" s="10" t="s">
        <v>40</v>
      </c>
      <c r="DE5" s="10" t="s">
        <v>41</v>
      </c>
      <c r="DF5" s="81" t="s">
        <v>310</v>
      </c>
      <c r="DG5" s="80" t="s">
        <v>311</v>
      </c>
      <c r="DH5" s="80" t="s">
        <v>312</v>
      </c>
      <c r="DI5" s="10" t="s">
        <v>313</v>
      </c>
      <c r="DJ5" s="10" t="s">
        <v>314</v>
      </c>
      <c r="DK5" s="10" t="s">
        <v>315</v>
      </c>
      <c r="DL5" s="82" t="s">
        <v>42</v>
      </c>
      <c r="DM5" s="82" t="s">
        <v>43</v>
      </c>
      <c r="DN5" s="10" t="s">
        <v>37</v>
      </c>
      <c r="DO5" s="10" t="s">
        <v>38</v>
      </c>
      <c r="DP5" s="10" t="s">
        <v>39</v>
      </c>
      <c r="DQ5" s="10" t="s">
        <v>40</v>
      </c>
      <c r="DR5" s="11" t="s">
        <v>41</v>
      </c>
      <c r="DS5" s="83" t="s">
        <v>310</v>
      </c>
      <c r="DT5" s="3" t="s">
        <v>311</v>
      </c>
      <c r="DU5" s="3" t="s">
        <v>312</v>
      </c>
      <c r="DV5" s="82" t="s">
        <v>313</v>
      </c>
      <c r="DW5" s="82" t="s">
        <v>314</v>
      </c>
      <c r="DX5" s="82" t="s">
        <v>315</v>
      </c>
      <c r="DY5" s="82" t="s">
        <v>42</v>
      </c>
      <c r="DZ5" s="82" t="s">
        <v>43</v>
      </c>
      <c r="EA5" s="82" t="s">
        <v>37</v>
      </c>
      <c r="EB5" s="82" t="s">
        <v>38</v>
      </c>
      <c r="EC5" s="82" t="s">
        <v>39</v>
      </c>
      <c r="ED5" s="82" t="s">
        <v>40</v>
      </c>
      <c r="EE5" s="11" t="s">
        <v>41</v>
      </c>
      <c r="EF5" s="81" t="s">
        <v>310</v>
      </c>
      <c r="EG5" s="80" t="s">
        <v>311</v>
      </c>
      <c r="EH5" s="80" t="s">
        <v>312</v>
      </c>
      <c r="EI5" s="10" t="s">
        <v>313</v>
      </c>
      <c r="EJ5" s="10" t="s">
        <v>314</v>
      </c>
      <c r="EK5" s="10" t="s">
        <v>315</v>
      </c>
      <c r="EL5" s="10" t="s">
        <v>42</v>
      </c>
      <c r="EM5" s="10" t="s">
        <v>43</v>
      </c>
      <c r="EN5" s="10" t="s">
        <v>37</v>
      </c>
      <c r="EO5" s="10" t="s">
        <v>38</v>
      </c>
      <c r="EP5" s="10" t="s">
        <v>39</v>
      </c>
      <c r="EQ5" s="10" t="s">
        <v>40</v>
      </c>
      <c r="ER5" s="11" t="s">
        <v>41</v>
      </c>
      <c r="ES5" s="81" t="s">
        <v>310</v>
      </c>
      <c r="ET5" s="80" t="s">
        <v>311</v>
      </c>
      <c r="EU5" s="80" t="s">
        <v>312</v>
      </c>
      <c r="EV5" s="10" t="s">
        <v>313</v>
      </c>
      <c r="EW5" s="10" t="s">
        <v>314</v>
      </c>
      <c r="EX5" s="10" t="s">
        <v>315</v>
      </c>
      <c r="EY5" s="10" t="s">
        <v>42</v>
      </c>
      <c r="EZ5" s="10" t="s">
        <v>43</v>
      </c>
      <c r="FA5" s="10" t="s">
        <v>37</v>
      </c>
      <c r="FB5" s="10" t="s">
        <v>38</v>
      </c>
      <c r="FC5" s="10" t="s">
        <v>39</v>
      </c>
      <c r="FD5" s="10" t="s">
        <v>40</v>
      </c>
      <c r="FE5" s="11" t="s">
        <v>41</v>
      </c>
      <c r="FF5" s="83" t="s">
        <v>310</v>
      </c>
      <c r="FG5" s="3" t="s">
        <v>311</v>
      </c>
      <c r="FH5" s="3" t="s">
        <v>312</v>
      </c>
      <c r="FI5" s="82" t="s">
        <v>313</v>
      </c>
      <c r="FJ5" s="82" t="s">
        <v>314</v>
      </c>
      <c r="FK5" s="82" t="s">
        <v>315</v>
      </c>
      <c r="FL5" s="82" t="s">
        <v>42</v>
      </c>
      <c r="FM5" s="82" t="s">
        <v>43</v>
      </c>
      <c r="FN5" s="82" t="s">
        <v>37</v>
      </c>
      <c r="FO5" s="82" t="s">
        <v>38</v>
      </c>
      <c r="FP5" s="82" t="s">
        <v>39</v>
      </c>
      <c r="FQ5" s="82" t="s">
        <v>40</v>
      </c>
      <c r="FR5" s="11" t="s">
        <v>41</v>
      </c>
    </row>
    <row r="6" spans="4:174" ht="16.5" customHeight="1" x14ac:dyDescent="0.25">
      <c r="E6" s="132" t="s">
        <v>44</v>
      </c>
      <c r="F6" s="86">
        <f t="shared" ref="F6:AK6" si="0">F9+F31+F35+F56</f>
        <v>202.614</v>
      </c>
      <c r="G6" s="86">
        <f t="shared" si="0"/>
        <v>139.02199999999999</v>
      </c>
      <c r="H6" s="86">
        <f t="shared" si="0"/>
        <v>158.54300000000001</v>
      </c>
      <c r="I6" s="86">
        <f t="shared" si="0"/>
        <v>165.102</v>
      </c>
      <c r="J6" s="86">
        <f t="shared" si="0"/>
        <v>170.738</v>
      </c>
      <c r="K6" s="86">
        <f t="shared" si="0"/>
        <v>169.56800000000001</v>
      </c>
      <c r="L6" s="86">
        <f t="shared" si="0"/>
        <v>180.78399999999999</v>
      </c>
      <c r="M6" s="86">
        <f t="shared" si="0"/>
        <v>199.32547618334866</v>
      </c>
      <c r="N6" s="86">
        <f t="shared" si="0"/>
        <v>184.3373</v>
      </c>
      <c r="O6" s="86">
        <f t="shared" si="0"/>
        <v>0</v>
      </c>
      <c r="P6" s="86">
        <f t="shared" si="0"/>
        <v>0</v>
      </c>
      <c r="Q6" s="86">
        <f t="shared" si="0"/>
        <v>0</v>
      </c>
      <c r="R6" s="86">
        <f t="shared" si="0"/>
        <v>0</v>
      </c>
      <c r="S6" s="133">
        <f t="shared" si="0"/>
        <v>567.88300000000004</v>
      </c>
      <c r="T6" s="134">
        <f t="shared" si="0"/>
        <v>546.596</v>
      </c>
      <c r="U6" s="134">
        <f t="shared" si="0"/>
        <v>581.34100000000001</v>
      </c>
      <c r="V6" s="134">
        <f t="shared" si="0"/>
        <v>629.61300000000006</v>
      </c>
      <c r="W6" s="134">
        <f t="shared" si="0"/>
        <v>624.45699999999999</v>
      </c>
      <c r="X6" s="134">
        <f t="shared" si="0"/>
        <v>626.66200000000003</v>
      </c>
      <c r="Y6" s="134">
        <f t="shared" si="0"/>
        <v>616.68399999999997</v>
      </c>
      <c r="Z6" s="134">
        <f t="shared" si="0"/>
        <v>638.54084743649332</v>
      </c>
      <c r="AA6" s="134">
        <f t="shared" si="0"/>
        <v>635.71100000000001</v>
      </c>
      <c r="AB6" s="134">
        <f t="shared" si="0"/>
        <v>0</v>
      </c>
      <c r="AC6" s="134">
        <f t="shared" si="0"/>
        <v>0</v>
      </c>
      <c r="AD6" s="134">
        <f t="shared" si="0"/>
        <v>0</v>
      </c>
      <c r="AE6" s="135">
        <f t="shared" si="0"/>
        <v>0</v>
      </c>
      <c r="AF6" s="133">
        <f t="shared" si="0"/>
        <v>102.44199999999999</v>
      </c>
      <c r="AG6" s="134">
        <f t="shared" si="0"/>
        <v>104.43</v>
      </c>
      <c r="AH6" s="134">
        <f t="shared" si="0"/>
        <v>106.005</v>
      </c>
      <c r="AI6" s="134">
        <f t="shared" si="0"/>
        <v>112.62100000000001</v>
      </c>
      <c r="AJ6" s="134">
        <f t="shared" si="0"/>
        <v>113.134</v>
      </c>
      <c r="AK6" s="134">
        <f t="shared" si="0"/>
        <v>113.73699999999999</v>
      </c>
      <c r="AL6" s="134">
        <f t="shared" ref="AL6:BR6" si="1">AL9+AL31+AL35+AL56</f>
        <v>121.202</v>
      </c>
      <c r="AM6" s="134">
        <f t="shared" si="1"/>
        <v>140.49736527803773</v>
      </c>
      <c r="AN6" s="134">
        <f t="shared" si="1"/>
        <v>139.76399999999998</v>
      </c>
      <c r="AO6" s="134">
        <f t="shared" si="1"/>
        <v>0</v>
      </c>
      <c r="AP6" s="134">
        <f t="shared" si="1"/>
        <v>0</v>
      </c>
      <c r="AQ6" s="134">
        <f t="shared" si="1"/>
        <v>0</v>
      </c>
      <c r="AR6" s="135">
        <f t="shared" si="1"/>
        <v>0</v>
      </c>
      <c r="AS6" s="133">
        <f t="shared" si="1"/>
        <v>5.5</v>
      </c>
      <c r="AT6" s="134">
        <f t="shared" si="1"/>
        <v>9.8000000000000007</v>
      </c>
      <c r="AU6" s="134">
        <f t="shared" si="1"/>
        <v>9.8000000000000007</v>
      </c>
      <c r="AV6" s="134">
        <f t="shared" si="1"/>
        <v>23.2</v>
      </c>
      <c r="AW6" s="134">
        <f t="shared" si="1"/>
        <v>7.3</v>
      </c>
      <c r="AX6" s="134">
        <f t="shared" si="1"/>
        <v>8.1</v>
      </c>
      <c r="AY6" s="134">
        <f t="shared" si="1"/>
        <v>8.109</v>
      </c>
      <c r="AZ6" s="134">
        <f t="shared" si="1"/>
        <v>12.497999999999999</v>
      </c>
      <c r="BA6" s="134">
        <f t="shared" si="1"/>
        <v>12.497999999999999</v>
      </c>
      <c r="BB6" s="134">
        <f t="shared" si="1"/>
        <v>0</v>
      </c>
      <c r="BC6" s="134">
        <f t="shared" si="1"/>
        <v>0</v>
      </c>
      <c r="BD6" s="134">
        <f t="shared" si="1"/>
        <v>0</v>
      </c>
      <c r="BE6" s="135">
        <f t="shared" si="1"/>
        <v>0</v>
      </c>
      <c r="BF6" s="136">
        <f t="shared" si="1"/>
        <v>0.16400000000000001</v>
      </c>
      <c r="BG6" s="137">
        <f t="shared" si="1"/>
        <v>-0.13400000000000001</v>
      </c>
      <c r="BH6" s="137">
        <f t="shared" si="1"/>
        <v>3.2000000000000001E-2</v>
      </c>
      <c r="BI6" s="137">
        <f t="shared" si="1"/>
        <v>0.47499999999999998</v>
      </c>
      <c r="BJ6" s="137">
        <f t="shared" si="1"/>
        <v>1.6020000000000001</v>
      </c>
      <c r="BK6" s="137">
        <f t="shared" si="1"/>
        <v>-0.72199999999999998</v>
      </c>
      <c r="BL6" s="137">
        <f t="shared" si="1"/>
        <v>-0.17799999999999999</v>
      </c>
      <c r="BM6" s="137">
        <f t="shared" si="1"/>
        <v>0.21199999999999999</v>
      </c>
      <c r="BN6" s="137">
        <f t="shared" si="1"/>
        <v>0.21099999999999999</v>
      </c>
      <c r="BO6" s="137">
        <f t="shared" si="1"/>
        <v>0</v>
      </c>
      <c r="BP6" s="137">
        <f t="shared" si="1"/>
        <v>0</v>
      </c>
      <c r="BQ6" s="137">
        <f t="shared" si="1"/>
        <v>0</v>
      </c>
      <c r="BR6" s="138">
        <f t="shared" si="1"/>
        <v>0</v>
      </c>
      <c r="BS6" s="30">
        <v>0</v>
      </c>
      <c r="BT6" s="31">
        <f t="shared" ref="BT6:CE6" si="2">BT9+BT31+BT35+BT56</f>
        <v>46.878999999999998</v>
      </c>
      <c r="BU6" s="31">
        <f t="shared" si="2"/>
        <v>53.165999999999997</v>
      </c>
      <c r="BV6" s="31">
        <f t="shared" si="2"/>
        <v>18.2</v>
      </c>
      <c r="BW6" s="31">
        <f t="shared" si="2"/>
        <v>10.816000000000001</v>
      </c>
      <c r="BX6" s="31">
        <f t="shared" si="2"/>
        <v>-0.35499999999999998</v>
      </c>
      <c r="BY6" s="31">
        <f t="shared" si="2"/>
        <v>0</v>
      </c>
      <c r="BZ6" s="31">
        <f t="shared" si="2"/>
        <v>0</v>
      </c>
      <c r="CA6" s="31">
        <f t="shared" si="2"/>
        <v>0</v>
      </c>
      <c r="CB6" s="31">
        <f t="shared" si="2"/>
        <v>0</v>
      </c>
      <c r="CC6" s="31">
        <f t="shared" si="2"/>
        <v>0</v>
      </c>
      <c r="CD6" s="31">
        <f t="shared" si="2"/>
        <v>0</v>
      </c>
      <c r="CE6" s="88">
        <f t="shared" si="2"/>
        <v>0</v>
      </c>
      <c r="CF6" s="31">
        <f t="shared" ref="CF6:CR6" si="3">+BF6+AS6+AF6+S6</f>
        <v>675.98900000000003</v>
      </c>
      <c r="CG6" s="31">
        <f t="shared" si="3"/>
        <v>660.69200000000001</v>
      </c>
      <c r="CH6" s="31">
        <f t="shared" si="3"/>
        <v>697.178</v>
      </c>
      <c r="CI6" s="31">
        <f t="shared" si="3"/>
        <v>765.90900000000011</v>
      </c>
      <c r="CJ6" s="31">
        <f t="shared" si="3"/>
        <v>746.49299999999994</v>
      </c>
      <c r="CK6" s="31">
        <f t="shared" si="3"/>
        <v>747.77700000000004</v>
      </c>
      <c r="CL6" s="31">
        <f t="shared" si="3"/>
        <v>745.81700000000001</v>
      </c>
      <c r="CM6" s="31">
        <f t="shared" si="3"/>
        <v>791.74821271453106</v>
      </c>
      <c r="CN6" s="31">
        <f t="shared" si="3"/>
        <v>788.18399999999997</v>
      </c>
      <c r="CO6" s="31">
        <f t="shared" si="3"/>
        <v>0</v>
      </c>
      <c r="CP6" s="31">
        <f t="shared" si="3"/>
        <v>0</v>
      </c>
      <c r="CQ6" s="31">
        <f t="shared" si="3"/>
        <v>0</v>
      </c>
      <c r="CR6" s="31">
        <f t="shared" si="3"/>
        <v>0</v>
      </c>
      <c r="CS6" s="30">
        <f t="shared" ref="CS6:DE6" si="4">+CF6-BS6-F6</f>
        <v>473.375</v>
      </c>
      <c r="CT6" s="31">
        <f t="shared" si="4"/>
        <v>474.791</v>
      </c>
      <c r="CU6" s="31">
        <f t="shared" si="4"/>
        <v>485.46899999999994</v>
      </c>
      <c r="CV6" s="31">
        <f t="shared" si="4"/>
        <v>582.60700000000008</v>
      </c>
      <c r="CW6" s="31">
        <f t="shared" si="4"/>
        <v>564.93899999999985</v>
      </c>
      <c r="CX6" s="31">
        <f t="shared" si="4"/>
        <v>578.56400000000008</v>
      </c>
      <c r="CY6" s="31">
        <f t="shared" si="4"/>
        <v>565.03300000000002</v>
      </c>
      <c r="CZ6" s="31">
        <f t="shared" si="4"/>
        <v>592.42273653118241</v>
      </c>
      <c r="DA6" s="31">
        <f t="shared" si="4"/>
        <v>603.84669999999994</v>
      </c>
      <c r="DB6" s="31">
        <f t="shared" si="4"/>
        <v>0</v>
      </c>
      <c r="DC6" s="31">
        <f t="shared" si="4"/>
        <v>0</v>
      </c>
      <c r="DD6" s="31">
        <f t="shared" si="4"/>
        <v>0</v>
      </c>
      <c r="DE6" s="31">
        <f t="shared" si="4"/>
        <v>0</v>
      </c>
      <c r="DF6" s="32">
        <f t="shared" ref="DF6:DK6" si="5">+AF6/CF6</f>
        <v>0.15154388606915201</v>
      </c>
      <c r="DG6" s="33">
        <f t="shared" si="5"/>
        <v>0.15806154758949709</v>
      </c>
      <c r="DH6" s="33">
        <f t="shared" si="5"/>
        <v>0.15204868770959495</v>
      </c>
      <c r="DI6" s="33">
        <f t="shared" si="5"/>
        <v>0.14704227264596706</v>
      </c>
      <c r="DJ6" s="33">
        <f t="shared" si="5"/>
        <v>0.15155399983656914</v>
      </c>
      <c r="DK6" s="33">
        <f t="shared" si="5"/>
        <v>0.15210015820224476</v>
      </c>
      <c r="DL6" s="33">
        <f t="shared" ref="DL6:DR6" si="6">IFERROR((+AL6/CL6),0)</f>
        <v>0.16250903371738643</v>
      </c>
      <c r="DM6" s="33">
        <f t="shared" si="6"/>
        <v>0.17745207759464154</v>
      </c>
      <c r="DN6" s="33">
        <f t="shared" si="6"/>
        <v>0.17732407661155261</v>
      </c>
      <c r="DO6" s="33">
        <f t="shared" si="6"/>
        <v>0</v>
      </c>
      <c r="DP6" s="33">
        <f t="shared" si="6"/>
        <v>0</v>
      </c>
      <c r="DQ6" s="33">
        <f t="shared" si="6"/>
        <v>0</v>
      </c>
      <c r="DR6" s="33">
        <f t="shared" si="6"/>
        <v>0</v>
      </c>
      <c r="DS6" s="35">
        <f>DS35</f>
        <v>613716</v>
      </c>
      <c r="DT6" s="35">
        <f>DT35</f>
        <v>612621</v>
      </c>
      <c r="DU6" s="35">
        <f>DU35</f>
        <v>613426</v>
      </c>
      <c r="DV6" s="35">
        <f t="shared" ref="DV6:ED6" si="7">DV35+DV31</f>
        <v>594508</v>
      </c>
      <c r="DW6" s="35">
        <f t="shared" si="7"/>
        <v>556367</v>
      </c>
      <c r="DX6" s="35">
        <f t="shared" si="7"/>
        <v>547218</v>
      </c>
      <c r="DY6" s="35">
        <f t="shared" si="7"/>
        <v>551266</v>
      </c>
      <c r="DZ6" s="35">
        <f t="shared" si="7"/>
        <v>548559</v>
      </c>
      <c r="EA6" s="35">
        <f t="shared" si="7"/>
        <v>552035</v>
      </c>
      <c r="EB6" s="35">
        <f t="shared" si="7"/>
        <v>0</v>
      </c>
      <c r="EC6" s="35">
        <f t="shared" si="7"/>
        <v>0</v>
      </c>
      <c r="ED6" s="35">
        <f t="shared" si="7"/>
        <v>0</v>
      </c>
      <c r="EE6" s="90"/>
      <c r="EF6" s="32"/>
      <c r="EG6" s="33"/>
      <c r="EH6" s="33"/>
      <c r="EI6" s="33"/>
      <c r="EJ6" s="33"/>
      <c r="EK6" s="33"/>
      <c r="EL6" s="89"/>
      <c r="EM6" s="89"/>
      <c r="EN6" s="89"/>
      <c r="EO6" s="89"/>
      <c r="EP6" s="89"/>
      <c r="EQ6" s="89"/>
      <c r="ER6" s="90"/>
      <c r="ES6" s="139">
        <f t="shared" ref="ES6:FC6" si="8">ES31+ES35</f>
        <v>14521000</v>
      </c>
      <c r="ET6" s="35">
        <f t="shared" si="8"/>
        <v>9472000</v>
      </c>
      <c r="EU6" s="140">
        <f t="shared" si="8"/>
        <v>8938000</v>
      </c>
      <c r="EV6" s="35">
        <f t="shared" si="8"/>
        <v>11162000</v>
      </c>
      <c r="EW6" s="35">
        <f t="shared" si="8"/>
        <v>11074000</v>
      </c>
      <c r="EX6" s="35">
        <f t="shared" si="8"/>
        <v>11301000</v>
      </c>
      <c r="EY6" s="35">
        <f t="shared" si="8"/>
        <v>10962000</v>
      </c>
      <c r="EZ6" s="35">
        <f t="shared" si="8"/>
        <v>10971000</v>
      </c>
      <c r="FA6" s="35">
        <f t="shared" si="8"/>
        <v>10519000</v>
      </c>
      <c r="FB6" s="35">
        <f t="shared" si="8"/>
        <v>0</v>
      </c>
      <c r="FC6" s="35">
        <f t="shared" si="8"/>
        <v>0</v>
      </c>
      <c r="FD6" s="89"/>
      <c r="FE6" s="34"/>
      <c r="FF6" s="35">
        <f t="shared" ref="FF6:FQ6" si="9">FF31</f>
        <v>0</v>
      </c>
      <c r="FG6" s="35">
        <f t="shared" si="9"/>
        <v>0</v>
      </c>
      <c r="FH6" s="35">
        <f t="shared" si="9"/>
        <v>0</v>
      </c>
      <c r="FI6" s="35">
        <f t="shared" si="9"/>
        <v>0</v>
      </c>
      <c r="FJ6" s="35">
        <f t="shared" si="9"/>
        <v>0</v>
      </c>
      <c r="FK6" s="35">
        <f t="shared" si="9"/>
        <v>0</v>
      </c>
      <c r="FL6" s="35">
        <f t="shared" si="9"/>
        <v>0</v>
      </c>
      <c r="FM6" s="35">
        <f t="shared" si="9"/>
        <v>0</v>
      </c>
      <c r="FN6" s="35">
        <f t="shared" si="9"/>
        <v>0</v>
      </c>
      <c r="FO6" s="35">
        <f t="shared" si="9"/>
        <v>0</v>
      </c>
      <c r="FP6" s="35">
        <f t="shared" si="9"/>
        <v>0</v>
      </c>
      <c r="FQ6" s="35">
        <f t="shared" si="9"/>
        <v>0</v>
      </c>
      <c r="FR6" s="90"/>
    </row>
    <row r="7" spans="4:174" ht="16.5" customHeight="1" x14ac:dyDescent="0.25">
      <c r="S7" s="91"/>
      <c r="AE7" s="13"/>
      <c r="AF7" s="91"/>
      <c r="AR7" s="13"/>
      <c r="AS7" s="91"/>
      <c r="BE7" s="13"/>
      <c r="BF7" s="91"/>
      <c r="BR7" s="13"/>
      <c r="BS7" s="91"/>
      <c r="CE7" s="13"/>
      <c r="DF7" s="91"/>
      <c r="DR7" s="13"/>
      <c r="DS7" s="91"/>
      <c r="EE7" s="13"/>
      <c r="EF7" s="91"/>
      <c r="ER7" s="13"/>
      <c r="ES7" s="91"/>
      <c r="FE7" s="13"/>
      <c r="FF7" s="91"/>
      <c r="FR7" s="13"/>
    </row>
    <row r="8" spans="4:174" x14ac:dyDescent="0.25">
      <c r="S8" s="91"/>
      <c r="AE8" s="13"/>
      <c r="AF8" s="91"/>
      <c r="AR8" s="13"/>
      <c r="AS8" s="91"/>
      <c r="BE8" s="13"/>
      <c r="BF8" s="91"/>
      <c r="BR8" s="13"/>
      <c r="BS8" s="91"/>
      <c r="CE8" s="13"/>
      <c r="DF8" s="91"/>
      <c r="DR8" s="13"/>
      <c r="DS8" s="91"/>
      <c r="EE8" s="13"/>
      <c r="EF8" s="91"/>
      <c r="ER8" s="13"/>
      <c r="ES8" s="91"/>
      <c r="FE8" s="13"/>
      <c r="FF8" s="91"/>
      <c r="FR8" s="13"/>
    </row>
    <row r="9" spans="4:174" s="4" customFormat="1" ht="18.75" customHeight="1" x14ac:dyDescent="0.3">
      <c r="D9" s="92"/>
      <c r="E9" s="93" t="s">
        <v>51</v>
      </c>
      <c r="F9" s="95">
        <v>6.8159999999999998</v>
      </c>
      <c r="G9" s="95">
        <v>7.2949999999999999</v>
      </c>
      <c r="H9" s="95">
        <v>8.5</v>
      </c>
      <c r="I9" s="95">
        <v>9.3149999999999995</v>
      </c>
      <c r="J9" s="95">
        <v>10.44</v>
      </c>
      <c r="K9" s="95">
        <v>12.05</v>
      </c>
      <c r="L9" s="95">
        <f t="shared" ref="L9:R9" si="10">SUM(L10:L28)</f>
        <v>12.272000000000002</v>
      </c>
      <c r="M9" s="95">
        <f t="shared" si="10"/>
        <v>13.382516183348642</v>
      </c>
      <c r="N9" s="95">
        <f t="shared" si="10"/>
        <v>12.989000000000001</v>
      </c>
      <c r="O9" s="95">
        <f t="shared" si="10"/>
        <v>0</v>
      </c>
      <c r="P9" s="95">
        <f t="shared" si="10"/>
        <v>0</v>
      </c>
      <c r="Q9" s="95">
        <f t="shared" si="10"/>
        <v>0</v>
      </c>
      <c r="R9" s="95">
        <f t="shared" si="10"/>
        <v>0</v>
      </c>
      <c r="S9" s="95">
        <v>80.662000000000006</v>
      </c>
      <c r="T9" s="95">
        <v>54.857999999999997</v>
      </c>
      <c r="U9" s="95">
        <v>69.867000000000004</v>
      </c>
      <c r="V9" s="95">
        <v>84.893000000000001</v>
      </c>
      <c r="W9" s="95">
        <v>101.625</v>
      </c>
      <c r="X9" s="95">
        <v>108.61799999999999</v>
      </c>
      <c r="Y9" s="95">
        <f t="shared" ref="Y9:AE9" si="11">SUM(Y10:Y29)</f>
        <v>101.16300000000001</v>
      </c>
      <c r="Z9" s="95">
        <f t="shared" si="11"/>
        <v>105.08446742670645</v>
      </c>
      <c r="AA9" s="95">
        <f t="shared" si="11"/>
        <v>95.211999999999989</v>
      </c>
      <c r="AB9" s="95">
        <f t="shared" si="11"/>
        <v>0</v>
      </c>
      <c r="AC9" s="95">
        <f t="shared" si="11"/>
        <v>0</v>
      </c>
      <c r="AD9" s="95">
        <f t="shared" si="11"/>
        <v>0</v>
      </c>
      <c r="AE9" s="96">
        <f t="shared" si="11"/>
        <v>0</v>
      </c>
      <c r="AF9" s="94">
        <v>24.491</v>
      </c>
      <c r="AG9" s="95">
        <v>25.4</v>
      </c>
      <c r="AH9" s="95">
        <v>25.38</v>
      </c>
      <c r="AI9" s="95">
        <v>28.045999999999999</v>
      </c>
      <c r="AJ9" s="95">
        <v>28.940999999999999</v>
      </c>
      <c r="AK9" s="95">
        <v>28.547999999999998</v>
      </c>
      <c r="AL9" s="141">
        <f t="shared" ref="AL9:AR9" si="12">SUM(AL10:AL30)</f>
        <v>29.761000000000003</v>
      </c>
      <c r="AM9" s="141">
        <f t="shared" si="12"/>
        <v>32.302365278037747</v>
      </c>
      <c r="AN9" s="141">
        <f t="shared" si="12"/>
        <v>32.951000000000001</v>
      </c>
      <c r="AO9" s="141">
        <f t="shared" si="12"/>
        <v>0</v>
      </c>
      <c r="AP9" s="141">
        <f t="shared" si="12"/>
        <v>0</v>
      </c>
      <c r="AQ9" s="141">
        <f t="shared" si="12"/>
        <v>0</v>
      </c>
      <c r="AR9" s="142">
        <f t="shared" si="12"/>
        <v>0</v>
      </c>
      <c r="AS9" s="99"/>
      <c r="AT9" s="97"/>
      <c r="AU9" s="97"/>
      <c r="AV9" s="97"/>
      <c r="AW9" s="97"/>
      <c r="AX9" s="97"/>
      <c r="AY9" s="97"/>
      <c r="AZ9" s="97"/>
      <c r="BA9" s="97"/>
      <c r="BB9" s="97"/>
      <c r="BC9" s="97"/>
      <c r="BD9" s="97"/>
      <c r="BE9" s="100"/>
      <c r="BF9" s="99"/>
      <c r="BG9" s="97"/>
      <c r="BH9" s="97"/>
      <c r="BI9" s="97"/>
      <c r="BJ9" s="97"/>
      <c r="BK9" s="97"/>
      <c r="BL9" s="97"/>
      <c r="BM9" s="97"/>
      <c r="BN9" s="97"/>
      <c r="BO9" s="97"/>
      <c r="BP9" s="97"/>
      <c r="BQ9" s="97"/>
      <c r="BR9" s="100"/>
      <c r="BS9" s="99"/>
      <c r="BT9" s="97"/>
      <c r="BU9" s="97"/>
      <c r="BV9" s="97"/>
      <c r="BW9" s="97"/>
      <c r="BX9" s="97"/>
      <c r="BY9" s="97"/>
      <c r="BZ9" s="97"/>
      <c r="CA9" s="97"/>
      <c r="CB9" s="97"/>
      <c r="CC9" s="97"/>
      <c r="CD9" s="97"/>
      <c r="CE9" s="100"/>
      <c r="DF9" s="101"/>
      <c r="DR9" s="102"/>
      <c r="DS9" s="99"/>
      <c r="DT9" s="97"/>
      <c r="DU9" s="97"/>
      <c r="DV9" s="97"/>
      <c r="DW9" s="97"/>
      <c r="DX9" s="97"/>
      <c r="DY9" s="97"/>
      <c r="DZ9" s="97"/>
      <c r="EA9" s="97"/>
      <c r="EB9" s="97"/>
      <c r="EC9" s="97"/>
      <c r="ED9" s="97"/>
      <c r="EE9" s="100"/>
      <c r="EF9" s="99"/>
      <c r="EG9" s="97"/>
      <c r="EH9" s="97"/>
      <c r="EI9" s="97"/>
      <c r="EJ9" s="97"/>
      <c r="EK9" s="97"/>
      <c r="EL9" s="97"/>
      <c r="EM9" s="97"/>
      <c r="EN9" s="97"/>
      <c r="EO9" s="97"/>
      <c r="EP9" s="97"/>
      <c r="EQ9" s="97"/>
      <c r="ER9" s="100"/>
      <c r="ES9" s="99"/>
      <c r="ET9" s="97"/>
      <c r="EU9" s="97"/>
      <c r="EV9" s="97"/>
      <c r="EW9" s="97"/>
      <c r="EX9" s="97"/>
      <c r="EY9" s="97"/>
      <c r="EZ9" s="97"/>
      <c r="FA9" s="97"/>
      <c r="FB9" s="97"/>
      <c r="FC9" s="97"/>
      <c r="FD9" s="97"/>
      <c r="FE9" s="100"/>
      <c r="FF9" s="99"/>
      <c r="FG9" s="97"/>
      <c r="FH9" s="97"/>
      <c r="FI9" s="97"/>
      <c r="FJ9" s="97"/>
      <c r="FK9" s="97"/>
      <c r="FL9" s="97"/>
      <c r="FM9" s="97"/>
      <c r="FN9" s="97"/>
      <c r="FO9" s="97"/>
      <c r="FP9" s="97"/>
      <c r="FQ9" s="97"/>
      <c r="FR9" s="100"/>
    </row>
    <row r="10" spans="4:174" x14ac:dyDescent="0.25">
      <c r="E10" s="2" t="s">
        <v>58</v>
      </c>
      <c r="L10" s="2">
        <v>1.282</v>
      </c>
      <c r="M10" s="103">
        <v>1.2010000000000001</v>
      </c>
      <c r="N10" s="103">
        <v>1.1890000000000001</v>
      </c>
      <c r="O10" s="103"/>
      <c r="P10" s="103"/>
      <c r="Q10" s="103"/>
      <c r="R10" s="103"/>
      <c r="S10" s="91"/>
      <c r="Y10" s="2">
        <v>13.535</v>
      </c>
      <c r="Z10" s="103">
        <v>11.941000000000001</v>
      </c>
      <c r="AA10" s="103">
        <v>11.994999999999999</v>
      </c>
      <c r="AB10" s="103"/>
      <c r="AC10" s="103"/>
      <c r="AD10" s="103"/>
      <c r="AE10" s="104"/>
      <c r="AF10" s="91"/>
      <c r="AJ10" s="15"/>
      <c r="AK10" s="15"/>
      <c r="AL10" s="15">
        <v>2.2309999999999999</v>
      </c>
      <c r="AM10" s="143">
        <v>1.8089999999999999</v>
      </c>
      <c r="AN10" s="143">
        <v>1.8979999999999999</v>
      </c>
      <c r="AO10" s="143"/>
      <c r="AP10" s="143"/>
      <c r="AQ10" s="143"/>
      <c r="AR10" s="144"/>
      <c r="AS10" s="91"/>
      <c r="BE10" s="13"/>
      <c r="BF10" s="91"/>
      <c r="BR10" s="13"/>
      <c r="BS10" s="91"/>
      <c r="CE10" s="13"/>
      <c r="DF10" s="91"/>
      <c r="DR10" s="13"/>
      <c r="DS10" s="15"/>
      <c r="EE10" s="13"/>
      <c r="EF10" s="15"/>
      <c r="ER10" s="13"/>
      <c r="ES10" s="15"/>
      <c r="FE10" s="13"/>
      <c r="FF10" s="15"/>
      <c r="FR10" s="13"/>
    </row>
    <row r="11" spans="4:174" x14ac:dyDescent="0.25">
      <c r="E11" s="2" t="s">
        <v>59</v>
      </c>
      <c r="L11" s="2">
        <v>2.1429999999999998</v>
      </c>
      <c r="M11" s="103">
        <v>2.4750000000000001</v>
      </c>
      <c r="N11" s="103">
        <v>2.3820000000000001</v>
      </c>
      <c r="O11" s="103"/>
      <c r="P11" s="103"/>
      <c r="Q11" s="103"/>
      <c r="R11" s="103"/>
      <c r="S11" s="91"/>
      <c r="Y11" s="2">
        <v>27.385000000000002</v>
      </c>
      <c r="Z11" s="103">
        <v>28.013999999999999</v>
      </c>
      <c r="AA11" s="103">
        <v>24.870999999999999</v>
      </c>
      <c r="AB11" s="103"/>
      <c r="AC11" s="103"/>
      <c r="AD11" s="103"/>
      <c r="AE11" s="104"/>
      <c r="AF11" s="91"/>
      <c r="AJ11" s="15"/>
      <c r="AK11" s="15"/>
      <c r="AL11" s="15">
        <v>6.8390000000000004</v>
      </c>
      <c r="AM11" s="143">
        <v>4.3150000000000004</v>
      </c>
      <c r="AN11" s="143">
        <v>4.4820000000000002</v>
      </c>
      <c r="AO11" s="143"/>
      <c r="AP11" s="143"/>
      <c r="AQ11" s="143"/>
      <c r="AR11" s="144"/>
      <c r="AS11" s="91"/>
      <c r="BE11" s="13"/>
      <c r="BF11" s="91"/>
      <c r="BR11" s="13"/>
      <c r="BS11" s="91"/>
      <c r="CE11" s="13"/>
      <c r="DF11" s="91"/>
      <c r="DR11" s="13"/>
      <c r="DS11" s="15"/>
      <c r="EE11" s="13"/>
      <c r="EF11" s="15"/>
      <c r="ER11" s="13"/>
      <c r="ES11" s="15"/>
      <c r="FE11" s="13"/>
      <c r="FF11" s="15"/>
      <c r="FR11" s="13"/>
    </row>
    <row r="12" spans="4:174" x14ac:dyDescent="0.25">
      <c r="E12" s="2" t="s">
        <v>60</v>
      </c>
      <c r="L12" s="2">
        <v>0.68700000000000006</v>
      </c>
      <c r="M12" s="103">
        <v>0.745</v>
      </c>
      <c r="N12" s="103">
        <v>0.73499999999999999</v>
      </c>
      <c r="O12" s="103"/>
      <c r="P12" s="103"/>
      <c r="Q12" s="103"/>
      <c r="R12" s="103"/>
      <c r="S12" s="91"/>
      <c r="Y12" s="2">
        <v>4.63</v>
      </c>
      <c r="Z12" s="103">
        <v>4.93</v>
      </c>
      <c r="AA12" s="103">
        <v>4.5460000000000003</v>
      </c>
      <c r="AB12" s="103"/>
      <c r="AC12" s="103"/>
      <c r="AD12" s="103"/>
      <c r="AE12" s="104"/>
      <c r="AF12" s="91"/>
      <c r="AJ12" s="15"/>
      <c r="AK12" s="15"/>
      <c r="AL12" s="15">
        <v>0.96199999999999997</v>
      </c>
      <c r="AM12" s="143">
        <v>1.23</v>
      </c>
      <c r="AN12" s="143">
        <v>1.2490000000000001</v>
      </c>
      <c r="AO12" s="143"/>
      <c r="AP12" s="143"/>
      <c r="AQ12" s="143"/>
      <c r="AR12" s="144"/>
      <c r="AS12" s="91"/>
      <c r="BE12" s="13"/>
      <c r="BF12" s="91"/>
      <c r="BR12" s="13"/>
      <c r="BS12" s="91"/>
      <c r="CE12" s="13"/>
      <c r="DF12" s="91"/>
      <c r="DR12" s="13"/>
      <c r="DS12" s="15"/>
      <c r="EE12" s="13"/>
      <c r="EF12" s="15"/>
      <c r="ER12" s="13"/>
      <c r="ES12" s="15"/>
      <c r="FE12" s="13"/>
      <c r="FF12" s="15"/>
      <c r="FR12" s="13"/>
    </row>
    <row r="13" spans="4:174" x14ac:dyDescent="0.25">
      <c r="E13" s="2" t="s">
        <v>61</v>
      </c>
      <c r="L13" s="2">
        <v>0.38300000000000001</v>
      </c>
      <c r="M13" s="103">
        <v>0.439</v>
      </c>
      <c r="N13" s="103">
        <v>0.45800000000000002</v>
      </c>
      <c r="O13" s="103"/>
      <c r="P13" s="103"/>
      <c r="Q13" s="103"/>
      <c r="R13" s="103"/>
      <c r="S13" s="91"/>
      <c r="Y13" s="2">
        <v>3.4950000000000001</v>
      </c>
      <c r="Z13" s="103">
        <v>4.1230000000000002</v>
      </c>
      <c r="AA13" s="103">
        <v>3.4689999999999999</v>
      </c>
      <c r="AB13" s="103"/>
      <c r="AC13" s="103"/>
      <c r="AD13" s="103"/>
      <c r="AE13" s="104"/>
      <c r="AF13" s="91"/>
      <c r="AJ13" s="15"/>
      <c r="AK13" s="15"/>
      <c r="AL13" s="15">
        <v>0.56000000000000005</v>
      </c>
      <c r="AM13" s="143">
        <v>0.69799999999999995</v>
      </c>
      <c r="AN13" s="143">
        <v>0.66700000000000004</v>
      </c>
      <c r="AO13" s="143"/>
      <c r="AP13" s="143"/>
      <c r="AQ13" s="143"/>
      <c r="AR13" s="144"/>
      <c r="AS13" s="91"/>
      <c r="BE13" s="13"/>
      <c r="BF13" s="91"/>
      <c r="BR13" s="13"/>
      <c r="BS13" s="91"/>
      <c r="CE13" s="13"/>
      <c r="DF13" s="91"/>
      <c r="DR13" s="13"/>
      <c r="DS13" s="15"/>
      <c r="EE13" s="13"/>
      <c r="EF13" s="15"/>
      <c r="ER13" s="13"/>
      <c r="ES13" s="15"/>
      <c r="FE13" s="13"/>
      <c r="FF13" s="15"/>
      <c r="FR13" s="13"/>
    </row>
    <row r="14" spans="4:174" x14ac:dyDescent="0.25">
      <c r="E14" s="2" t="s">
        <v>62</v>
      </c>
      <c r="L14" s="2">
        <v>1.173</v>
      </c>
      <c r="M14" s="103">
        <v>1.5960000000000001</v>
      </c>
      <c r="N14" s="103">
        <v>1.4319999999999999</v>
      </c>
      <c r="O14" s="103"/>
      <c r="P14" s="103"/>
      <c r="Q14" s="103"/>
      <c r="R14" s="103"/>
      <c r="S14" s="91"/>
      <c r="Y14" s="2">
        <v>4.532</v>
      </c>
      <c r="Z14" s="103">
        <v>5.2670000000000003</v>
      </c>
      <c r="AA14" s="103">
        <v>4.5270000000000001</v>
      </c>
      <c r="AB14" s="103"/>
      <c r="AC14" s="103"/>
      <c r="AD14" s="103"/>
      <c r="AE14" s="104"/>
      <c r="AF14" s="91"/>
      <c r="AJ14" s="15"/>
      <c r="AK14" s="15"/>
      <c r="AL14" s="15">
        <v>1.2150000000000001</v>
      </c>
      <c r="AM14" s="143">
        <v>2.1859999999999999</v>
      </c>
      <c r="AN14" s="143">
        <v>2.125</v>
      </c>
      <c r="AO14" s="143"/>
      <c r="AP14" s="143"/>
      <c r="AQ14" s="143"/>
      <c r="AR14" s="144"/>
      <c r="AS14" s="91"/>
      <c r="BE14" s="13"/>
      <c r="BF14" s="91"/>
      <c r="BR14" s="13"/>
      <c r="BS14" s="91"/>
      <c r="CE14" s="13"/>
      <c r="DF14" s="91"/>
      <c r="DR14" s="13"/>
      <c r="DS14" s="15"/>
      <c r="EE14" s="13"/>
      <c r="EF14" s="15"/>
      <c r="ER14" s="13"/>
      <c r="ES14" s="15"/>
      <c r="FE14" s="13"/>
      <c r="FF14" s="15"/>
      <c r="FR14" s="13"/>
    </row>
    <row r="15" spans="4:174" x14ac:dyDescent="0.25">
      <c r="E15" s="2" t="s">
        <v>63</v>
      </c>
      <c r="L15" s="2">
        <v>1.0780000000000001</v>
      </c>
      <c r="M15" s="103">
        <v>1.2809999999999999</v>
      </c>
      <c r="N15" s="103">
        <v>1.244</v>
      </c>
      <c r="O15" s="103"/>
      <c r="P15" s="103"/>
      <c r="Q15" s="103"/>
      <c r="R15" s="103"/>
      <c r="S15" s="91"/>
      <c r="Y15" s="2">
        <v>22.815000000000001</v>
      </c>
      <c r="Z15" s="103">
        <v>23.943000000000001</v>
      </c>
      <c r="AA15" s="103">
        <v>19.466000000000001</v>
      </c>
      <c r="AB15" s="103"/>
      <c r="AC15" s="103"/>
      <c r="AD15" s="103"/>
      <c r="AE15" s="104"/>
      <c r="AF15" s="91"/>
      <c r="AJ15" s="15"/>
      <c r="AK15" s="15"/>
      <c r="AL15" s="15">
        <v>5.0620000000000003</v>
      </c>
      <c r="AM15" s="143">
        <v>2.738</v>
      </c>
      <c r="AN15" s="143">
        <v>2.859</v>
      </c>
      <c r="AO15" s="143"/>
      <c r="AP15" s="143"/>
      <c r="AQ15" s="143"/>
      <c r="AR15" s="144"/>
      <c r="AS15" s="91"/>
      <c r="BE15" s="13"/>
      <c r="BF15" s="91"/>
      <c r="BR15" s="13"/>
      <c r="BS15" s="91"/>
      <c r="CE15" s="13"/>
      <c r="DF15" s="91"/>
      <c r="DR15" s="13"/>
      <c r="DS15" s="15"/>
      <c r="EE15" s="13"/>
      <c r="EF15" s="15"/>
      <c r="ER15" s="13"/>
      <c r="ES15" s="15"/>
      <c r="FE15" s="13"/>
      <c r="FF15" s="15"/>
      <c r="FR15" s="13"/>
    </row>
    <row r="16" spans="4:174" x14ac:dyDescent="0.25">
      <c r="E16" s="2" t="s">
        <v>64</v>
      </c>
      <c r="L16" s="2">
        <v>0.84499999999999997</v>
      </c>
      <c r="M16" s="103">
        <v>0.90077250865694203</v>
      </c>
      <c r="N16" s="103">
        <v>0.82799999999999996</v>
      </c>
      <c r="O16" s="103"/>
      <c r="P16" s="103"/>
      <c r="Q16" s="103"/>
      <c r="R16" s="103"/>
      <c r="S16" s="91"/>
      <c r="Y16" s="2">
        <v>4.1790000000000003</v>
      </c>
      <c r="Z16" s="103">
        <v>4.8093272945366099</v>
      </c>
      <c r="AA16" s="103">
        <v>4.3479999999999999</v>
      </c>
      <c r="AB16" s="103"/>
      <c r="AC16" s="103"/>
      <c r="AD16" s="103"/>
      <c r="AE16" s="104"/>
      <c r="AF16" s="91"/>
      <c r="AJ16" s="15"/>
      <c r="AK16" s="15"/>
      <c r="AL16" s="15">
        <v>0.76200000000000001</v>
      </c>
      <c r="AM16" s="143">
        <v>1.15724039057243</v>
      </c>
      <c r="AN16" s="143">
        <v>1.1639999999999999</v>
      </c>
      <c r="AO16" s="143"/>
      <c r="AP16" s="143"/>
      <c r="AQ16" s="143"/>
      <c r="AR16" s="144"/>
      <c r="AS16" s="91"/>
      <c r="BE16" s="13"/>
      <c r="BF16" s="91"/>
      <c r="BR16" s="13"/>
      <c r="BS16" s="91"/>
      <c r="CE16" s="13"/>
      <c r="DF16" s="91"/>
      <c r="DR16" s="13"/>
      <c r="DS16" s="15"/>
      <c r="EE16" s="13"/>
      <c r="EF16" s="15"/>
      <c r="ER16" s="13"/>
      <c r="ES16" s="15"/>
      <c r="FE16" s="13"/>
      <c r="FF16" s="15"/>
      <c r="FR16" s="13"/>
    </row>
    <row r="17" spans="4:174" x14ac:dyDescent="0.25">
      <c r="E17" s="2" t="s">
        <v>65</v>
      </c>
      <c r="L17" s="2">
        <v>3.0680000000000001</v>
      </c>
      <c r="M17" s="103">
        <v>3.1586768311202098</v>
      </c>
      <c r="N17" s="103">
        <v>2.9830000000000001</v>
      </c>
      <c r="O17" s="103"/>
      <c r="P17" s="103"/>
      <c r="Q17" s="103"/>
      <c r="R17" s="103"/>
      <c r="S17" s="91"/>
      <c r="Y17" s="2">
        <v>13.486000000000001</v>
      </c>
      <c r="Z17" s="103">
        <v>14.0848782516313</v>
      </c>
      <c r="AA17" s="103">
        <v>12.958</v>
      </c>
      <c r="AB17" s="103"/>
      <c r="AC17" s="103"/>
      <c r="AD17" s="103"/>
      <c r="AE17" s="104"/>
      <c r="AF17" s="91"/>
      <c r="AJ17" s="15"/>
      <c r="AK17" s="15"/>
      <c r="AL17" s="15">
        <v>3.1120000000000001</v>
      </c>
      <c r="AM17" s="143">
        <v>5.0831248874653197</v>
      </c>
      <c r="AN17" s="143">
        <v>5.069</v>
      </c>
      <c r="AO17" s="143"/>
      <c r="AP17" s="143"/>
      <c r="AQ17" s="143"/>
      <c r="AR17" s="144"/>
      <c r="AS17" s="91"/>
      <c r="BE17" s="13"/>
      <c r="BF17" s="91"/>
      <c r="BR17" s="13"/>
      <c r="BS17" s="91"/>
      <c r="CE17" s="13"/>
      <c r="DF17" s="91"/>
      <c r="DR17" s="13"/>
      <c r="DS17" s="15"/>
      <c r="EE17" s="13"/>
      <c r="EF17" s="15"/>
      <c r="ER17" s="13"/>
      <c r="ES17" s="15"/>
      <c r="FE17" s="13"/>
      <c r="FF17" s="15"/>
      <c r="FR17" s="13"/>
    </row>
    <row r="18" spans="4:174" x14ac:dyDescent="0.25">
      <c r="E18" s="2" t="s">
        <v>66</v>
      </c>
      <c r="L18" s="2">
        <v>1.351</v>
      </c>
      <c r="M18" s="103">
        <v>1.32806684357149</v>
      </c>
      <c r="N18" s="103">
        <v>1.4670000000000001</v>
      </c>
      <c r="O18" s="103"/>
      <c r="P18" s="103"/>
      <c r="Q18" s="103"/>
      <c r="R18" s="103"/>
      <c r="S18" s="91"/>
      <c r="Y18" s="2">
        <v>4.944</v>
      </c>
      <c r="Z18" s="103">
        <v>5.6962618805385397</v>
      </c>
      <c r="AA18" s="103">
        <v>6.7779999999999996</v>
      </c>
      <c r="AB18" s="103"/>
      <c r="AC18" s="103"/>
      <c r="AD18" s="103"/>
      <c r="AE18" s="104"/>
      <c r="AF18" s="91"/>
      <c r="AJ18" s="15"/>
      <c r="AK18" s="15"/>
      <c r="AL18" s="15">
        <v>1.198</v>
      </c>
      <c r="AM18" s="143">
        <v>2.1509999999999998</v>
      </c>
      <c r="AN18" s="143">
        <v>2.3780000000000001</v>
      </c>
      <c r="AO18" s="143"/>
      <c r="AP18" s="143"/>
      <c r="AQ18" s="143"/>
      <c r="AR18" s="144"/>
      <c r="AS18" s="91"/>
      <c r="BE18" s="13"/>
      <c r="BF18" s="91"/>
      <c r="BR18" s="13"/>
      <c r="BS18" s="91"/>
      <c r="CE18" s="13"/>
      <c r="DF18" s="91"/>
      <c r="DR18" s="13"/>
      <c r="DS18" s="15"/>
      <c r="EE18" s="13"/>
      <c r="EF18" s="15"/>
      <c r="ER18" s="13"/>
      <c r="ES18" s="15"/>
      <c r="FE18" s="13"/>
      <c r="FF18" s="15"/>
      <c r="FR18" s="13"/>
    </row>
    <row r="19" spans="4:174" x14ac:dyDescent="0.25">
      <c r="E19" s="2" t="s">
        <v>67</v>
      </c>
      <c r="L19" s="2">
        <v>0.151</v>
      </c>
      <c r="M19" s="103">
        <v>0.14299999999999999</v>
      </c>
      <c r="N19" s="103">
        <v>0.16900000000000001</v>
      </c>
      <c r="O19" s="103"/>
      <c r="P19" s="103"/>
      <c r="Q19" s="103"/>
      <c r="R19" s="103"/>
      <c r="S19" s="91"/>
      <c r="Y19" s="2">
        <v>1.0609999999999999</v>
      </c>
      <c r="Z19" s="103">
        <v>1.0649999999999999</v>
      </c>
      <c r="AA19" s="103">
        <v>1.1180000000000001</v>
      </c>
      <c r="AB19" s="103"/>
      <c r="AC19" s="103"/>
      <c r="AD19" s="103"/>
      <c r="AE19" s="104"/>
      <c r="AF19" s="91"/>
      <c r="AJ19" s="15"/>
      <c r="AK19" s="15"/>
      <c r="AL19" s="15">
        <v>0.28100000000000003</v>
      </c>
      <c r="AM19" s="143">
        <v>0.39300000000000002</v>
      </c>
      <c r="AN19" s="143">
        <v>0.41899999999999998</v>
      </c>
      <c r="AO19" s="143"/>
      <c r="AP19" s="143"/>
      <c r="AQ19" s="143"/>
      <c r="AR19" s="144"/>
      <c r="AS19" s="91"/>
      <c r="BE19" s="13"/>
      <c r="BF19" s="91"/>
      <c r="BR19" s="13"/>
      <c r="BS19" s="91"/>
      <c r="CE19" s="13"/>
      <c r="DF19" s="91"/>
      <c r="DR19" s="13"/>
      <c r="EE19" s="13"/>
      <c r="ER19" s="13"/>
      <c r="FE19" s="13"/>
      <c r="FR19" s="13"/>
    </row>
    <row r="20" spans="4:174" x14ac:dyDescent="0.25">
      <c r="E20" s="2" t="s">
        <v>68</v>
      </c>
      <c r="L20" s="2">
        <v>0.111</v>
      </c>
      <c r="M20" s="103">
        <v>0.115</v>
      </c>
      <c r="N20" s="103">
        <v>0.10199999999999999</v>
      </c>
      <c r="O20" s="103"/>
      <c r="P20" s="103"/>
      <c r="Q20" s="103"/>
      <c r="R20" s="103"/>
      <c r="S20" s="91"/>
      <c r="Y20" s="2">
        <v>1.101</v>
      </c>
      <c r="Z20" s="103">
        <v>1.2110000000000001</v>
      </c>
      <c r="AA20" s="103">
        <v>1.1359999999999999</v>
      </c>
      <c r="AB20" s="103"/>
      <c r="AC20" s="103"/>
      <c r="AD20" s="103"/>
      <c r="AE20" s="104"/>
      <c r="AF20" s="91"/>
      <c r="AJ20" s="15"/>
      <c r="AK20" s="15"/>
      <c r="AL20" s="15">
        <v>0.126</v>
      </c>
      <c r="AM20" s="143">
        <v>0.186</v>
      </c>
      <c r="AN20" s="143">
        <v>0.17499999999999999</v>
      </c>
      <c r="AO20" s="143"/>
      <c r="AP20" s="143"/>
      <c r="AQ20" s="143"/>
      <c r="AR20" s="144"/>
      <c r="AS20" s="91"/>
      <c r="BE20" s="13"/>
      <c r="BF20" s="91"/>
      <c r="BR20" s="13"/>
      <c r="BS20" s="91"/>
      <c r="CE20" s="13"/>
      <c r="DF20" s="91"/>
      <c r="DR20" s="13"/>
      <c r="DS20" s="15"/>
      <c r="EE20" s="13"/>
      <c r="EF20" s="15"/>
      <c r="ER20" s="13"/>
      <c r="ES20" s="15"/>
      <c r="FE20" s="13"/>
      <c r="FF20" s="15"/>
      <c r="FR20" s="13"/>
    </row>
    <row r="21" spans="4:174" x14ac:dyDescent="0.25">
      <c r="E21" s="2" t="s">
        <v>69</v>
      </c>
      <c r="L21" s="2">
        <v>0</v>
      </c>
      <c r="M21" s="103">
        <v>0</v>
      </c>
      <c r="N21" s="103">
        <v>0</v>
      </c>
      <c r="O21" s="103"/>
      <c r="P21" s="103"/>
      <c r="Q21" s="103"/>
      <c r="R21" s="103"/>
      <c r="S21" s="91"/>
      <c r="Y21" s="2">
        <v>0</v>
      </c>
      <c r="Z21" s="103">
        <v>0</v>
      </c>
      <c r="AA21" s="103">
        <v>0</v>
      </c>
      <c r="AB21" s="103"/>
      <c r="AC21" s="103"/>
      <c r="AD21" s="103"/>
      <c r="AE21" s="104"/>
      <c r="AF21" s="91"/>
      <c r="AJ21" s="15"/>
      <c r="AK21" s="15"/>
      <c r="AL21" s="15">
        <v>7.4130000000000003</v>
      </c>
      <c r="AM21" s="15">
        <v>10.356</v>
      </c>
      <c r="AN21" s="15">
        <v>10.465999999999999</v>
      </c>
      <c r="AO21" s="15"/>
      <c r="AP21" s="15"/>
      <c r="AQ21" s="15"/>
      <c r="AR21" s="145"/>
      <c r="AS21" s="91"/>
      <c r="BE21" s="13"/>
      <c r="BF21" s="91"/>
      <c r="BR21" s="13"/>
      <c r="BS21" s="91"/>
      <c r="CE21" s="13"/>
      <c r="DF21" s="91"/>
      <c r="DR21" s="13"/>
      <c r="DS21" s="15"/>
      <c r="EE21" s="13"/>
      <c r="EF21" s="15"/>
      <c r="ER21" s="13"/>
      <c r="ES21" s="15"/>
      <c r="FE21" s="13"/>
      <c r="FF21" s="15"/>
      <c r="FR21" s="13"/>
    </row>
    <row r="22" spans="4:174" x14ac:dyDescent="0.25">
      <c r="M22" s="103"/>
      <c r="N22" s="103"/>
      <c r="O22" s="103"/>
      <c r="P22" s="103"/>
      <c r="Q22" s="103"/>
      <c r="R22" s="103"/>
      <c r="S22" s="91"/>
      <c r="Z22" s="103"/>
      <c r="AA22" s="103"/>
      <c r="AB22" s="103"/>
      <c r="AC22" s="103"/>
      <c r="AD22" s="103"/>
      <c r="AE22" s="104"/>
      <c r="AF22" s="91"/>
      <c r="AJ22" s="15"/>
      <c r="AK22" s="15"/>
      <c r="AL22" s="15"/>
      <c r="AM22" s="15"/>
      <c r="AN22" s="15"/>
      <c r="AO22" s="15"/>
      <c r="AP22" s="15"/>
      <c r="AQ22" s="15"/>
      <c r="AR22" s="145"/>
      <c r="AS22" s="91"/>
      <c r="BE22" s="13"/>
      <c r="BF22" s="91"/>
      <c r="BR22" s="13"/>
      <c r="BS22" s="91"/>
      <c r="CE22" s="13"/>
      <c r="DF22" s="91"/>
      <c r="DR22" s="13"/>
      <c r="DS22" s="15"/>
      <c r="EE22" s="13"/>
      <c r="EF22" s="15"/>
      <c r="ER22" s="13"/>
      <c r="ES22" s="15"/>
      <c r="FE22" s="13"/>
      <c r="FF22" s="15"/>
      <c r="FR22" s="13"/>
    </row>
    <row r="23" spans="4:174" x14ac:dyDescent="0.25">
      <c r="M23" s="103"/>
      <c r="N23" s="103"/>
      <c r="O23" s="103"/>
      <c r="P23" s="103"/>
      <c r="Q23" s="103"/>
      <c r="R23" s="103"/>
      <c r="S23" s="91"/>
      <c r="Z23" s="103"/>
      <c r="AA23" s="103"/>
      <c r="AB23" s="103"/>
      <c r="AC23" s="103"/>
      <c r="AD23" s="103"/>
      <c r="AE23" s="104"/>
      <c r="AF23" s="91"/>
      <c r="AJ23" s="15"/>
      <c r="AK23" s="15"/>
      <c r="AL23" s="15"/>
      <c r="AM23" s="15"/>
      <c r="AN23" s="15"/>
      <c r="AO23" s="15"/>
      <c r="AP23" s="15"/>
      <c r="AQ23" s="15"/>
      <c r="AR23" s="145"/>
      <c r="AS23" s="91"/>
      <c r="BE23" s="13"/>
      <c r="BF23" s="91"/>
      <c r="BR23" s="13"/>
      <c r="BS23" s="91"/>
      <c r="CE23" s="13"/>
      <c r="DF23" s="91"/>
      <c r="DR23" s="13"/>
      <c r="DS23" s="15"/>
      <c r="EE23" s="13"/>
      <c r="EF23" s="15"/>
      <c r="ER23" s="13"/>
      <c r="ES23" s="15"/>
      <c r="FE23" s="13"/>
      <c r="FF23" s="15"/>
      <c r="FR23" s="13"/>
    </row>
    <row r="24" spans="4:174" x14ac:dyDescent="0.25">
      <c r="M24" s="103"/>
      <c r="N24" s="103"/>
      <c r="O24" s="103"/>
      <c r="P24" s="103"/>
      <c r="Q24" s="103"/>
      <c r="R24" s="103"/>
      <c r="S24" s="91"/>
      <c r="Z24" s="103"/>
      <c r="AA24" s="103"/>
      <c r="AB24" s="103"/>
      <c r="AC24" s="103"/>
      <c r="AD24" s="103"/>
      <c r="AE24" s="104"/>
      <c r="AF24" s="91"/>
      <c r="AJ24" s="15"/>
      <c r="AK24" s="15"/>
      <c r="AL24" s="15"/>
      <c r="AM24" s="15"/>
      <c r="AN24" s="15"/>
      <c r="AO24" s="15"/>
      <c r="AP24" s="15"/>
      <c r="AQ24" s="15"/>
      <c r="AR24" s="145"/>
      <c r="AS24" s="91"/>
      <c r="BE24" s="13"/>
      <c r="BF24" s="91"/>
      <c r="BR24" s="13"/>
      <c r="BS24" s="91"/>
      <c r="CE24" s="13"/>
      <c r="DF24" s="91"/>
      <c r="DR24" s="13"/>
      <c r="DS24" s="15"/>
      <c r="EE24" s="13"/>
      <c r="EF24" s="15"/>
      <c r="ER24" s="13"/>
      <c r="ES24" s="15"/>
      <c r="FE24" s="13"/>
      <c r="FF24" s="15"/>
      <c r="FR24" s="13"/>
    </row>
    <row r="25" spans="4:174" x14ac:dyDescent="0.25">
      <c r="M25" s="103"/>
      <c r="N25" s="103"/>
      <c r="O25" s="103"/>
      <c r="P25" s="103"/>
      <c r="Q25" s="103"/>
      <c r="R25" s="103"/>
      <c r="S25" s="91"/>
      <c r="Z25" s="103"/>
      <c r="AA25" s="103"/>
      <c r="AB25" s="103"/>
      <c r="AC25" s="103"/>
      <c r="AD25" s="103"/>
      <c r="AE25" s="104"/>
      <c r="AF25" s="91"/>
      <c r="AJ25" s="15"/>
      <c r="AK25" s="15"/>
      <c r="AL25" s="15"/>
      <c r="AM25" s="15"/>
      <c r="AN25" s="15"/>
      <c r="AO25" s="15"/>
      <c r="AP25" s="15"/>
      <c r="AQ25" s="15"/>
      <c r="AR25" s="145"/>
      <c r="AS25" s="91"/>
      <c r="BE25" s="13"/>
      <c r="BF25" s="91"/>
      <c r="BR25" s="13"/>
      <c r="BS25" s="91"/>
      <c r="CE25" s="13"/>
      <c r="DF25" s="91"/>
      <c r="DR25" s="13"/>
      <c r="DS25" s="15"/>
      <c r="EE25" s="13"/>
      <c r="EF25" s="15"/>
      <c r="ER25" s="13"/>
      <c r="ES25" s="15"/>
      <c r="FE25" s="13"/>
      <c r="FF25" s="15"/>
      <c r="FR25" s="13"/>
    </row>
    <row r="26" spans="4:174" x14ac:dyDescent="0.25">
      <c r="M26" s="103"/>
      <c r="N26" s="103"/>
      <c r="O26" s="103"/>
      <c r="P26" s="103"/>
      <c r="Q26" s="103"/>
      <c r="R26" s="103"/>
      <c r="S26" s="91"/>
      <c r="Z26" s="103"/>
      <c r="AA26" s="103"/>
      <c r="AB26" s="103"/>
      <c r="AC26" s="103"/>
      <c r="AD26" s="103"/>
      <c r="AE26" s="104"/>
      <c r="AF26" s="91"/>
      <c r="AJ26" s="15"/>
      <c r="AK26" s="15"/>
      <c r="AL26" s="15"/>
      <c r="AM26" s="15"/>
      <c r="AN26" s="15"/>
      <c r="AO26" s="15"/>
      <c r="AP26" s="15"/>
      <c r="AQ26" s="15"/>
      <c r="AR26" s="145"/>
      <c r="AS26" s="91"/>
      <c r="BE26" s="13"/>
      <c r="BF26" s="91"/>
      <c r="BR26" s="13"/>
      <c r="BS26" s="91"/>
      <c r="CE26" s="13"/>
      <c r="DF26" s="91"/>
      <c r="DR26" s="13"/>
      <c r="DS26" s="15"/>
      <c r="EE26" s="13"/>
      <c r="EF26" s="15"/>
      <c r="ER26" s="13"/>
      <c r="ES26" s="15"/>
      <c r="FE26" s="13"/>
      <c r="FF26" s="15"/>
      <c r="FR26" s="13"/>
    </row>
    <row r="27" spans="4:174" x14ac:dyDescent="0.25">
      <c r="M27" s="103"/>
      <c r="N27" s="103"/>
      <c r="O27" s="103"/>
      <c r="P27" s="103"/>
      <c r="Q27" s="103"/>
      <c r="R27" s="103"/>
      <c r="S27" s="91"/>
      <c r="Z27" s="103"/>
      <c r="AA27" s="103"/>
      <c r="AB27" s="103"/>
      <c r="AC27" s="103"/>
      <c r="AD27" s="103"/>
      <c r="AE27" s="104"/>
      <c r="AF27" s="91"/>
      <c r="AJ27" s="15"/>
      <c r="AK27" s="15"/>
      <c r="AL27" s="15"/>
      <c r="AM27" s="15"/>
      <c r="AN27" s="15"/>
      <c r="AO27" s="15"/>
      <c r="AP27" s="15"/>
      <c r="AQ27" s="15"/>
      <c r="AR27" s="145"/>
      <c r="AS27" s="91"/>
      <c r="BE27" s="13"/>
      <c r="BF27" s="91"/>
      <c r="BR27" s="13"/>
      <c r="BS27" s="91"/>
      <c r="CE27" s="13"/>
      <c r="DF27" s="91"/>
      <c r="DR27" s="13"/>
      <c r="DS27" s="15"/>
      <c r="EE27" s="13"/>
      <c r="EF27" s="15"/>
      <c r="ER27" s="13"/>
      <c r="ES27" s="15"/>
      <c r="FE27" s="13"/>
      <c r="FF27" s="15"/>
      <c r="FR27" s="13"/>
    </row>
    <row r="28" spans="4:174" x14ac:dyDescent="0.25">
      <c r="M28" s="103"/>
      <c r="N28" s="103"/>
      <c r="O28" s="103"/>
      <c r="P28" s="103"/>
      <c r="Q28" s="103"/>
      <c r="R28" s="103"/>
      <c r="S28" s="91"/>
      <c r="Z28" s="103"/>
      <c r="AA28" s="103"/>
      <c r="AB28" s="103"/>
      <c r="AC28" s="103"/>
      <c r="AD28" s="103"/>
      <c r="AE28" s="104"/>
      <c r="AF28" s="91"/>
      <c r="AJ28" s="15"/>
      <c r="AK28" s="15"/>
      <c r="AL28" s="15"/>
      <c r="AM28" s="15"/>
      <c r="AN28" s="15"/>
      <c r="AO28" s="15"/>
      <c r="AP28" s="15"/>
      <c r="AQ28" s="15"/>
      <c r="AR28" s="145"/>
      <c r="AS28" s="91"/>
      <c r="BE28" s="13"/>
      <c r="BF28" s="91"/>
      <c r="BR28" s="13"/>
      <c r="BS28" s="91"/>
      <c r="CE28" s="13"/>
      <c r="DF28" s="91"/>
      <c r="DR28" s="13"/>
      <c r="DS28" s="15"/>
      <c r="EE28" s="13"/>
      <c r="EF28" s="15"/>
      <c r="ER28" s="13"/>
      <c r="ES28" s="15"/>
      <c r="FE28" s="13"/>
      <c r="FF28" s="15"/>
      <c r="FR28" s="13"/>
    </row>
    <row r="29" spans="4:174" x14ac:dyDescent="0.25">
      <c r="M29" s="103"/>
      <c r="N29" s="103"/>
      <c r="O29" s="103"/>
      <c r="P29" s="103"/>
      <c r="Q29" s="103"/>
      <c r="R29" s="103"/>
      <c r="S29" s="91"/>
      <c r="Z29" s="103"/>
      <c r="AA29" s="103"/>
      <c r="AB29" s="103"/>
      <c r="AC29" s="103"/>
      <c r="AD29" s="103"/>
      <c r="AE29" s="104"/>
      <c r="AF29" s="91"/>
      <c r="AJ29" s="15"/>
      <c r="AK29" s="15"/>
      <c r="AL29" s="15"/>
      <c r="AM29" s="15"/>
      <c r="AN29" s="15"/>
      <c r="AO29" s="15"/>
      <c r="AP29" s="15"/>
      <c r="AQ29" s="15"/>
      <c r="AR29" s="145"/>
      <c r="AS29" s="91"/>
      <c r="BE29" s="13"/>
      <c r="BF29" s="91"/>
      <c r="BR29" s="13"/>
      <c r="BS29" s="91"/>
      <c r="CE29" s="13"/>
      <c r="DF29" s="91"/>
      <c r="DR29" s="13"/>
      <c r="DS29" s="15"/>
      <c r="EE29" s="13"/>
      <c r="EF29" s="15"/>
      <c r="ER29" s="13"/>
      <c r="ES29" s="15"/>
      <c r="FE29" s="13"/>
      <c r="FF29" s="15"/>
      <c r="FR29" s="13"/>
    </row>
    <row r="30" spans="4:174" x14ac:dyDescent="0.25">
      <c r="S30" s="91"/>
      <c r="AE30" s="13"/>
      <c r="AF30" s="91"/>
      <c r="AJ30" s="15"/>
      <c r="AK30" s="15"/>
      <c r="AL30" s="15"/>
      <c r="AM30" s="15"/>
      <c r="AN30" s="15"/>
      <c r="AO30" s="15"/>
      <c r="AP30" s="15"/>
      <c r="AQ30" s="15"/>
      <c r="AR30" s="145"/>
      <c r="AS30" s="91"/>
      <c r="BE30" s="13"/>
      <c r="BF30" s="91"/>
      <c r="BR30" s="13"/>
      <c r="BS30" s="91"/>
      <c r="CE30" s="13"/>
      <c r="DF30" s="91"/>
      <c r="DR30" s="13"/>
      <c r="DS30" s="91"/>
      <c r="EE30" s="13"/>
      <c r="EF30" s="91"/>
      <c r="ER30" s="13"/>
      <c r="ES30" s="91"/>
      <c r="FE30" s="13"/>
      <c r="FF30" s="91"/>
      <c r="FR30" s="13"/>
    </row>
    <row r="31" spans="4:174" s="4" customFormat="1" ht="18.75" customHeight="1" x14ac:dyDescent="0.3">
      <c r="D31" s="92"/>
      <c r="E31" s="105" t="s">
        <v>52</v>
      </c>
      <c r="F31" s="97">
        <v>0</v>
      </c>
      <c r="G31" s="97">
        <v>0</v>
      </c>
      <c r="H31" s="97">
        <v>0</v>
      </c>
      <c r="I31" s="97"/>
      <c r="J31" s="97"/>
      <c r="K31" s="97"/>
      <c r="L31" s="97"/>
      <c r="M31" s="97"/>
      <c r="N31" s="95"/>
      <c r="O31" s="95"/>
      <c r="P31" s="95"/>
      <c r="Q31" s="95"/>
      <c r="R31" s="95"/>
      <c r="S31" s="95"/>
      <c r="T31" s="95"/>
      <c r="U31" s="95"/>
      <c r="V31" s="95"/>
      <c r="W31" s="95"/>
      <c r="X31" s="95"/>
      <c r="Y31" s="95">
        <f t="shared" ref="Y31:AE31" si="13">SUM(Y32:Y33)</f>
        <v>0</v>
      </c>
      <c r="Z31" s="95">
        <f t="shared" si="13"/>
        <v>0</v>
      </c>
      <c r="AA31" s="95">
        <f t="shared" si="13"/>
        <v>0</v>
      </c>
      <c r="AB31" s="95">
        <f t="shared" si="13"/>
        <v>0</v>
      </c>
      <c r="AC31" s="95">
        <f t="shared" si="13"/>
        <v>0</v>
      </c>
      <c r="AD31" s="95">
        <f t="shared" si="13"/>
        <v>0</v>
      </c>
      <c r="AE31" s="96">
        <f t="shared" si="13"/>
        <v>0</v>
      </c>
      <c r="AF31" s="99"/>
      <c r="AG31" s="97"/>
      <c r="AH31" s="97"/>
      <c r="AI31" s="97"/>
      <c r="AJ31" s="97"/>
      <c r="AK31" s="97"/>
      <c r="AL31" s="97"/>
      <c r="AM31" s="97"/>
      <c r="AN31" s="97"/>
      <c r="AO31" s="97"/>
      <c r="AP31" s="97"/>
      <c r="AQ31" s="97"/>
      <c r="AR31" s="100"/>
      <c r="AS31" s="99"/>
      <c r="AT31" s="97"/>
      <c r="AU31" s="97"/>
      <c r="AV31" s="97"/>
      <c r="AW31" s="97"/>
      <c r="AX31" s="97"/>
      <c r="AY31" s="97"/>
      <c r="AZ31" s="97"/>
      <c r="BA31" s="97"/>
      <c r="BB31" s="97"/>
      <c r="BC31" s="97"/>
      <c r="BD31" s="97"/>
      <c r="BE31" s="100"/>
      <c r="BF31" s="99"/>
      <c r="BG31" s="97"/>
      <c r="BH31" s="97"/>
      <c r="BI31" s="97"/>
      <c r="BJ31" s="97"/>
      <c r="BK31" s="97"/>
      <c r="BL31" s="97"/>
      <c r="BM31" s="97"/>
      <c r="BN31" s="97"/>
      <c r="BO31" s="97"/>
      <c r="BP31" s="97"/>
      <c r="BQ31" s="97"/>
      <c r="BR31" s="100"/>
      <c r="BS31" s="99"/>
      <c r="BT31" s="97"/>
      <c r="BU31" s="97"/>
      <c r="BV31" s="97"/>
      <c r="BW31" s="97"/>
      <c r="BX31" s="97"/>
      <c r="BY31" s="97"/>
      <c r="BZ31" s="97"/>
      <c r="CA31" s="97"/>
      <c r="CB31" s="97"/>
      <c r="CC31" s="97"/>
      <c r="CD31" s="97"/>
      <c r="CE31" s="100"/>
      <c r="CJ31" s="106"/>
      <c r="DF31" s="101"/>
      <c r="DR31" s="102"/>
      <c r="DS31" s="99"/>
      <c r="DT31" s="97"/>
      <c r="DU31" s="97"/>
      <c r="DV31" s="146"/>
      <c r="DW31" s="146"/>
      <c r="DX31" s="146"/>
      <c r="DY31" s="146"/>
      <c r="DZ31" s="146"/>
      <c r="EA31" s="146"/>
      <c r="EB31" s="146"/>
      <c r="EC31" s="97"/>
      <c r="ED31" s="97"/>
      <c r="EE31" s="100"/>
      <c r="EF31" s="99"/>
      <c r="EG31" s="97"/>
      <c r="EH31" s="97"/>
      <c r="EI31" s="146">
        <f t="shared" ref="EI31:EQ31" si="14">EI32</f>
        <v>0</v>
      </c>
      <c r="EJ31" s="146">
        <f t="shared" si="14"/>
        <v>0</v>
      </c>
      <c r="EK31" s="146">
        <f t="shared" si="14"/>
        <v>0</v>
      </c>
      <c r="EL31" s="146">
        <f t="shared" si="14"/>
        <v>0</v>
      </c>
      <c r="EM31" s="146">
        <f t="shared" si="14"/>
        <v>0</v>
      </c>
      <c r="EN31" s="146">
        <f t="shared" si="14"/>
        <v>0</v>
      </c>
      <c r="EO31" s="146">
        <f t="shared" si="14"/>
        <v>0</v>
      </c>
      <c r="EP31" s="146">
        <f t="shared" si="14"/>
        <v>0</v>
      </c>
      <c r="EQ31" s="146">
        <f t="shared" si="14"/>
        <v>0</v>
      </c>
      <c r="ER31" s="100"/>
      <c r="ES31" s="108">
        <f>0</f>
        <v>0</v>
      </c>
      <c r="ET31" s="108">
        <v>0</v>
      </c>
      <c r="EU31" s="108">
        <v>0</v>
      </c>
      <c r="EV31" s="108">
        <f t="shared" ref="EV31:FD31" si="15">EV32</f>
        <v>0</v>
      </c>
      <c r="EW31" s="108">
        <f t="shared" si="15"/>
        <v>0</v>
      </c>
      <c r="EX31" s="108">
        <f t="shared" si="15"/>
        <v>0</v>
      </c>
      <c r="EY31" s="108">
        <f t="shared" si="15"/>
        <v>0</v>
      </c>
      <c r="EZ31" s="108">
        <f t="shared" si="15"/>
        <v>0</v>
      </c>
      <c r="FA31" s="108">
        <f t="shared" si="15"/>
        <v>0</v>
      </c>
      <c r="FB31" s="108">
        <f t="shared" si="15"/>
        <v>0</v>
      </c>
      <c r="FC31" s="108">
        <f t="shared" si="15"/>
        <v>0</v>
      </c>
      <c r="FD31" s="108">
        <f t="shared" si="15"/>
        <v>0</v>
      </c>
      <c r="FE31" s="100"/>
      <c r="FF31" s="108">
        <v>0</v>
      </c>
      <c r="FG31" s="108">
        <v>0</v>
      </c>
      <c r="FH31" s="108">
        <v>0</v>
      </c>
      <c r="FI31" s="108">
        <v>0</v>
      </c>
      <c r="FJ31" s="108">
        <v>0</v>
      </c>
      <c r="FK31" s="146">
        <v>0</v>
      </c>
      <c r="FL31" s="146">
        <f t="shared" ref="FL31:FQ31" si="16">FL32</f>
        <v>0</v>
      </c>
      <c r="FM31" s="146">
        <f t="shared" si="16"/>
        <v>0</v>
      </c>
      <c r="FN31" s="146">
        <f t="shared" si="16"/>
        <v>0</v>
      </c>
      <c r="FO31" s="146">
        <f t="shared" si="16"/>
        <v>0</v>
      </c>
      <c r="FP31" s="146">
        <f t="shared" si="16"/>
        <v>0</v>
      </c>
      <c r="FQ31" s="146">
        <f t="shared" si="16"/>
        <v>0</v>
      </c>
      <c r="FR31" s="100"/>
    </row>
    <row r="32" spans="4:174" x14ac:dyDescent="0.25">
      <c r="M32" s="103"/>
      <c r="N32" s="103"/>
      <c r="O32" s="103"/>
      <c r="P32" s="103"/>
      <c r="Q32" s="103"/>
      <c r="R32" s="103"/>
      <c r="S32" s="91"/>
      <c r="Z32" s="103"/>
      <c r="AA32" s="103"/>
      <c r="AB32" s="103"/>
      <c r="AC32" s="103"/>
      <c r="AD32" s="103"/>
      <c r="AE32" s="104"/>
      <c r="AF32" s="91"/>
      <c r="AR32" s="13"/>
      <c r="AS32" s="91"/>
      <c r="BE32" s="13"/>
      <c r="BF32" s="91"/>
      <c r="BR32" s="13"/>
      <c r="BS32" s="91"/>
      <c r="CE32" s="13"/>
      <c r="CJ32" s="107"/>
      <c r="DF32" s="91"/>
      <c r="DR32" s="13"/>
      <c r="DS32" s="20"/>
      <c r="DT32" s="21"/>
      <c r="DU32" s="21"/>
      <c r="DV32" s="21"/>
      <c r="DW32" s="21"/>
      <c r="DX32" s="21"/>
      <c r="DY32" s="21"/>
      <c r="EE32" s="13"/>
      <c r="EF32" s="20"/>
      <c r="EG32" s="21"/>
      <c r="EH32" s="21"/>
      <c r="EI32" s="21"/>
      <c r="EJ32" s="21"/>
      <c r="EK32" s="21"/>
      <c r="EL32" s="21"/>
      <c r="ER32" s="13"/>
      <c r="ES32" s="20"/>
      <c r="ET32" s="21"/>
      <c r="EU32" s="21"/>
      <c r="EV32" s="21"/>
      <c r="EW32" s="21"/>
      <c r="EX32" s="21"/>
      <c r="FE32" s="13"/>
      <c r="FF32" s="20"/>
      <c r="FG32" s="21"/>
      <c r="FH32" s="21"/>
      <c r="FI32" s="21"/>
      <c r="FJ32" s="21"/>
      <c r="FK32" s="21"/>
      <c r="FL32" s="21"/>
      <c r="FM32" s="21"/>
      <c r="FN32" s="21"/>
      <c r="FR32" s="13"/>
    </row>
    <row r="33" spans="4:174" x14ac:dyDescent="0.25">
      <c r="M33" s="103"/>
      <c r="N33" s="103"/>
      <c r="O33" s="103"/>
      <c r="P33" s="103"/>
      <c r="Q33" s="103"/>
      <c r="R33" s="103"/>
      <c r="S33" s="91"/>
      <c r="Z33" s="103"/>
      <c r="AA33" s="103"/>
      <c r="AB33" s="103"/>
      <c r="AC33" s="103"/>
      <c r="AD33" s="103"/>
      <c r="AE33" s="104"/>
      <c r="AF33" s="91"/>
      <c r="AR33" s="13"/>
      <c r="AS33" s="91"/>
      <c r="BE33" s="13"/>
      <c r="BF33" s="91"/>
      <c r="BR33" s="13"/>
      <c r="BS33" s="91"/>
      <c r="CE33" s="13"/>
      <c r="CJ33" s="107"/>
      <c r="DF33" s="91"/>
      <c r="DR33" s="13"/>
      <c r="DS33" s="20"/>
      <c r="DT33" s="21"/>
      <c r="DU33" s="21"/>
      <c r="DV33" s="21"/>
      <c r="DW33" s="21"/>
      <c r="DX33" s="21"/>
      <c r="EE33" s="13"/>
      <c r="EF33" s="20"/>
      <c r="EG33" s="21"/>
      <c r="EH33" s="21"/>
      <c r="EI33" s="21"/>
      <c r="EJ33" s="21"/>
      <c r="EK33" s="21"/>
      <c r="ER33" s="13"/>
      <c r="ET33" s="21"/>
      <c r="EU33" s="21"/>
      <c r="EV33" s="21"/>
      <c r="EW33" s="21"/>
      <c r="EX33" s="21"/>
      <c r="FE33" s="13"/>
      <c r="FF33" s="20"/>
      <c r="FG33" s="21"/>
      <c r="FH33" s="21"/>
      <c r="FI33" s="21"/>
      <c r="FJ33" s="21"/>
      <c r="FK33" s="21"/>
      <c r="FR33" s="13"/>
    </row>
    <row r="34" spans="4:174" x14ac:dyDescent="0.25">
      <c r="S34" s="91"/>
      <c r="AE34" s="13"/>
      <c r="AF34" s="91"/>
      <c r="AR34" s="13"/>
      <c r="AS34" s="91"/>
      <c r="BE34" s="13"/>
      <c r="BF34" s="91"/>
      <c r="BR34" s="13"/>
      <c r="BS34" s="91"/>
      <c r="CE34" s="13"/>
      <c r="CJ34" s="107"/>
      <c r="DF34" s="91"/>
      <c r="DR34" s="13"/>
      <c r="DS34" s="91"/>
      <c r="EE34" s="13"/>
      <c r="EF34" s="91"/>
      <c r="ER34" s="13"/>
      <c r="ES34" s="91"/>
      <c r="FE34" s="13"/>
      <c r="FF34" s="91"/>
      <c r="FR34" s="13"/>
    </row>
    <row r="35" spans="4:174" s="4" customFormat="1" ht="18.75" customHeight="1" x14ac:dyDescent="0.3">
      <c r="D35" s="92"/>
      <c r="E35" s="105" t="s">
        <v>53</v>
      </c>
      <c r="F35" s="95">
        <v>195.798</v>
      </c>
      <c r="G35" s="95">
        <v>131.727</v>
      </c>
      <c r="H35" s="95">
        <v>150.04300000000001</v>
      </c>
      <c r="I35" s="95">
        <v>155.78700000000001</v>
      </c>
      <c r="J35" s="95">
        <v>160.298</v>
      </c>
      <c r="K35" s="95">
        <v>157.518</v>
      </c>
      <c r="L35" s="95">
        <f>SUM(L37:L54)</f>
        <v>159.358</v>
      </c>
      <c r="M35" s="95">
        <f t="shared" ref="M35:R35" si="17">SUM(M36:M54)</f>
        <v>161.34800000000001</v>
      </c>
      <c r="N35" s="95">
        <f t="shared" si="17"/>
        <v>153.833</v>
      </c>
      <c r="O35" s="95">
        <f t="shared" si="17"/>
        <v>0</v>
      </c>
      <c r="P35" s="95">
        <f t="shared" si="17"/>
        <v>0</v>
      </c>
      <c r="Q35" s="95">
        <f t="shared" si="17"/>
        <v>0</v>
      </c>
      <c r="R35" s="95">
        <f t="shared" si="17"/>
        <v>0</v>
      </c>
      <c r="S35" s="95">
        <v>487.221</v>
      </c>
      <c r="T35" s="95">
        <v>491.738</v>
      </c>
      <c r="U35" s="95">
        <v>511.47399999999999</v>
      </c>
      <c r="V35" s="95">
        <v>544.72</v>
      </c>
      <c r="W35" s="95">
        <v>522.83199999999999</v>
      </c>
      <c r="X35" s="95">
        <v>518.04399999999998</v>
      </c>
      <c r="Y35" s="95">
        <f t="shared" ref="Y35:AE35" si="18">SUM(Y36:Y54)</f>
        <v>515.52099999999996</v>
      </c>
      <c r="Z35" s="95">
        <f t="shared" si="18"/>
        <v>533.45638000978693</v>
      </c>
      <c r="AA35" s="95">
        <f t="shared" si="18"/>
        <v>540.49900000000002</v>
      </c>
      <c r="AB35" s="95">
        <f t="shared" si="18"/>
        <v>0</v>
      </c>
      <c r="AC35" s="95">
        <f t="shared" si="18"/>
        <v>0</v>
      </c>
      <c r="AD35" s="95">
        <f t="shared" si="18"/>
        <v>0</v>
      </c>
      <c r="AE35" s="96">
        <f t="shared" si="18"/>
        <v>0</v>
      </c>
      <c r="AF35" s="99">
        <v>77.950999999999993</v>
      </c>
      <c r="AG35" s="97">
        <v>79.03</v>
      </c>
      <c r="AH35" s="97">
        <v>80.625</v>
      </c>
      <c r="AI35" s="97">
        <v>84.575000000000003</v>
      </c>
      <c r="AJ35" s="97">
        <v>84.192999999999998</v>
      </c>
      <c r="AK35" s="97">
        <v>85.188999999999993</v>
      </c>
      <c r="AL35" s="95">
        <f t="shared" ref="AL35:AR35" si="19">SUM(AL36:AL54)</f>
        <v>83.870999999999995</v>
      </c>
      <c r="AM35" s="95">
        <f t="shared" si="19"/>
        <v>95.754999999999995</v>
      </c>
      <c r="AN35" s="95">
        <f t="shared" si="19"/>
        <v>95.256</v>
      </c>
      <c r="AO35" s="95">
        <f t="shared" si="19"/>
        <v>0</v>
      </c>
      <c r="AP35" s="95">
        <f t="shared" si="19"/>
        <v>0</v>
      </c>
      <c r="AQ35" s="95">
        <f t="shared" si="19"/>
        <v>0</v>
      </c>
      <c r="AR35" s="96">
        <f t="shared" si="19"/>
        <v>0</v>
      </c>
      <c r="AS35" s="99"/>
      <c r="AT35" s="97"/>
      <c r="AU35" s="97"/>
      <c r="AV35" s="97"/>
      <c r="AW35" s="97"/>
      <c r="AX35" s="97"/>
      <c r="AY35" s="97"/>
      <c r="AZ35" s="97"/>
      <c r="BA35" s="97"/>
      <c r="BB35" s="97"/>
      <c r="BC35" s="97"/>
      <c r="BD35" s="97"/>
      <c r="BE35" s="100"/>
      <c r="BF35" s="99"/>
      <c r="BG35" s="97"/>
      <c r="BH35" s="97"/>
      <c r="BI35" s="97"/>
      <c r="BJ35" s="97"/>
      <c r="BK35" s="97"/>
      <c r="BL35" s="97"/>
      <c r="BM35" s="97"/>
      <c r="BN35" s="97"/>
      <c r="BO35" s="97"/>
      <c r="BP35" s="97"/>
      <c r="BQ35" s="97"/>
      <c r="BR35" s="100"/>
      <c r="BS35" s="99"/>
      <c r="BT35" s="97"/>
      <c r="BU35" s="97"/>
      <c r="BV35" s="97"/>
      <c r="BW35" s="97"/>
      <c r="BX35" s="97"/>
      <c r="BY35" s="97"/>
      <c r="BZ35" s="97"/>
      <c r="CA35" s="97"/>
      <c r="CB35" s="97"/>
      <c r="CC35" s="97"/>
      <c r="CD35" s="97"/>
      <c r="CE35" s="100"/>
      <c r="DF35" s="101"/>
      <c r="DR35" s="102"/>
      <c r="DS35" s="108">
        <f t="shared" ref="DS35:ED35" si="20">SUM(DS36:DS55)</f>
        <v>613716</v>
      </c>
      <c r="DT35" s="108">
        <f t="shared" si="20"/>
        <v>612621</v>
      </c>
      <c r="DU35" s="108">
        <f t="shared" si="20"/>
        <v>613426</v>
      </c>
      <c r="DV35" s="108">
        <f t="shared" si="20"/>
        <v>594508</v>
      </c>
      <c r="DW35" s="108">
        <f t="shared" si="20"/>
        <v>556367</v>
      </c>
      <c r="DX35" s="108">
        <f t="shared" si="20"/>
        <v>547218</v>
      </c>
      <c r="DY35" s="108">
        <f t="shared" si="20"/>
        <v>551266</v>
      </c>
      <c r="DZ35" s="108">
        <f t="shared" si="20"/>
        <v>548559</v>
      </c>
      <c r="EA35" s="108">
        <f t="shared" si="20"/>
        <v>552035</v>
      </c>
      <c r="EB35" s="108">
        <f t="shared" si="20"/>
        <v>0</v>
      </c>
      <c r="EC35" s="108">
        <f t="shared" si="20"/>
        <v>0</v>
      </c>
      <c r="ED35" s="108">
        <f t="shared" si="20"/>
        <v>0</v>
      </c>
      <c r="EE35" s="100"/>
      <c r="EF35" s="99"/>
      <c r="EG35" s="97"/>
      <c r="EH35" s="97"/>
      <c r="EI35" s="97"/>
      <c r="EJ35" s="97"/>
      <c r="EK35" s="97"/>
      <c r="EL35" s="97"/>
      <c r="EM35" s="97"/>
      <c r="EN35" s="97"/>
      <c r="EO35" s="97"/>
      <c r="EP35" s="97"/>
      <c r="EQ35" s="97"/>
      <c r="ER35" s="100"/>
      <c r="ES35" s="147">
        <f t="shared" ref="ES35:FD35" si="21">SUM(ES36:ES49)</f>
        <v>14521000</v>
      </c>
      <c r="ET35" s="146">
        <f t="shared" si="21"/>
        <v>9472000</v>
      </c>
      <c r="EU35" s="146">
        <f t="shared" si="21"/>
        <v>8938000</v>
      </c>
      <c r="EV35" s="146">
        <f t="shared" si="21"/>
        <v>11162000</v>
      </c>
      <c r="EW35" s="146">
        <f t="shared" si="21"/>
        <v>11074000</v>
      </c>
      <c r="EX35" s="146">
        <f t="shared" si="21"/>
        <v>11301000</v>
      </c>
      <c r="EY35" s="146">
        <f t="shared" si="21"/>
        <v>10962000</v>
      </c>
      <c r="EZ35" s="146">
        <f t="shared" si="21"/>
        <v>10971000</v>
      </c>
      <c r="FA35" s="146">
        <f t="shared" si="21"/>
        <v>10519000</v>
      </c>
      <c r="FB35" s="146">
        <f t="shared" si="21"/>
        <v>0</v>
      </c>
      <c r="FC35" s="146">
        <f t="shared" si="21"/>
        <v>0</v>
      </c>
      <c r="FD35" s="146">
        <f t="shared" si="21"/>
        <v>0</v>
      </c>
      <c r="FE35" s="100"/>
      <c r="FF35" s="99"/>
      <c r="FG35" s="97"/>
      <c r="FH35" s="97"/>
      <c r="FI35" s="97"/>
      <c r="FJ35" s="97"/>
      <c r="FK35" s="97"/>
      <c r="FL35" s="97"/>
      <c r="FM35" s="97"/>
      <c r="FN35" s="97"/>
      <c r="FO35" s="97"/>
      <c r="FP35" s="97"/>
      <c r="FQ35" s="97"/>
      <c r="FR35" s="100"/>
    </row>
    <row r="36" spans="4:174" x14ac:dyDescent="0.25">
      <c r="E36" s="2" t="s">
        <v>58</v>
      </c>
      <c r="L36" s="2">
        <v>1.9139999999999999</v>
      </c>
      <c r="M36" s="103">
        <v>1.7410000000000001</v>
      </c>
      <c r="N36" s="103">
        <v>1.4910000000000001</v>
      </c>
      <c r="O36" s="103"/>
      <c r="P36" s="103"/>
      <c r="Q36" s="103"/>
      <c r="R36" s="103"/>
      <c r="S36" s="91"/>
      <c r="Y36" s="2">
        <v>21.712</v>
      </c>
      <c r="Z36" s="103">
        <v>23.005990486242499</v>
      </c>
      <c r="AA36" s="103">
        <v>23.652999999999999</v>
      </c>
      <c r="AB36" s="103"/>
      <c r="AC36" s="103"/>
      <c r="AD36" s="103"/>
      <c r="AE36" s="104"/>
      <c r="AF36" s="91"/>
      <c r="AL36" s="2">
        <v>2</v>
      </c>
      <c r="AM36" s="103">
        <v>2.2999999999999998</v>
      </c>
      <c r="AN36" s="103">
        <v>2.0920000000000001</v>
      </c>
      <c r="AO36" s="103"/>
      <c r="AP36" s="103"/>
      <c r="AQ36" s="103"/>
      <c r="AR36" s="104"/>
      <c r="AS36" s="91"/>
      <c r="BE36" s="13"/>
      <c r="BF36" s="91"/>
      <c r="BR36" s="13"/>
      <c r="BS36" s="91"/>
      <c r="CE36" s="13"/>
      <c r="DF36" s="91"/>
      <c r="DR36" s="13"/>
      <c r="DS36" s="148">
        <v>15523</v>
      </c>
      <c r="DT36" s="149">
        <v>15595</v>
      </c>
      <c r="DU36" s="149">
        <v>15322</v>
      </c>
      <c r="DV36" s="150">
        <v>15495</v>
      </c>
      <c r="DW36" s="150">
        <v>16783</v>
      </c>
      <c r="DX36" s="21">
        <v>15692</v>
      </c>
      <c r="DY36" s="21">
        <v>17821</v>
      </c>
      <c r="DZ36" s="2">
        <v>18106</v>
      </c>
      <c r="EA36" s="2">
        <v>18990</v>
      </c>
      <c r="EE36" s="13"/>
      <c r="EF36" s="20"/>
      <c r="EG36" s="21"/>
      <c r="EH36" s="21"/>
      <c r="EI36" s="21"/>
      <c r="EJ36" s="21"/>
      <c r="EK36" s="21"/>
      <c r="ER36" s="13"/>
      <c r="ES36" s="151">
        <v>323000</v>
      </c>
      <c r="ET36" s="152">
        <v>203000</v>
      </c>
      <c r="EU36" s="152">
        <v>163000</v>
      </c>
      <c r="EV36" s="150">
        <v>223000</v>
      </c>
      <c r="EW36" s="150">
        <v>283000</v>
      </c>
      <c r="EX36" s="21">
        <v>279000</v>
      </c>
      <c r="EY36" s="2">
        <v>290000</v>
      </c>
      <c r="EZ36" s="2">
        <v>297000</v>
      </c>
      <c r="FA36" s="2">
        <v>282000</v>
      </c>
      <c r="FE36" s="13"/>
      <c r="FF36" s="20"/>
      <c r="FG36" s="21"/>
      <c r="FH36" s="21"/>
      <c r="FI36" s="21"/>
      <c r="FJ36" s="21"/>
      <c r="FK36" s="21"/>
      <c r="FR36" s="13"/>
    </row>
    <row r="37" spans="4:174" x14ac:dyDescent="0.25">
      <c r="E37" s="2" t="s">
        <v>59</v>
      </c>
      <c r="L37" s="2">
        <v>2.9689999999999999</v>
      </c>
      <c r="M37" s="103">
        <v>1.7649999999999999</v>
      </c>
      <c r="N37" s="103">
        <v>1.2849999999999999</v>
      </c>
      <c r="O37" s="103"/>
      <c r="P37" s="103"/>
      <c r="Q37" s="103"/>
      <c r="R37" s="103"/>
      <c r="S37" s="91"/>
      <c r="Y37" s="2">
        <v>30.407</v>
      </c>
      <c r="Z37" s="103">
        <v>32.131013270054098</v>
      </c>
      <c r="AA37" s="103">
        <v>32.277000000000001</v>
      </c>
      <c r="AB37" s="103"/>
      <c r="AC37" s="103"/>
      <c r="AD37" s="103"/>
      <c r="AE37" s="104"/>
      <c r="AF37" s="91"/>
      <c r="AL37" s="2">
        <v>2.8650000000000002</v>
      </c>
      <c r="AM37" s="103">
        <v>3.4430000000000001</v>
      </c>
      <c r="AN37" s="103">
        <v>2.9769999999999999</v>
      </c>
      <c r="AO37" s="103"/>
      <c r="AP37" s="103"/>
      <c r="AQ37" s="103"/>
      <c r="AR37" s="104"/>
      <c r="AS37" s="91"/>
      <c r="BE37" s="13"/>
      <c r="BF37" s="91"/>
      <c r="BR37" s="13"/>
      <c r="BS37" s="91"/>
      <c r="CE37" s="13"/>
      <c r="DF37" s="91"/>
      <c r="DR37" s="13"/>
      <c r="DS37" s="148">
        <v>24379</v>
      </c>
      <c r="DT37" s="149">
        <v>23664</v>
      </c>
      <c r="DU37" s="149">
        <v>24880</v>
      </c>
      <c r="DV37" s="150">
        <v>24955</v>
      </c>
      <c r="DW37" s="150">
        <v>26215</v>
      </c>
      <c r="DX37" s="21">
        <v>24503</v>
      </c>
      <c r="DY37" s="21">
        <v>26840</v>
      </c>
      <c r="DZ37" s="2">
        <v>27694</v>
      </c>
      <c r="EA37" s="2">
        <v>27520</v>
      </c>
      <c r="EE37" s="13"/>
      <c r="EF37" s="20"/>
      <c r="EG37" s="21"/>
      <c r="EH37" s="21"/>
      <c r="EI37" s="21"/>
      <c r="EJ37" s="21"/>
      <c r="EK37" s="21"/>
      <c r="ER37" s="13"/>
      <c r="ES37" s="151">
        <v>315000</v>
      </c>
      <c r="ET37" s="152">
        <v>216000</v>
      </c>
      <c r="EU37" s="152">
        <v>193000</v>
      </c>
      <c r="EV37" s="150">
        <v>269000</v>
      </c>
      <c r="EW37" s="150">
        <v>255000</v>
      </c>
      <c r="EX37" s="21">
        <v>252000</v>
      </c>
      <c r="EY37" s="2">
        <v>257000</v>
      </c>
      <c r="EZ37" s="2">
        <v>262000</v>
      </c>
      <c r="FA37" s="2">
        <v>266000</v>
      </c>
      <c r="FE37" s="13"/>
      <c r="FF37" s="20"/>
      <c r="FG37" s="21"/>
      <c r="FH37" s="21"/>
      <c r="FI37" s="21"/>
      <c r="FJ37" s="21"/>
      <c r="FK37" s="21"/>
      <c r="FR37" s="13"/>
    </row>
    <row r="38" spans="4:174" x14ac:dyDescent="0.25">
      <c r="E38" s="2" t="s">
        <v>60</v>
      </c>
      <c r="L38" s="2">
        <v>1.1399999999999999</v>
      </c>
      <c r="M38" s="103">
        <v>1.137</v>
      </c>
      <c r="N38" s="103">
        <v>1.1559999999999999</v>
      </c>
      <c r="O38" s="103"/>
      <c r="P38" s="103"/>
      <c r="Q38" s="103"/>
      <c r="R38" s="103"/>
      <c r="S38" s="91"/>
      <c r="Y38" s="2">
        <v>8.4309999999999992</v>
      </c>
      <c r="Z38" s="103">
        <v>8.8221952188491901</v>
      </c>
      <c r="AA38" s="103">
        <v>8.9359999999999999</v>
      </c>
      <c r="AB38" s="103"/>
      <c r="AC38" s="103"/>
      <c r="AD38" s="103"/>
      <c r="AE38" s="104"/>
      <c r="AF38" s="91"/>
      <c r="AL38" s="2">
        <v>0.93600000000000005</v>
      </c>
      <c r="AM38" s="103">
        <v>1.0760000000000001</v>
      </c>
      <c r="AN38" s="103">
        <v>1.0489999999999999</v>
      </c>
      <c r="AO38" s="103"/>
      <c r="AP38" s="103"/>
      <c r="AQ38" s="103"/>
      <c r="AR38" s="104"/>
      <c r="AS38" s="91"/>
      <c r="BE38" s="13"/>
      <c r="BF38" s="91"/>
      <c r="BR38" s="13"/>
      <c r="BS38" s="91"/>
      <c r="CE38" s="13"/>
      <c r="DF38" s="91"/>
      <c r="DR38" s="13"/>
      <c r="DS38" s="148">
        <v>8278</v>
      </c>
      <c r="DT38" s="149">
        <v>7705</v>
      </c>
      <c r="DU38" s="149">
        <v>7707</v>
      </c>
      <c r="DV38" s="150">
        <v>7651</v>
      </c>
      <c r="DW38" s="150">
        <v>7596</v>
      </c>
      <c r="DX38" s="21">
        <v>7313</v>
      </c>
      <c r="DY38" s="21">
        <v>8593</v>
      </c>
      <c r="DZ38" s="2">
        <v>8840</v>
      </c>
      <c r="EA38" s="2">
        <v>8882</v>
      </c>
      <c r="EE38" s="13"/>
      <c r="EF38" s="20"/>
      <c r="EG38" s="21"/>
      <c r="EH38" s="21"/>
      <c r="EI38" s="21"/>
      <c r="EJ38" s="21"/>
      <c r="EK38" s="21"/>
      <c r="ER38" s="13"/>
      <c r="ES38" s="151">
        <v>147000</v>
      </c>
      <c r="ET38" s="152">
        <v>104000</v>
      </c>
      <c r="EU38" s="152">
        <v>97000</v>
      </c>
      <c r="EV38" s="150">
        <v>143000</v>
      </c>
      <c r="EW38" s="150">
        <v>107000</v>
      </c>
      <c r="EX38" s="21">
        <v>98000</v>
      </c>
      <c r="EY38" s="2">
        <v>107000</v>
      </c>
      <c r="EZ38" s="2">
        <v>106000</v>
      </c>
      <c r="FA38" s="2">
        <v>106000</v>
      </c>
      <c r="FE38" s="13"/>
      <c r="FF38" s="20"/>
      <c r="FG38" s="21"/>
      <c r="FH38" s="21"/>
      <c r="FI38" s="21"/>
      <c r="FJ38" s="21"/>
      <c r="FK38" s="21"/>
      <c r="FR38" s="13"/>
    </row>
    <row r="39" spans="4:174" x14ac:dyDescent="0.25">
      <c r="E39" s="2" t="s">
        <v>61</v>
      </c>
      <c r="L39" s="2">
        <v>1.335</v>
      </c>
      <c r="M39" s="103">
        <v>0.432</v>
      </c>
      <c r="N39" s="103">
        <v>0.36199999999999999</v>
      </c>
      <c r="O39" s="103"/>
      <c r="P39" s="103"/>
      <c r="Q39" s="103"/>
      <c r="R39" s="103"/>
      <c r="S39" s="91"/>
      <c r="Y39" s="2">
        <v>6.1150000000000002</v>
      </c>
      <c r="Z39" s="103">
        <v>4.7206223966982002</v>
      </c>
      <c r="AA39" s="103">
        <v>5.0410000000000004</v>
      </c>
      <c r="AB39" s="103"/>
      <c r="AC39" s="103"/>
      <c r="AD39" s="103"/>
      <c r="AE39" s="104"/>
      <c r="AF39" s="91"/>
      <c r="AL39" s="2">
        <v>0.99399999999999999</v>
      </c>
      <c r="AM39" s="103">
        <v>1.0489999999999999</v>
      </c>
      <c r="AN39" s="103">
        <v>0.91300000000000003</v>
      </c>
      <c r="AO39" s="103"/>
      <c r="AP39" s="103"/>
      <c r="AQ39" s="103"/>
      <c r="AR39" s="104"/>
      <c r="AS39" s="91"/>
      <c r="BE39" s="13"/>
      <c r="BF39" s="91"/>
      <c r="BR39" s="13"/>
      <c r="BS39" s="91"/>
      <c r="CE39" s="13"/>
      <c r="DF39" s="91"/>
      <c r="DR39" s="13"/>
      <c r="DS39" s="148">
        <v>9686</v>
      </c>
      <c r="DT39" s="149">
        <v>9111</v>
      </c>
      <c r="DU39" s="149">
        <v>8752</v>
      </c>
      <c r="DV39" s="150">
        <v>8790</v>
      </c>
      <c r="DW39" s="150">
        <v>8174</v>
      </c>
      <c r="DX39" s="21">
        <v>8188</v>
      </c>
      <c r="DY39" s="21">
        <v>6559</v>
      </c>
      <c r="DZ39" s="2">
        <v>4383</v>
      </c>
      <c r="EA39" s="2">
        <v>4417</v>
      </c>
      <c r="EE39" s="13"/>
      <c r="EF39" s="20"/>
      <c r="EG39" s="21"/>
      <c r="EH39" s="21"/>
      <c r="EI39" s="21"/>
      <c r="EJ39" s="21"/>
      <c r="EK39" s="21"/>
      <c r="ER39" s="13"/>
      <c r="ES39" s="151">
        <v>276000</v>
      </c>
      <c r="ET39" s="152">
        <v>191000</v>
      </c>
      <c r="EU39" s="152">
        <v>171000</v>
      </c>
      <c r="EV39" s="150">
        <v>217000</v>
      </c>
      <c r="EW39" s="150">
        <v>261000</v>
      </c>
      <c r="EX39" s="21">
        <v>262000</v>
      </c>
      <c r="EY39" s="2">
        <v>240000</v>
      </c>
      <c r="EZ39" s="2">
        <v>191000</v>
      </c>
      <c r="FA39" s="2">
        <v>206000</v>
      </c>
      <c r="FE39" s="13"/>
      <c r="FF39" s="20"/>
      <c r="FG39" s="21"/>
      <c r="FH39" s="21"/>
      <c r="FI39" s="21"/>
      <c r="FJ39" s="21"/>
      <c r="FK39" s="21"/>
      <c r="FR39" s="13"/>
    </row>
    <row r="40" spans="4:174" x14ac:dyDescent="0.25">
      <c r="E40" s="2" t="s">
        <v>62</v>
      </c>
      <c r="L40" s="2">
        <v>2.4220000000000002</v>
      </c>
      <c r="M40" s="103">
        <v>2.556</v>
      </c>
      <c r="N40" s="103">
        <v>2.3010000000000002</v>
      </c>
      <c r="O40" s="103"/>
      <c r="P40" s="103"/>
      <c r="Q40" s="103"/>
      <c r="R40" s="103"/>
      <c r="S40" s="91"/>
      <c r="Y40" s="2">
        <v>13.759</v>
      </c>
      <c r="Z40" s="103">
        <v>14.1651927933964</v>
      </c>
      <c r="AA40" s="103">
        <v>14.412000000000001</v>
      </c>
      <c r="AB40" s="103"/>
      <c r="AC40" s="103"/>
      <c r="AD40" s="103"/>
      <c r="AE40" s="104"/>
      <c r="AF40" s="91"/>
      <c r="AL40" s="2">
        <v>1.593</v>
      </c>
      <c r="AM40" s="103">
        <v>1.847</v>
      </c>
      <c r="AN40" s="103">
        <v>1.9530000000000001</v>
      </c>
      <c r="AO40" s="103"/>
      <c r="AP40" s="103"/>
      <c r="AQ40" s="103"/>
      <c r="AR40" s="104"/>
      <c r="AS40" s="91"/>
      <c r="BE40" s="13"/>
      <c r="BF40" s="91"/>
      <c r="BR40" s="13"/>
      <c r="BS40" s="91"/>
      <c r="CE40" s="13"/>
      <c r="DF40" s="91"/>
      <c r="DR40" s="13"/>
      <c r="DS40" s="148">
        <v>13418</v>
      </c>
      <c r="DT40" s="149">
        <v>13038</v>
      </c>
      <c r="DU40" s="149">
        <v>12674</v>
      </c>
      <c r="DV40" s="150">
        <v>12743</v>
      </c>
      <c r="DW40" s="150">
        <v>12594</v>
      </c>
      <c r="DX40" s="21">
        <v>12747</v>
      </c>
      <c r="DY40" s="21">
        <v>12684</v>
      </c>
      <c r="DZ40" s="2">
        <v>12670</v>
      </c>
      <c r="EA40" s="2">
        <v>12753</v>
      </c>
      <c r="EE40" s="13"/>
      <c r="EF40" s="20"/>
      <c r="EG40" s="21"/>
      <c r="EH40" s="21"/>
      <c r="EI40" s="21"/>
      <c r="EJ40" s="21"/>
      <c r="EK40" s="21"/>
      <c r="ER40" s="13"/>
      <c r="ES40" s="151">
        <v>173000</v>
      </c>
      <c r="ET40" s="152">
        <v>102000</v>
      </c>
      <c r="EU40" s="152">
        <v>90000</v>
      </c>
      <c r="EV40" s="150">
        <v>147000</v>
      </c>
      <c r="EW40" s="150">
        <v>142000</v>
      </c>
      <c r="EX40" s="21">
        <v>151000</v>
      </c>
      <c r="EY40" s="2">
        <v>150000</v>
      </c>
      <c r="EZ40" s="2">
        <v>153000</v>
      </c>
      <c r="FA40" s="2">
        <v>144000</v>
      </c>
      <c r="FE40" s="13"/>
      <c r="FF40" s="20"/>
      <c r="FG40" s="21"/>
      <c r="FH40" s="21"/>
      <c r="FI40" s="21"/>
      <c r="FJ40" s="21"/>
      <c r="FK40" s="21"/>
      <c r="FR40" s="13"/>
    </row>
    <row r="41" spans="4:174" x14ac:dyDescent="0.25">
      <c r="E41" s="2" t="s">
        <v>63</v>
      </c>
      <c r="L41" s="2">
        <v>1.427</v>
      </c>
      <c r="M41" s="103">
        <v>1.171</v>
      </c>
      <c r="N41" s="103">
        <v>1.1399999999999999</v>
      </c>
      <c r="O41" s="103"/>
      <c r="P41" s="103"/>
      <c r="Q41" s="103"/>
      <c r="R41" s="103"/>
      <c r="S41" s="91"/>
      <c r="Y41" s="2">
        <v>17.399000000000001</v>
      </c>
      <c r="Z41" s="103">
        <v>17.978532373045901</v>
      </c>
      <c r="AA41" s="103">
        <v>18.097999999999999</v>
      </c>
      <c r="AB41" s="103"/>
      <c r="AC41" s="103"/>
      <c r="AD41" s="103"/>
      <c r="AE41" s="104"/>
      <c r="AF41" s="91"/>
      <c r="AL41" s="2">
        <v>1.786</v>
      </c>
      <c r="AM41" s="103">
        <v>2.0649999999999999</v>
      </c>
      <c r="AN41" s="103">
        <v>1.859</v>
      </c>
      <c r="AO41" s="103"/>
      <c r="AP41" s="103"/>
      <c r="AQ41" s="103"/>
      <c r="AR41" s="104"/>
      <c r="AS41" s="91"/>
      <c r="BE41" s="13"/>
      <c r="BF41" s="91"/>
      <c r="BR41" s="13"/>
      <c r="BS41" s="91"/>
      <c r="CE41" s="13"/>
      <c r="DF41" s="91"/>
      <c r="DR41" s="13"/>
      <c r="DS41" s="148">
        <v>15897</v>
      </c>
      <c r="DT41" s="149">
        <v>15367</v>
      </c>
      <c r="DU41" s="149">
        <v>15343</v>
      </c>
      <c r="DV41" s="150">
        <v>15776</v>
      </c>
      <c r="DW41" s="150">
        <v>14812</v>
      </c>
      <c r="DX41" s="21">
        <v>14823</v>
      </c>
      <c r="DY41" s="21">
        <v>14671</v>
      </c>
      <c r="DZ41" s="2">
        <v>14563</v>
      </c>
      <c r="EA41" s="2">
        <v>14492</v>
      </c>
      <c r="EE41" s="13"/>
      <c r="EF41" s="20"/>
      <c r="EG41" s="21"/>
      <c r="EH41" s="21"/>
      <c r="EI41" s="21"/>
      <c r="EJ41" s="21"/>
      <c r="EK41" s="21"/>
      <c r="ER41" s="13"/>
      <c r="ES41" s="151">
        <v>285000</v>
      </c>
      <c r="ET41" s="152">
        <v>181000</v>
      </c>
      <c r="EU41" s="152">
        <v>148000</v>
      </c>
      <c r="EV41" s="150">
        <v>223000</v>
      </c>
      <c r="EW41" s="150">
        <v>200000</v>
      </c>
      <c r="EX41" s="21">
        <v>180000</v>
      </c>
      <c r="EY41" s="2">
        <v>175000</v>
      </c>
      <c r="EZ41" s="2">
        <v>172000</v>
      </c>
      <c r="FA41" s="2">
        <v>191000</v>
      </c>
      <c r="FE41" s="13"/>
      <c r="FF41" s="20"/>
      <c r="FG41" s="21"/>
      <c r="FH41" s="21"/>
      <c r="FI41" s="21"/>
      <c r="FJ41" s="21"/>
      <c r="FK41" s="21"/>
      <c r="FR41" s="13"/>
    </row>
    <row r="42" spans="4:174" x14ac:dyDescent="0.25">
      <c r="E42" s="2" t="s">
        <v>64</v>
      </c>
      <c r="L42" s="2">
        <v>3.1920000000000002</v>
      </c>
      <c r="M42" s="103">
        <v>3.2130000000000001</v>
      </c>
      <c r="N42" s="103">
        <v>3.4159999999999999</v>
      </c>
      <c r="O42" s="103"/>
      <c r="P42" s="103"/>
      <c r="Q42" s="103"/>
      <c r="R42" s="103"/>
      <c r="S42" s="91"/>
      <c r="Y42" s="2">
        <v>18.681999999999999</v>
      </c>
      <c r="Z42" s="103">
        <v>19.230520491745501</v>
      </c>
      <c r="AA42" s="103">
        <v>19.501000000000001</v>
      </c>
      <c r="AB42" s="103"/>
      <c r="AC42" s="103"/>
      <c r="AD42" s="103"/>
      <c r="AE42" s="104"/>
      <c r="AF42" s="91"/>
      <c r="AL42" s="2">
        <v>2.2000000000000002</v>
      </c>
      <c r="AM42" s="103">
        <v>2.694</v>
      </c>
      <c r="AN42" s="103">
        <v>2.6930000000000001</v>
      </c>
      <c r="AO42" s="103"/>
      <c r="AP42" s="103"/>
      <c r="AQ42" s="103"/>
      <c r="AR42" s="104"/>
      <c r="AS42" s="91"/>
      <c r="BE42" s="13"/>
      <c r="BF42" s="91"/>
      <c r="BR42" s="13"/>
      <c r="BS42" s="91"/>
      <c r="CE42" s="13"/>
      <c r="DF42" s="91"/>
      <c r="DR42" s="13"/>
      <c r="DS42" s="148">
        <v>17202</v>
      </c>
      <c r="DT42" s="149">
        <v>17135</v>
      </c>
      <c r="DU42" s="149">
        <v>17285</v>
      </c>
      <c r="DV42" s="150">
        <v>17441</v>
      </c>
      <c r="DW42" s="150">
        <v>18539</v>
      </c>
      <c r="DX42" s="21">
        <v>17615</v>
      </c>
      <c r="DY42" s="21">
        <v>19666</v>
      </c>
      <c r="DZ42" s="2">
        <v>19619</v>
      </c>
      <c r="EA42" s="2">
        <v>19684</v>
      </c>
      <c r="EE42" s="13"/>
      <c r="EF42" s="20"/>
      <c r="EG42" s="21"/>
      <c r="EH42" s="21"/>
      <c r="EI42" s="21"/>
      <c r="EJ42" s="21"/>
      <c r="EK42" s="21"/>
      <c r="ER42" s="13"/>
      <c r="ES42" s="151">
        <v>288000</v>
      </c>
      <c r="ET42" s="152">
        <v>190000</v>
      </c>
      <c r="EU42" s="152">
        <v>175000</v>
      </c>
      <c r="EV42" s="150">
        <v>247000</v>
      </c>
      <c r="EW42" s="150">
        <v>253000</v>
      </c>
      <c r="EX42" s="21">
        <v>254000</v>
      </c>
      <c r="EY42" s="2">
        <v>255000</v>
      </c>
      <c r="EZ42" s="2">
        <v>255000</v>
      </c>
      <c r="FA42" s="2">
        <v>248000</v>
      </c>
      <c r="FE42" s="13"/>
      <c r="FF42" s="20"/>
      <c r="FG42" s="21"/>
      <c r="FH42" s="21"/>
      <c r="FI42" s="21"/>
      <c r="FJ42" s="21"/>
      <c r="FK42" s="21"/>
      <c r="FR42" s="13"/>
    </row>
    <row r="43" spans="4:174" x14ac:dyDescent="0.25">
      <c r="E43" s="2" t="s">
        <v>65</v>
      </c>
      <c r="L43" s="2">
        <v>38.338000000000001</v>
      </c>
      <c r="M43" s="103">
        <v>40.249000000000002</v>
      </c>
      <c r="N43" s="103">
        <v>39.399000000000001</v>
      </c>
      <c r="O43" s="103"/>
      <c r="P43" s="103"/>
      <c r="Q43" s="103"/>
      <c r="R43" s="103"/>
      <c r="S43" s="91"/>
      <c r="Y43" s="2">
        <v>165.64500000000001</v>
      </c>
      <c r="Z43" s="103">
        <v>173.76440182412199</v>
      </c>
      <c r="AA43" s="103">
        <v>175.26</v>
      </c>
      <c r="AB43" s="103"/>
      <c r="AC43" s="103"/>
      <c r="AD43" s="103"/>
      <c r="AE43" s="104"/>
      <c r="AF43" s="91"/>
      <c r="AL43" s="2">
        <v>29.518999999999998</v>
      </c>
      <c r="AM43" s="103">
        <v>33.768999999999998</v>
      </c>
      <c r="AN43" s="103">
        <v>34.878</v>
      </c>
      <c r="AO43" s="103"/>
      <c r="AP43" s="103"/>
      <c r="AQ43" s="103"/>
      <c r="AR43" s="104"/>
      <c r="AS43" s="91"/>
      <c r="BE43" s="13"/>
      <c r="BF43" s="91"/>
      <c r="BR43" s="13"/>
      <c r="BS43" s="91"/>
      <c r="CE43" s="13"/>
      <c r="DF43" s="91"/>
      <c r="DR43" s="13"/>
      <c r="DS43" s="148">
        <v>216146</v>
      </c>
      <c r="DT43" s="149">
        <v>216643</v>
      </c>
      <c r="DU43" s="149">
        <v>216604</v>
      </c>
      <c r="DV43" s="150">
        <v>196264</v>
      </c>
      <c r="DW43" s="150">
        <v>179383</v>
      </c>
      <c r="DX43" s="21">
        <v>164221</v>
      </c>
      <c r="DY43" s="21">
        <v>165471</v>
      </c>
      <c r="DZ43" s="2">
        <v>165040</v>
      </c>
      <c r="EA43" s="2">
        <v>165983</v>
      </c>
      <c r="EE43" s="13"/>
      <c r="EF43" s="20"/>
      <c r="EG43" s="21"/>
      <c r="EH43" s="21"/>
      <c r="EI43" s="21"/>
      <c r="EJ43" s="21"/>
      <c r="EK43" s="21"/>
      <c r="ER43" s="13"/>
      <c r="ES43" s="151">
        <v>6423000</v>
      </c>
      <c r="ET43" s="152">
        <v>4075000</v>
      </c>
      <c r="EU43" s="152">
        <v>3948000</v>
      </c>
      <c r="EV43" s="150">
        <v>4312000</v>
      </c>
      <c r="EW43" s="150">
        <v>4035000</v>
      </c>
      <c r="EX43" s="21">
        <v>4119000</v>
      </c>
      <c r="EY43" s="2">
        <v>4072000</v>
      </c>
      <c r="EZ43" s="2">
        <v>4060000</v>
      </c>
      <c r="FA43" s="2">
        <v>3938000</v>
      </c>
      <c r="FE43" s="13"/>
      <c r="FF43" s="20"/>
      <c r="FG43" s="21"/>
      <c r="FH43" s="21"/>
      <c r="FI43" s="21"/>
      <c r="FJ43" s="21"/>
      <c r="FK43" s="21"/>
      <c r="FR43" s="13"/>
    </row>
    <row r="44" spans="4:174" x14ac:dyDescent="0.25">
      <c r="E44" s="2" t="s">
        <v>66</v>
      </c>
      <c r="L44" s="2">
        <v>8.4849999999999994</v>
      </c>
      <c r="M44" s="103">
        <v>8.6720000000000006</v>
      </c>
      <c r="N44" s="103">
        <v>7.9089999999999998</v>
      </c>
      <c r="O44" s="103"/>
      <c r="P44" s="103"/>
      <c r="Q44" s="103"/>
      <c r="R44" s="103"/>
      <c r="S44" s="91"/>
      <c r="Y44" s="2">
        <v>32.070999999999998</v>
      </c>
      <c r="Z44" s="103">
        <v>34.0929382455002</v>
      </c>
      <c r="AA44" s="103">
        <v>33.506</v>
      </c>
      <c r="AB44" s="103"/>
      <c r="AC44" s="103"/>
      <c r="AD44" s="103"/>
      <c r="AE44" s="104"/>
      <c r="AF44" s="91"/>
      <c r="AL44" s="2">
        <v>4.8760000000000003</v>
      </c>
      <c r="AM44" s="103">
        <v>5.5590000000000002</v>
      </c>
      <c r="AN44" s="103">
        <v>5.3259999999999996</v>
      </c>
      <c r="AO44" s="103"/>
      <c r="AP44" s="103"/>
      <c r="AQ44" s="103"/>
      <c r="AR44" s="104"/>
      <c r="AS44" s="91"/>
      <c r="BE44" s="13"/>
      <c r="BF44" s="91"/>
      <c r="BR44" s="13"/>
      <c r="BS44" s="91"/>
      <c r="CE44" s="13"/>
      <c r="DF44" s="91"/>
      <c r="DR44" s="13"/>
      <c r="DS44" s="148">
        <v>39523</v>
      </c>
      <c r="DT44" s="149">
        <v>39712</v>
      </c>
      <c r="DU44" s="149">
        <v>39791</v>
      </c>
      <c r="DV44" s="150">
        <v>39885</v>
      </c>
      <c r="DW44" s="150">
        <v>39231</v>
      </c>
      <c r="DX44" s="21">
        <v>37655</v>
      </c>
      <c r="DY44" s="21">
        <v>37418</v>
      </c>
      <c r="DZ44" s="2">
        <v>37834</v>
      </c>
      <c r="EA44" s="2">
        <v>37392</v>
      </c>
      <c r="EE44" s="13"/>
      <c r="EF44" s="20"/>
      <c r="EG44" s="21"/>
      <c r="EH44" s="21"/>
      <c r="EI44" s="21"/>
      <c r="EJ44" s="21"/>
      <c r="EK44" s="21"/>
      <c r="ER44" s="13"/>
      <c r="ES44" s="151">
        <v>839000</v>
      </c>
      <c r="ET44" s="152">
        <v>569000</v>
      </c>
      <c r="EU44" s="152">
        <v>531000</v>
      </c>
      <c r="EV44" s="150">
        <v>693000</v>
      </c>
      <c r="EW44" s="150">
        <v>736000</v>
      </c>
      <c r="EX44" s="21">
        <v>858000</v>
      </c>
      <c r="EY44" s="2">
        <v>749000</v>
      </c>
      <c r="EZ44" s="2">
        <v>743000</v>
      </c>
      <c r="FA44" s="2">
        <v>853000</v>
      </c>
      <c r="FE44" s="13"/>
      <c r="FF44" s="20"/>
      <c r="FG44" s="21"/>
      <c r="FH44" s="21"/>
      <c r="FI44" s="21"/>
      <c r="FJ44" s="21"/>
      <c r="FK44" s="21"/>
      <c r="FR44" s="13"/>
    </row>
    <row r="45" spans="4:174" x14ac:dyDescent="0.25">
      <c r="E45" s="2" t="s">
        <v>70</v>
      </c>
      <c r="L45" s="2">
        <v>100.05</v>
      </c>
      <c r="M45" s="103">
        <v>100.41200000000001</v>
      </c>
      <c r="N45" s="103">
        <v>95.373999999999995</v>
      </c>
      <c r="O45" s="103"/>
      <c r="P45" s="103"/>
      <c r="Q45" s="103"/>
      <c r="R45" s="103"/>
      <c r="S45" s="91"/>
      <c r="Y45" s="153">
        <v>201.3</v>
      </c>
      <c r="Z45" s="103">
        <v>205.544972910133</v>
      </c>
      <c r="AA45" s="103">
        <v>209.815</v>
      </c>
      <c r="AB45" s="103"/>
      <c r="AC45" s="103"/>
      <c r="AD45" s="103"/>
      <c r="AE45" s="104"/>
      <c r="AF45" s="91"/>
      <c r="AL45" s="2">
        <v>37.101999999999997</v>
      </c>
      <c r="AM45" s="103">
        <v>41.953000000000003</v>
      </c>
      <c r="AN45" s="103">
        <v>41.515999999999998</v>
      </c>
      <c r="AO45" s="103"/>
      <c r="AP45" s="103"/>
      <c r="AQ45" s="103"/>
      <c r="AR45" s="104"/>
      <c r="AS45" s="91"/>
      <c r="BE45" s="13"/>
      <c r="BF45" s="91"/>
      <c r="BR45" s="13"/>
      <c r="BS45" s="91"/>
      <c r="CE45" s="13"/>
      <c r="DF45" s="91"/>
      <c r="DR45" s="13"/>
      <c r="DS45" s="20">
        <v>253664</v>
      </c>
      <c r="DT45" s="21">
        <v>254651</v>
      </c>
      <c r="DU45" s="21">
        <v>255068</v>
      </c>
      <c r="DV45" s="21">
        <v>255508</v>
      </c>
      <c r="DW45" s="21">
        <v>233040</v>
      </c>
      <c r="DX45" s="21">
        <v>244461</v>
      </c>
      <c r="DY45" s="21">
        <v>241543</v>
      </c>
      <c r="DZ45" s="2">
        <v>239810</v>
      </c>
      <c r="EA45" s="2">
        <v>241922</v>
      </c>
      <c r="EE45" s="13"/>
      <c r="EF45" s="20"/>
      <c r="EG45" s="21"/>
      <c r="EH45" s="21"/>
      <c r="EI45" s="21"/>
      <c r="EJ45" s="21"/>
      <c r="EK45" s="21"/>
      <c r="ER45" s="13"/>
      <c r="ES45" s="151">
        <v>5452000</v>
      </c>
      <c r="ET45" s="152">
        <v>3641000</v>
      </c>
      <c r="EU45" s="152">
        <v>3422000</v>
      </c>
      <c r="EV45" s="150">
        <v>4688000</v>
      </c>
      <c r="EW45" s="150">
        <v>4802000</v>
      </c>
      <c r="EX45" s="21">
        <v>4848000</v>
      </c>
      <c r="EY45" s="2">
        <v>4667000</v>
      </c>
      <c r="EZ45" s="2">
        <v>4732000</v>
      </c>
      <c r="FA45" s="2">
        <v>4285000</v>
      </c>
      <c r="FE45" s="13"/>
      <c r="FF45" s="20"/>
      <c r="FG45" s="21"/>
      <c r="FH45" s="21"/>
      <c r="FI45" s="21"/>
      <c r="FJ45" s="21"/>
      <c r="FK45" s="21"/>
      <c r="FR45" s="13"/>
    </row>
    <row r="46" spans="4:174" x14ac:dyDescent="0.25">
      <c r="M46" s="103"/>
      <c r="N46" s="103"/>
      <c r="O46" s="103"/>
      <c r="P46" s="103"/>
      <c r="Q46" s="103"/>
      <c r="R46" s="103"/>
      <c r="S46" s="91"/>
      <c r="Z46" s="103"/>
      <c r="AA46" s="103"/>
      <c r="AB46" s="103"/>
      <c r="AC46" s="103"/>
      <c r="AD46" s="103"/>
      <c r="AE46" s="104"/>
      <c r="AF46" s="91"/>
      <c r="AR46" s="13"/>
      <c r="AS46" s="91"/>
      <c r="BE46" s="13"/>
      <c r="BF46" s="91"/>
      <c r="BR46" s="13"/>
      <c r="BS46" s="91"/>
      <c r="CE46" s="13"/>
      <c r="DF46" s="91"/>
      <c r="DR46" s="13"/>
      <c r="DS46" s="20"/>
      <c r="DT46" s="21"/>
      <c r="DU46" s="21"/>
      <c r="DV46" s="21"/>
      <c r="DW46" s="21"/>
      <c r="DX46" s="21"/>
      <c r="DY46" s="21"/>
      <c r="EE46" s="13"/>
      <c r="EF46" s="20"/>
      <c r="EG46" s="21"/>
      <c r="EH46" s="21"/>
      <c r="EI46" s="21"/>
      <c r="EJ46" s="21"/>
      <c r="EK46" s="21"/>
      <c r="ER46" s="13"/>
      <c r="ES46" s="20"/>
      <c r="ET46" s="21"/>
      <c r="EU46" s="21"/>
      <c r="EV46" s="21"/>
      <c r="EW46" s="21"/>
      <c r="EX46" s="21"/>
      <c r="FE46" s="13"/>
      <c r="FF46" s="20"/>
      <c r="FG46" s="21"/>
      <c r="FH46" s="21"/>
      <c r="FI46" s="21"/>
      <c r="FJ46" s="21"/>
      <c r="FK46" s="21"/>
      <c r="FR46" s="13"/>
    </row>
    <row r="47" spans="4:174" x14ac:dyDescent="0.25">
      <c r="M47" s="103"/>
      <c r="N47" s="103"/>
      <c r="O47" s="103"/>
      <c r="P47" s="103"/>
      <c r="Q47" s="103"/>
      <c r="R47" s="103"/>
      <c r="S47" s="91"/>
      <c r="Z47" s="103"/>
      <c r="AA47" s="103"/>
      <c r="AB47" s="103"/>
      <c r="AC47" s="103"/>
      <c r="AD47" s="103"/>
      <c r="AE47" s="104"/>
      <c r="AF47" s="91"/>
      <c r="AR47" s="13"/>
      <c r="AS47" s="91"/>
      <c r="BE47" s="13"/>
      <c r="BF47" s="91"/>
      <c r="BR47" s="13"/>
      <c r="BS47" s="91"/>
      <c r="CE47" s="13"/>
      <c r="DF47" s="91"/>
      <c r="DR47" s="13"/>
      <c r="DS47" s="20"/>
      <c r="DT47" s="21"/>
      <c r="DU47" s="21"/>
      <c r="DV47" s="21"/>
      <c r="DW47" s="21"/>
      <c r="DX47" s="21"/>
      <c r="DY47" s="21"/>
      <c r="EE47" s="13"/>
      <c r="EF47" s="20"/>
      <c r="EG47" s="21"/>
      <c r="EH47" s="21"/>
      <c r="EI47" s="21"/>
      <c r="EJ47" s="21"/>
      <c r="EK47" s="21"/>
      <c r="ER47" s="13"/>
      <c r="ES47" s="20"/>
      <c r="ET47" s="21"/>
      <c r="EU47" s="21"/>
      <c r="EV47" s="21"/>
      <c r="EW47" s="21"/>
      <c r="EX47" s="21"/>
      <c r="FE47" s="13"/>
      <c r="FF47" s="20"/>
      <c r="FG47" s="21"/>
      <c r="FH47" s="21"/>
      <c r="FI47" s="21"/>
      <c r="FJ47" s="21"/>
      <c r="FK47" s="21"/>
      <c r="FR47" s="13"/>
    </row>
    <row r="48" spans="4:174" x14ac:dyDescent="0.25">
      <c r="M48" s="103"/>
      <c r="N48" s="103"/>
      <c r="O48" s="103"/>
      <c r="P48" s="103"/>
      <c r="Q48" s="103"/>
      <c r="R48" s="103"/>
      <c r="S48" s="91"/>
      <c r="Z48" s="103"/>
      <c r="AA48" s="103"/>
      <c r="AB48" s="103"/>
      <c r="AC48" s="103"/>
      <c r="AD48" s="103"/>
      <c r="AE48" s="104"/>
      <c r="AF48" s="91"/>
      <c r="AR48" s="13"/>
      <c r="AS48" s="91"/>
      <c r="BE48" s="13"/>
      <c r="BF48" s="91"/>
      <c r="BR48" s="13"/>
      <c r="BS48" s="91"/>
      <c r="CE48" s="13"/>
      <c r="DF48" s="91"/>
      <c r="DR48" s="13"/>
      <c r="DS48" s="20"/>
      <c r="DT48" s="21"/>
      <c r="DU48" s="21"/>
      <c r="DV48" s="21"/>
      <c r="DW48" s="21"/>
      <c r="DX48" s="21"/>
      <c r="DY48" s="21"/>
      <c r="EE48" s="13"/>
      <c r="EF48" s="20"/>
      <c r="EG48" s="21"/>
      <c r="EH48" s="21"/>
      <c r="EI48" s="21"/>
      <c r="EJ48" s="21"/>
      <c r="EK48" s="21"/>
      <c r="ER48" s="13"/>
      <c r="ES48" s="20"/>
      <c r="ET48" s="21"/>
      <c r="EU48" s="21"/>
      <c r="EV48" s="21"/>
      <c r="EW48" s="21"/>
      <c r="EX48" s="21"/>
      <c r="FE48" s="13"/>
      <c r="FF48" s="20"/>
      <c r="FG48" s="21"/>
      <c r="FH48" s="21"/>
      <c r="FI48" s="21"/>
      <c r="FJ48" s="21"/>
      <c r="FK48" s="21"/>
      <c r="FR48" s="13"/>
    </row>
    <row r="49" spans="1:174" x14ac:dyDescent="0.25">
      <c r="M49" s="103"/>
      <c r="N49" s="103"/>
      <c r="O49" s="103"/>
      <c r="P49" s="103"/>
      <c r="Q49" s="103"/>
      <c r="R49" s="103"/>
      <c r="S49" s="91"/>
      <c r="Z49" s="103"/>
      <c r="AA49" s="103"/>
      <c r="AB49" s="103"/>
      <c r="AC49" s="103"/>
      <c r="AD49" s="103"/>
      <c r="AE49" s="104"/>
      <c r="AF49" s="91"/>
      <c r="AR49" s="13"/>
      <c r="AS49" s="91"/>
      <c r="BE49" s="13"/>
      <c r="BF49" s="91"/>
      <c r="BR49" s="13"/>
      <c r="BS49" s="91"/>
      <c r="CE49" s="13"/>
      <c r="DF49" s="91"/>
      <c r="DR49" s="13"/>
      <c r="DS49" s="20"/>
      <c r="DT49" s="21"/>
      <c r="DU49" s="21"/>
      <c r="DV49" s="21"/>
      <c r="DW49" s="21"/>
      <c r="DX49" s="21"/>
      <c r="DY49" s="21"/>
      <c r="EE49" s="13"/>
      <c r="EF49" s="20"/>
      <c r="EG49" s="21"/>
      <c r="EH49" s="21"/>
      <c r="EI49" s="21"/>
      <c r="EJ49" s="21"/>
      <c r="EK49" s="21"/>
      <c r="ER49" s="13"/>
      <c r="ES49" s="20"/>
      <c r="ET49" s="21"/>
      <c r="EU49" s="21"/>
      <c r="EV49" s="21"/>
      <c r="EW49" s="21"/>
      <c r="EX49" s="21"/>
      <c r="FE49" s="13"/>
      <c r="FF49" s="20"/>
      <c r="FG49" s="21"/>
      <c r="FH49" s="21"/>
      <c r="FI49" s="21"/>
      <c r="FJ49" s="21"/>
      <c r="FK49" s="21"/>
      <c r="FR49" s="13"/>
    </row>
    <row r="50" spans="1:174" x14ac:dyDescent="0.25">
      <c r="M50" s="103"/>
      <c r="N50" s="103"/>
      <c r="O50" s="103"/>
      <c r="P50" s="103"/>
      <c r="Q50" s="103"/>
      <c r="R50" s="103"/>
      <c r="S50" s="91"/>
      <c r="Z50" s="103"/>
      <c r="AA50" s="103"/>
      <c r="AB50" s="103"/>
      <c r="AC50" s="103"/>
      <c r="AD50" s="103"/>
      <c r="AE50" s="104"/>
      <c r="AF50" s="91"/>
      <c r="AR50" s="13"/>
      <c r="AS50" s="91"/>
      <c r="BE50" s="13"/>
      <c r="BF50" s="91"/>
      <c r="BR50" s="13"/>
      <c r="BS50" s="91"/>
      <c r="CE50" s="13"/>
      <c r="DF50" s="91"/>
      <c r="DR50" s="13"/>
      <c r="DS50" s="20"/>
      <c r="DT50" s="21"/>
      <c r="DU50" s="21"/>
      <c r="DV50" s="21"/>
      <c r="DW50" s="21"/>
      <c r="DX50" s="21"/>
      <c r="DY50" s="21"/>
      <c r="EE50" s="13"/>
      <c r="EF50" s="20"/>
      <c r="EG50" s="21"/>
      <c r="EH50" s="21"/>
      <c r="EI50" s="21"/>
      <c r="EJ50" s="21"/>
      <c r="EK50" s="21"/>
      <c r="ER50" s="13"/>
      <c r="ES50" s="20"/>
      <c r="ET50" s="21"/>
      <c r="EU50" s="21"/>
      <c r="EV50" s="21"/>
      <c r="EW50" s="21"/>
      <c r="EX50" s="21"/>
      <c r="FE50" s="13"/>
      <c r="FF50" s="20"/>
      <c r="FG50" s="21"/>
      <c r="FH50" s="21"/>
      <c r="FI50" s="21"/>
      <c r="FJ50" s="21"/>
      <c r="FK50" s="21"/>
      <c r="FR50" s="13"/>
    </row>
    <row r="51" spans="1:174" x14ac:dyDescent="0.25">
      <c r="M51" s="103"/>
      <c r="N51" s="103"/>
      <c r="O51" s="103"/>
      <c r="P51" s="103"/>
      <c r="Q51" s="103"/>
      <c r="R51" s="103"/>
      <c r="S51" s="91"/>
      <c r="Z51" s="103"/>
      <c r="AA51" s="103"/>
      <c r="AB51" s="103"/>
      <c r="AC51" s="103"/>
      <c r="AD51" s="103"/>
      <c r="AE51" s="104"/>
      <c r="AF51" s="91"/>
      <c r="AR51" s="13"/>
      <c r="AS51" s="91"/>
      <c r="BE51" s="13"/>
      <c r="BF51" s="91"/>
      <c r="BR51" s="13"/>
      <c r="BS51" s="91"/>
      <c r="CE51" s="13"/>
      <c r="DF51" s="91"/>
      <c r="DR51" s="13"/>
      <c r="DS51" s="20"/>
      <c r="DT51" s="21"/>
      <c r="DU51" s="21"/>
      <c r="DV51" s="21"/>
      <c r="DW51" s="21"/>
      <c r="DX51" s="21"/>
      <c r="DY51" s="21"/>
      <c r="EE51" s="13"/>
      <c r="EF51" s="20"/>
      <c r="EG51" s="21"/>
      <c r="EH51" s="21"/>
      <c r="EI51" s="21"/>
      <c r="EJ51" s="21"/>
      <c r="EK51" s="21"/>
      <c r="ER51" s="13"/>
      <c r="ES51" s="20"/>
      <c r="ET51" s="21"/>
      <c r="EU51" s="21"/>
      <c r="EV51" s="21"/>
      <c r="EW51" s="21"/>
      <c r="EX51" s="21"/>
      <c r="FE51" s="13"/>
      <c r="FF51" s="20"/>
      <c r="FG51" s="21"/>
      <c r="FH51" s="21"/>
      <c r="FI51" s="21"/>
      <c r="FJ51" s="21"/>
      <c r="FK51" s="21"/>
      <c r="FR51" s="13"/>
    </row>
    <row r="52" spans="1:174" x14ac:dyDescent="0.25">
      <c r="M52" s="103"/>
      <c r="N52" s="103"/>
      <c r="O52" s="103"/>
      <c r="P52" s="103"/>
      <c r="Q52" s="103"/>
      <c r="R52" s="103"/>
      <c r="S52" s="91"/>
      <c r="Z52" s="103"/>
      <c r="AA52" s="103"/>
      <c r="AB52" s="103"/>
      <c r="AC52" s="103"/>
      <c r="AD52" s="103"/>
      <c r="AE52" s="104"/>
      <c r="AF52" s="91"/>
      <c r="AR52" s="13"/>
      <c r="AS52" s="91"/>
      <c r="BE52" s="13"/>
      <c r="BF52" s="91"/>
      <c r="BR52" s="13"/>
      <c r="BS52" s="91"/>
      <c r="CE52" s="13"/>
      <c r="DF52" s="91"/>
      <c r="DR52" s="13"/>
      <c r="DS52" s="20"/>
      <c r="DT52" s="21"/>
      <c r="DU52" s="21"/>
      <c r="DV52" s="21"/>
      <c r="DW52" s="21"/>
      <c r="DX52" s="21"/>
      <c r="DY52" s="21"/>
      <c r="EE52" s="13"/>
      <c r="EF52" s="20"/>
      <c r="EG52" s="21"/>
      <c r="EH52" s="21"/>
      <c r="EI52" s="21"/>
      <c r="EJ52" s="21"/>
      <c r="EK52" s="21"/>
      <c r="ER52" s="13"/>
      <c r="ES52" s="20"/>
      <c r="ET52" s="21"/>
      <c r="EU52" s="21"/>
      <c r="EV52" s="21"/>
      <c r="EW52" s="21"/>
      <c r="EX52" s="21"/>
      <c r="FE52" s="13"/>
      <c r="FF52" s="20"/>
      <c r="FG52" s="21"/>
      <c r="FH52" s="21"/>
      <c r="FI52" s="21"/>
      <c r="FJ52" s="21"/>
      <c r="FK52" s="21"/>
      <c r="FR52" s="13"/>
    </row>
    <row r="53" spans="1:174" x14ac:dyDescent="0.25">
      <c r="M53" s="103"/>
      <c r="N53" s="103"/>
      <c r="O53" s="103"/>
      <c r="P53" s="103"/>
      <c r="Q53" s="103"/>
      <c r="R53" s="103"/>
      <c r="S53" s="91"/>
      <c r="Z53" s="103"/>
      <c r="AA53" s="103"/>
      <c r="AB53" s="103"/>
      <c r="AC53" s="103"/>
      <c r="AD53" s="103"/>
      <c r="AE53" s="104"/>
      <c r="AF53" s="91"/>
      <c r="AR53" s="13"/>
      <c r="AS53" s="91"/>
      <c r="BE53" s="13"/>
      <c r="BF53" s="91"/>
      <c r="BR53" s="13"/>
      <c r="BS53" s="91"/>
      <c r="CE53" s="13"/>
      <c r="DF53" s="91"/>
      <c r="DR53" s="13"/>
      <c r="DS53" s="20"/>
      <c r="DT53" s="21"/>
      <c r="DU53" s="21"/>
      <c r="DV53" s="21"/>
      <c r="DW53" s="21"/>
      <c r="DX53" s="21"/>
      <c r="DY53" s="21"/>
      <c r="EE53" s="13"/>
      <c r="EF53" s="20"/>
      <c r="EG53" s="21"/>
      <c r="EH53" s="21"/>
      <c r="EI53" s="21"/>
      <c r="EJ53" s="21"/>
      <c r="EK53" s="21"/>
      <c r="ER53" s="13"/>
      <c r="ES53" s="20"/>
      <c r="ET53" s="21"/>
      <c r="EU53" s="21"/>
      <c r="EV53" s="21"/>
      <c r="EW53" s="21"/>
      <c r="EX53" s="21"/>
      <c r="FE53" s="13"/>
      <c r="FF53" s="20"/>
      <c r="FG53" s="21"/>
      <c r="FH53" s="21"/>
      <c r="FI53" s="21"/>
      <c r="FJ53" s="21"/>
      <c r="FK53" s="21"/>
      <c r="FR53" s="13"/>
    </row>
    <row r="54" spans="1:174" x14ac:dyDescent="0.25">
      <c r="M54" s="103"/>
      <c r="N54" s="103"/>
      <c r="O54" s="103"/>
      <c r="P54" s="103"/>
      <c r="Q54" s="103"/>
      <c r="R54" s="103"/>
      <c r="S54" s="91"/>
      <c r="Z54" s="103"/>
      <c r="AA54" s="103"/>
      <c r="AB54" s="103"/>
      <c r="AC54" s="103"/>
      <c r="AD54" s="103"/>
      <c r="AE54" s="104"/>
      <c r="AF54" s="91"/>
      <c r="AR54" s="13"/>
      <c r="AS54" s="91"/>
      <c r="BE54" s="13"/>
      <c r="BF54" s="91"/>
      <c r="BR54" s="13"/>
      <c r="BS54" s="91"/>
      <c r="CE54" s="13"/>
      <c r="DF54" s="91"/>
      <c r="DR54" s="13"/>
      <c r="DS54" s="20"/>
      <c r="DT54" s="21"/>
      <c r="DU54" s="21"/>
      <c r="DV54" s="21"/>
      <c r="DW54" s="21"/>
      <c r="DX54" s="21"/>
      <c r="DY54" s="21"/>
      <c r="EE54" s="13"/>
      <c r="EF54" s="20"/>
      <c r="EG54" s="21"/>
      <c r="EH54" s="21"/>
      <c r="EI54" s="21"/>
      <c r="EJ54" s="21"/>
      <c r="EK54" s="21"/>
      <c r="ER54" s="13"/>
      <c r="ES54" s="20"/>
      <c r="ET54" s="21"/>
      <c r="EU54" s="21"/>
      <c r="EV54" s="21"/>
      <c r="EW54" s="21"/>
      <c r="EX54" s="21"/>
      <c r="FE54" s="13"/>
      <c r="FF54" s="20"/>
      <c r="FG54" s="21"/>
      <c r="FH54" s="21"/>
      <c r="FI54" s="21"/>
      <c r="FJ54" s="21"/>
      <c r="FK54" s="21"/>
      <c r="FR54" s="13"/>
    </row>
    <row r="55" spans="1:174" x14ac:dyDescent="0.25">
      <c r="S55" s="91"/>
      <c r="AE55" s="13"/>
      <c r="AF55" s="91"/>
      <c r="AR55" s="13"/>
      <c r="AS55" s="91"/>
      <c r="BE55" s="13"/>
      <c r="BF55" s="91"/>
      <c r="BR55" s="13"/>
      <c r="BS55" s="91"/>
      <c r="CE55" s="13"/>
      <c r="DF55" s="91"/>
      <c r="DR55" s="13"/>
      <c r="DS55" s="20"/>
      <c r="DT55" s="21"/>
      <c r="DU55" s="21"/>
      <c r="DV55" s="21"/>
      <c r="DW55" s="21"/>
      <c r="DX55" s="21"/>
      <c r="DY55" s="21"/>
      <c r="EE55" s="13"/>
      <c r="EF55" s="20"/>
      <c r="EG55" s="21"/>
      <c r="EH55" s="21"/>
      <c r="EI55" s="21"/>
      <c r="EJ55" s="21"/>
      <c r="EK55" s="21"/>
      <c r="ER55" s="13"/>
      <c r="ES55" s="20"/>
      <c r="ET55" s="21"/>
      <c r="EU55" s="21"/>
      <c r="EV55" s="21"/>
      <c r="EW55" s="21"/>
      <c r="EX55" s="21"/>
      <c r="FE55" s="13"/>
      <c r="FF55" s="20"/>
      <c r="FG55" s="21"/>
      <c r="FH55" s="21"/>
      <c r="FI55" s="21"/>
      <c r="FJ55" s="21"/>
      <c r="FK55" s="21"/>
      <c r="FR55" s="13"/>
    </row>
    <row r="56" spans="1:174" s="4" customFormat="1" ht="18.75" customHeight="1" x14ac:dyDescent="0.3">
      <c r="B56" s="109"/>
      <c r="D56" s="92"/>
      <c r="E56" s="105" t="s">
        <v>55</v>
      </c>
      <c r="F56" s="111">
        <f t="shared" ref="F56:R56" si="22">SUM(F57:F75)</f>
        <v>0</v>
      </c>
      <c r="G56" s="111">
        <f t="shared" si="22"/>
        <v>0</v>
      </c>
      <c r="H56" s="111">
        <f t="shared" si="22"/>
        <v>0</v>
      </c>
      <c r="I56" s="111">
        <f t="shared" si="22"/>
        <v>0</v>
      </c>
      <c r="J56" s="111">
        <f t="shared" si="22"/>
        <v>0</v>
      </c>
      <c r="K56" s="111">
        <f t="shared" si="22"/>
        <v>0</v>
      </c>
      <c r="L56" s="111">
        <f t="shared" si="22"/>
        <v>9.1539999999999999</v>
      </c>
      <c r="M56" s="111">
        <f t="shared" si="22"/>
        <v>24.59496</v>
      </c>
      <c r="N56" s="111">
        <f t="shared" si="22"/>
        <v>17.5153</v>
      </c>
      <c r="O56" s="111">
        <f t="shared" si="22"/>
        <v>0</v>
      </c>
      <c r="P56" s="111">
        <f t="shared" si="22"/>
        <v>0</v>
      </c>
      <c r="Q56" s="111">
        <f t="shared" si="22"/>
        <v>0</v>
      </c>
      <c r="R56" s="111">
        <f t="shared" si="22"/>
        <v>0</v>
      </c>
      <c r="S56" s="95">
        <f t="shared" ref="S56:AF56" si="23">SUM(S57:S76)</f>
        <v>0</v>
      </c>
      <c r="T56" s="95">
        <f t="shared" si="23"/>
        <v>0</v>
      </c>
      <c r="U56" s="95">
        <f t="shared" si="23"/>
        <v>0</v>
      </c>
      <c r="V56" s="95">
        <f t="shared" si="23"/>
        <v>0</v>
      </c>
      <c r="W56" s="95">
        <f t="shared" si="23"/>
        <v>0</v>
      </c>
      <c r="X56" s="95">
        <f t="shared" si="23"/>
        <v>0</v>
      </c>
      <c r="Y56" s="95">
        <f t="shared" si="23"/>
        <v>0</v>
      </c>
      <c r="Z56" s="95">
        <f t="shared" si="23"/>
        <v>0</v>
      </c>
      <c r="AA56" s="95">
        <f t="shared" si="23"/>
        <v>0</v>
      </c>
      <c r="AB56" s="95">
        <f t="shared" si="23"/>
        <v>0</v>
      </c>
      <c r="AC56" s="95">
        <f t="shared" si="23"/>
        <v>0</v>
      </c>
      <c r="AD56" s="95">
        <f t="shared" si="23"/>
        <v>0</v>
      </c>
      <c r="AE56" s="96">
        <f t="shared" si="23"/>
        <v>0</v>
      </c>
      <c r="AF56" s="94">
        <f t="shared" si="23"/>
        <v>0</v>
      </c>
      <c r="AG56" s="95"/>
      <c r="AH56" s="95"/>
      <c r="AI56" s="95"/>
      <c r="AJ56" s="95"/>
      <c r="AK56" s="95"/>
      <c r="AL56" s="95">
        <f t="shared" ref="AL56:AR56" si="24">SUM(AL57:AL76)</f>
        <v>7.5699999999999994</v>
      </c>
      <c r="AM56" s="95">
        <f t="shared" si="24"/>
        <v>12.440000000000001</v>
      </c>
      <c r="AN56" s="95">
        <f t="shared" si="24"/>
        <v>11.556999999999999</v>
      </c>
      <c r="AO56" s="95">
        <f t="shared" si="24"/>
        <v>0</v>
      </c>
      <c r="AP56" s="95">
        <f t="shared" si="24"/>
        <v>0</v>
      </c>
      <c r="AQ56" s="95">
        <f t="shared" si="24"/>
        <v>0</v>
      </c>
      <c r="AR56" s="96">
        <f t="shared" si="24"/>
        <v>0</v>
      </c>
      <c r="AS56" s="94">
        <v>5.5</v>
      </c>
      <c r="AT56" s="95">
        <v>9.8000000000000007</v>
      </c>
      <c r="AU56" s="95">
        <v>9.8000000000000007</v>
      </c>
      <c r="AV56" s="95">
        <v>23.2</v>
      </c>
      <c r="AW56" s="95">
        <v>7.3</v>
      </c>
      <c r="AX56" s="95">
        <v>8.1</v>
      </c>
      <c r="AY56" s="95">
        <v>8.109</v>
      </c>
      <c r="AZ56" s="95">
        <f t="shared" ref="AZ56:BE56" si="25">SUM(AZ57:AZ75)</f>
        <v>12.497999999999999</v>
      </c>
      <c r="BA56" s="95">
        <f t="shared" si="25"/>
        <v>12.497999999999999</v>
      </c>
      <c r="BB56" s="95">
        <f t="shared" si="25"/>
        <v>0</v>
      </c>
      <c r="BC56" s="95">
        <f t="shared" si="25"/>
        <v>0</v>
      </c>
      <c r="BD56" s="95">
        <f t="shared" si="25"/>
        <v>0</v>
      </c>
      <c r="BE56" s="96">
        <f t="shared" si="25"/>
        <v>0</v>
      </c>
      <c r="BF56" s="154">
        <v>0.16400000000000001</v>
      </c>
      <c r="BG56" s="155">
        <v>-0.13400000000000001</v>
      </c>
      <c r="BH56" s="155">
        <v>3.2000000000000001E-2</v>
      </c>
      <c r="BI56" s="155">
        <v>0.47499999999999998</v>
      </c>
      <c r="BJ56" s="155">
        <v>1.6020000000000001</v>
      </c>
      <c r="BK56" s="155">
        <v>-0.72199999999999998</v>
      </c>
      <c r="BL56" s="155">
        <v>-0.17799999999999999</v>
      </c>
      <c r="BM56" s="155">
        <f t="shared" ref="BM56:BR56" si="26">SUM(BM57:BM75)</f>
        <v>0.21199999999999999</v>
      </c>
      <c r="BN56" s="155">
        <f t="shared" si="26"/>
        <v>0.21099999999999999</v>
      </c>
      <c r="BO56" s="155">
        <f t="shared" si="26"/>
        <v>0</v>
      </c>
      <c r="BP56" s="155">
        <f t="shared" si="26"/>
        <v>0</v>
      </c>
      <c r="BQ56" s="155">
        <f t="shared" si="26"/>
        <v>0</v>
      </c>
      <c r="BR56" s="156">
        <f t="shared" si="26"/>
        <v>0</v>
      </c>
      <c r="BS56" s="94">
        <v>0</v>
      </c>
      <c r="BT56" s="95">
        <v>46.878999999999998</v>
      </c>
      <c r="BU56" s="95">
        <v>53.165999999999997</v>
      </c>
      <c r="BV56" s="95">
        <v>18.2</v>
      </c>
      <c r="BW56" s="95">
        <v>10.816000000000001</v>
      </c>
      <c r="BX56" s="95">
        <v>-0.35499999999999998</v>
      </c>
      <c r="BY56" s="97">
        <f t="shared" ref="BY56:CE56" si="27">SUM(BY57:BY76)</f>
        <v>0</v>
      </c>
      <c r="BZ56" s="97">
        <f t="shared" si="27"/>
        <v>0</v>
      </c>
      <c r="CA56" s="97">
        <f t="shared" si="27"/>
        <v>0</v>
      </c>
      <c r="CB56" s="97">
        <f t="shared" si="27"/>
        <v>0</v>
      </c>
      <c r="CC56" s="97">
        <f t="shared" si="27"/>
        <v>0</v>
      </c>
      <c r="CD56" s="97">
        <f t="shared" si="27"/>
        <v>0</v>
      </c>
      <c r="CE56" s="100">
        <f t="shared" si="27"/>
        <v>0</v>
      </c>
      <c r="DF56" s="101"/>
      <c r="DR56" s="102"/>
      <c r="DS56" s="99"/>
      <c r="DT56" s="97"/>
      <c r="DU56" s="97"/>
      <c r="DV56" s="97"/>
      <c r="DW56" s="97"/>
      <c r="DX56" s="97"/>
      <c r="DY56" s="97"/>
      <c r="DZ56" s="97"/>
      <c r="EA56" s="97"/>
      <c r="EB56" s="97"/>
      <c r="EC56" s="97"/>
      <c r="ED56" s="97"/>
      <c r="EE56" s="100"/>
      <c r="EF56" s="99"/>
      <c r="EG56" s="97"/>
      <c r="EH56" s="97"/>
      <c r="EI56" s="97"/>
      <c r="EJ56" s="97"/>
      <c r="EK56" s="97"/>
      <c r="EL56" s="97"/>
      <c r="EM56" s="97"/>
      <c r="EN56" s="97"/>
      <c r="EO56" s="97"/>
      <c r="EP56" s="97"/>
      <c r="EQ56" s="97"/>
      <c r="ER56" s="100"/>
      <c r="ES56" s="99"/>
      <c r="ET56" s="97"/>
      <c r="EU56" s="97"/>
      <c r="EV56" s="97"/>
      <c r="EW56" s="97"/>
      <c r="EX56" s="97"/>
      <c r="EY56" s="97"/>
      <c r="EZ56" s="97"/>
      <c r="FA56" s="97"/>
      <c r="FB56" s="97"/>
      <c r="FC56" s="97"/>
      <c r="FD56" s="97"/>
      <c r="FE56" s="100"/>
      <c r="FF56" s="99"/>
      <c r="FG56" s="97"/>
      <c r="FH56" s="97"/>
      <c r="FI56" s="97"/>
      <c r="FJ56" s="97"/>
      <c r="FK56" s="97"/>
      <c r="FL56" s="97"/>
      <c r="FM56" s="97"/>
      <c r="FN56" s="97"/>
      <c r="FO56" s="97"/>
      <c r="FP56" s="97"/>
      <c r="FQ56" s="97"/>
      <c r="FR56" s="100"/>
    </row>
    <row r="57" spans="1:174" x14ac:dyDescent="0.25">
      <c r="A57" s="113"/>
      <c r="B57" s="114"/>
      <c r="D57" s="114"/>
      <c r="E57" s="2" t="s">
        <v>58</v>
      </c>
      <c r="M57" s="103"/>
      <c r="N57" s="103"/>
      <c r="O57" s="103"/>
      <c r="P57" s="103"/>
      <c r="Q57" s="103"/>
      <c r="R57" s="103"/>
      <c r="S57" s="91"/>
      <c r="Z57" s="103"/>
      <c r="AA57" s="103"/>
      <c r="AB57" s="103"/>
      <c r="AC57" s="103"/>
      <c r="AD57" s="103"/>
      <c r="AE57" s="104"/>
      <c r="AF57" s="91"/>
      <c r="AM57" s="103"/>
      <c r="AN57" s="103"/>
      <c r="AO57" s="103"/>
      <c r="AP57" s="103"/>
      <c r="AQ57" s="103"/>
      <c r="AR57" s="104"/>
      <c r="AS57" s="91"/>
      <c r="AZ57" s="103"/>
      <c r="BA57" s="103"/>
      <c r="BB57" s="103"/>
      <c r="BC57" s="103"/>
      <c r="BD57" s="103"/>
      <c r="BE57" s="104"/>
      <c r="BF57" s="91"/>
      <c r="BM57" s="103"/>
      <c r="BN57" s="103"/>
      <c r="BO57" s="103"/>
      <c r="BP57" s="103"/>
      <c r="BQ57" s="103"/>
      <c r="BR57" s="104"/>
      <c r="BS57" s="91"/>
      <c r="CE57" s="13"/>
      <c r="DF57" s="91"/>
      <c r="DR57" s="13"/>
      <c r="EE57" s="115"/>
      <c r="ER57" s="115"/>
      <c r="FE57" s="115"/>
      <c r="FR57" s="115"/>
    </row>
    <row r="58" spans="1:174" x14ac:dyDescent="0.25">
      <c r="A58" s="113"/>
      <c r="B58" s="114"/>
      <c r="D58" s="114"/>
      <c r="E58" s="2" t="s">
        <v>59</v>
      </c>
      <c r="M58" s="103"/>
      <c r="N58" s="103"/>
      <c r="O58" s="103"/>
      <c r="P58" s="103"/>
      <c r="Q58" s="103"/>
      <c r="R58" s="103"/>
      <c r="S58" s="91"/>
      <c r="Z58" s="103"/>
      <c r="AA58" s="103"/>
      <c r="AB58" s="103"/>
      <c r="AC58" s="103"/>
      <c r="AD58" s="103"/>
      <c r="AE58" s="104"/>
      <c r="AF58" s="91"/>
      <c r="AM58" s="103"/>
      <c r="AN58" s="103"/>
      <c r="AO58" s="103"/>
      <c r="AP58" s="103"/>
      <c r="AQ58" s="103"/>
      <c r="AR58" s="104"/>
      <c r="AS58" s="91"/>
      <c r="AZ58" s="103"/>
      <c r="BA58" s="103"/>
      <c r="BB58" s="103"/>
      <c r="BC58" s="103"/>
      <c r="BD58" s="103"/>
      <c r="BE58" s="104"/>
      <c r="BF58" s="91"/>
      <c r="BM58" s="103"/>
      <c r="BN58" s="103"/>
      <c r="BO58" s="103"/>
      <c r="BP58" s="103"/>
      <c r="BQ58" s="103"/>
      <c r="BR58" s="104"/>
      <c r="BS58" s="91"/>
      <c r="CE58" s="13"/>
      <c r="DF58" s="91"/>
      <c r="DR58" s="13"/>
      <c r="DS58" s="20"/>
      <c r="DT58" s="21"/>
      <c r="DU58" s="21"/>
      <c r="DV58" s="21"/>
      <c r="DW58" s="21"/>
      <c r="DX58" s="21"/>
      <c r="EE58" s="13"/>
      <c r="EF58" s="20"/>
      <c r="EG58" s="21"/>
      <c r="EH58" s="21"/>
      <c r="EI58" s="21"/>
      <c r="EJ58" s="21"/>
      <c r="EK58" s="21"/>
      <c r="ER58" s="13"/>
      <c r="ES58" s="20"/>
      <c r="ET58" s="21"/>
      <c r="EU58" s="21"/>
      <c r="EV58" s="21"/>
      <c r="EW58" s="21"/>
      <c r="EX58" s="21"/>
      <c r="FE58" s="13"/>
      <c r="FF58" s="20"/>
      <c r="FG58" s="21"/>
      <c r="FH58" s="21"/>
      <c r="FI58" s="21"/>
      <c r="FJ58" s="21"/>
      <c r="FK58" s="21"/>
      <c r="FR58" s="13"/>
    </row>
    <row r="59" spans="1:174" x14ac:dyDescent="0.25">
      <c r="A59" s="113"/>
      <c r="B59" s="114"/>
      <c r="D59" s="114"/>
      <c r="E59" s="2" t="s">
        <v>60</v>
      </c>
      <c r="M59" s="103"/>
      <c r="N59" s="103"/>
      <c r="O59" s="103"/>
      <c r="P59" s="103"/>
      <c r="Q59" s="103"/>
      <c r="R59" s="103"/>
      <c r="S59" s="91"/>
      <c r="Z59" s="103"/>
      <c r="AA59" s="103"/>
      <c r="AB59" s="103"/>
      <c r="AC59" s="103"/>
      <c r="AD59" s="103"/>
      <c r="AE59" s="104"/>
      <c r="AF59" s="91"/>
      <c r="AM59" s="103"/>
      <c r="AN59" s="103"/>
      <c r="AO59" s="103"/>
      <c r="AP59" s="103"/>
      <c r="AQ59" s="103"/>
      <c r="AR59" s="104"/>
      <c r="AS59" s="91"/>
      <c r="AZ59" s="103"/>
      <c r="BA59" s="103"/>
      <c r="BB59" s="103"/>
      <c r="BC59" s="103"/>
      <c r="BD59" s="103"/>
      <c r="BE59" s="104"/>
      <c r="BF59" s="91"/>
      <c r="BM59" s="103"/>
      <c r="BN59" s="103"/>
      <c r="BO59" s="103"/>
      <c r="BP59" s="103"/>
      <c r="BQ59" s="103"/>
      <c r="BR59" s="104"/>
      <c r="BS59" s="91"/>
      <c r="CE59" s="13"/>
      <c r="DF59" s="91"/>
      <c r="DR59" s="13"/>
      <c r="DS59" s="20"/>
      <c r="DT59" s="21"/>
      <c r="DU59" s="21"/>
      <c r="DV59" s="21"/>
      <c r="DW59" s="21"/>
      <c r="DX59" s="21"/>
      <c r="EE59" s="13"/>
      <c r="EF59" s="20"/>
      <c r="EG59" s="21"/>
      <c r="EH59" s="21"/>
      <c r="EI59" s="21"/>
      <c r="EJ59" s="21"/>
      <c r="EK59" s="21"/>
      <c r="ER59" s="13"/>
      <c r="ES59" s="20"/>
      <c r="ET59" s="21"/>
      <c r="EU59" s="21"/>
      <c r="EV59" s="21"/>
      <c r="EW59" s="21"/>
      <c r="EX59" s="21"/>
      <c r="FE59" s="13"/>
      <c r="FF59" s="20"/>
      <c r="FG59" s="21"/>
      <c r="FH59" s="21"/>
      <c r="FI59" s="21"/>
      <c r="FJ59" s="21"/>
      <c r="FK59" s="21"/>
      <c r="FR59" s="13"/>
    </row>
    <row r="60" spans="1:174" x14ac:dyDescent="0.25">
      <c r="A60" s="113"/>
      <c r="B60" s="114"/>
      <c r="D60" s="114"/>
      <c r="E60" s="2" t="s">
        <v>61</v>
      </c>
      <c r="M60" s="103"/>
      <c r="N60" s="103"/>
      <c r="O60" s="103"/>
      <c r="P60" s="103"/>
      <c r="Q60" s="103"/>
      <c r="R60" s="103"/>
      <c r="S60" s="91"/>
      <c r="Z60" s="103"/>
      <c r="AA60" s="103"/>
      <c r="AB60" s="103"/>
      <c r="AC60" s="103"/>
      <c r="AD60" s="103"/>
      <c r="AE60" s="104"/>
      <c r="AF60" s="91"/>
      <c r="AM60" s="103"/>
      <c r="AN60" s="103"/>
      <c r="AO60" s="103"/>
      <c r="AP60" s="103"/>
      <c r="AQ60" s="103"/>
      <c r="AR60" s="104"/>
      <c r="AS60" s="91"/>
      <c r="AZ60" s="103"/>
      <c r="BA60" s="103"/>
      <c r="BB60" s="103"/>
      <c r="BC60" s="103"/>
      <c r="BD60" s="103"/>
      <c r="BE60" s="104"/>
      <c r="BF60" s="91"/>
      <c r="BM60" s="103"/>
      <c r="BN60" s="103"/>
      <c r="BO60" s="103"/>
      <c r="BP60" s="103"/>
      <c r="BQ60" s="103"/>
      <c r="BR60" s="104"/>
      <c r="BS60" s="91"/>
      <c r="CE60" s="13"/>
      <c r="DF60" s="91"/>
      <c r="DR60" s="13"/>
      <c r="DS60" s="20"/>
      <c r="DT60" s="21"/>
      <c r="DU60" s="21"/>
      <c r="DV60" s="21"/>
      <c r="DW60" s="21"/>
      <c r="DX60" s="21"/>
      <c r="EE60" s="13"/>
      <c r="EF60" s="20"/>
      <c r="EG60" s="21"/>
      <c r="EH60" s="21"/>
      <c r="EI60" s="21"/>
      <c r="EJ60" s="21"/>
      <c r="EK60" s="21"/>
      <c r="ER60" s="13"/>
      <c r="ES60" s="20"/>
      <c r="ET60" s="21"/>
      <c r="EU60" s="21"/>
      <c r="EV60" s="21"/>
      <c r="EW60" s="21"/>
      <c r="EX60" s="21"/>
      <c r="FE60" s="13"/>
      <c r="FF60" s="20"/>
      <c r="FG60" s="21"/>
      <c r="FH60" s="21"/>
      <c r="FI60" s="21"/>
      <c r="FJ60" s="21"/>
      <c r="FK60" s="21"/>
      <c r="FR60" s="13"/>
    </row>
    <row r="61" spans="1:174" x14ac:dyDescent="0.25">
      <c r="A61" s="113"/>
      <c r="B61" s="114"/>
      <c r="D61" s="114"/>
      <c r="E61" s="2" t="s">
        <v>62</v>
      </c>
      <c r="L61" s="2">
        <v>0</v>
      </c>
      <c r="M61" s="103">
        <v>0</v>
      </c>
      <c r="N61" s="103">
        <v>0</v>
      </c>
      <c r="O61" s="103"/>
      <c r="P61" s="103"/>
      <c r="Q61" s="103"/>
      <c r="R61" s="103"/>
      <c r="S61" s="91"/>
      <c r="Z61" s="103"/>
      <c r="AA61" s="103"/>
      <c r="AB61" s="103"/>
      <c r="AC61" s="103"/>
      <c r="AD61" s="103"/>
      <c r="AE61" s="104"/>
      <c r="AF61" s="91"/>
      <c r="AL61" s="2">
        <v>8.5999999999999993E-2</v>
      </c>
      <c r="AM61" s="103">
        <v>0.08</v>
      </c>
      <c r="AN61" s="103">
        <v>8.2000000000000003E-2</v>
      </c>
      <c r="AO61" s="103"/>
      <c r="AP61" s="103"/>
      <c r="AQ61" s="103"/>
      <c r="AR61" s="104"/>
      <c r="AS61" s="91"/>
      <c r="AZ61" s="103"/>
      <c r="BA61" s="103"/>
      <c r="BB61" s="103"/>
      <c r="BC61" s="103"/>
      <c r="BD61" s="103"/>
      <c r="BE61" s="104"/>
      <c r="BF61" s="91"/>
      <c r="BM61" s="103"/>
      <c r="BN61" s="103"/>
      <c r="BO61" s="103"/>
      <c r="BP61" s="103"/>
      <c r="BQ61" s="103"/>
      <c r="BR61" s="104"/>
      <c r="BS61" s="91"/>
      <c r="CE61" s="13"/>
      <c r="DF61" s="91"/>
      <c r="DR61" s="13"/>
      <c r="DS61" s="20"/>
      <c r="DT61" s="21"/>
      <c r="DU61" s="21"/>
      <c r="DV61" s="21"/>
      <c r="DW61" s="21"/>
      <c r="DX61" s="21"/>
      <c r="EE61" s="13"/>
      <c r="EF61" s="20"/>
      <c r="EG61" s="21"/>
      <c r="EH61" s="21"/>
      <c r="EI61" s="21"/>
      <c r="EJ61" s="21"/>
      <c r="EK61" s="21"/>
      <c r="ER61" s="13"/>
      <c r="ES61" s="20"/>
      <c r="ET61" s="21"/>
      <c r="EU61" s="21"/>
      <c r="EV61" s="21"/>
      <c r="EW61" s="21"/>
      <c r="EX61" s="21"/>
      <c r="FE61" s="13"/>
      <c r="FF61" s="20"/>
      <c r="FG61" s="21"/>
      <c r="FH61" s="21"/>
      <c r="FI61" s="21"/>
      <c r="FJ61" s="21"/>
      <c r="FK61" s="21"/>
      <c r="FR61" s="13"/>
    </row>
    <row r="62" spans="1:174" x14ac:dyDescent="0.25">
      <c r="A62" s="113"/>
      <c r="B62" s="114"/>
      <c r="D62" s="114"/>
      <c r="E62" s="2" t="s">
        <v>63</v>
      </c>
      <c r="L62" s="2">
        <v>0</v>
      </c>
      <c r="M62" s="103">
        <v>0</v>
      </c>
      <c r="N62" s="103">
        <v>0</v>
      </c>
      <c r="O62" s="103"/>
      <c r="P62" s="103"/>
      <c r="Q62" s="103"/>
      <c r="R62" s="103"/>
      <c r="S62" s="91"/>
      <c r="Z62" s="103"/>
      <c r="AA62" s="103"/>
      <c r="AB62" s="103"/>
      <c r="AC62" s="103"/>
      <c r="AD62" s="103"/>
      <c r="AE62" s="104"/>
      <c r="AF62" s="91"/>
      <c r="AL62" s="2">
        <v>2.4E-2</v>
      </c>
      <c r="AM62" s="103">
        <v>0</v>
      </c>
      <c r="AN62" s="103">
        <v>0</v>
      </c>
      <c r="AO62" s="103"/>
      <c r="AP62" s="103"/>
      <c r="AQ62" s="103"/>
      <c r="AR62" s="104"/>
      <c r="AS62" s="91"/>
      <c r="AZ62" s="103"/>
      <c r="BA62" s="103"/>
      <c r="BB62" s="103"/>
      <c r="BC62" s="103"/>
      <c r="BD62" s="103"/>
      <c r="BE62" s="104"/>
      <c r="BF62" s="91"/>
      <c r="BM62" s="103"/>
      <c r="BN62" s="103"/>
      <c r="BO62" s="103"/>
      <c r="BP62" s="103"/>
      <c r="BQ62" s="103"/>
      <c r="BR62" s="104"/>
      <c r="BS62" s="91"/>
      <c r="CE62" s="13"/>
      <c r="DF62" s="91"/>
      <c r="DR62" s="13"/>
      <c r="DS62" s="20"/>
      <c r="DT62" s="21"/>
      <c r="DU62" s="21"/>
      <c r="DV62" s="21"/>
      <c r="DW62" s="21"/>
      <c r="DX62" s="21"/>
      <c r="EE62" s="13"/>
      <c r="EF62" s="20"/>
      <c r="EG62" s="21"/>
      <c r="EH62" s="21"/>
      <c r="EI62" s="21"/>
      <c r="EJ62" s="21"/>
      <c r="EK62" s="21"/>
      <c r="ER62" s="13"/>
      <c r="ES62" s="20"/>
      <c r="ET62" s="21"/>
      <c r="EU62" s="21"/>
      <c r="EV62" s="21"/>
      <c r="EW62" s="21"/>
      <c r="EX62" s="21"/>
      <c r="FE62" s="13"/>
      <c r="FF62" s="20"/>
      <c r="FG62" s="21"/>
      <c r="FH62" s="21"/>
      <c r="FI62" s="21"/>
      <c r="FJ62" s="21"/>
      <c r="FK62" s="21"/>
      <c r="FR62" s="13"/>
    </row>
    <row r="63" spans="1:174" x14ac:dyDescent="0.25">
      <c r="A63" s="113"/>
      <c r="B63" s="114"/>
      <c r="D63" s="114"/>
      <c r="E63" s="2" t="s">
        <v>64</v>
      </c>
      <c r="L63" s="2">
        <v>0</v>
      </c>
      <c r="M63" s="103">
        <v>7.3600000000000002E-3</v>
      </c>
      <c r="N63" s="103">
        <v>1.6299999999999999E-2</v>
      </c>
      <c r="O63" s="103"/>
      <c r="P63" s="103"/>
      <c r="Q63" s="103"/>
      <c r="R63" s="103"/>
      <c r="S63" s="91"/>
      <c r="Z63" s="103"/>
      <c r="AA63" s="103"/>
      <c r="AB63" s="103"/>
      <c r="AC63" s="103"/>
      <c r="AD63" s="103"/>
      <c r="AE63" s="104"/>
      <c r="AF63" s="91"/>
      <c r="AL63" s="2">
        <v>0.03</v>
      </c>
      <c r="AM63" s="103">
        <v>3.5000000000000003E-2</v>
      </c>
      <c r="AN63" s="103">
        <v>3.5999999999999997E-2</v>
      </c>
      <c r="AO63" s="103"/>
      <c r="AP63" s="103"/>
      <c r="AQ63" s="103"/>
      <c r="AR63" s="104"/>
      <c r="AS63" s="91"/>
      <c r="AZ63" s="103"/>
      <c r="BA63" s="103"/>
      <c r="BB63" s="103"/>
      <c r="BC63" s="103"/>
      <c r="BD63" s="103"/>
      <c r="BE63" s="104"/>
      <c r="BF63" s="91"/>
      <c r="BM63" s="103"/>
      <c r="BN63" s="103"/>
      <c r="BO63" s="103"/>
      <c r="BP63" s="103"/>
      <c r="BQ63" s="103"/>
      <c r="BR63" s="104"/>
      <c r="BS63" s="91"/>
      <c r="CE63" s="13"/>
      <c r="DF63" s="91"/>
      <c r="DR63" s="13"/>
      <c r="DS63" s="20"/>
      <c r="DT63" s="21"/>
      <c r="DU63" s="21"/>
      <c r="DV63" s="21"/>
      <c r="DW63" s="21"/>
      <c r="DX63" s="21"/>
      <c r="EE63" s="13"/>
      <c r="EF63" s="20"/>
      <c r="EG63" s="21"/>
      <c r="EH63" s="21"/>
      <c r="EI63" s="21"/>
      <c r="EJ63" s="21"/>
      <c r="EK63" s="21"/>
      <c r="ER63" s="13"/>
      <c r="ES63" s="20"/>
      <c r="ET63" s="21"/>
      <c r="EU63" s="21"/>
      <c r="EV63" s="21"/>
      <c r="EW63" s="21"/>
      <c r="EX63" s="21"/>
      <c r="FE63" s="13"/>
      <c r="FF63" s="20"/>
      <c r="FG63" s="21"/>
      <c r="FH63" s="21"/>
      <c r="FI63" s="21"/>
      <c r="FJ63" s="21"/>
      <c r="FK63" s="21"/>
      <c r="FR63" s="13"/>
    </row>
    <row r="64" spans="1:174" x14ac:dyDescent="0.25">
      <c r="A64" s="113"/>
      <c r="B64" s="114"/>
      <c r="D64" s="114"/>
      <c r="E64" s="2" t="s">
        <v>65</v>
      </c>
      <c r="L64" s="2">
        <f>1.94+4.573</f>
        <v>6.5129999999999999</v>
      </c>
      <c r="M64" s="103">
        <f>3.925+13.21</f>
        <v>17.135000000000002</v>
      </c>
      <c r="N64" s="103">
        <f>3.577+8.964</f>
        <v>12.541</v>
      </c>
      <c r="O64" s="103"/>
      <c r="P64" s="103"/>
      <c r="Q64" s="103"/>
      <c r="R64" s="103"/>
      <c r="S64" s="91"/>
      <c r="Z64" s="103"/>
      <c r="AA64" s="103"/>
      <c r="AB64" s="103"/>
      <c r="AC64" s="103"/>
      <c r="AD64" s="103"/>
      <c r="AE64" s="104"/>
      <c r="AF64" s="91"/>
      <c r="AL64" s="2">
        <f>2.4+2.19</f>
        <v>4.59</v>
      </c>
      <c r="AM64" s="103">
        <f>3.175+4.445</f>
        <v>7.62</v>
      </c>
      <c r="AN64" s="103">
        <f>3.291+4.608</f>
        <v>7.8989999999999991</v>
      </c>
      <c r="AO64" s="103"/>
      <c r="AP64" s="103"/>
      <c r="AQ64" s="103"/>
      <c r="AR64" s="104"/>
      <c r="AS64" s="91"/>
      <c r="AZ64" s="103"/>
      <c r="BA64" s="103"/>
      <c r="BB64" s="103"/>
      <c r="BC64" s="103"/>
      <c r="BD64" s="103"/>
      <c r="BE64" s="104"/>
      <c r="BF64" s="91"/>
      <c r="BM64" s="103"/>
      <c r="BN64" s="103"/>
      <c r="BO64" s="103"/>
      <c r="BP64" s="103"/>
      <c r="BQ64" s="103"/>
      <c r="BR64" s="104"/>
      <c r="BS64" s="91"/>
      <c r="CE64" s="13"/>
      <c r="DF64" s="91"/>
      <c r="DR64" s="13"/>
      <c r="DS64" s="20"/>
      <c r="DT64" s="21"/>
      <c r="DU64" s="21"/>
      <c r="DV64" s="21"/>
      <c r="DW64" s="21"/>
      <c r="DX64" s="21"/>
      <c r="EE64" s="13"/>
      <c r="EF64" s="20"/>
      <c r="EG64" s="21"/>
      <c r="EH64" s="21"/>
      <c r="EI64" s="21"/>
      <c r="EJ64" s="21"/>
      <c r="EK64" s="21"/>
      <c r="ER64" s="13"/>
      <c r="ES64" s="20"/>
      <c r="ET64" s="21"/>
      <c r="EU64" s="21"/>
      <c r="EV64" s="21"/>
      <c r="EW64" s="21"/>
      <c r="EX64" s="21"/>
      <c r="FE64" s="13"/>
      <c r="FF64" s="20"/>
      <c r="FG64" s="21"/>
      <c r="FH64" s="21"/>
      <c r="FI64" s="21"/>
      <c r="FJ64" s="21"/>
      <c r="FK64" s="21"/>
      <c r="FR64" s="13"/>
    </row>
    <row r="65" spans="1:174" x14ac:dyDescent="0.25">
      <c r="A65" s="113"/>
      <c r="B65" s="114"/>
      <c r="D65" s="114"/>
      <c r="E65" s="2" t="s">
        <v>66</v>
      </c>
      <c r="L65" s="2">
        <v>0.193</v>
      </c>
      <c r="M65" s="103">
        <v>0.19359999999999999</v>
      </c>
      <c r="N65" s="103">
        <v>0.13300000000000001</v>
      </c>
      <c r="O65" s="103"/>
      <c r="P65" s="103"/>
      <c r="Q65" s="103"/>
      <c r="R65" s="103"/>
      <c r="S65" s="91"/>
      <c r="Z65" s="103"/>
      <c r="AA65" s="103"/>
      <c r="AB65" s="103"/>
      <c r="AC65" s="103"/>
      <c r="AD65" s="103"/>
      <c r="AE65" s="104"/>
      <c r="AF65" s="91"/>
      <c r="AL65" s="2">
        <v>0.19400000000000001</v>
      </c>
      <c r="AM65" s="103">
        <v>0.26</v>
      </c>
      <c r="AN65" s="103">
        <v>0.26900000000000002</v>
      </c>
      <c r="AO65" s="103"/>
      <c r="AP65" s="103"/>
      <c r="AQ65" s="103"/>
      <c r="AR65" s="104"/>
      <c r="AS65" s="91"/>
      <c r="AZ65" s="103"/>
      <c r="BA65" s="103"/>
      <c r="BB65" s="103"/>
      <c r="BC65" s="103"/>
      <c r="BD65" s="103"/>
      <c r="BE65" s="104"/>
      <c r="BF65" s="91"/>
      <c r="BM65" s="103"/>
      <c r="BN65" s="103"/>
      <c r="BO65" s="103"/>
      <c r="BP65" s="103"/>
      <c r="BQ65" s="103"/>
      <c r="BR65" s="104"/>
      <c r="BS65" s="91"/>
      <c r="CE65" s="13"/>
      <c r="DF65" s="91"/>
      <c r="DR65" s="13"/>
      <c r="DS65" s="20"/>
      <c r="DT65" s="21"/>
      <c r="DU65" s="21"/>
      <c r="DV65" s="21"/>
      <c r="DW65" s="21"/>
      <c r="DX65" s="21"/>
      <c r="EE65" s="13"/>
      <c r="EF65" s="20"/>
      <c r="EG65" s="21"/>
      <c r="EH65" s="21"/>
      <c r="EI65" s="21"/>
      <c r="EJ65" s="21"/>
      <c r="EK65" s="21"/>
      <c r="ER65" s="13"/>
      <c r="ES65" s="20"/>
      <c r="ET65" s="21"/>
      <c r="EU65" s="21"/>
      <c r="EV65" s="21"/>
      <c r="EW65" s="21"/>
      <c r="EX65" s="21"/>
      <c r="FE65" s="13"/>
      <c r="FF65" s="20"/>
      <c r="FG65" s="21"/>
      <c r="FH65" s="21"/>
      <c r="FI65" s="21"/>
      <c r="FJ65" s="21"/>
      <c r="FK65" s="21"/>
      <c r="FR65" s="13"/>
    </row>
    <row r="66" spans="1:174" x14ac:dyDescent="0.25">
      <c r="A66" s="113"/>
      <c r="B66" s="114"/>
      <c r="D66" s="114"/>
      <c r="E66" s="2" t="s">
        <v>70</v>
      </c>
      <c r="L66" s="2">
        <v>2.448</v>
      </c>
      <c r="M66" s="103">
        <v>7.2590000000000003</v>
      </c>
      <c r="N66" s="103">
        <v>4.8250000000000002</v>
      </c>
      <c r="O66" s="103"/>
      <c r="P66" s="103"/>
      <c r="Q66" s="103"/>
      <c r="R66" s="103"/>
      <c r="S66" s="91"/>
      <c r="Z66" s="103"/>
      <c r="AA66" s="103"/>
      <c r="AB66" s="103"/>
      <c r="AC66" s="103"/>
      <c r="AD66" s="103"/>
      <c r="AE66" s="104"/>
      <c r="AF66" s="91"/>
      <c r="AL66" s="2">
        <v>2.6459999999999999</v>
      </c>
      <c r="AM66" s="103">
        <v>4.4450000000000003</v>
      </c>
      <c r="AN66" s="103">
        <v>3.2709999999999999</v>
      </c>
      <c r="AO66" s="103"/>
      <c r="AP66" s="103"/>
      <c r="AQ66" s="103"/>
      <c r="AR66" s="104"/>
      <c r="AS66" s="91"/>
      <c r="AZ66" s="103"/>
      <c r="BA66" s="103"/>
      <c r="BB66" s="103"/>
      <c r="BC66" s="103"/>
      <c r="BD66" s="103"/>
      <c r="BE66" s="104"/>
      <c r="BF66" s="91"/>
      <c r="BM66" s="103"/>
      <c r="BN66" s="103"/>
      <c r="BO66" s="103"/>
      <c r="BP66" s="103"/>
      <c r="BQ66" s="103"/>
      <c r="BR66" s="104"/>
      <c r="BS66" s="91"/>
      <c r="CE66" s="13"/>
      <c r="DF66" s="91"/>
      <c r="DR66" s="13"/>
      <c r="DS66" s="20"/>
      <c r="DT66" s="21"/>
      <c r="DU66" s="21"/>
      <c r="DV66" s="21"/>
      <c r="DW66" s="21"/>
      <c r="DX66" s="21"/>
      <c r="EE66" s="13"/>
      <c r="EF66" s="20"/>
      <c r="EG66" s="21"/>
      <c r="EH66" s="21"/>
      <c r="EI66" s="21"/>
      <c r="EJ66" s="21"/>
      <c r="EK66" s="21"/>
      <c r="ER66" s="13"/>
      <c r="ES66" s="20"/>
      <c r="ET66" s="21"/>
      <c r="EU66" s="21"/>
      <c r="EV66" s="21"/>
      <c r="EW66" s="21"/>
      <c r="EX66" s="21"/>
      <c r="FE66" s="13"/>
      <c r="FF66" s="20"/>
      <c r="FG66" s="21"/>
      <c r="FH66" s="21"/>
      <c r="FI66" s="21"/>
      <c r="FJ66" s="21"/>
      <c r="FK66" s="21"/>
      <c r="FR66" s="13"/>
    </row>
    <row r="67" spans="1:174" x14ac:dyDescent="0.25">
      <c r="A67" s="113"/>
      <c r="B67" s="114"/>
      <c r="D67" s="114"/>
      <c r="E67" s="2" t="s">
        <v>7</v>
      </c>
      <c r="M67" s="103"/>
      <c r="N67" s="103"/>
      <c r="O67" s="103"/>
      <c r="P67" s="103"/>
      <c r="Q67" s="103"/>
      <c r="R67" s="103"/>
      <c r="S67" s="91"/>
      <c r="Z67" s="103"/>
      <c r="AA67" s="103"/>
      <c r="AB67" s="103"/>
      <c r="AC67" s="103"/>
      <c r="AD67" s="103"/>
      <c r="AE67" s="104"/>
      <c r="AF67" s="91"/>
      <c r="AM67" s="103"/>
      <c r="AN67" s="103"/>
      <c r="AO67" s="103"/>
      <c r="AP67" s="103"/>
      <c r="AQ67" s="103"/>
      <c r="AR67" s="104"/>
      <c r="AS67" s="91"/>
      <c r="AY67" s="2">
        <v>8.1</v>
      </c>
      <c r="AZ67" s="103">
        <v>12.497999999999999</v>
      </c>
      <c r="BA67" s="103">
        <v>12.497999999999999</v>
      </c>
      <c r="BB67" s="103"/>
      <c r="BC67" s="103"/>
      <c r="BD67" s="103"/>
      <c r="BE67" s="104"/>
      <c r="BF67" s="91"/>
      <c r="BM67" s="103">
        <v>0.21199999999999999</v>
      </c>
      <c r="BN67" s="103">
        <v>0.21099999999999999</v>
      </c>
      <c r="BO67" s="103"/>
      <c r="BP67" s="103"/>
      <c r="BQ67" s="103"/>
      <c r="BR67" s="104"/>
      <c r="BS67" s="91"/>
      <c r="CE67" s="13"/>
      <c r="DF67" s="91"/>
      <c r="DR67" s="13"/>
      <c r="DS67" s="20"/>
      <c r="DT67" s="21"/>
      <c r="DU67" s="21"/>
      <c r="DV67" s="21"/>
      <c r="DW67" s="21"/>
      <c r="DX67" s="21"/>
      <c r="EE67" s="13"/>
      <c r="EF67" s="20"/>
      <c r="EG67" s="21"/>
      <c r="EH67" s="21"/>
      <c r="EI67" s="21"/>
      <c r="EJ67" s="21"/>
      <c r="EK67" s="21"/>
      <c r="ER67" s="13"/>
      <c r="ES67" s="20"/>
      <c r="ET67" s="21"/>
      <c r="EU67" s="21"/>
      <c r="EV67" s="21"/>
      <c r="EW67" s="21"/>
      <c r="EX67" s="21"/>
      <c r="FE67" s="13"/>
      <c r="FF67" s="20"/>
      <c r="FG67" s="21"/>
      <c r="FH67" s="21"/>
      <c r="FI67" s="21"/>
      <c r="FJ67" s="21"/>
      <c r="FK67" s="21"/>
      <c r="FR67" s="13"/>
    </row>
    <row r="68" spans="1:174" x14ac:dyDescent="0.25">
      <c r="A68" s="113"/>
      <c r="B68" s="114"/>
      <c r="D68" s="114"/>
      <c r="M68" s="103"/>
      <c r="N68" s="103"/>
      <c r="O68" s="103"/>
      <c r="P68" s="103"/>
      <c r="Q68" s="103"/>
      <c r="R68" s="103"/>
      <c r="S68" s="91"/>
      <c r="Z68" s="103"/>
      <c r="AA68" s="103"/>
      <c r="AB68" s="103"/>
      <c r="AC68" s="103"/>
      <c r="AD68" s="103"/>
      <c r="AE68" s="104"/>
      <c r="AF68" s="91"/>
      <c r="AM68" s="103"/>
      <c r="AN68" s="103"/>
      <c r="AO68" s="103"/>
      <c r="AP68" s="103"/>
      <c r="AQ68" s="103"/>
      <c r="AR68" s="104"/>
      <c r="AS68" s="91"/>
      <c r="AZ68" s="103"/>
      <c r="BA68" s="103"/>
      <c r="BB68" s="103"/>
      <c r="BC68" s="103"/>
      <c r="BD68" s="103"/>
      <c r="BE68" s="104"/>
      <c r="BF68" s="91"/>
      <c r="BM68" s="103"/>
      <c r="BN68" s="103"/>
      <c r="BO68" s="103"/>
      <c r="BP68" s="103"/>
      <c r="BQ68" s="103"/>
      <c r="BR68" s="104"/>
      <c r="BS68" s="91"/>
      <c r="CE68" s="13"/>
      <c r="DF68" s="91"/>
      <c r="DR68" s="13"/>
      <c r="DS68" s="20"/>
      <c r="DT68" s="21"/>
      <c r="DU68" s="21"/>
      <c r="DV68" s="21"/>
      <c r="DW68" s="21"/>
      <c r="DX68" s="21"/>
      <c r="EE68" s="13"/>
      <c r="EF68" s="20"/>
      <c r="EG68" s="21"/>
      <c r="EH68" s="21"/>
      <c r="EI68" s="21"/>
      <c r="EJ68" s="21"/>
      <c r="EK68" s="21"/>
      <c r="ER68" s="13"/>
      <c r="ES68" s="20"/>
      <c r="ET68" s="21"/>
      <c r="EU68" s="21"/>
      <c r="EV68" s="21"/>
      <c r="EW68" s="21"/>
      <c r="EX68" s="21"/>
      <c r="FE68" s="13"/>
      <c r="FF68" s="20"/>
      <c r="FG68" s="21"/>
      <c r="FH68" s="21"/>
      <c r="FI68" s="21"/>
      <c r="FJ68" s="21"/>
      <c r="FK68" s="21"/>
      <c r="FR68" s="13"/>
    </row>
    <row r="69" spans="1:174" x14ac:dyDescent="0.25">
      <c r="A69" s="113"/>
      <c r="B69" s="114"/>
      <c r="D69" s="114"/>
      <c r="M69" s="103"/>
      <c r="N69" s="103"/>
      <c r="O69" s="103"/>
      <c r="P69" s="103"/>
      <c r="Q69" s="103"/>
      <c r="R69" s="103"/>
      <c r="S69" s="91"/>
      <c r="Z69" s="103"/>
      <c r="AA69" s="103"/>
      <c r="AB69" s="103"/>
      <c r="AC69" s="103"/>
      <c r="AD69" s="103"/>
      <c r="AE69" s="104"/>
      <c r="AF69" s="91"/>
      <c r="AM69" s="103"/>
      <c r="AN69" s="103"/>
      <c r="AO69" s="103"/>
      <c r="AP69" s="103"/>
      <c r="AQ69" s="103"/>
      <c r="AR69" s="104"/>
      <c r="AS69" s="91"/>
      <c r="AZ69" s="103"/>
      <c r="BA69" s="103"/>
      <c r="BB69" s="103"/>
      <c r="BC69" s="103"/>
      <c r="BD69" s="103"/>
      <c r="BE69" s="104"/>
      <c r="BF69" s="91"/>
      <c r="BM69" s="103"/>
      <c r="BN69" s="103"/>
      <c r="BO69" s="103"/>
      <c r="BP69" s="103"/>
      <c r="BQ69" s="103"/>
      <c r="BR69" s="104"/>
      <c r="BS69" s="91"/>
      <c r="CE69" s="13"/>
      <c r="DF69" s="91"/>
      <c r="DR69" s="13"/>
      <c r="DS69" s="20"/>
      <c r="DT69" s="21"/>
      <c r="DU69" s="21"/>
      <c r="DV69" s="21"/>
      <c r="DW69" s="21"/>
      <c r="DX69" s="21"/>
      <c r="EE69" s="13"/>
      <c r="EF69" s="20"/>
      <c r="EG69" s="21"/>
      <c r="EH69" s="21"/>
      <c r="EI69" s="21"/>
      <c r="EJ69" s="21"/>
      <c r="EK69" s="21"/>
      <c r="ER69" s="13"/>
      <c r="ES69" s="20"/>
      <c r="ET69" s="21"/>
      <c r="EU69" s="21"/>
      <c r="EV69" s="21"/>
      <c r="EW69" s="21"/>
      <c r="EX69" s="21"/>
      <c r="FE69" s="13"/>
      <c r="FF69" s="20"/>
      <c r="FG69" s="21"/>
      <c r="FH69" s="21"/>
      <c r="FI69" s="21"/>
      <c r="FJ69" s="21"/>
      <c r="FK69" s="21"/>
      <c r="FR69" s="13"/>
    </row>
    <row r="70" spans="1:174" x14ac:dyDescent="0.25">
      <c r="A70" s="113"/>
      <c r="B70" s="114"/>
      <c r="D70" s="114"/>
      <c r="M70" s="103"/>
      <c r="N70" s="103"/>
      <c r="O70" s="103"/>
      <c r="P70" s="103"/>
      <c r="Q70" s="103"/>
      <c r="R70" s="103"/>
      <c r="S70" s="91"/>
      <c r="Z70" s="103"/>
      <c r="AA70" s="103"/>
      <c r="AB70" s="103"/>
      <c r="AC70" s="103"/>
      <c r="AD70" s="103"/>
      <c r="AE70" s="104"/>
      <c r="AF70" s="91"/>
      <c r="AM70" s="103"/>
      <c r="AN70" s="103"/>
      <c r="AO70" s="103"/>
      <c r="AP70" s="103"/>
      <c r="AQ70" s="103"/>
      <c r="AR70" s="104"/>
      <c r="AS70" s="91"/>
      <c r="AZ70" s="103"/>
      <c r="BA70" s="103"/>
      <c r="BB70" s="103"/>
      <c r="BC70" s="103"/>
      <c r="BD70" s="103"/>
      <c r="BE70" s="104"/>
      <c r="BF70" s="91"/>
      <c r="BM70" s="103"/>
      <c r="BN70" s="103"/>
      <c r="BO70" s="103"/>
      <c r="BP70" s="103"/>
      <c r="BQ70" s="103"/>
      <c r="BR70" s="104"/>
      <c r="BS70" s="91"/>
      <c r="CE70" s="13"/>
      <c r="DF70" s="91"/>
      <c r="DR70" s="13"/>
      <c r="DS70" s="20"/>
      <c r="DT70" s="21"/>
      <c r="DU70" s="21"/>
      <c r="DV70" s="21"/>
      <c r="DW70" s="21"/>
      <c r="DX70" s="21"/>
      <c r="EE70" s="13"/>
      <c r="EF70" s="20"/>
      <c r="EG70" s="21"/>
      <c r="EH70" s="21"/>
      <c r="EI70" s="21"/>
      <c r="EJ70" s="21"/>
      <c r="EK70" s="21"/>
      <c r="ER70" s="13"/>
      <c r="ES70" s="20"/>
      <c r="ET70" s="21"/>
      <c r="EU70" s="21"/>
      <c r="EV70" s="21"/>
      <c r="EW70" s="21"/>
      <c r="EX70" s="21"/>
      <c r="FE70" s="13"/>
      <c r="FF70" s="20"/>
      <c r="FG70" s="21"/>
      <c r="FH70" s="21"/>
      <c r="FI70" s="21"/>
      <c r="FJ70" s="21"/>
      <c r="FK70" s="21"/>
      <c r="FR70" s="13"/>
    </row>
    <row r="71" spans="1:174" x14ac:dyDescent="0.25">
      <c r="A71" s="113"/>
      <c r="B71" s="114"/>
      <c r="D71" s="114"/>
      <c r="M71" s="103"/>
      <c r="N71" s="103"/>
      <c r="O71" s="103"/>
      <c r="P71" s="103"/>
      <c r="Q71" s="103"/>
      <c r="R71" s="103"/>
      <c r="S71" s="91"/>
      <c r="Z71" s="103"/>
      <c r="AA71" s="103"/>
      <c r="AB71" s="103"/>
      <c r="AC71" s="103"/>
      <c r="AD71" s="103"/>
      <c r="AE71" s="104"/>
      <c r="AF71" s="91"/>
      <c r="AM71" s="103"/>
      <c r="AN71" s="103"/>
      <c r="AO71" s="103"/>
      <c r="AP71" s="103"/>
      <c r="AQ71" s="103"/>
      <c r="AR71" s="104"/>
      <c r="AS71" s="91"/>
      <c r="AZ71" s="103"/>
      <c r="BA71" s="103"/>
      <c r="BB71" s="103"/>
      <c r="BC71" s="103"/>
      <c r="BD71" s="103"/>
      <c r="BE71" s="104"/>
      <c r="BF71" s="91"/>
      <c r="BM71" s="103"/>
      <c r="BN71" s="103"/>
      <c r="BO71" s="103"/>
      <c r="BP71" s="103"/>
      <c r="BQ71" s="103"/>
      <c r="BR71" s="104"/>
      <c r="BS71" s="91"/>
      <c r="CE71" s="13"/>
      <c r="DF71" s="91"/>
      <c r="DR71" s="13"/>
      <c r="DS71" s="20"/>
      <c r="DT71" s="21"/>
      <c r="DU71" s="21"/>
      <c r="DV71" s="21"/>
      <c r="DW71" s="21"/>
      <c r="DX71" s="21"/>
      <c r="EE71" s="13"/>
      <c r="EF71" s="20"/>
      <c r="EG71" s="21"/>
      <c r="EH71" s="21"/>
      <c r="EI71" s="21"/>
      <c r="EJ71" s="21"/>
      <c r="EK71" s="21"/>
      <c r="ER71" s="13"/>
      <c r="ES71" s="20"/>
      <c r="ET71" s="21"/>
      <c r="EU71" s="21"/>
      <c r="EV71" s="21"/>
      <c r="EW71" s="21"/>
      <c r="EX71" s="21"/>
      <c r="FE71" s="13"/>
      <c r="FF71" s="20"/>
      <c r="FG71" s="21"/>
      <c r="FH71" s="21"/>
      <c r="FI71" s="21"/>
      <c r="FJ71" s="21"/>
      <c r="FK71" s="21"/>
      <c r="FR71" s="13"/>
    </row>
    <row r="72" spans="1:174" x14ac:dyDescent="0.25">
      <c r="A72" s="113"/>
      <c r="B72" s="114"/>
      <c r="D72" s="114"/>
      <c r="M72" s="103"/>
      <c r="N72" s="103"/>
      <c r="O72" s="103"/>
      <c r="P72" s="103"/>
      <c r="Q72" s="103"/>
      <c r="R72" s="103"/>
      <c r="S72" s="91"/>
      <c r="Z72" s="103"/>
      <c r="AA72" s="103"/>
      <c r="AB72" s="103"/>
      <c r="AC72" s="103"/>
      <c r="AD72" s="103"/>
      <c r="AE72" s="104"/>
      <c r="AF72" s="91"/>
      <c r="AM72" s="103"/>
      <c r="AN72" s="103"/>
      <c r="AO72" s="103"/>
      <c r="AP72" s="103"/>
      <c r="AQ72" s="103"/>
      <c r="AR72" s="104"/>
      <c r="AS72" s="91"/>
      <c r="AZ72" s="103"/>
      <c r="BA72" s="103"/>
      <c r="BB72" s="103"/>
      <c r="BC72" s="103"/>
      <c r="BD72" s="103"/>
      <c r="BE72" s="104"/>
      <c r="BF72" s="91"/>
      <c r="BM72" s="103"/>
      <c r="BN72" s="103"/>
      <c r="BO72" s="103"/>
      <c r="BP72" s="103"/>
      <c r="BQ72" s="103"/>
      <c r="BR72" s="104"/>
      <c r="BS72" s="91"/>
      <c r="CE72" s="13"/>
      <c r="DF72" s="91"/>
      <c r="DR72" s="13"/>
      <c r="DS72" s="20"/>
      <c r="DT72" s="21"/>
      <c r="DU72" s="21"/>
      <c r="DV72" s="21"/>
      <c r="DW72" s="21"/>
      <c r="DX72" s="21"/>
      <c r="EE72" s="13"/>
      <c r="EF72" s="20"/>
      <c r="EG72" s="21"/>
      <c r="EH72" s="21"/>
      <c r="EI72" s="21"/>
      <c r="EJ72" s="21"/>
      <c r="EK72" s="21"/>
      <c r="ER72" s="13"/>
      <c r="ES72" s="20"/>
      <c r="ET72" s="21"/>
      <c r="EU72" s="21"/>
      <c r="EV72" s="21"/>
      <c r="EW72" s="21"/>
      <c r="EX72" s="21"/>
      <c r="FE72" s="13"/>
      <c r="FF72" s="20"/>
      <c r="FG72" s="21"/>
      <c r="FH72" s="21"/>
      <c r="FI72" s="21"/>
      <c r="FJ72" s="21"/>
      <c r="FK72" s="21"/>
      <c r="FR72" s="13"/>
    </row>
    <row r="73" spans="1:174" x14ac:dyDescent="0.25">
      <c r="A73" s="113"/>
      <c r="B73" s="114"/>
      <c r="D73" s="114"/>
      <c r="M73" s="103"/>
      <c r="N73" s="103"/>
      <c r="O73" s="103"/>
      <c r="P73" s="103"/>
      <c r="Q73" s="103"/>
      <c r="R73" s="103"/>
      <c r="S73" s="91"/>
      <c r="Z73" s="103"/>
      <c r="AA73" s="103"/>
      <c r="AB73" s="103"/>
      <c r="AC73" s="103"/>
      <c r="AD73" s="103"/>
      <c r="AE73" s="104"/>
      <c r="AF73" s="91"/>
      <c r="AM73" s="103"/>
      <c r="AN73" s="103"/>
      <c r="AO73" s="103"/>
      <c r="AP73" s="103"/>
      <c r="AQ73" s="103"/>
      <c r="AR73" s="104"/>
      <c r="AS73" s="91"/>
      <c r="AZ73" s="103"/>
      <c r="BA73" s="103"/>
      <c r="BB73" s="103"/>
      <c r="BC73" s="103"/>
      <c r="BD73" s="103"/>
      <c r="BE73" s="104"/>
      <c r="BF73" s="91"/>
      <c r="BM73" s="103"/>
      <c r="BN73" s="103"/>
      <c r="BO73" s="103"/>
      <c r="BP73" s="103"/>
      <c r="BQ73" s="103"/>
      <c r="BR73" s="104"/>
      <c r="BS73" s="91"/>
      <c r="CE73" s="13"/>
      <c r="DF73" s="91"/>
      <c r="DR73" s="13"/>
      <c r="DS73" s="20"/>
      <c r="DT73" s="21"/>
      <c r="DU73" s="21"/>
      <c r="DV73" s="21"/>
      <c r="DW73" s="21"/>
      <c r="DX73" s="21"/>
      <c r="EE73" s="13"/>
      <c r="EF73" s="20"/>
      <c r="EG73" s="21"/>
      <c r="EH73" s="21"/>
      <c r="EI73" s="21"/>
      <c r="EJ73" s="21"/>
      <c r="EK73" s="21"/>
      <c r="ER73" s="13"/>
      <c r="ES73" s="20"/>
      <c r="ET73" s="21"/>
      <c r="EU73" s="21"/>
      <c r="EV73" s="21"/>
      <c r="EW73" s="21"/>
      <c r="EX73" s="21"/>
      <c r="FE73" s="13"/>
      <c r="FF73" s="20"/>
      <c r="FG73" s="21"/>
      <c r="FH73" s="21"/>
      <c r="FI73" s="21"/>
      <c r="FJ73" s="21"/>
      <c r="FK73" s="21"/>
      <c r="FR73" s="13"/>
    </row>
    <row r="74" spans="1:174" x14ac:dyDescent="0.25">
      <c r="A74" s="113"/>
      <c r="B74" s="114"/>
      <c r="D74" s="114"/>
      <c r="M74" s="103"/>
      <c r="N74" s="103"/>
      <c r="O74" s="103"/>
      <c r="P74" s="103"/>
      <c r="Q74" s="103"/>
      <c r="R74" s="103"/>
      <c r="S74" s="91"/>
      <c r="Z74" s="103"/>
      <c r="AA74" s="103"/>
      <c r="AB74" s="103"/>
      <c r="AC74" s="103"/>
      <c r="AD74" s="103"/>
      <c r="AE74" s="104"/>
      <c r="AF74" s="91"/>
      <c r="AM74" s="103"/>
      <c r="AN74" s="103"/>
      <c r="AO74" s="103"/>
      <c r="AP74" s="103"/>
      <c r="AQ74" s="103"/>
      <c r="AR74" s="104"/>
      <c r="AS74" s="91"/>
      <c r="AZ74" s="103"/>
      <c r="BA74" s="103"/>
      <c r="BB74" s="103"/>
      <c r="BC74" s="103"/>
      <c r="BD74" s="103"/>
      <c r="BE74" s="104"/>
      <c r="BF74" s="91"/>
      <c r="BM74" s="103"/>
      <c r="BN74" s="103"/>
      <c r="BO74" s="103"/>
      <c r="BP74" s="103"/>
      <c r="BQ74" s="103"/>
      <c r="BR74" s="104"/>
      <c r="BS74" s="91"/>
      <c r="CE74" s="13"/>
      <c r="DF74" s="91"/>
      <c r="DR74" s="13"/>
      <c r="DS74" s="20"/>
      <c r="DT74" s="21"/>
      <c r="DU74" s="21"/>
      <c r="DV74" s="21"/>
      <c r="DW74" s="21"/>
      <c r="DX74" s="21"/>
      <c r="EE74" s="13"/>
      <c r="EF74" s="20"/>
      <c r="EG74" s="21"/>
      <c r="EH74" s="21"/>
      <c r="EI74" s="21"/>
      <c r="EJ74" s="21"/>
      <c r="EK74" s="21"/>
      <c r="ER74" s="13"/>
      <c r="ES74" s="20"/>
      <c r="ET74" s="21"/>
      <c r="EU74" s="21"/>
      <c r="EV74" s="21"/>
      <c r="EW74" s="21"/>
      <c r="EX74" s="21"/>
      <c r="FE74" s="13"/>
      <c r="FF74" s="20"/>
      <c r="FG74" s="21"/>
      <c r="FH74" s="21"/>
      <c r="FI74" s="21"/>
      <c r="FJ74" s="21"/>
      <c r="FK74" s="21"/>
      <c r="FR74" s="13"/>
    </row>
    <row r="75" spans="1:174" x14ac:dyDescent="0.25">
      <c r="A75" s="113"/>
      <c r="B75" s="114"/>
      <c r="D75" s="114"/>
      <c r="M75" s="103"/>
      <c r="N75" s="103"/>
      <c r="O75" s="103"/>
      <c r="P75" s="103"/>
      <c r="Q75" s="103"/>
      <c r="R75" s="103"/>
      <c r="S75" s="91"/>
      <c r="Z75" s="103"/>
      <c r="AA75" s="103"/>
      <c r="AB75" s="103"/>
      <c r="AC75" s="103"/>
      <c r="AD75" s="103"/>
      <c r="AE75" s="104"/>
      <c r="AF75" s="91"/>
      <c r="AM75" s="103"/>
      <c r="AN75" s="103"/>
      <c r="AO75" s="103"/>
      <c r="AP75" s="103"/>
      <c r="AQ75" s="103"/>
      <c r="AR75" s="104"/>
      <c r="AS75" s="91"/>
      <c r="AZ75" s="103"/>
      <c r="BA75" s="103"/>
      <c r="BB75" s="103"/>
      <c r="BC75" s="103"/>
      <c r="BD75" s="103"/>
      <c r="BE75" s="104"/>
      <c r="BF75" s="91"/>
      <c r="BM75" s="103"/>
      <c r="BN75" s="103"/>
      <c r="BO75" s="103"/>
      <c r="BP75" s="103"/>
      <c r="BQ75" s="103"/>
      <c r="BR75" s="104"/>
      <c r="BS75" s="91"/>
      <c r="CE75" s="13"/>
      <c r="DF75" s="91"/>
      <c r="DR75" s="13"/>
      <c r="DS75" s="20"/>
      <c r="DT75" s="21"/>
      <c r="DU75" s="21"/>
      <c r="DV75" s="21"/>
      <c r="DW75" s="21"/>
      <c r="DX75" s="21"/>
      <c r="EE75" s="13"/>
      <c r="EF75" s="20"/>
      <c r="EG75" s="21"/>
      <c r="EH75" s="21"/>
      <c r="EI75" s="21"/>
      <c r="EJ75" s="21"/>
      <c r="EK75" s="21"/>
      <c r="ER75" s="13"/>
      <c r="ES75" s="20"/>
      <c r="ET75" s="21"/>
      <c r="EU75" s="21"/>
      <c r="EV75" s="21"/>
      <c r="EW75" s="21"/>
      <c r="EX75" s="21"/>
      <c r="FE75" s="13"/>
      <c r="FF75" s="20"/>
      <c r="FG75" s="21"/>
      <c r="FH75" s="21"/>
      <c r="FI75" s="21"/>
      <c r="FJ75" s="21"/>
      <c r="FK75" s="21"/>
      <c r="FR75" s="13"/>
    </row>
    <row r="76" spans="1:174" x14ac:dyDescent="0.25">
      <c r="B76" s="114"/>
      <c r="D76" s="114"/>
      <c r="S76" s="91"/>
      <c r="Z76" s="103"/>
      <c r="AA76" s="103"/>
      <c r="AB76" s="103"/>
      <c r="AC76" s="103"/>
      <c r="AD76" s="103"/>
      <c r="AE76" s="104"/>
      <c r="AF76" s="91"/>
      <c r="AM76" s="103"/>
      <c r="AN76" s="103"/>
      <c r="AO76" s="103"/>
      <c r="AP76" s="103"/>
      <c r="AQ76" s="103"/>
      <c r="AR76" s="104"/>
      <c r="AS76" s="91"/>
      <c r="BE76" s="13"/>
      <c r="BF76" s="91"/>
      <c r="BR76" s="13"/>
      <c r="BS76" s="91"/>
      <c r="CE76" s="13"/>
      <c r="DF76" s="91"/>
      <c r="DR76" s="13"/>
      <c r="DS76" s="20"/>
      <c r="DT76" s="21"/>
      <c r="DU76" s="21"/>
      <c r="DV76" s="21"/>
      <c r="DW76" s="21"/>
      <c r="DX76" s="21"/>
      <c r="EE76" s="13"/>
      <c r="EF76" s="20"/>
      <c r="EG76" s="21"/>
      <c r="EH76" s="21"/>
      <c r="EI76" s="21"/>
      <c r="EJ76" s="21"/>
      <c r="EK76" s="21"/>
      <c r="ER76" s="13"/>
      <c r="ES76" s="20"/>
      <c r="ET76" s="21"/>
      <c r="EU76" s="21"/>
      <c r="EV76" s="21"/>
      <c r="EW76" s="21"/>
      <c r="EX76" s="21"/>
      <c r="FE76" s="13"/>
      <c r="FF76" s="20"/>
      <c r="FG76" s="21"/>
      <c r="FH76" s="21"/>
      <c r="FI76" s="21"/>
      <c r="FJ76" s="21"/>
      <c r="FK76" s="21"/>
      <c r="FR76" s="13"/>
    </row>
    <row r="77" spans="1:174" x14ac:dyDescent="0.25">
      <c r="S77" s="91"/>
      <c r="Z77" s="116"/>
      <c r="AA77" s="117"/>
      <c r="AB77" s="117"/>
      <c r="AC77" s="117"/>
      <c r="AD77" s="117"/>
      <c r="AE77" s="118"/>
      <c r="AF77" s="91"/>
      <c r="AR77" s="13"/>
      <c r="AS77" s="91"/>
      <c r="BE77" s="13"/>
      <c r="BF77" s="91"/>
      <c r="BR77" s="13"/>
      <c r="BS77" s="91"/>
      <c r="CE77" s="13"/>
      <c r="DF77" s="91"/>
      <c r="DR77" s="13"/>
      <c r="DS77" s="20"/>
      <c r="DT77" s="21"/>
      <c r="DU77" s="21"/>
      <c r="DV77" s="21"/>
      <c r="DW77" s="21"/>
      <c r="DX77" s="21"/>
      <c r="EE77" s="13"/>
      <c r="EF77" s="20"/>
      <c r="EG77" s="21"/>
      <c r="EH77" s="21"/>
      <c r="EI77" s="21"/>
      <c r="EJ77" s="21"/>
      <c r="EK77" s="21"/>
      <c r="ER77" s="13"/>
      <c r="ES77" s="20"/>
      <c r="ET77" s="21"/>
      <c r="EU77" s="21"/>
      <c r="EV77" s="21"/>
      <c r="EW77" s="21"/>
      <c r="EX77" s="21"/>
      <c r="FE77" s="13"/>
      <c r="FF77" s="20"/>
      <c r="FG77" s="21"/>
      <c r="FH77" s="21"/>
      <c r="FI77" s="21"/>
      <c r="FJ77" s="21"/>
      <c r="FK77" s="21"/>
      <c r="FR77" s="13"/>
    </row>
    <row r="78" spans="1:174" x14ac:dyDescent="0.25">
      <c r="E78" s="119" t="s">
        <v>56</v>
      </c>
      <c r="F78" s="121">
        <f t="shared" ref="F78:AK78" si="28">F9+F31+F35+F56</f>
        <v>202.614</v>
      </c>
      <c r="G78" s="121">
        <f t="shared" si="28"/>
        <v>139.02199999999999</v>
      </c>
      <c r="H78" s="121">
        <f t="shared" si="28"/>
        <v>158.54300000000001</v>
      </c>
      <c r="I78" s="121">
        <f t="shared" si="28"/>
        <v>165.102</v>
      </c>
      <c r="J78" s="121">
        <f t="shared" si="28"/>
        <v>170.738</v>
      </c>
      <c r="K78" s="121">
        <f t="shared" si="28"/>
        <v>169.56800000000001</v>
      </c>
      <c r="L78" s="121">
        <f t="shared" si="28"/>
        <v>180.78399999999999</v>
      </c>
      <c r="M78" s="121">
        <f t="shared" si="28"/>
        <v>199.32547618334866</v>
      </c>
      <c r="N78" s="121">
        <f t="shared" si="28"/>
        <v>184.3373</v>
      </c>
      <c r="O78" s="121">
        <f t="shared" si="28"/>
        <v>0</v>
      </c>
      <c r="P78" s="121">
        <f t="shared" si="28"/>
        <v>0</v>
      </c>
      <c r="Q78" s="121">
        <f t="shared" si="28"/>
        <v>0</v>
      </c>
      <c r="R78" s="121">
        <f t="shared" si="28"/>
        <v>0</v>
      </c>
      <c r="S78" s="121">
        <f t="shared" si="28"/>
        <v>567.88300000000004</v>
      </c>
      <c r="T78" s="121">
        <f t="shared" si="28"/>
        <v>546.596</v>
      </c>
      <c r="U78" s="121">
        <f t="shared" si="28"/>
        <v>581.34100000000001</v>
      </c>
      <c r="V78" s="121">
        <f t="shared" si="28"/>
        <v>629.61300000000006</v>
      </c>
      <c r="W78" s="121">
        <f t="shared" si="28"/>
        <v>624.45699999999999</v>
      </c>
      <c r="X78" s="121">
        <f t="shared" si="28"/>
        <v>626.66200000000003</v>
      </c>
      <c r="Y78" s="121">
        <f t="shared" si="28"/>
        <v>616.68399999999997</v>
      </c>
      <c r="Z78" s="121">
        <f t="shared" si="28"/>
        <v>638.54084743649332</v>
      </c>
      <c r="AA78" s="121">
        <f t="shared" si="28"/>
        <v>635.71100000000001</v>
      </c>
      <c r="AB78" s="121">
        <f t="shared" si="28"/>
        <v>0</v>
      </c>
      <c r="AC78" s="121">
        <f t="shared" si="28"/>
        <v>0</v>
      </c>
      <c r="AD78" s="121">
        <f t="shared" si="28"/>
        <v>0</v>
      </c>
      <c r="AE78" s="122">
        <f t="shared" si="28"/>
        <v>0</v>
      </c>
      <c r="AF78" s="120">
        <f t="shared" si="28"/>
        <v>102.44199999999999</v>
      </c>
      <c r="AG78" s="121">
        <f t="shared" si="28"/>
        <v>104.43</v>
      </c>
      <c r="AH78" s="121">
        <f t="shared" si="28"/>
        <v>106.005</v>
      </c>
      <c r="AI78" s="121">
        <f t="shared" si="28"/>
        <v>112.62100000000001</v>
      </c>
      <c r="AJ78" s="121">
        <f t="shared" si="28"/>
        <v>113.134</v>
      </c>
      <c r="AK78" s="121">
        <f t="shared" si="28"/>
        <v>113.73699999999999</v>
      </c>
      <c r="AL78" s="121">
        <f t="shared" ref="AL78:BQ78" si="29">AL9+AL31+AL35+AL56</f>
        <v>121.202</v>
      </c>
      <c r="AM78" s="121">
        <f t="shared" si="29"/>
        <v>140.49736527803773</v>
      </c>
      <c r="AN78" s="121">
        <f t="shared" si="29"/>
        <v>139.76399999999998</v>
      </c>
      <c r="AO78" s="121">
        <f t="shared" si="29"/>
        <v>0</v>
      </c>
      <c r="AP78" s="121">
        <f t="shared" si="29"/>
        <v>0</v>
      </c>
      <c r="AQ78" s="121">
        <f t="shared" si="29"/>
        <v>0</v>
      </c>
      <c r="AR78" s="122">
        <f t="shared" si="29"/>
        <v>0</v>
      </c>
      <c r="AS78" s="120">
        <f t="shared" si="29"/>
        <v>5.5</v>
      </c>
      <c r="AT78" s="121">
        <f t="shared" si="29"/>
        <v>9.8000000000000007</v>
      </c>
      <c r="AU78" s="121">
        <f t="shared" si="29"/>
        <v>9.8000000000000007</v>
      </c>
      <c r="AV78" s="121">
        <f t="shared" si="29"/>
        <v>23.2</v>
      </c>
      <c r="AW78" s="121">
        <f t="shared" si="29"/>
        <v>7.3</v>
      </c>
      <c r="AX78" s="121">
        <f t="shared" si="29"/>
        <v>8.1</v>
      </c>
      <c r="AY78" s="121">
        <f t="shared" si="29"/>
        <v>8.109</v>
      </c>
      <c r="AZ78" s="121">
        <f t="shared" si="29"/>
        <v>12.497999999999999</v>
      </c>
      <c r="BA78" s="121">
        <f t="shared" si="29"/>
        <v>12.497999999999999</v>
      </c>
      <c r="BB78" s="121">
        <f t="shared" si="29"/>
        <v>0</v>
      </c>
      <c r="BC78" s="121">
        <f t="shared" si="29"/>
        <v>0</v>
      </c>
      <c r="BD78" s="121">
        <f t="shared" si="29"/>
        <v>0</v>
      </c>
      <c r="BE78" s="122">
        <f t="shared" si="29"/>
        <v>0</v>
      </c>
      <c r="BF78" s="120">
        <f t="shared" si="29"/>
        <v>0.16400000000000001</v>
      </c>
      <c r="BG78" s="121">
        <f t="shared" si="29"/>
        <v>-0.13400000000000001</v>
      </c>
      <c r="BH78" s="121">
        <f t="shared" si="29"/>
        <v>3.2000000000000001E-2</v>
      </c>
      <c r="BI78" s="121">
        <f t="shared" si="29"/>
        <v>0.47499999999999998</v>
      </c>
      <c r="BJ78" s="121">
        <f t="shared" si="29"/>
        <v>1.6020000000000001</v>
      </c>
      <c r="BK78" s="121">
        <f t="shared" si="29"/>
        <v>-0.72199999999999998</v>
      </c>
      <c r="BL78" s="121">
        <f t="shared" si="29"/>
        <v>-0.17799999999999999</v>
      </c>
      <c r="BM78" s="121">
        <f t="shared" si="29"/>
        <v>0.21199999999999999</v>
      </c>
      <c r="BN78" s="121">
        <f t="shared" si="29"/>
        <v>0.21099999999999999</v>
      </c>
      <c r="BO78" s="121">
        <f t="shared" si="29"/>
        <v>0</v>
      </c>
      <c r="BP78" s="121">
        <f t="shared" si="29"/>
        <v>0</v>
      </c>
      <c r="BQ78" s="121">
        <f t="shared" si="29"/>
        <v>0</v>
      </c>
      <c r="BR78" s="122">
        <f t="shared" ref="BR78:CE78" si="30">BR9+BR31+BR35+BR56</f>
        <v>0</v>
      </c>
      <c r="BS78" s="120">
        <f t="shared" si="30"/>
        <v>0</v>
      </c>
      <c r="BT78" s="121">
        <f t="shared" si="30"/>
        <v>46.878999999999998</v>
      </c>
      <c r="BU78" s="121">
        <f t="shared" si="30"/>
        <v>53.165999999999997</v>
      </c>
      <c r="BV78" s="121">
        <f t="shared" si="30"/>
        <v>18.2</v>
      </c>
      <c r="BW78" s="121">
        <f t="shared" si="30"/>
        <v>10.816000000000001</v>
      </c>
      <c r="BX78" s="121">
        <f t="shared" si="30"/>
        <v>-0.35499999999999998</v>
      </c>
      <c r="BY78" s="121">
        <f t="shared" si="30"/>
        <v>0</v>
      </c>
      <c r="BZ78" s="121">
        <f t="shared" si="30"/>
        <v>0</v>
      </c>
      <c r="CA78" s="121">
        <f t="shared" si="30"/>
        <v>0</v>
      </c>
      <c r="CB78" s="121">
        <f t="shared" si="30"/>
        <v>0</v>
      </c>
      <c r="CC78" s="121">
        <f t="shared" si="30"/>
        <v>0</v>
      </c>
      <c r="CD78" s="121">
        <f t="shared" si="30"/>
        <v>0</v>
      </c>
      <c r="CE78" s="122">
        <f t="shared" si="30"/>
        <v>0</v>
      </c>
      <c r="CF78" s="123"/>
      <c r="CG78" s="123"/>
      <c r="CH78" s="123"/>
      <c r="CI78" s="123"/>
      <c r="CJ78" s="123"/>
      <c r="CK78" s="123"/>
      <c r="CL78" s="123"/>
      <c r="CM78" s="124"/>
      <c r="CN78" s="124"/>
      <c r="CO78" s="124"/>
      <c r="CP78" s="124"/>
      <c r="CQ78" s="124"/>
      <c r="CR78" s="124"/>
      <c r="CS78" s="123"/>
      <c r="CT78" s="123"/>
      <c r="CU78" s="123"/>
      <c r="CV78" s="123"/>
      <c r="CW78" s="123"/>
      <c r="CX78" s="123"/>
      <c r="CY78" s="123"/>
      <c r="CZ78" s="123"/>
      <c r="DA78" s="123"/>
      <c r="DB78" s="123"/>
      <c r="DC78" s="123"/>
      <c r="DD78" s="123"/>
      <c r="DE78" s="123"/>
      <c r="DF78" s="125"/>
      <c r="DG78" s="123"/>
      <c r="DH78" s="123"/>
      <c r="DI78" s="123"/>
      <c r="DJ78" s="123"/>
      <c r="DK78" s="123"/>
      <c r="DL78" s="123"/>
      <c r="DM78" s="123"/>
      <c r="DN78" s="123"/>
      <c r="DO78" s="123"/>
      <c r="DP78" s="123"/>
      <c r="DQ78" s="123"/>
      <c r="DR78" s="126"/>
      <c r="DS78" s="99"/>
      <c r="DT78" s="97"/>
      <c r="DU78" s="97"/>
      <c r="DV78" s="97"/>
      <c r="DW78" s="97"/>
      <c r="DX78" s="97"/>
      <c r="DY78" s="97"/>
      <c r="DZ78" s="97"/>
      <c r="EA78" s="97"/>
      <c r="EB78" s="97"/>
      <c r="EC78" s="97"/>
      <c r="ED78" s="97"/>
      <c r="EE78" s="100"/>
      <c r="EF78" s="99"/>
      <c r="EG78" s="97"/>
      <c r="EH78" s="97"/>
      <c r="EI78" s="97"/>
      <c r="EJ78" s="97"/>
      <c r="EK78" s="97"/>
      <c r="EL78" s="97"/>
      <c r="EM78" s="97"/>
      <c r="EN78" s="97"/>
      <c r="EO78" s="97"/>
      <c r="EP78" s="97"/>
      <c r="EQ78" s="97"/>
      <c r="ER78" s="100"/>
      <c r="ES78" s="99"/>
      <c r="ET78" s="97"/>
      <c r="EU78" s="97"/>
      <c r="EV78" s="97"/>
      <c r="EW78" s="97"/>
      <c r="EX78" s="97"/>
      <c r="EY78" s="97"/>
      <c r="EZ78" s="97"/>
      <c r="FA78" s="97"/>
      <c r="FB78" s="97"/>
      <c r="FC78" s="97"/>
      <c r="FD78" s="97"/>
      <c r="FE78" s="100"/>
      <c r="FF78" s="99"/>
      <c r="FG78" s="97"/>
      <c r="FH78" s="97"/>
      <c r="FI78" s="97"/>
      <c r="FJ78" s="97"/>
      <c r="FK78" s="97"/>
      <c r="FL78" s="97"/>
      <c r="FM78" s="97"/>
      <c r="FN78" s="97"/>
      <c r="FO78" s="97"/>
      <c r="FP78" s="97"/>
      <c r="FQ78" s="97"/>
      <c r="FR78" s="100"/>
    </row>
    <row r="79" spans="1:174" x14ac:dyDescent="0.25">
      <c r="Z79" s="103"/>
      <c r="AA79" s="103"/>
      <c r="AB79" s="103"/>
      <c r="AC79" s="103"/>
      <c r="AD79" s="103"/>
      <c r="AE79" s="103"/>
      <c r="BT79" s="4"/>
      <c r="BU79" s="4"/>
      <c r="BV79" s="4"/>
      <c r="BW79" s="4"/>
    </row>
    <row r="82" spans="13:18" x14ac:dyDescent="0.25">
      <c r="M82" s="103"/>
      <c r="N82" s="103"/>
      <c r="O82" s="103"/>
      <c r="P82" s="103"/>
      <c r="Q82" s="103"/>
      <c r="R82" s="103"/>
    </row>
    <row r="85" spans="13:18" x14ac:dyDescent="0.25">
      <c r="M85" s="103"/>
      <c r="N85" s="103"/>
      <c r="O85" s="103"/>
      <c r="P85" s="103"/>
      <c r="Q85" s="103"/>
      <c r="R85" s="103"/>
    </row>
  </sheetData>
  <mergeCells count="13">
    <mergeCell ref="EF4:ER4"/>
    <mergeCell ref="ES4:FE4"/>
    <mergeCell ref="FF4:FR4"/>
    <mergeCell ref="BS4:CE4"/>
    <mergeCell ref="CF4:CR4"/>
    <mergeCell ref="CS4:DE4"/>
    <mergeCell ref="DF4:DR4"/>
    <mergeCell ref="DS4:EE4"/>
    <mergeCell ref="F4:R4"/>
    <mergeCell ref="S4:AE4"/>
    <mergeCell ref="AF4:AR4"/>
    <mergeCell ref="AS4:BE4"/>
    <mergeCell ref="BF4:BR4"/>
  </mergeCells>
  <pageMargins left="0.7" right="0.7" top="0.75" bottom="0.75" header="0.511811023622047" footer="0.511811023622047"/>
  <pageSetup paperSize="8"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zoomScaleNormal="100" workbookViewId="0"/>
  </sheetViews>
  <sheetFormatPr defaultColWidth="8.625" defaultRowHeight="14.25" x14ac:dyDescent="0.2"/>
  <sheetData/>
  <pageMargins left="0.7" right="0.7" top="0.75" bottom="0.75" header="0.511811023622047" footer="0.511811023622047"/>
  <pageSetup paperSize="9" orientation="portrait" horizontalDpi="300" verticalDpi="300"/>
  <customProperties>
    <customPr name="CafeStyleVersion"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FR85"/>
  <sheetViews>
    <sheetView showGridLines="0" zoomScale="70" zoomScaleNormal="70" workbookViewId="0">
      <pane xSplit="5" ySplit="5" topLeftCell="Q6" activePane="bottomRight" state="frozen"/>
      <selection pane="topRight" activeCell="Y1" sqref="Y1"/>
      <selection pane="bottomLeft" activeCell="A59" sqref="A59"/>
      <selection pane="bottomRight" activeCell="CI6" sqref="CI6"/>
    </sheetView>
  </sheetViews>
  <sheetFormatPr defaultColWidth="9" defaultRowHeight="15.75" outlineLevelCol="1" x14ac:dyDescent="0.25"/>
  <cols>
    <col min="1" max="3" width="9" style="2" hidden="1" outlineLevel="1"/>
    <col min="4" max="4" width="9" style="75" hidden="1" outlineLevel="1"/>
    <col min="5" max="5" width="32.625" style="2" customWidth="1" collapsed="1"/>
    <col min="6" max="83" width="8.625" style="2" customWidth="1"/>
    <col min="84" max="109" width="8.625" style="2" customWidth="1" outlineLevel="1"/>
    <col min="110" max="115" width="8.625" style="2" customWidth="1"/>
    <col min="116" max="116" width="12.375" style="2" customWidth="1"/>
    <col min="117" max="122" width="8.625" style="2" customWidth="1"/>
    <col min="123" max="123" width="13.5" style="2" customWidth="1"/>
    <col min="124" max="129" width="10.625" style="2" customWidth="1"/>
    <col min="130" max="130" width="10.875" style="2" customWidth="1"/>
    <col min="131" max="131" width="10.125" style="2" customWidth="1"/>
    <col min="132" max="135" width="8.625" style="2" customWidth="1"/>
    <col min="136" max="136" width="12.625" style="2" customWidth="1"/>
    <col min="137" max="138" width="10.625" style="2" customWidth="1"/>
    <col min="139" max="141" width="13.25" style="2" customWidth="1"/>
    <col min="142" max="142" width="10.875" style="2" customWidth="1"/>
    <col min="143" max="143" width="8" style="2" customWidth="1"/>
    <col min="144" max="146" width="7" style="2" customWidth="1"/>
    <col min="147" max="148" width="9" style="2"/>
    <col min="149" max="149" width="13.5" style="2" customWidth="1"/>
    <col min="150" max="154" width="11.875" style="2" bestFit="1" customWidth="1"/>
    <col min="155" max="156" width="12.5" style="2" customWidth="1"/>
    <col min="157" max="157" width="7" style="2" customWidth="1"/>
    <col min="158" max="159" width="6.25" style="2" customWidth="1"/>
    <col min="160" max="160" width="7" style="2" customWidth="1"/>
    <col min="161" max="161" width="9" style="2"/>
    <col min="162" max="162" width="11" style="2" customWidth="1"/>
    <col min="163" max="166" width="10.875" style="2" bestFit="1" customWidth="1"/>
    <col min="167" max="167" width="11.375" style="2" customWidth="1"/>
    <col min="168" max="169" width="12.5" style="2" customWidth="1"/>
    <col min="170" max="16384" width="9" style="2"/>
  </cols>
  <sheetData>
    <row r="1" spans="4:174" x14ac:dyDescent="0.25">
      <c r="E1" s="4"/>
    </row>
    <row r="2" spans="4:174" x14ac:dyDescent="0.25">
      <c r="F2" s="3"/>
      <c r="G2" s="3"/>
      <c r="H2" s="3"/>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row>
    <row r="3" spans="4:174" x14ac:dyDescent="0.25">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row>
    <row r="4" spans="4:174" s="77" customFormat="1" ht="40.5" customHeight="1" x14ac:dyDescent="0.2">
      <c r="D4" s="78"/>
      <c r="E4" s="127" t="s">
        <v>9</v>
      </c>
      <c r="F4" s="321" t="s">
        <v>26</v>
      </c>
      <c r="G4" s="321"/>
      <c r="H4" s="321"/>
      <c r="I4" s="321"/>
      <c r="J4" s="321"/>
      <c r="K4" s="321"/>
      <c r="L4" s="321"/>
      <c r="M4" s="321"/>
      <c r="N4" s="321"/>
      <c r="O4" s="321"/>
      <c r="P4" s="321"/>
      <c r="Q4" s="321"/>
      <c r="R4" s="321"/>
      <c r="S4" s="321" t="s">
        <v>27</v>
      </c>
      <c r="T4" s="321"/>
      <c r="U4" s="321"/>
      <c r="V4" s="321"/>
      <c r="W4" s="321"/>
      <c r="X4" s="321"/>
      <c r="Y4" s="321"/>
      <c r="Z4" s="321"/>
      <c r="AA4" s="321"/>
      <c r="AB4" s="321"/>
      <c r="AC4" s="321"/>
      <c r="AD4" s="321"/>
      <c r="AE4" s="321"/>
      <c r="AF4" s="321" t="s">
        <v>28</v>
      </c>
      <c r="AG4" s="321"/>
      <c r="AH4" s="321"/>
      <c r="AI4" s="321"/>
      <c r="AJ4" s="321"/>
      <c r="AK4" s="321"/>
      <c r="AL4" s="321"/>
      <c r="AM4" s="321"/>
      <c r="AN4" s="321"/>
      <c r="AO4" s="321"/>
      <c r="AP4" s="321"/>
      <c r="AQ4" s="321"/>
      <c r="AR4" s="321"/>
      <c r="AS4" s="321" t="s">
        <v>29</v>
      </c>
      <c r="AT4" s="321"/>
      <c r="AU4" s="321"/>
      <c r="AV4" s="321"/>
      <c r="AW4" s="321"/>
      <c r="AX4" s="321"/>
      <c r="AY4" s="321"/>
      <c r="AZ4" s="321"/>
      <c r="BA4" s="321"/>
      <c r="BB4" s="321"/>
      <c r="BC4" s="321"/>
      <c r="BD4" s="321"/>
      <c r="BE4" s="321"/>
      <c r="BF4" s="325" t="s">
        <v>30</v>
      </c>
      <c r="BG4" s="325"/>
      <c r="BH4" s="325"/>
      <c r="BI4" s="325"/>
      <c r="BJ4" s="325"/>
      <c r="BK4" s="325"/>
      <c r="BL4" s="325"/>
      <c r="BM4" s="325"/>
      <c r="BN4" s="325"/>
      <c r="BO4" s="325"/>
      <c r="BP4" s="325"/>
      <c r="BQ4" s="325"/>
      <c r="BR4" s="325"/>
      <c r="BS4" s="321" t="s">
        <v>31</v>
      </c>
      <c r="BT4" s="321"/>
      <c r="BU4" s="321"/>
      <c r="BV4" s="321"/>
      <c r="BW4" s="321"/>
      <c r="BX4" s="321"/>
      <c r="BY4" s="321"/>
      <c r="BZ4" s="321"/>
      <c r="CA4" s="321"/>
      <c r="CB4" s="321"/>
      <c r="CC4" s="321"/>
      <c r="CD4" s="321"/>
      <c r="CE4" s="321"/>
      <c r="CF4" s="325" t="s">
        <v>32</v>
      </c>
      <c r="CG4" s="325"/>
      <c r="CH4" s="325"/>
      <c r="CI4" s="325"/>
      <c r="CJ4" s="325"/>
      <c r="CK4" s="325"/>
      <c r="CL4" s="325"/>
      <c r="CM4" s="325"/>
      <c r="CN4" s="325"/>
      <c r="CO4" s="325"/>
      <c r="CP4" s="325"/>
      <c r="CQ4" s="325"/>
      <c r="CR4" s="325"/>
      <c r="CS4" s="321" t="s">
        <v>33</v>
      </c>
      <c r="CT4" s="321"/>
      <c r="CU4" s="321"/>
      <c r="CV4" s="321"/>
      <c r="CW4" s="321"/>
      <c r="CX4" s="321"/>
      <c r="CY4" s="321"/>
      <c r="CZ4" s="321"/>
      <c r="DA4" s="321"/>
      <c r="DB4" s="321"/>
      <c r="DC4" s="321"/>
      <c r="DD4" s="321"/>
      <c r="DE4" s="321"/>
      <c r="DF4" s="321" t="s">
        <v>34</v>
      </c>
      <c r="DG4" s="321"/>
      <c r="DH4" s="321"/>
      <c r="DI4" s="321"/>
      <c r="DJ4" s="321"/>
      <c r="DK4" s="321"/>
      <c r="DL4" s="321"/>
      <c r="DM4" s="321"/>
      <c r="DN4" s="321"/>
      <c r="DO4" s="321"/>
      <c r="DP4" s="321"/>
      <c r="DQ4" s="321"/>
      <c r="DR4" s="321"/>
      <c r="DS4" s="321" t="s">
        <v>35</v>
      </c>
      <c r="DT4" s="321"/>
      <c r="DU4" s="321"/>
      <c r="DV4" s="321"/>
      <c r="DW4" s="321"/>
      <c r="DX4" s="321"/>
      <c r="DY4" s="321"/>
      <c r="DZ4" s="321"/>
      <c r="EA4" s="321"/>
      <c r="EB4" s="321"/>
      <c r="EC4" s="321"/>
      <c r="ED4" s="321"/>
      <c r="EE4" s="321"/>
      <c r="EF4" s="321" t="s">
        <v>36</v>
      </c>
      <c r="EG4" s="321"/>
      <c r="EH4" s="321"/>
      <c r="EI4" s="321"/>
      <c r="EJ4" s="321"/>
      <c r="EK4" s="321"/>
      <c r="EL4" s="321"/>
      <c r="EM4" s="321"/>
      <c r="EN4" s="321"/>
      <c r="EO4" s="321"/>
      <c r="EP4" s="321"/>
      <c r="EQ4" s="321"/>
      <c r="ER4" s="321"/>
      <c r="ES4" s="321" t="s">
        <v>49</v>
      </c>
      <c r="ET4" s="321"/>
      <c r="EU4" s="321"/>
      <c r="EV4" s="321"/>
      <c r="EW4" s="321"/>
      <c r="EX4" s="321"/>
      <c r="EY4" s="321"/>
      <c r="EZ4" s="321"/>
      <c r="FA4" s="321"/>
      <c r="FB4" s="321"/>
      <c r="FC4" s="321"/>
      <c r="FD4" s="321"/>
      <c r="FE4" s="321"/>
      <c r="FF4" s="321" t="s">
        <v>50</v>
      </c>
      <c r="FG4" s="321"/>
      <c r="FH4" s="321"/>
      <c r="FI4" s="321"/>
      <c r="FJ4" s="321"/>
      <c r="FK4" s="321"/>
      <c r="FL4" s="321"/>
      <c r="FM4" s="321"/>
      <c r="FN4" s="321"/>
      <c r="FO4" s="321"/>
      <c r="FP4" s="321"/>
      <c r="FQ4" s="321"/>
      <c r="FR4" s="321"/>
    </row>
    <row r="5" spans="4:174" x14ac:dyDescent="0.25">
      <c r="E5" s="128"/>
      <c r="F5" s="81" t="s">
        <v>310</v>
      </c>
      <c r="G5" s="80" t="s">
        <v>311</v>
      </c>
      <c r="H5" s="80" t="s">
        <v>312</v>
      </c>
      <c r="I5" s="10" t="s">
        <v>313</v>
      </c>
      <c r="J5" s="10" t="s">
        <v>314</v>
      </c>
      <c r="K5" s="10" t="s">
        <v>315</v>
      </c>
      <c r="L5" s="10" t="s">
        <v>42</v>
      </c>
      <c r="M5" s="82" t="s">
        <v>43</v>
      </c>
      <c r="N5" s="10" t="s">
        <v>37</v>
      </c>
      <c r="O5" s="10" t="s">
        <v>38</v>
      </c>
      <c r="P5" s="10" t="s">
        <v>39</v>
      </c>
      <c r="Q5" s="10" t="s">
        <v>40</v>
      </c>
      <c r="R5" s="10" t="s">
        <v>41</v>
      </c>
      <c r="S5" s="81" t="s">
        <v>310</v>
      </c>
      <c r="T5" s="80" t="s">
        <v>311</v>
      </c>
      <c r="U5" s="80" t="s">
        <v>312</v>
      </c>
      <c r="V5" s="10" t="s">
        <v>313</v>
      </c>
      <c r="W5" s="10" t="s">
        <v>314</v>
      </c>
      <c r="X5" s="10" t="s">
        <v>315</v>
      </c>
      <c r="Y5" s="10" t="s">
        <v>42</v>
      </c>
      <c r="Z5" s="82" t="s">
        <v>43</v>
      </c>
      <c r="AA5" s="10" t="s">
        <v>37</v>
      </c>
      <c r="AB5" s="10" t="s">
        <v>38</v>
      </c>
      <c r="AC5" s="10" t="s">
        <v>39</v>
      </c>
      <c r="AD5" s="10" t="s">
        <v>40</v>
      </c>
      <c r="AE5" s="157" t="s">
        <v>41</v>
      </c>
      <c r="AF5" s="10" t="s">
        <v>310</v>
      </c>
      <c r="AG5" s="80" t="s">
        <v>311</v>
      </c>
      <c r="AH5" s="80" t="s">
        <v>312</v>
      </c>
      <c r="AI5" s="10" t="s">
        <v>313</v>
      </c>
      <c r="AJ5" s="10" t="s">
        <v>314</v>
      </c>
      <c r="AK5" s="10" t="s">
        <v>315</v>
      </c>
      <c r="AL5" s="10" t="s">
        <v>42</v>
      </c>
      <c r="AM5" s="10" t="s">
        <v>43</v>
      </c>
      <c r="AN5" s="10" t="s">
        <v>37</v>
      </c>
      <c r="AO5" s="10" t="s">
        <v>38</v>
      </c>
      <c r="AP5" s="10" t="s">
        <v>39</v>
      </c>
      <c r="AQ5" s="10" t="s">
        <v>40</v>
      </c>
      <c r="AR5" s="157" t="s">
        <v>41</v>
      </c>
      <c r="AS5" s="81" t="s">
        <v>310</v>
      </c>
      <c r="AT5" s="80" t="s">
        <v>311</v>
      </c>
      <c r="AU5" s="80" t="s">
        <v>312</v>
      </c>
      <c r="AV5" s="10" t="s">
        <v>313</v>
      </c>
      <c r="AW5" s="10" t="s">
        <v>314</v>
      </c>
      <c r="AX5" s="10" t="s">
        <v>315</v>
      </c>
      <c r="AY5" s="10" t="s">
        <v>42</v>
      </c>
      <c r="AZ5" s="82" t="s">
        <v>43</v>
      </c>
      <c r="BA5" s="10" t="s">
        <v>37</v>
      </c>
      <c r="BB5" s="10" t="s">
        <v>38</v>
      </c>
      <c r="BC5" s="10" t="s">
        <v>39</v>
      </c>
      <c r="BD5" s="10" t="s">
        <v>40</v>
      </c>
      <c r="BE5" s="157" t="s">
        <v>41</v>
      </c>
      <c r="BF5" s="10" t="s">
        <v>310</v>
      </c>
      <c r="BG5" s="80" t="s">
        <v>311</v>
      </c>
      <c r="BH5" s="80" t="s">
        <v>312</v>
      </c>
      <c r="BI5" s="10" t="s">
        <v>313</v>
      </c>
      <c r="BJ5" s="10" t="s">
        <v>314</v>
      </c>
      <c r="BK5" s="10" t="s">
        <v>315</v>
      </c>
      <c r="BL5" s="82" t="s">
        <v>42</v>
      </c>
      <c r="BM5" s="82" t="s">
        <v>43</v>
      </c>
      <c r="BN5" s="10" t="s">
        <v>37</v>
      </c>
      <c r="BO5" s="10" t="s">
        <v>38</v>
      </c>
      <c r="BP5" s="10" t="s">
        <v>39</v>
      </c>
      <c r="BQ5" s="10" t="s">
        <v>40</v>
      </c>
      <c r="BR5" s="131" t="s">
        <v>41</v>
      </c>
      <c r="BS5" s="81" t="s">
        <v>310</v>
      </c>
      <c r="BT5" s="80" t="s">
        <v>311</v>
      </c>
      <c r="BU5" s="80" t="s">
        <v>312</v>
      </c>
      <c r="BV5" s="10" t="s">
        <v>313</v>
      </c>
      <c r="BW5" s="10" t="s">
        <v>314</v>
      </c>
      <c r="BX5" s="10" t="s">
        <v>315</v>
      </c>
      <c r="BY5" s="82" t="s">
        <v>42</v>
      </c>
      <c r="BZ5" s="82" t="s">
        <v>43</v>
      </c>
      <c r="CA5" s="10" t="s">
        <v>37</v>
      </c>
      <c r="CB5" s="10" t="s">
        <v>38</v>
      </c>
      <c r="CC5" s="10" t="s">
        <v>39</v>
      </c>
      <c r="CD5" s="10" t="s">
        <v>40</v>
      </c>
      <c r="CE5" s="157" t="s">
        <v>41</v>
      </c>
      <c r="CF5" s="10" t="s">
        <v>310</v>
      </c>
      <c r="CG5" s="80" t="s">
        <v>311</v>
      </c>
      <c r="CH5" s="80" t="s">
        <v>312</v>
      </c>
      <c r="CI5" s="10" t="s">
        <v>313</v>
      </c>
      <c r="CJ5" s="10" t="s">
        <v>314</v>
      </c>
      <c r="CK5" s="10" t="s">
        <v>315</v>
      </c>
      <c r="CL5" s="82" t="s">
        <v>42</v>
      </c>
      <c r="CM5" s="82" t="s">
        <v>43</v>
      </c>
      <c r="CN5" s="10" t="s">
        <v>37</v>
      </c>
      <c r="CO5" s="10" t="s">
        <v>38</v>
      </c>
      <c r="CP5" s="10" t="s">
        <v>39</v>
      </c>
      <c r="CQ5" s="10" t="s">
        <v>40</v>
      </c>
      <c r="CR5" s="131" t="s">
        <v>41</v>
      </c>
      <c r="CS5" s="81" t="s">
        <v>310</v>
      </c>
      <c r="CT5" s="80" t="s">
        <v>311</v>
      </c>
      <c r="CU5" s="80" t="s">
        <v>312</v>
      </c>
      <c r="CV5" s="10" t="s">
        <v>313</v>
      </c>
      <c r="CW5" s="10" t="s">
        <v>314</v>
      </c>
      <c r="CX5" s="10" t="s">
        <v>315</v>
      </c>
      <c r="CY5" s="82" t="s">
        <v>42</v>
      </c>
      <c r="CZ5" s="82" t="s">
        <v>43</v>
      </c>
      <c r="DA5" s="10" t="s">
        <v>37</v>
      </c>
      <c r="DB5" s="10" t="s">
        <v>38</v>
      </c>
      <c r="DC5" s="10" t="s">
        <v>39</v>
      </c>
      <c r="DD5" s="10" t="s">
        <v>40</v>
      </c>
      <c r="DE5" s="157" t="s">
        <v>41</v>
      </c>
      <c r="DF5" s="81" t="s">
        <v>310</v>
      </c>
      <c r="DG5" s="80" t="s">
        <v>311</v>
      </c>
      <c r="DH5" s="80" t="s">
        <v>312</v>
      </c>
      <c r="DI5" s="10" t="s">
        <v>313</v>
      </c>
      <c r="DJ5" s="10" t="s">
        <v>314</v>
      </c>
      <c r="DK5" s="10" t="s">
        <v>315</v>
      </c>
      <c r="DL5" s="82" t="s">
        <v>42</v>
      </c>
      <c r="DM5" s="82" t="s">
        <v>43</v>
      </c>
      <c r="DN5" s="10" t="s">
        <v>37</v>
      </c>
      <c r="DO5" s="10" t="s">
        <v>38</v>
      </c>
      <c r="DP5" s="10" t="s">
        <v>39</v>
      </c>
      <c r="DQ5" s="10" t="s">
        <v>40</v>
      </c>
      <c r="DR5" s="11" t="s">
        <v>41</v>
      </c>
      <c r="DS5" s="158" t="s">
        <v>310</v>
      </c>
      <c r="DT5" s="3" t="s">
        <v>311</v>
      </c>
      <c r="DU5" s="3" t="s">
        <v>312</v>
      </c>
      <c r="DV5" s="82" t="s">
        <v>313</v>
      </c>
      <c r="DW5" s="82" t="s">
        <v>314</v>
      </c>
      <c r="DX5" s="82" t="s">
        <v>315</v>
      </c>
      <c r="DY5" s="82" t="s">
        <v>42</v>
      </c>
      <c r="DZ5" s="82" t="s">
        <v>43</v>
      </c>
      <c r="EA5" s="82" t="s">
        <v>37</v>
      </c>
      <c r="EB5" s="82" t="s">
        <v>38</v>
      </c>
      <c r="EC5" s="10" t="s">
        <v>39</v>
      </c>
      <c r="ED5" s="10" t="s">
        <v>40</v>
      </c>
      <c r="EE5" s="11" t="s">
        <v>41</v>
      </c>
      <c r="EF5" s="83" t="s">
        <v>310</v>
      </c>
      <c r="EG5" s="3" t="s">
        <v>311</v>
      </c>
      <c r="EH5" s="3" t="s">
        <v>312</v>
      </c>
      <c r="EI5" s="82" t="s">
        <v>313</v>
      </c>
      <c r="EJ5" s="82" t="s">
        <v>314</v>
      </c>
      <c r="EK5" s="82" t="s">
        <v>315</v>
      </c>
      <c r="EL5" s="82" t="s">
        <v>42</v>
      </c>
      <c r="EM5" s="82" t="s">
        <v>43</v>
      </c>
      <c r="EN5" s="82" t="s">
        <v>37</v>
      </c>
      <c r="EO5" s="82" t="s">
        <v>38</v>
      </c>
      <c r="EP5" s="82" t="s">
        <v>39</v>
      </c>
      <c r="EQ5" s="82" t="s">
        <v>40</v>
      </c>
      <c r="ER5" s="11" t="s">
        <v>41</v>
      </c>
      <c r="ES5" s="83" t="s">
        <v>310</v>
      </c>
      <c r="ET5" s="3" t="s">
        <v>311</v>
      </c>
      <c r="EU5" s="3" t="s">
        <v>312</v>
      </c>
      <c r="EV5" s="82" t="s">
        <v>313</v>
      </c>
      <c r="EW5" s="82" t="s">
        <v>314</v>
      </c>
      <c r="EX5" s="82" t="s">
        <v>315</v>
      </c>
      <c r="EY5" s="82" t="s">
        <v>42</v>
      </c>
      <c r="EZ5" s="82" t="s">
        <v>43</v>
      </c>
      <c r="FA5" s="82" t="s">
        <v>37</v>
      </c>
      <c r="FB5" s="82" t="s">
        <v>38</v>
      </c>
      <c r="FC5" s="82" t="s">
        <v>39</v>
      </c>
      <c r="FD5" s="10" t="s">
        <v>40</v>
      </c>
      <c r="FE5" s="11" t="s">
        <v>41</v>
      </c>
      <c r="FF5" s="83" t="s">
        <v>310</v>
      </c>
      <c r="FG5" s="3" t="s">
        <v>311</v>
      </c>
      <c r="FH5" s="3" t="s">
        <v>312</v>
      </c>
      <c r="FI5" s="82" t="s">
        <v>313</v>
      </c>
      <c r="FJ5" s="82" t="s">
        <v>314</v>
      </c>
      <c r="FK5" s="82" t="s">
        <v>315</v>
      </c>
      <c r="FL5" s="82" t="s">
        <v>42</v>
      </c>
      <c r="FM5" s="82" t="s">
        <v>43</v>
      </c>
      <c r="FN5" s="82" t="s">
        <v>37</v>
      </c>
      <c r="FO5" s="82" t="s">
        <v>38</v>
      </c>
      <c r="FP5" s="82" t="s">
        <v>39</v>
      </c>
      <c r="FQ5" s="82" t="s">
        <v>40</v>
      </c>
      <c r="FR5" s="11" t="s">
        <v>41</v>
      </c>
    </row>
    <row r="6" spans="4:174" ht="16.5" customHeight="1" x14ac:dyDescent="0.25">
      <c r="E6" s="132" t="s">
        <v>44</v>
      </c>
      <c r="F6" s="86">
        <f t="shared" ref="F6:R6" si="0">F9+F31+F35+F56</f>
        <v>785.5</v>
      </c>
      <c r="G6" s="86">
        <f t="shared" si="0"/>
        <v>559.29999999999995</v>
      </c>
      <c r="H6" s="86">
        <f t="shared" si="0"/>
        <v>570</v>
      </c>
      <c r="I6" s="86">
        <f t="shared" si="0"/>
        <v>770.9</v>
      </c>
      <c r="J6" s="86">
        <f t="shared" si="0"/>
        <v>842.90000000000009</v>
      </c>
      <c r="K6" s="86">
        <f t="shared" si="0"/>
        <v>907.2</v>
      </c>
      <c r="L6" s="134">
        <f t="shared" si="0"/>
        <v>872.02988610000011</v>
      </c>
      <c r="M6" s="134">
        <f t="shared" si="0"/>
        <v>889.21600000000001</v>
      </c>
      <c r="N6" s="134">
        <f t="shared" si="0"/>
        <v>871.42190000000005</v>
      </c>
      <c r="O6" s="134">
        <f t="shared" si="0"/>
        <v>0</v>
      </c>
      <c r="P6" s="134">
        <f t="shared" si="0"/>
        <v>0</v>
      </c>
      <c r="Q6" s="134">
        <f t="shared" si="0"/>
        <v>0</v>
      </c>
      <c r="R6" s="134">
        <f t="shared" si="0"/>
        <v>0</v>
      </c>
      <c r="S6" s="86">
        <f t="shared" ref="S6:AE6" si="1">S9+S31+S35+S56-S29</f>
        <v>1887.2999999999997</v>
      </c>
      <c r="T6" s="86">
        <f t="shared" si="1"/>
        <v>1892.5</v>
      </c>
      <c r="U6" s="86">
        <f t="shared" si="1"/>
        <v>1996.2</v>
      </c>
      <c r="V6" s="86">
        <f t="shared" si="1"/>
        <v>2163.6</v>
      </c>
      <c r="W6" s="86">
        <f t="shared" si="1"/>
        <v>2171.7999999999997</v>
      </c>
      <c r="X6" s="86">
        <f t="shared" si="1"/>
        <v>2250.1</v>
      </c>
      <c r="Y6" s="86">
        <f t="shared" si="1"/>
        <v>2245.6007770000006</v>
      </c>
      <c r="Z6" s="86">
        <f t="shared" si="1"/>
        <v>2318.1306</v>
      </c>
      <c r="AA6" s="86">
        <f t="shared" si="1"/>
        <v>2320.7080000000001</v>
      </c>
      <c r="AB6" s="86">
        <f t="shared" si="1"/>
        <v>0</v>
      </c>
      <c r="AC6" s="86">
        <f t="shared" si="1"/>
        <v>0</v>
      </c>
      <c r="AD6" s="86">
        <f t="shared" si="1"/>
        <v>0</v>
      </c>
      <c r="AE6" s="87">
        <f t="shared" si="1"/>
        <v>0</v>
      </c>
      <c r="AF6" s="86">
        <f t="shared" ref="AF6:BR6" si="2">AF56</f>
        <v>253.9</v>
      </c>
      <c r="AG6" s="86">
        <f t="shared" si="2"/>
        <v>226.6</v>
      </c>
      <c r="AH6" s="86">
        <f t="shared" si="2"/>
        <v>269.7</v>
      </c>
      <c r="AI6" s="86">
        <f t="shared" si="2"/>
        <v>263.5</v>
      </c>
      <c r="AJ6" s="86">
        <f t="shared" si="2"/>
        <v>275.60000000000002</v>
      </c>
      <c r="AK6" s="86">
        <f t="shared" si="2"/>
        <v>279.10000000000002</v>
      </c>
      <c r="AL6" s="86">
        <f t="shared" si="2"/>
        <v>296.49469000000005</v>
      </c>
      <c r="AM6" s="86">
        <f t="shared" si="2"/>
        <v>321.66146000000003</v>
      </c>
      <c r="AN6" s="86">
        <f t="shared" si="2"/>
        <v>324.90446000000003</v>
      </c>
      <c r="AO6" s="86">
        <f t="shared" si="2"/>
        <v>0</v>
      </c>
      <c r="AP6" s="86">
        <f t="shared" si="2"/>
        <v>0</v>
      </c>
      <c r="AQ6" s="86">
        <f t="shared" si="2"/>
        <v>0</v>
      </c>
      <c r="AR6" s="86">
        <f t="shared" si="2"/>
        <v>0</v>
      </c>
      <c r="AS6" s="85">
        <f t="shared" si="2"/>
        <v>1.8</v>
      </c>
      <c r="AT6" s="86">
        <f t="shared" si="2"/>
        <v>1.8</v>
      </c>
      <c r="AU6" s="86">
        <f t="shared" si="2"/>
        <v>1.8</v>
      </c>
      <c r="AV6" s="86">
        <f t="shared" si="2"/>
        <v>2.4</v>
      </c>
      <c r="AW6" s="86">
        <f t="shared" si="2"/>
        <v>2.6</v>
      </c>
      <c r="AX6" s="86">
        <f t="shared" si="2"/>
        <v>2.9</v>
      </c>
      <c r="AY6" s="134">
        <f t="shared" si="2"/>
        <v>3.3737399999999997</v>
      </c>
      <c r="AZ6" s="134">
        <f t="shared" si="2"/>
        <v>3.2800000000000002</v>
      </c>
      <c r="BA6" s="134">
        <f t="shared" si="2"/>
        <v>3.2800000000000002</v>
      </c>
      <c r="BB6" s="134">
        <f t="shared" si="2"/>
        <v>0</v>
      </c>
      <c r="BC6" s="134">
        <f t="shared" si="2"/>
        <v>0</v>
      </c>
      <c r="BD6" s="134">
        <f t="shared" si="2"/>
        <v>0</v>
      </c>
      <c r="BE6" s="135">
        <f t="shared" si="2"/>
        <v>0</v>
      </c>
      <c r="BF6" s="86">
        <f t="shared" si="2"/>
        <v>2.9</v>
      </c>
      <c r="BG6" s="86">
        <f t="shared" si="2"/>
        <v>-1.2</v>
      </c>
      <c r="BH6" s="86">
        <f t="shared" si="2"/>
        <v>4.3000000000000007</v>
      </c>
      <c r="BI6" s="86">
        <f t="shared" si="2"/>
        <v>13.799999999999999</v>
      </c>
      <c r="BJ6" s="86">
        <f t="shared" si="2"/>
        <v>-10.3</v>
      </c>
      <c r="BK6" s="86">
        <f t="shared" si="2"/>
        <v>-10.4</v>
      </c>
      <c r="BL6" s="86">
        <f t="shared" si="2"/>
        <v>-5.7284877299999994</v>
      </c>
      <c r="BM6" s="86">
        <f t="shared" si="2"/>
        <v>0</v>
      </c>
      <c r="BN6" s="86">
        <f t="shared" si="2"/>
        <v>-1.5350000000000001</v>
      </c>
      <c r="BO6" s="86">
        <f t="shared" si="2"/>
        <v>0</v>
      </c>
      <c r="BP6" s="86">
        <f t="shared" si="2"/>
        <v>0</v>
      </c>
      <c r="BQ6" s="86">
        <f t="shared" si="2"/>
        <v>0</v>
      </c>
      <c r="BR6" s="86">
        <f t="shared" si="2"/>
        <v>0</v>
      </c>
      <c r="BS6" s="30">
        <v>0</v>
      </c>
      <c r="BT6" s="31">
        <f t="shared" ref="BT6:CE6" si="3">BT9+BT31+BT35+BT56</f>
        <v>225.1</v>
      </c>
      <c r="BU6" s="31">
        <f t="shared" si="3"/>
        <v>267.3</v>
      </c>
      <c r="BV6" s="31">
        <f t="shared" si="3"/>
        <v>63.1</v>
      </c>
      <c r="BW6" s="31">
        <f t="shared" si="3"/>
        <v>40.700000000000003</v>
      </c>
      <c r="BX6" s="31">
        <f t="shared" si="3"/>
        <v>0</v>
      </c>
      <c r="BY6" s="31">
        <f t="shared" si="3"/>
        <v>0</v>
      </c>
      <c r="BZ6" s="31">
        <f t="shared" si="3"/>
        <v>0</v>
      </c>
      <c r="CA6" s="31">
        <f t="shared" si="3"/>
        <v>0</v>
      </c>
      <c r="CB6" s="31">
        <f t="shared" si="3"/>
        <v>0</v>
      </c>
      <c r="CC6" s="31">
        <f t="shared" si="3"/>
        <v>0</v>
      </c>
      <c r="CD6" s="31">
        <f t="shared" si="3"/>
        <v>0</v>
      </c>
      <c r="CE6" s="88">
        <f t="shared" si="3"/>
        <v>0</v>
      </c>
      <c r="CF6" s="31">
        <f t="shared" ref="CF6:CR6" si="4">+BF6+AS6+AF6+S6</f>
        <v>2145.8999999999996</v>
      </c>
      <c r="CG6" s="31">
        <f t="shared" si="4"/>
        <v>2119.6999999999998</v>
      </c>
      <c r="CH6" s="31">
        <f t="shared" si="4"/>
        <v>2272</v>
      </c>
      <c r="CI6" s="31">
        <f>+BI6+AV6+AI6+V6</f>
        <v>2443.2999999999997</v>
      </c>
      <c r="CJ6" s="31">
        <f t="shared" si="4"/>
        <v>2439.6999999999998</v>
      </c>
      <c r="CK6" s="31">
        <f t="shared" si="4"/>
        <v>2521.6999999999998</v>
      </c>
      <c r="CL6" s="159">
        <f t="shared" si="4"/>
        <v>2539.7407192700007</v>
      </c>
      <c r="CM6" s="159">
        <f t="shared" si="4"/>
        <v>2643.07206</v>
      </c>
      <c r="CN6" s="159">
        <f t="shared" si="4"/>
        <v>2647.3574600000002</v>
      </c>
      <c r="CO6" s="159">
        <f t="shared" si="4"/>
        <v>0</v>
      </c>
      <c r="CP6" s="159">
        <f t="shared" si="4"/>
        <v>0</v>
      </c>
      <c r="CQ6" s="159">
        <f t="shared" si="4"/>
        <v>0</v>
      </c>
      <c r="CR6" s="159">
        <f t="shared" si="4"/>
        <v>0</v>
      </c>
      <c r="CS6" s="30">
        <f t="shared" ref="CS6:DE6" si="5">+CF6-BS6-F6</f>
        <v>1360.3999999999996</v>
      </c>
      <c r="CT6" s="31">
        <f t="shared" si="5"/>
        <v>1335.3</v>
      </c>
      <c r="CU6" s="31">
        <f t="shared" si="5"/>
        <v>1434.7</v>
      </c>
      <c r="CV6" s="31">
        <f t="shared" si="5"/>
        <v>1609.2999999999997</v>
      </c>
      <c r="CW6" s="31">
        <f t="shared" si="5"/>
        <v>1556.1</v>
      </c>
      <c r="CX6" s="31">
        <f t="shared" si="5"/>
        <v>1614.4999999999998</v>
      </c>
      <c r="CY6" s="159">
        <f t="shared" si="5"/>
        <v>1667.7108331700006</v>
      </c>
      <c r="CZ6" s="159">
        <f t="shared" si="5"/>
        <v>1753.8560600000001</v>
      </c>
      <c r="DA6" s="159">
        <f t="shared" si="5"/>
        <v>1775.9355600000001</v>
      </c>
      <c r="DB6" s="159">
        <f t="shared" si="5"/>
        <v>0</v>
      </c>
      <c r="DC6" s="159">
        <f t="shared" si="5"/>
        <v>0</v>
      </c>
      <c r="DD6" s="159">
        <f t="shared" si="5"/>
        <v>0</v>
      </c>
      <c r="DE6" s="160">
        <f t="shared" si="5"/>
        <v>0</v>
      </c>
      <c r="DF6" s="32">
        <f t="shared" ref="DF6:DK6" si="6">+AF6/CF6</f>
        <v>0.11831865417773431</v>
      </c>
      <c r="DG6" s="33">
        <f t="shared" si="6"/>
        <v>0.10690192008303062</v>
      </c>
      <c r="DH6" s="33">
        <f t="shared" si="6"/>
        <v>0.11870598591549296</v>
      </c>
      <c r="DI6" s="33">
        <f t="shared" si="6"/>
        <v>0.10784594605656286</v>
      </c>
      <c r="DJ6" s="33">
        <f t="shared" si="6"/>
        <v>0.11296470877566915</v>
      </c>
      <c r="DK6" s="33">
        <f t="shared" si="6"/>
        <v>0.11067930364436691</v>
      </c>
      <c r="DL6" s="89">
        <f t="shared" ref="DL6:DR6" si="7">IFERROR((+AL6/CL6),0)</f>
        <v>0.11674210983443291</v>
      </c>
      <c r="DM6" s="89">
        <f t="shared" si="7"/>
        <v>0.12169984499022703</v>
      </c>
      <c r="DN6" s="89">
        <f t="shared" si="7"/>
        <v>0.12272783895228112</v>
      </c>
      <c r="DO6" s="89">
        <f t="shared" si="7"/>
        <v>0</v>
      </c>
      <c r="DP6" s="89">
        <f t="shared" si="7"/>
        <v>0</v>
      </c>
      <c r="DQ6" s="89">
        <f t="shared" si="7"/>
        <v>0</v>
      </c>
      <c r="DR6" s="34">
        <f t="shared" si="7"/>
        <v>0</v>
      </c>
      <c r="DS6" s="35">
        <f t="shared" ref="DS6:EE6" si="8">DS35+DS31</f>
        <v>1895043.8900000001</v>
      </c>
      <c r="DT6" s="35">
        <f t="shared" si="8"/>
        <v>1854608.2681637742</v>
      </c>
      <c r="DU6" s="35">
        <f t="shared" si="8"/>
        <v>1854469.5999999999</v>
      </c>
      <c r="DV6" s="35">
        <f t="shared" si="8"/>
        <v>1847285.9966666664</v>
      </c>
      <c r="DW6" s="35">
        <f t="shared" si="8"/>
        <v>1791486.2067735051</v>
      </c>
      <c r="DX6" s="35">
        <f t="shared" si="8"/>
        <v>1713778.3827839969</v>
      </c>
      <c r="DY6" s="35">
        <f t="shared" si="8"/>
        <v>1655443</v>
      </c>
      <c r="DZ6" s="35">
        <f t="shared" si="8"/>
        <v>1647967</v>
      </c>
      <c r="EA6" s="35">
        <f t="shared" si="8"/>
        <v>1647967</v>
      </c>
      <c r="EB6" s="35">
        <f t="shared" si="8"/>
        <v>0</v>
      </c>
      <c r="EC6" s="35">
        <f t="shared" si="8"/>
        <v>0</v>
      </c>
      <c r="ED6" s="35">
        <f t="shared" si="8"/>
        <v>0</v>
      </c>
      <c r="EE6" s="35">
        <f t="shared" si="8"/>
        <v>0</v>
      </c>
      <c r="EF6" s="139">
        <f t="shared" ref="EF6:ER6" si="9">EF31</f>
        <v>76318</v>
      </c>
      <c r="EG6" s="35">
        <f t="shared" si="9"/>
        <v>82955</v>
      </c>
      <c r="EH6" s="35">
        <f t="shared" si="9"/>
        <v>95564</v>
      </c>
      <c r="EI6" s="35">
        <f t="shared" si="9"/>
        <v>97239</v>
      </c>
      <c r="EJ6" s="35">
        <f t="shared" si="9"/>
        <v>99206</v>
      </c>
      <c r="EK6" s="35">
        <f t="shared" si="9"/>
        <v>92455</v>
      </c>
      <c r="EL6" s="35">
        <f t="shared" si="9"/>
        <v>90277.33</v>
      </c>
      <c r="EM6" s="35">
        <f t="shared" si="9"/>
        <v>100700</v>
      </c>
      <c r="EN6" s="35">
        <f t="shared" si="9"/>
        <v>0</v>
      </c>
      <c r="EO6" s="35">
        <f t="shared" si="9"/>
        <v>0</v>
      </c>
      <c r="EP6" s="35">
        <f t="shared" si="9"/>
        <v>0</v>
      </c>
      <c r="EQ6" s="35">
        <f t="shared" si="9"/>
        <v>0</v>
      </c>
      <c r="ER6" s="161">
        <f t="shared" si="9"/>
        <v>0</v>
      </c>
      <c r="ES6" s="35">
        <f t="shared" ref="ES6:FC6" si="10">ES31+ES35</f>
        <v>52753730</v>
      </c>
      <c r="ET6" s="35">
        <f t="shared" si="10"/>
        <v>34554824</v>
      </c>
      <c r="EU6" s="35">
        <f t="shared" si="10"/>
        <v>34298387</v>
      </c>
      <c r="EV6" s="35">
        <f t="shared" si="10"/>
        <v>45544621</v>
      </c>
      <c r="EW6" s="35">
        <f t="shared" si="10"/>
        <v>49153595</v>
      </c>
      <c r="EX6" s="35">
        <f t="shared" si="10"/>
        <v>55626000</v>
      </c>
      <c r="EY6" s="35">
        <f t="shared" si="10"/>
        <v>54820000</v>
      </c>
      <c r="EZ6" s="35">
        <f t="shared" si="10"/>
        <v>54904000</v>
      </c>
      <c r="FA6" s="35">
        <f t="shared" si="10"/>
        <v>0</v>
      </c>
      <c r="FB6" s="35">
        <f t="shared" si="10"/>
        <v>0</v>
      </c>
      <c r="FC6" s="35">
        <f t="shared" si="10"/>
        <v>0</v>
      </c>
      <c r="FD6" s="89"/>
      <c r="FE6" s="90"/>
      <c r="FF6" s="139">
        <f t="shared" ref="FF6:FQ6" si="11">FF31</f>
        <v>2967950</v>
      </c>
      <c r="FG6" s="35">
        <f t="shared" si="11"/>
        <v>3186555</v>
      </c>
      <c r="FH6" s="35">
        <f t="shared" si="11"/>
        <v>3989278</v>
      </c>
      <c r="FI6" s="35">
        <f t="shared" si="11"/>
        <v>4125086</v>
      </c>
      <c r="FJ6" s="35">
        <f t="shared" si="11"/>
        <v>4214795</v>
      </c>
      <c r="FK6" s="35">
        <f t="shared" si="11"/>
        <v>4190000</v>
      </c>
      <c r="FL6" s="35">
        <f t="shared" si="11"/>
        <v>4136815</v>
      </c>
      <c r="FM6" s="35">
        <f t="shared" si="11"/>
        <v>4305000</v>
      </c>
      <c r="FN6" s="35">
        <f t="shared" si="11"/>
        <v>0</v>
      </c>
      <c r="FO6" s="35">
        <f t="shared" si="11"/>
        <v>0</v>
      </c>
      <c r="FP6" s="35">
        <f t="shared" si="11"/>
        <v>0</v>
      </c>
      <c r="FQ6" s="35">
        <f t="shared" si="11"/>
        <v>0</v>
      </c>
      <c r="FR6" s="34"/>
    </row>
    <row r="7" spans="4:174" ht="16.5" customHeight="1" x14ac:dyDescent="0.25">
      <c r="E7" s="2" t="s">
        <v>71</v>
      </c>
      <c r="S7" s="91"/>
      <c r="AE7" s="13"/>
      <c r="AS7" s="91"/>
      <c r="BE7" s="13"/>
      <c r="BS7" s="91"/>
      <c r="CE7" s="13"/>
      <c r="CS7" s="91"/>
      <c r="DE7" s="13"/>
      <c r="DF7" s="91"/>
      <c r="DR7" s="13"/>
      <c r="DS7" s="91"/>
      <c r="EE7" s="13"/>
      <c r="EF7" s="91"/>
      <c r="ER7" s="13"/>
      <c r="ES7" s="91"/>
      <c r="FE7" s="13"/>
      <c r="FF7" s="91"/>
      <c r="FR7" s="13"/>
    </row>
    <row r="8" spans="4:174" x14ac:dyDescent="0.25">
      <c r="S8" s="91"/>
      <c r="AE8" s="13"/>
      <c r="AS8" s="91"/>
      <c r="BE8" s="13"/>
      <c r="BS8" s="91"/>
      <c r="CE8" s="13"/>
      <c r="CS8" s="91"/>
      <c r="DE8" s="13"/>
      <c r="DF8" s="91"/>
      <c r="DR8" s="13"/>
      <c r="DS8" s="91"/>
      <c r="EE8" s="13"/>
      <c r="EF8" s="91"/>
      <c r="ER8" s="13"/>
      <c r="ES8" s="91"/>
      <c r="FE8" s="13"/>
      <c r="FF8" s="91"/>
      <c r="FR8" s="13"/>
    </row>
    <row r="9" spans="4:174" s="4" customFormat="1" ht="18.75" customHeight="1" x14ac:dyDescent="0.3">
      <c r="D9" s="92"/>
      <c r="E9" s="93" t="s">
        <v>51</v>
      </c>
      <c r="F9" s="97">
        <v>18.7</v>
      </c>
      <c r="G9" s="97">
        <v>13.3</v>
      </c>
      <c r="H9" s="97">
        <v>19.8</v>
      </c>
      <c r="I9" s="97">
        <v>22.4</v>
      </c>
      <c r="J9" s="97">
        <v>26.6</v>
      </c>
      <c r="K9" s="97">
        <v>31.9</v>
      </c>
      <c r="L9" s="95">
        <f>SUM(L10:L30)</f>
        <v>34.139844000000004</v>
      </c>
      <c r="M9" s="95">
        <f>SUM(M10:M30)</f>
        <v>27.463999999999999</v>
      </c>
      <c r="N9" s="95">
        <f>SUM(N10:N30)</f>
        <v>30.396899999999999</v>
      </c>
      <c r="O9" s="95">
        <f>SUM(O10:O29)</f>
        <v>0</v>
      </c>
      <c r="P9" s="95">
        <f>SUM(P10:P29)</f>
        <v>0</v>
      </c>
      <c r="Q9" s="95">
        <f>SUM(Q10:Q29)</f>
        <v>0</v>
      </c>
      <c r="R9" s="95">
        <f>SUM(R10:R29)</f>
        <v>0</v>
      </c>
      <c r="S9" s="99">
        <v>507.5</v>
      </c>
      <c r="T9" s="97">
        <v>486.5</v>
      </c>
      <c r="U9" s="97">
        <v>530.79999999999995</v>
      </c>
      <c r="V9" s="97">
        <v>579</v>
      </c>
      <c r="W9" s="97">
        <v>655.7</v>
      </c>
      <c r="X9" s="97">
        <v>703.9</v>
      </c>
      <c r="Y9" s="95">
        <f t="shared" ref="Y9:AE9" si="12">SUM(Y10:Y29)</f>
        <v>643.15492300000005</v>
      </c>
      <c r="Z9" s="95">
        <f t="shared" si="12"/>
        <v>672.25369999999998</v>
      </c>
      <c r="AA9" s="95">
        <f t="shared" si="12"/>
        <v>661.26070000000004</v>
      </c>
      <c r="AB9" s="95">
        <f t="shared" si="12"/>
        <v>0</v>
      </c>
      <c r="AC9" s="95">
        <f t="shared" si="12"/>
        <v>0</v>
      </c>
      <c r="AD9" s="95">
        <f t="shared" si="12"/>
        <v>0</v>
      </c>
      <c r="AE9" s="96">
        <f t="shared" si="12"/>
        <v>0</v>
      </c>
      <c r="AF9" s="97"/>
      <c r="AG9" s="97"/>
      <c r="AH9" s="97"/>
      <c r="AI9" s="97"/>
      <c r="AJ9" s="98"/>
      <c r="AK9" s="98"/>
      <c r="AL9" s="98"/>
      <c r="AM9" s="98"/>
      <c r="AN9" s="98"/>
      <c r="AO9" s="98"/>
      <c r="AP9" s="98"/>
      <c r="AQ9" s="98"/>
      <c r="AR9" s="98"/>
      <c r="AS9" s="99"/>
      <c r="AT9" s="97"/>
      <c r="AU9" s="97"/>
      <c r="AV9" s="97"/>
      <c r="AW9" s="97"/>
      <c r="AX9" s="97"/>
      <c r="AY9" s="97"/>
      <c r="AZ9" s="97"/>
      <c r="BA9" s="97"/>
      <c r="BB9" s="97"/>
      <c r="BC9" s="97"/>
      <c r="BD9" s="97"/>
      <c r="BE9" s="100"/>
      <c r="BF9" s="97"/>
      <c r="BG9" s="97"/>
      <c r="BH9" s="97"/>
      <c r="BI9" s="97"/>
      <c r="BJ9" s="97"/>
      <c r="BK9" s="97"/>
      <c r="BL9" s="97"/>
      <c r="BM9" s="97"/>
      <c r="BN9" s="97"/>
      <c r="BO9" s="97"/>
      <c r="BP9" s="97"/>
      <c r="BQ9" s="97"/>
      <c r="BR9" s="97"/>
      <c r="BS9" s="99"/>
      <c r="BT9" s="97">
        <v>-30.7</v>
      </c>
      <c r="BU9" s="97">
        <v>4.5</v>
      </c>
      <c r="BV9" s="97"/>
      <c r="BW9" s="97">
        <v>4.0999999999999996</v>
      </c>
      <c r="BX9" s="97"/>
      <c r="BY9" s="97"/>
      <c r="BZ9" s="97"/>
      <c r="CA9" s="97"/>
      <c r="CB9" s="97"/>
      <c r="CC9" s="97"/>
      <c r="CD9" s="97"/>
      <c r="CE9" s="100"/>
      <c r="CF9" s="97"/>
      <c r="CG9" s="97"/>
      <c r="CH9" s="97"/>
      <c r="CI9" s="97"/>
      <c r="CJ9" s="97"/>
      <c r="CK9" s="97"/>
      <c r="CL9" s="97"/>
      <c r="CM9" s="97"/>
      <c r="CN9" s="97"/>
      <c r="CO9" s="97"/>
      <c r="CP9" s="97"/>
      <c r="CQ9" s="97"/>
      <c r="CR9" s="97"/>
      <c r="CS9" s="99"/>
      <c r="CT9" s="97"/>
      <c r="CU9" s="97"/>
      <c r="CV9" s="97"/>
      <c r="CW9" s="97"/>
      <c r="CX9" s="97"/>
      <c r="CY9" s="97"/>
      <c r="CZ9" s="97"/>
      <c r="DA9" s="97"/>
      <c r="DB9" s="97"/>
      <c r="DC9" s="97"/>
      <c r="DD9" s="97"/>
      <c r="DE9" s="100"/>
      <c r="DF9" s="99"/>
      <c r="DG9" s="97"/>
      <c r="DH9" s="97"/>
      <c r="DI9" s="97"/>
      <c r="DJ9" s="97"/>
      <c r="DK9" s="97"/>
      <c r="DL9" s="97"/>
      <c r="DM9" s="97"/>
      <c r="DN9" s="97"/>
      <c r="DO9" s="97"/>
      <c r="DP9" s="97"/>
      <c r="DQ9" s="97"/>
      <c r="DR9" s="100"/>
      <c r="DS9" s="99"/>
      <c r="DT9" s="97"/>
      <c r="DU9" s="97"/>
      <c r="DV9" s="97"/>
      <c r="DW9" s="97"/>
      <c r="DX9" s="97"/>
      <c r="DY9" s="97"/>
      <c r="DZ9" s="97"/>
      <c r="EA9" s="97"/>
      <c r="EB9" s="97"/>
      <c r="EC9" s="97"/>
      <c r="ED9" s="97"/>
      <c r="EE9" s="100"/>
      <c r="EF9" s="99"/>
      <c r="EG9" s="97"/>
      <c r="EH9" s="97"/>
      <c r="EI9" s="97"/>
      <c r="EJ9" s="97"/>
      <c r="EK9" s="97"/>
      <c r="EL9" s="97"/>
      <c r="EM9" s="97"/>
      <c r="EN9" s="97"/>
      <c r="EO9" s="97"/>
      <c r="EP9" s="97"/>
      <c r="EQ9" s="97"/>
      <c r="ER9" s="100"/>
      <c r="ES9" s="99"/>
      <c r="ET9" s="97"/>
      <c r="EU9" s="97"/>
      <c r="EV9" s="97"/>
      <c r="EW9" s="97"/>
      <c r="EX9" s="97"/>
      <c r="EY9" s="97"/>
      <c r="EZ9" s="97"/>
      <c r="FA9" s="97"/>
      <c r="FB9" s="97"/>
      <c r="FC9" s="97"/>
      <c r="FD9" s="97"/>
      <c r="FE9" s="100"/>
      <c r="FF9" s="99"/>
      <c r="FG9" s="97"/>
      <c r="FH9" s="97"/>
      <c r="FI9" s="97"/>
      <c r="FJ9" s="97"/>
      <c r="FK9" s="97"/>
      <c r="FL9" s="97"/>
      <c r="FM9" s="97"/>
      <c r="FN9" s="97"/>
      <c r="FO9" s="97"/>
      <c r="FP9" s="97"/>
      <c r="FQ9" s="97"/>
      <c r="FR9" s="100"/>
    </row>
    <row r="10" spans="4:174" x14ac:dyDescent="0.25">
      <c r="D10" s="75" t="s">
        <v>72</v>
      </c>
      <c r="E10" s="2" t="s">
        <v>73</v>
      </c>
      <c r="L10" s="103">
        <v>1.2602519999999999</v>
      </c>
      <c r="M10" s="103">
        <v>1.2090000000000001</v>
      </c>
      <c r="N10" s="103">
        <v>1.284</v>
      </c>
      <c r="O10" s="162"/>
      <c r="P10" s="162"/>
      <c r="Q10" s="162"/>
      <c r="R10" s="162"/>
      <c r="S10" s="91"/>
      <c r="Y10" s="103">
        <v>13.50095</v>
      </c>
      <c r="Z10" s="103">
        <v>13.372</v>
      </c>
      <c r="AA10" s="103">
        <v>14.680999999999999</v>
      </c>
      <c r="AB10" s="103"/>
      <c r="AC10" s="103"/>
      <c r="AD10" s="103"/>
      <c r="AE10" s="104"/>
      <c r="AJ10" s="15"/>
      <c r="AK10" s="15"/>
      <c r="AL10" s="15"/>
      <c r="AM10" s="15"/>
      <c r="AN10" s="15"/>
      <c r="AO10" s="15"/>
      <c r="AP10" s="15"/>
      <c r="AQ10" s="15"/>
      <c r="AR10" s="15"/>
      <c r="AS10" s="91"/>
      <c r="BE10" s="13"/>
      <c r="BS10" s="91"/>
      <c r="CE10" s="13"/>
      <c r="CS10" s="91"/>
      <c r="DE10" s="13"/>
      <c r="DF10" s="91"/>
      <c r="DR10" s="13"/>
      <c r="DS10" s="15"/>
      <c r="EE10" s="13"/>
      <c r="EF10" s="15"/>
      <c r="ER10" s="13"/>
      <c r="ES10" s="15"/>
      <c r="FE10" s="13"/>
      <c r="FF10" s="15"/>
      <c r="FR10" s="13"/>
    </row>
    <row r="11" spans="4:174" x14ac:dyDescent="0.25">
      <c r="D11" s="75" t="s">
        <v>74</v>
      </c>
      <c r="E11" s="2" t="s">
        <v>75</v>
      </c>
      <c r="L11" s="103">
        <v>2.0682489999999998</v>
      </c>
      <c r="M11" s="103">
        <v>1.673</v>
      </c>
      <c r="N11" s="103">
        <v>2.2290000000000001</v>
      </c>
      <c r="O11" s="162"/>
      <c r="P11" s="162"/>
      <c r="Q11" s="162"/>
      <c r="R11" s="162"/>
      <c r="S11" s="91"/>
      <c r="Y11" s="103">
        <v>6.2185410000000001</v>
      </c>
      <c r="Z11" s="103">
        <v>5.5529999999999999</v>
      </c>
      <c r="AA11" s="103">
        <v>6.88</v>
      </c>
      <c r="AB11" s="103"/>
      <c r="AC11" s="103"/>
      <c r="AD11" s="103"/>
      <c r="AE11" s="104"/>
      <c r="AJ11" s="15"/>
      <c r="AK11" s="15"/>
      <c r="AL11" s="15"/>
      <c r="AM11" s="15"/>
      <c r="AN11" s="15"/>
      <c r="AO11" s="15"/>
      <c r="AP11" s="15"/>
      <c r="AQ11" s="15"/>
      <c r="AR11" s="15"/>
      <c r="AS11" s="91"/>
      <c r="BE11" s="13"/>
      <c r="BS11" s="91"/>
      <c r="CE11" s="13"/>
      <c r="CS11" s="91"/>
      <c r="DE11" s="13"/>
      <c r="DF11" s="91"/>
      <c r="DR11" s="13"/>
      <c r="DS11" s="15"/>
      <c r="EE11" s="13"/>
      <c r="EF11" s="15"/>
      <c r="ER11" s="13"/>
      <c r="ES11" s="15"/>
      <c r="FE11" s="13"/>
      <c r="FF11" s="15"/>
      <c r="FR11" s="13"/>
    </row>
    <row r="12" spans="4:174" x14ac:dyDescent="0.25">
      <c r="D12" s="75" t="s">
        <v>76</v>
      </c>
      <c r="E12" s="2" t="s">
        <v>77</v>
      </c>
      <c r="L12" s="103">
        <v>1.034902</v>
      </c>
      <c r="M12" s="103">
        <v>0.86899999999999999</v>
      </c>
      <c r="N12" s="103">
        <v>0.90600000000000003</v>
      </c>
      <c r="O12" s="162"/>
      <c r="P12" s="162"/>
      <c r="Q12" s="162"/>
      <c r="R12" s="162"/>
      <c r="S12" s="91"/>
      <c r="Y12" s="103">
        <v>4.2515429999999999</v>
      </c>
      <c r="Z12" s="103">
        <v>3.9969999999999999</v>
      </c>
      <c r="AA12" s="103">
        <v>3.758</v>
      </c>
      <c r="AB12" s="103"/>
      <c r="AC12" s="103"/>
      <c r="AD12" s="103"/>
      <c r="AE12" s="104"/>
      <c r="AJ12" s="15"/>
      <c r="AK12" s="15"/>
      <c r="AL12" s="15"/>
      <c r="AM12" s="15"/>
      <c r="AN12" s="15"/>
      <c r="AO12" s="15"/>
      <c r="AP12" s="15"/>
      <c r="AQ12" s="15"/>
      <c r="AR12" s="15"/>
      <c r="AS12" s="91"/>
      <c r="BE12" s="13"/>
      <c r="BS12" s="91"/>
      <c r="CE12" s="13"/>
      <c r="CS12" s="91"/>
      <c r="DE12" s="13"/>
      <c r="DF12" s="91"/>
      <c r="DR12" s="13"/>
      <c r="DS12" s="15"/>
      <c r="EE12" s="13"/>
      <c r="EF12" s="15"/>
      <c r="ER12" s="13"/>
      <c r="ES12" s="15"/>
      <c r="FE12" s="13"/>
      <c r="FF12" s="15"/>
      <c r="FR12" s="13"/>
    </row>
    <row r="13" spans="4:174" x14ac:dyDescent="0.25">
      <c r="D13" s="75" t="s">
        <v>78</v>
      </c>
      <c r="E13" s="2" t="s">
        <v>79</v>
      </c>
      <c r="L13" s="103">
        <v>1.5259560000000001</v>
      </c>
      <c r="M13" s="103">
        <v>1.4850000000000001</v>
      </c>
      <c r="N13" s="103">
        <v>1.474</v>
      </c>
      <c r="O13" s="162"/>
      <c r="P13" s="162"/>
      <c r="Q13" s="162"/>
      <c r="R13" s="162"/>
      <c r="S13" s="91"/>
      <c r="Y13" s="103">
        <v>6.4828939999999999</v>
      </c>
      <c r="Z13" s="103">
        <v>6.26</v>
      </c>
      <c r="AA13" s="103">
        <v>5.7779999999999996</v>
      </c>
      <c r="AB13" s="103"/>
      <c r="AC13" s="103"/>
      <c r="AD13" s="103"/>
      <c r="AE13" s="104"/>
      <c r="AJ13" s="15"/>
      <c r="AK13" s="15"/>
      <c r="AL13" s="15"/>
      <c r="AM13" s="15"/>
      <c r="AN13" s="15"/>
      <c r="AO13" s="15"/>
      <c r="AP13" s="15"/>
      <c r="AQ13" s="15"/>
      <c r="AR13" s="15"/>
      <c r="AS13" s="91"/>
      <c r="BE13" s="13"/>
      <c r="BS13" s="91"/>
      <c r="CE13" s="13"/>
      <c r="CS13" s="91"/>
      <c r="DE13" s="13"/>
      <c r="DF13" s="91"/>
      <c r="DR13" s="13"/>
      <c r="DS13" s="15"/>
      <c r="EE13" s="13"/>
      <c r="EF13" s="15"/>
      <c r="ER13" s="13"/>
      <c r="ES13" s="15"/>
      <c r="FE13" s="13"/>
      <c r="FF13" s="15"/>
      <c r="FR13" s="13"/>
    </row>
    <row r="14" spans="4:174" x14ac:dyDescent="0.25">
      <c r="D14" s="75" t="s">
        <v>80</v>
      </c>
      <c r="E14" s="2" t="s">
        <v>81</v>
      </c>
      <c r="L14" s="103">
        <v>2.307429</v>
      </c>
      <c r="M14" s="103">
        <v>1.819</v>
      </c>
      <c r="N14" s="103">
        <v>2.077</v>
      </c>
      <c r="O14" s="162"/>
      <c r="P14" s="162"/>
      <c r="Q14" s="162"/>
      <c r="R14" s="162"/>
      <c r="S14" s="91"/>
      <c r="Y14" s="103">
        <v>9.5796880000000009</v>
      </c>
      <c r="Z14" s="103">
        <v>9.9540000000000006</v>
      </c>
      <c r="AA14" s="103">
        <v>10.077999999999999</v>
      </c>
      <c r="AB14" s="103"/>
      <c r="AC14" s="103"/>
      <c r="AD14" s="103"/>
      <c r="AE14" s="104"/>
      <c r="AJ14" s="15"/>
      <c r="AK14" s="15"/>
      <c r="AL14" s="15"/>
      <c r="AM14" s="15"/>
      <c r="AN14" s="15"/>
      <c r="AO14" s="15"/>
      <c r="AP14" s="15"/>
      <c r="AQ14" s="15"/>
      <c r="AR14" s="15"/>
      <c r="AS14" s="91"/>
      <c r="BE14" s="13"/>
      <c r="BS14" s="91"/>
      <c r="CE14" s="13"/>
      <c r="CS14" s="91"/>
      <c r="DE14" s="13"/>
      <c r="DF14" s="91"/>
      <c r="DR14" s="13"/>
      <c r="DS14" s="15"/>
      <c r="EE14" s="13"/>
      <c r="EF14" s="15"/>
      <c r="ER14" s="13"/>
      <c r="ES14" s="15"/>
      <c r="FE14" s="13"/>
      <c r="FF14" s="15"/>
      <c r="FR14" s="13"/>
    </row>
    <row r="15" spans="4:174" x14ac:dyDescent="0.25">
      <c r="D15" s="75" t="s">
        <v>82</v>
      </c>
      <c r="E15" s="2" t="s">
        <v>83</v>
      </c>
      <c r="L15" s="103">
        <v>0.81694599999999995</v>
      </c>
      <c r="M15" s="103">
        <v>0.68700000000000006</v>
      </c>
      <c r="N15" s="103">
        <v>1.042</v>
      </c>
      <c r="O15" s="162"/>
      <c r="P15" s="162"/>
      <c r="Q15" s="162"/>
      <c r="R15" s="162"/>
      <c r="S15" s="91"/>
      <c r="Y15" s="103">
        <v>2.169896</v>
      </c>
      <c r="Z15" s="103">
        <v>2.5019999999999998</v>
      </c>
      <c r="AA15" s="103">
        <v>2.7789999999999999</v>
      </c>
      <c r="AB15" s="103"/>
      <c r="AC15" s="103"/>
      <c r="AD15" s="103"/>
      <c r="AE15" s="104"/>
      <c r="AJ15" s="15"/>
      <c r="AK15" s="15"/>
      <c r="AL15" s="15"/>
      <c r="AM15" s="15"/>
      <c r="AN15" s="15"/>
      <c r="AO15" s="15"/>
      <c r="AP15" s="15"/>
      <c r="AQ15" s="15"/>
      <c r="AR15" s="15"/>
      <c r="AS15" s="91"/>
      <c r="BE15" s="13"/>
      <c r="BS15" s="91"/>
      <c r="CE15" s="13"/>
      <c r="CS15" s="91"/>
      <c r="DE15" s="13"/>
      <c r="DF15" s="91"/>
      <c r="DR15" s="13"/>
      <c r="DS15" s="15"/>
      <c r="EE15" s="13"/>
      <c r="EF15" s="15"/>
      <c r="ER15" s="13"/>
      <c r="ES15" s="15"/>
      <c r="FE15" s="13"/>
      <c r="FF15" s="15"/>
      <c r="FR15" s="13"/>
    </row>
    <row r="16" spans="4:174" x14ac:dyDescent="0.25">
      <c r="D16" s="75" t="s">
        <v>84</v>
      </c>
      <c r="E16" s="2" t="s">
        <v>85</v>
      </c>
      <c r="L16" s="103">
        <v>0.53843099999999999</v>
      </c>
      <c r="M16" s="103">
        <v>0.44700000000000001</v>
      </c>
      <c r="N16" s="103">
        <v>0.5</v>
      </c>
      <c r="O16" s="162"/>
      <c r="P16" s="162"/>
      <c r="Q16" s="162"/>
      <c r="R16" s="162"/>
      <c r="S16" s="91"/>
      <c r="Y16" s="103">
        <v>2.2769300000000001</v>
      </c>
      <c r="Z16" s="103">
        <v>2.5259999999999998</v>
      </c>
      <c r="AA16" s="103">
        <v>2.1589999999999998</v>
      </c>
      <c r="AB16" s="103"/>
      <c r="AC16" s="103"/>
      <c r="AD16" s="103"/>
      <c r="AE16" s="104"/>
      <c r="AJ16" s="15"/>
      <c r="AK16" s="15"/>
      <c r="AL16" s="15"/>
      <c r="AM16" s="15"/>
      <c r="AN16" s="15"/>
      <c r="AO16" s="15"/>
      <c r="AP16" s="15"/>
      <c r="AQ16" s="15"/>
      <c r="AR16" s="15"/>
      <c r="AS16" s="91"/>
      <c r="BE16" s="13"/>
      <c r="BS16" s="91"/>
      <c r="CE16" s="13"/>
      <c r="CS16" s="91"/>
      <c r="DE16" s="13"/>
      <c r="DF16" s="91"/>
      <c r="DR16" s="13"/>
      <c r="DS16" s="15"/>
      <c r="EE16" s="13"/>
      <c r="EF16" s="15"/>
      <c r="ER16" s="13"/>
      <c r="ES16" s="15"/>
      <c r="FE16" s="13"/>
      <c r="FF16" s="15"/>
      <c r="FR16" s="13"/>
    </row>
    <row r="17" spans="4:174" x14ac:dyDescent="0.25">
      <c r="D17" s="75" t="s">
        <v>86</v>
      </c>
      <c r="E17" s="2" t="s">
        <v>87</v>
      </c>
      <c r="L17" s="103">
        <v>1.320762</v>
      </c>
      <c r="M17" s="103">
        <v>1.6259999999999999</v>
      </c>
      <c r="N17" s="103">
        <v>1.522</v>
      </c>
      <c r="O17" s="162"/>
      <c r="P17" s="162"/>
      <c r="Q17" s="162"/>
      <c r="R17" s="162"/>
      <c r="S17" s="91"/>
      <c r="Y17" s="103">
        <v>7.2995850000000004</v>
      </c>
      <c r="Z17" s="103">
        <v>9.7579999999999991</v>
      </c>
      <c r="AA17" s="103">
        <v>8.0630000000000006</v>
      </c>
      <c r="AB17" s="103"/>
      <c r="AC17" s="103"/>
      <c r="AD17" s="103"/>
      <c r="AE17" s="104"/>
      <c r="AJ17" s="15"/>
      <c r="AK17" s="15"/>
      <c r="AL17" s="15"/>
      <c r="AM17" s="15"/>
      <c r="AN17" s="15"/>
      <c r="AO17" s="15"/>
      <c r="AP17" s="15"/>
      <c r="AQ17" s="15"/>
      <c r="AR17" s="15"/>
      <c r="AS17" s="91"/>
      <c r="BE17" s="13"/>
      <c r="BS17" s="91"/>
      <c r="CE17" s="13"/>
      <c r="CS17" s="91"/>
      <c r="DE17" s="13"/>
      <c r="DF17" s="91"/>
      <c r="DR17" s="13"/>
      <c r="DS17" s="15"/>
      <c r="EE17" s="13"/>
      <c r="EF17" s="15"/>
      <c r="ER17" s="13"/>
      <c r="ES17" s="15"/>
      <c r="FE17" s="13"/>
      <c r="FF17" s="15"/>
      <c r="FR17" s="13"/>
    </row>
    <row r="18" spans="4:174" x14ac:dyDescent="0.25">
      <c r="D18" s="75" t="s">
        <v>88</v>
      </c>
      <c r="E18" s="2" t="s">
        <v>89</v>
      </c>
      <c r="L18" s="103">
        <v>0.68890499999999999</v>
      </c>
      <c r="M18" s="103">
        <v>0.56799999999999995</v>
      </c>
      <c r="N18" s="103">
        <v>0.63100000000000001</v>
      </c>
      <c r="O18" s="162"/>
      <c r="P18" s="162"/>
      <c r="Q18" s="162"/>
      <c r="R18" s="162"/>
      <c r="S18" s="91"/>
      <c r="Y18" s="103">
        <v>2.523142</v>
      </c>
      <c r="Z18" s="103">
        <v>2.609</v>
      </c>
      <c r="AA18" s="103">
        <v>2.56</v>
      </c>
      <c r="AB18" s="103"/>
      <c r="AC18" s="103"/>
      <c r="AD18" s="103"/>
      <c r="AE18" s="104"/>
      <c r="AJ18" s="15"/>
      <c r="AK18" s="15"/>
      <c r="AL18" s="15"/>
      <c r="AM18" s="15"/>
      <c r="AN18" s="15"/>
      <c r="AO18" s="15"/>
      <c r="AP18" s="15"/>
      <c r="AQ18" s="15"/>
      <c r="AR18" s="15"/>
      <c r="AS18" s="91"/>
      <c r="BE18" s="13"/>
      <c r="BS18" s="91"/>
      <c r="CE18" s="13"/>
      <c r="CS18" s="91"/>
      <c r="DE18" s="13"/>
      <c r="DF18" s="91"/>
      <c r="DR18" s="13"/>
      <c r="DS18" s="15"/>
      <c r="EE18" s="13"/>
      <c r="EF18" s="15"/>
      <c r="ER18" s="13"/>
      <c r="ES18" s="15"/>
      <c r="FE18" s="13"/>
      <c r="FF18" s="15"/>
      <c r="FR18" s="13"/>
    </row>
    <row r="19" spans="4:174" x14ac:dyDescent="0.25">
      <c r="D19" s="75" t="s">
        <v>90</v>
      </c>
      <c r="E19" s="2" t="s">
        <v>91</v>
      </c>
      <c r="L19" s="103">
        <v>2.122913</v>
      </c>
      <c r="M19" s="103">
        <v>1.6919999999999999</v>
      </c>
      <c r="N19" s="103">
        <v>2.0579999999999998</v>
      </c>
      <c r="O19" s="162"/>
      <c r="P19" s="162"/>
      <c r="Q19" s="162"/>
      <c r="R19" s="162"/>
      <c r="S19" s="91"/>
      <c r="Y19" s="103">
        <v>11.108650000000001</v>
      </c>
      <c r="Z19" s="103">
        <v>12.606999999999999</v>
      </c>
      <c r="AA19" s="103">
        <v>11.821</v>
      </c>
      <c r="AB19" s="103"/>
      <c r="AC19" s="103"/>
      <c r="AD19" s="103"/>
      <c r="AE19" s="104"/>
      <c r="AJ19" s="15"/>
      <c r="AK19" s="15"/>
      <c r="AL19" s="15"/>
      <c r="AM19" s="15"/>
      <c r="AN19" s="15"/>
      <c r="AO19" s="15"/>
      <c r="AP19" s="15"/>
      <c r="AQ19" s="15"/>
      <c r="AR19" s="15"/>
      <c r="AS19" s="91"/>
      <c r="BE19" s="13"/>
      <c r="BS19" s="91"/>
      <c r="CE19" s="13"/>
      <c r="CS19" s="91"/>
      <c r="DE19" s="13"/>
      <c r="DF19" s="91"/>
      <c r="DR19" s="13"/>
      <c r="EE19" s="13"/>
      <c r="ER19" s="13"/>
      <c r="FE19" s="13"/>
      <c r="FR19" s="13"/>
    </row>
    <row r="20" spans="4:174" x14ac:dyDescent="0.25">
      <c r="D20" s="75" t="s">
        <v>92</v>
      </c>
      <c r="E20" s="2" t="s">
        <v>93</v>
      </c>
      <c r="L20" s="103">
        <v>1.6052329999999999</v>
      </c>
      <c r="M20" s="103">
        <v>1.425</v>
      </c>
      <c r="N20" s="103">
        <v>1.4750000000000001</v>
      </c>
      <c r="O20" s="162"/>
      <c r="P20" s="162"/>
      <c r="Q20" s="162"/>
      <c r="R20" s="162"/>
      <c r="S20" s="91"/>
      <c r="Y20" s="103">
        <v>4.9649130000000001</v>
      </c>
      <c r="Z20" s="103">
        <v>5.0860000000000003</v>
      </c>
      <c r="AA20" s="103">
        <v>4.5659999999999998</v>
      </c>
      <c r="AB20" s="103"/>
      <c r="AC20" s="103"/>
      <c r="AD20" s="103"/>
      <c r="AE20" s="104"/>
      <c r="AJ20" s="15"/>
      <c r="AK20" s="15"/>
      <c r="AL20" s="15"/>
      <c r="AM20" s="15"/>
      <c r="AN20" s="15"/>
      <c r="AO20" s="15"/>
      <c r="AP20" s="15"/>
      <c r="AQ20" s="15"/>
      <c r="AR20" s="15"/>
      <c r="AS20" s="91"/>
      <c r="BE20" s="13"/>
      <c r="BS20" s="91"/>
      <c r="CE20" s="13"/>
      <c r="CS20" s="91"/>
      <c r="DE20" s="13"/>
      <c r="DF20" s="91"/>
      <c r="DR20" s="13"/>
      <c r="DS20" s="15"/>
      <c r="EE20" s="13"/>
      <c r="EF20" s="15"/>
      <c r="ER20" s="13"/>
      <c r="ES20" s="15"/>
      <c r="FE20" s="13"/>
      <c r="FF20" s="15"/>
      <c r="FR20" s="13"/>
    </row>
    <row r="21" spans="4:174" x14ac:dyDescent="0.25">
      <c r="D21" s="75" t="s">
        <v>94</v>
      </c>
      <c r="E21" s="2" t="s">
        <v>95</v>
      </c>
      <c r="L21" s="103">
        <v>1.703759</v>
      </c>
      <c r="M21" s="103">
        <v>1.504</v>
      </c>
      <c r="N21" s="103">
        <v>1.7488999999999999</v>
      </c>
      <c r="O21" s="162"/>
      <c r="P21" s="162"/>
      <c r="Q21" s="162"/>
      <c r="R21" s="162"/>
      <c r="S21" s="91"/>
      <c r="Y21" s="103">
        <v>8.4634269999999994</v>
      </c>
      <c r="Z21" s="103">
        <v>10.003</v>
      </c>
      <c r="AA21" s="103">
        <v>9.1590000000000007</v>
      </c>
      <c r="AB21" s="103"/>
      <c r="AC21" s="103"/>
      <c r="AD21" s="103"/>
      <c r="AE21" s="104"/>
      <c r="AJ21" s="15"/>
      <c r="AK21" s="15"/>
      <c r="AL21" s="15"/>
      <c r="AM21" s="15"/>
      <c r="AN21" s="15"/>
      <c r="AO21" s="15"/>
      <c r="AP21" s="15"/>
      <c r="AQ21" s="15"/>
      <c r="AR21" s="15"/>
      <c r="AS21" s="91"/>
      <c r="BE21" s="13"/>
      <c r="BS21" s="91"/>
      <c r="CE21" s="13"/>
      <c r="CS21" s="91"/>
      <c r="DE21" s="13"/>
      <c r="DF21" s="91"/>
      <c r="DR21" s="13"/>
      <c r="DS21" s="15"/>
      <c r="EE21" s="13"/>
      <c r="EF21" s="15"/>
      <c r="ER21" s="13"/>
      <c r="ES21" s="15"/>
      <c r="FE21" s="13"/>
      <c r="FF21" s="15"/>
      <c r="FR21" s="13"/>
    </row>
    <row r="22" spans="4:174" x14ac:dyDescent="0.25">
      <c r="D22" s="75" t="s">
        <v>96</v>
      </c>
      <c r="E22" s="2" t="s">
        <v>97</v>
      </c>
      <c r="L22" s="103">
        <v>1.747185</v>
      </c>
      <c r="M22" s="103">
        <v>1.621</v>
      </c>
      <c r="N22" s="103">
        <v>1.91</v>
      </c>
      <c r="O22" s="162"/>
      <c r="P22" s="162"/>
      <c r="Q22" s="162"/>
      <c r="R22" s="162"/>
      <c r="S22" s="91"/>
      <c r="Y22" s="103">
        <v>5.0540010000000004</v>
      </c>
      <c r="Z22" s="103">
        <v>5.9240000000000004</v>
      </c>
      <c r="AA22" s="103">
        <v>6.0750000000000002</v>
      </c>
      <c r="AB22" s="103"/>
      <c r="AC22" s="103"/>
      <c r="AD22" s="103"/>
      <c r="AE22" s="104"/>
      <c r="AJ22" s="15"/>
      <c r="AK22" s="15"/>
      <c r="AL22" s="15"/>
      <c r="AM22" s="15"/>
      <c r="AN22" s="15"/>
      <c r="AO22" s="15"/>
      <c r="AP22" s="15"/>
      <c r="AQ22" s="15"/>
      <c r="AR22" s="15"/>
      <c r="AS22" s="91"/>
      <c r="BE22" s="13"/>
      <c r="BS22" s="91"/>
      <c r="CE22" s="13"/>
      <c r="CS22" s="91"/>
      <c r="DE22" s="13"/>
      <c r="DF22" s="91"/>
      <c r="DR22" s="13"/>
      <c r="DS22" s="15"/>
      <c r="EE22" s="13"/>
      <c r="EF22" s="15"/>
      <c r="ER22" s="13"/>
      <c r="ES22" s="15"/>
      <c r="FE22" s="13"/>
      <c r="FF22" s="15"/>
      <c r="FR22" s="13"/>
    </row>
    <row r="23" spans="4:174" x14ac:dyDescent="0.25">
      <c r="D23" s="75" t="s">
        <v>98</v>
      </c>
      <c r="E23" s="2" t="s">
        <v>99</v>
      </c>
      <c r="L23" s="103">
        <v>0.83801800000000004</v>
      </c>
      <c r="M23" s="103">
        <v>0.91800000000000004</v>
      </c>
      <c r="N23" s="103">
        <v>0.75800000000000001</v>
      </c>
      <c r="O23" s="162"/>
      <c r="P23" s="162"/>
      <c r="Q23" s="162"/>
      <c r="R23" s="162"/>
      <c r="S23" s="91"/>
      <c r="Y23" s="103">
        <v>16.771650000000001</v>
      </c>
      <c r="Z23" s="103">
        <v>18.542000000000002</v>
      </c>
      <c r="AA23" s="103">
        <v>16.423999999999999</v>
      </c>
      <c r="AB23" s="103"/>
      <c r="AC23" s="103"/>
      <c r="AD23" s="103"/>
      <c r="AE23" s="104"/>
      <c r="AJ23" s="15"/>
      <c r="AK23" s="15"/>
      <c r="AL23" s="15"/>
      <c r="AM23" s="15"/>
      <c r="AN23" s="15"/>
      <c r="AO23" s="15"/>
      <c r="AP23" s="15"/>
      <c r="AQ23" s="15"/>
      <c r="AR23" s="15"/>
      <c r="AS23" s="91"/>
      <c r="BE23" s="13"/>
      <c r="BS23" s="91"/>
      <c r="CE23" s="13"/>
      <c r="CS23" s="91"/>
      <c r="DE23" s="13"/>
      <c r="DF23" s="91"/>
      <c r="DR23" s="13"/>
      <c r="DS23" s="15"/>
      <c r="EE23" s="13"/>
      <c r="EF23" s="15"/>
      <c r="ER23" s="13"/>
      <c r="ES23" s="15"/>
      <c r="FE23" s="13"/>
      <c r="FF23" s="15"/>
      <c r="FR23" s="13"/>
    </row>
    <row r="24" spans="4:174" x14ac:dyDescent="0.25">
      <c r="D24" s="75" t="s">
        <v>100</v>
      </c>
      <c r="E24" s="2" t="s">
        <v>101</v>
      </c>
      <c r="L24" s="103">
        <v>0.54322000000000004</v>
      </c>
      <c r="M24" s="103">
        <v>0.48199999999999998</v>
      </c>
      <c r="N24" s="103">
        <v>0.53400000000000003</v>
      </c>
      <c r="O24" s="162"/>
      <c r="P24" s="162"/>
      <c r="Q24" s="162"/>
      <c r="R24" s="162"/>
      <c r="S24" s="91"/>
      <c r="Y24" s="103">
        <v>1.8007489999999999</v>
      </c>
      <c r="Z24" s="103">
        <v>1.891</v>
      </c>
      <c r="AA24" s="103">
        <v>1.835</v>
      </c>
      <c r="AB24" s="103"/>
      <c r="AC24" s="103"/>
      <c r="AD24" s="103"/>
      <c r="AE24" s="104"/>
      <c r="AJ24" s="15"/>
      <c r="AK24" s="15"/>
      <c r="AL24" s="15"/>
      <c r="AM24" s="15"/>
      <c r="AN24" s="15"/>
      <c r="AO24" s="15"/>
      <c r="AP24" s="15"/>
      <c r="AQ24" s="15"/>
      <c r="AR24" s="15"/>
      <c r="AS24" s="91"/>
      <c r="BE24" s="13"/>
      <c r="BS24" s="91"/>
      <c r="CE24" s="13"/>
      <c r="CS24" s="91"/>
      <c r="DE24" s="13"/>
      <c r="DF24" s="91"/>
      <c r="DR24" s="13"/>
      <c r="DS24" s="15"/>
      <c r="EE24" s="13"/>
      <c r="EF24" s="15"/>
      <c r="ER24" s="13"/>
      <c r="ES24" s="15"/>
      <c r="FE24" s="13"/>
      <c r="FF24" s="15"/>
      <c r="FR24" s="13"/>
    </row>
    <row r="25" spans="4:174" x14ac:dyDescent="0.25">
      <c r="D25" s="75" t="s">
        <v>102</v>
      </c>
      <c r="E25" s="2" t="s">
        <v>103</v>
      </c>
      <c r="L25" s="103">
        <v>1.632355</v>
      </c>
      <c r="M25" s="103">
        <v>1.4690000000000001</v>
      </c>
      <c r="N25" s="103">
        <v>1.4850000000000001</v>
      </c>
      <c r="O25" s="162"/>
      <c r="P25" s="162"/>
      <c r="Q25" s="162"/>
      <c r="R25" s="162"/>
      <c r="S25" s="91"/>
      <c r="Y25" s="103">
        <v>7.3011290000000004</v>
      </c>
      <c r="Z25" s="103">
        <v>6.6310000000000002</v>
      </c>
      <c r="AA25" s="103">
        <v>6.7670000000000003</v>
      </c>
      <c r="AB25" s="103"/>
      <c r="AC25" s="103"/>
      <c r="AD25" s="103"/>
      <c r="AE25" s="104"/>
      <c r="AJ25" s="15"/>
      <c r="AK25" s="15"/>
      <c r="AL25" s="15"/>
      <c r="AM25" s="15"/>
      <c r="AN25" s="15"/>
      <c r="AO25" s="15"/>
      <c r="AP25" s="15"/>
      <c r="AQ25" s="15"/>
      <c r="AR25" s="15"/>
      <c r="AS25" s="91"/>
      <c r="BE25" s="13"/>
      <c r="BS25" s="91"/>
      <c r="CE25" s="13"/>
      <c r="CS25" s="91"/>
      <c r="DE25" s="13"/>
      <c r="DF25" s="91"/>
      <c r="DR25" s="13"/>
      <c r="DS25" s="15"/>
      <c r="EE25" s="13"/>
      <c r="EF25" s="15"/>
      <c r="ER25" s="13"/>
      <c r="ES25" s="15"/>
      <c r="FE25" s="13"/>
      <c r="FF25" s="15"/>
      <c r="FR25" s="13"/>
    </row>
    <row r="26" spans="4:174" x14ac:dyDescent="0.25">
      <c r="D26" s="75" t="s">
        <v>104</v>
      </c>
      <c r="E26" s="2" t="s">
        <v>105</v>
      </c>
      <c r="L26" s="103">
        <v>1.915567</v>
      </c>
      <c r="M26" s="103">
        <v>1.802</v>
      </c>
      <c r="N26" s="103">
        <v>1.923</v>
      </c>
      <c r="O26" s="162"/>
      <c r="P26" s="162"/>
      <c r="Q26" s="162"/>
      <c r="R26" s="162"/>
      <c r="S26" s="91"/>
      <c r="Y26" s="103">
        <v>7.3345849999999997</v>
      </c>
      <c r="Z26" s="103">
        <v>7.4249999999999998</v>
      </c>
      <c r="AA26" s="103">
        <v>7.5839999999999996</v>
      </c>
      <c r="AB26" s="103"/>
      <c r="AC26" s="103"/>
      <c r="AD26" s="103"/>
      <c r="AE26" s="104"/>
      <c r="AJ26" s="15"/>
      <c r="AK26" s="15"/>
      <c r="AL26" s="15"/>
      <c r="AM26" s="15"/>
      <c r="AN26" s="15"/>
      <c r="AO26" s="15"/>
      <c r="AP26" s="15"/>
      <c r="AQ26" s="15"/>
      <c r="AR26" s="15"/>
      <c r="AS26" s="91"/>
      <c r="BE26" s="13"/>
      <c r="BS26" s="91"/>
      <c r="CE26" s="13"/>
      <c r="CS26" s="91"/>
      <c r="DE26" s="13"/>
      <c r="DF26" s="91"/>
      <c r="DR26" s="13"/>
      <c r="DS26" s="15"/>
      <c r="EE26" s="13"/>
      <c r="EF26" s="15"/>
      <c r="ER26" s="13"/>
      <c r="ES26" s="15"/>
      <c r="FE26" s="13"/>
      <c r="FF26" s="15"/>
      <c r="FR26" s="13"/>
    </row>
    <row r="27" spans="4:174" x14ac:dyDescent="0.25">
      <c r="D27" s="75" t="s">
        <v>106</v>
      </c>
      <c r="E27" s="2" t="s">
        <v>107</v>
      </c>
      <c r="L27" s="103">
        <v>6.838374</v>
      </c>
      <c r="M27" s="103">
        <v>6.1680000000000001</v>
      </c>
      <c r="N27" s="103">
        <v>6.8739999999999997</v>
      </c>
      <c r="O27" s="162"/>
      <c r="P27" s="162"/>
      <c r="Q27" s="162"/>
      <c r="R27" s="162"/>
      <c r="S27" s="91"/>
      <c r="Y27" s="103">
        <v>32.304349999999999</v>
      </c>
      <c r="Z27" s="103">
        <v>38.795999999999999</v>
      </c>
      <c r="AA27" s="103">
        <v>32.497</v>
      </c>
      <c r="AB27" s="103"/>
      <c r="AC27" s="103"/>
      <c r="AD27" s="103"/>
      <c r="AE27" s="104"/>
      <c r="AJ27" s="15"/>
      <c r="AK27" s="15"/>
      <c r="AL27" s="15"/>
      <c r="AM27" s="15"/>
      <c r="AN27" s="15"/>
      <c r="AO27" s="15"/>
      <c r="AP27" s="15"/>
      <c r="AQ27" s="15"/>
      <c r="AR27" s="15"/>
      <c r="AS27" s="91"/>
      <c r="BE27" s="13"/>
      <c r="BS27" s="91"/>
      <c r="CE27" s="13"/>
      <c r="CS27" s="91"/>
      <c r="DE27" s="13"/>
      <c r="DF27" s="91"/>
      <c r="DR27" s="13"/>
      <c r="DS27" s="15"/>
      <c r="EE27" s="13"/>
      <c r="EF27" s="15"/>
      <c r="ER27" s="13"/>
      <c r="ES27" s="15"/>
      <c r="FE27" s="13"/>
      <c r="FF27" s="15"/>
      <c r="FR27" s="13"/>
    </row>
    <row r="28" spans="4:174" x14ac:dyDescent="0.25">
      <c r="D28" s="75" t="s">
        <v>108</v>
      </c>
      <c r="E28" s="2" t="s">
        <v>109</v>
      </c>
      <c r="L28" s="103">
        <v>0.39047599999999999</v>
      </c>
      <c r="M28" s="103">
        <v>0</v>
      </c>
      <c r="N28" s="103">
        <v>0</v>
      </c>
      <c r="O28" s="162"/>
      <c r="P28" s="162"/>
      <c r="Q28" s="162"/>
      <c r="R28" s="162"/>
      <c r="S28" s="91"/>
      <c r="Y28" s="103">
        <v>171.7457</v>
      </c>
      <c r="Z28" s="103">
        <v>177.24</v>
      </c>
      <c r="AA28" s="103">
        <v>176.27199999999999</v>
      </c>
      <c r="AB28" s="103"/>
      <c r="AC28" s="103"/>
      <c r="AD28" s="103"/>
      <c r="AE28" s="104"/>
      <c r="AJ28" s="15"/>
      <c r="AK28" s="15"/>
      <c r="AL28" s="15"/>
      <c r="AM28" s="15"/>
      <c r="AN28" s="15"/>
      <c r="AO28" s="15"/>
      <c r="AP28" s="15"/>
      <c r="AQ28" s="15"/>
      <c r="AR28" s="15"/>
      <c r="AS28" s="91"/>
      <c r="BE28" s="13"/>
      <c r="BS28" s="91"/>
      <c r="CE28" s="13"/>
      <c r="CS28" s="91"/>
      <c r="DE28" s="13"/>
      <c r="DF28" s="91"/>
      <c r="DR28" s="13"/>
      <c r="DS28" s="15"/>
      <c r="EE28" s="13"/>
      <c r="EF28" s="15"/>
      <c r="ER28" s="13"/>
      <c r="ES28" s="15"/>
      <c r="FE28" s="13"/>
      <c r="FF28" s="15"/>
      <c r="FR28" s="13"/>
    </row>
    <row r="29" spans="4:174" x14ac:dyDescent="0.25">
      <c r="D29" s="75" t="s">
        <v>110</v>
      </c>
      <c r="E29" s="2" t="s">
        <v>111</v>
      </c>
      <c r="L29" s="103">
        <v>-0.22943</v>
      </c>
      <c r="M29" s="103">
        <v>0</v>
      </c>
      <c r="N29" s="103">
        <v>-3.4000000000000002E-2</v>
      </c>
      <c r="O29" s="103"/>
      <c r="P29" s="103"/>
      <c r="Q29" s="103"/>
      <c r="R29" s="103"/>
      <c r="S29" s="91">
        <v>295.39999999999998</v>
      </c>
      <c r="T29" s="2">
        <v>258.5</v>
      </c>
      <c r="U29" s="2">
        <v>274.8</v>
      </c>
      <c r="V29" s="2">
        <v>295.5</v>
      </c>
      <c r="W29" s="2">
        <v>335.4</v>
      </c>
      <c r="X29" s="2">
        <v>358.6</v>
      </c>
      <c r="Y29" s="103">
        <v>322.00259999999997</v>
      </c>
      <c r="Z29" s="103">
        <v>331.57769999999999</v>
      </c>
      <c r="AA29" s="103">
        <v>331.5247</v>
      </c>
      <c r="AB29" s="103"/>
      <c r="AC29" s="103"/>
      <c r="AD29" s="103"/>
      <c r="AE29" s="104"/>
      <c r="AJ29" s="15"/>
      <c r="AK29" s="15"/>
      <c r="AL29" s="15"/>
      <c r="AM29" s="15"/>
      <c r="AN29" s="15"/>
      <c r="AO29" s="15"/>
      <c r="AP29" s="15"/>
      <c r="AQ29" s="15"/>
      <c r="AR29" s="15"/>
      <c r="AS29" s="91"/>
      <c r="BE29" s="13"/>
      <c r="BS29" s="91"/>
      <c r="CE29" s="13"/>
      <c r="CS29" s="91"/>
      <c r="DE29" s="13"/>
      <c r="DF29" s="91"/>
      <c r="DR29" s="13"/>
      <c r="DS29" s="15"/>
      <c r="EE29" s="13"/>
      <c r="EF29" s="15"/>
      <c r="ER29" s="13"/>
      <c r="ES29" s="15"/>
      <c r="FE29" s="13"/>
      <c r="FF29" s="15"/>
      <c r="FR29" s="13"/>
    </row>
    <row r="30" spans="4:174" x14ac:dyDescent="0.25">
      <c r="E30" s="2" t="s">
        <v>55</v>
      </c>
      <c r="L30" s="103">
        <v>3.470342</v>
      </c>
      <c r="M30" s="103">
        <v>0</v>
      </c>
      <c r="N30" s="103"/>
      <c r="S30" s="91"/>
      <c r="Y30" s="103">
        <v>3.7964739999999999</v>
      </c>
      <c r="Z30" s="103"/>
      <c r="AA30" s="103"/>
      <c r="AE30" s="13"/>
      <c r="AJ30" s="15"/>
      <c r="AK30" s="15"/>
      <c r="AL30" s="15"/>
      <c r="AM30" s="15"/>
      <c r="AN30" s="15"/>
      <c r="AO30" s="15"/>
      <c r="AP30" s="15"/>
      <c r="AQ30" s="15"/>
      <c r="AR30" s="15"/>
      <c r="AS30" s="91"/>
      <c r="BE30" s="13"/>
      <c r="BS30" s="91"/>
      <c r="CE30" s="13"/>
      <c r="CS30" s="91"/>
      <c r="DE30" s="13"/>
      <c r="DF30" s="91"/>
      <c r="DR30" s="13"/>
      <c r="DS30" s="91"/>
      <c r="EE30" s="13"/>
      <c r="EF30" s="91"/>
      <c r="ER30" s="13"/>
      <c r="ES30" s="91"/>
      <c r="FE30" s="13"/>
      <c r="FF30" s="91"/>
      <c r="FR30" s="13"/>
    </row>
    <row r="31" spans="4:174" s="4" customFormat="1" ht="18.75" customHeight="1" x14ac:dyDescent="0.3">
      <c r="D31" s="92"/>
      <c r="E31" s="105" t="s">
        <v>52</v>
      </c>
      <c r="F31" s="97">
        <f>2.6+3.8+64.9</f>
        <v>71.300000000000011</v>
      </c>
      <c r="G31" s="97">
        <f>52.2+2.1</f>
        <v>54.300000000000004</v>
      </c>
      <c r="H31" s="97">
        <f>65.3+10.1</f>
        <v>75.399999999999991</v>
      </c>
      <c r="I31" s="97">
        <f>74.9+15.9</f>
        <v>90.800000000000011</v>
      </c>
      <c r="J31" s="97">
        <f>82.9+19.5</f>
        <v>102.4</v>
      </c>
      <c r="K31" s="97">
        <f>92.7+20.9</f>
        <v>113.6</v>
      </c>
      <c r="L31" s="95">
        <f t="shared" ref="L31:R31" si="13">SUM(L32:L33)</f>
        <v>117.57677000000001</v>
      </c>
      <c r="M31" s="95">
        <f t="shared" si="13"/>
        <v>127.64400000000001</v>
      </c>
      <c r="N31" s="95">
        <f t="shared" si="13"/>
        <v>115.565</v>
      </c>
      <c r="O31" s="95">
        <f t="shared" si="13"/>
        <v>0</v>
      </c>
      <c r="P31" s="95">
        <f t="shared" si="13"/>
        <v>0</v>
      </c>
      <c r="Q31" s="95">
        <f t="shared" si="13"/>
        <v>0</v>
      </c>
      <c r="R31" s="95">
        <f t="shared" si="13"/>
        <v>0</v>
      </c>
      <c r="S31" s="99">
        <f>19.6+3.6+253</f>
        <v>276.2</v>
      </c>
      <c r="T31" s="97">
        <f>33.2+261.4</f>
        <v>294.59999999999997</v>
      </c>
      <c r="U31" s="97">
        <f>267.5+58.6+4.2</f>
        <v>330.3</v>
      </c>
      <c r="V31" s="97">
        <f>69.2+271.9</f>
        <v>341.09999999999997</v>
      </c>
      <c r="W31" s="97">
        <f>70.8+12.2+295.2</f>
        <v>378.2</v>
      </c>
      <c r="X31" s="97">
        <f>78.3+332.1</f>
        <v>410.40000000000003</v>
      </c>
      <c r="Y31" s="95">
        <f t="shared" ref="Y31:AE31" si="14">SUM(Y32:Y33)</f>
        <v>441.29970000000003</v>
      </c>
      <c r="Z31" s="95">
        <f t="shared" si="14"/>
        <v>495.44499999999999</v>
      </c>
      <c r="AA31" s="95">
        <f t="shared" si="14"/>
        <v>495.54499999999996</v>
      </c>
      <c r="AB31" s="95">
        <f t="shared" si="14"/>
        <v>0</v>
      </c>
      <c r="AC31" s="95">
        <f t="shared" si="14"/>
        <v>0</v>
      </c>
      <c r="AD31" s="95">
        <f t="shared" si="14"/>
        <v>0</v>
      </c>
      <c r="AE31" s="96">
        <f t="shared" si="14"/>
        <v>0</v>
      </c>
      <c r="AF31" s="97"/>
      <c r="AG31" s="97"/>
      <c r="AH31" s="97"/>
      <c r="AI31" s="97"/>
      <c r="AJ31" s="97"/>
      <c r="AK31" s="97"/>
      <c r="AL31" s="97"/>
      <c r="AM31" s="97"/>
      <c r="AN31" s="97"/>
      <c r="AO31" s="97"/>
      <c r="AP31" s="97"/>
      <c r="AQ31" s="97"/>
      <c r="AR31" s="97"/>
      <c r="AS31" s="99"/>
      <c r="AT31" s="97"/>
      <c r="AU31" s="97"/>
      <c r="AV31" s="97"/>
      <c r="AW31" s="97"/>
      <c r="AX31" s="97"/>
      <c r="AY31" s="97"/>
      <c r="AZ31" s="97"/>
      <c r="BA31" s="97"/>
      <c r="BB31" s="97"/>
      <c r="BC31" s="97"/>
      <c r="BD31" s="97"/>
      <c r="BE31" s="100"/>
      <c r="BF31" s="97"/>
      <c r="BG31" s="97"/>
      <c r="BH31" s="97"/>
      <c r="BI31" s="97"/>
      <c r="BJ31" s="97"/>
      <c r="BK31" s="97"/>
      <c r="BL31" s="97"/>
      <c r="BM31" s="97"/>
      <c r="BN31" s="97"/>
      <c r="BO31" s="97"/>
      <c r="BP31" s="97"/>
      <c r="BQ31" s="97"/>
      <c r="BR31" s="97"/>
      <c r="BS31" s="99"/>
      <c r="BT31" s="97">
        <v>25.3</v>
      </c>
      <c r="BU31" s="97">
        <f>15.8+5.5</f>
        <v>21.3</v>
      </c>
      <c r="BV31" s="97">
        <v>10.1</v>
      </c>
      <c r="BW31" s="97">
        <f>5.1+1.3</f>
        <v>6.3999999999999995</v>
      </c>
      <c r="BX31" s="97"/>
      <c r="BY31" s="97"/>
      <c r="BZ31" s="97"/>
      <c r="CA31" s="97"/>
      <c r="CB31" s="97"/>
      <c r="CC31" s="97"/>
      <c r="CD31" s="97"/>
      <c r="CE31" s="100"/>
      <c r="CF31" s="97"/>
      <c r="CG31" s="97"/>
      <c r="CH31" s="97"/>
      <c r="CI31" s="97"/>
      <c r="CJ31" s="97"/>
      <c r="CK31" s="97"/>
      <c r="CL31" s="97"/>
      <c r="CM31" s="97"/>
      <c r="CN31" s="97"/>
      <c r="CO31" s="97"/>
      <c r="CP31" s="97"/>
      <c r="CQ31" s="97"/>
      <c r="CR31" s="97"/>
      <c r="CS31" s="99"/>
      <c r="CT31" s="97"/>
      <c r="CU31" s="97"/>
      <c r="CV31" s="97"/>
      <c r="CW31" s="97"/>
      <c r="CX31" s="97"/>
      <c r="CY31" s="97"/>
      <c r="CZ31" s="97"/>
      <c r="DA31" s="97"/>
      <c r="DB31" s="97"/>
      <c r="DC31" s="97"/>
      <c r="DD31" s="97"/>
      <c r="DE31" s="100"/>
      <c r="DF31" s="99"/>
      <c r="DG31" s="97"/>
      <c r="DH31" s="97"/>
      <c r="DI31" s="97"/>
      <c r="DJ31" s="97"/>
      <c r="DK31" s="97"/>
      <c r="DL31" s="97"/>
      <c r="DM31" s="97"/>
      <c r="DN31" s="97"/>
      <c r="DO31" s="97"/>
      <c r="DP31" s="97"/>
      <c r="DQ31" s="97"/>
      <c r="DR31" s="100"/>
      <c r="DS31" s="108">
        <f t="shared" ref="DS31:DX31" si="15">SUM(DS32+DS33)</f>
        <v>0</v>
      </c>
      <c r="DT31" s="108">
        <f t="shared" si="15"/>
        <v>0</v>
      </c>
      <c r="DU31" s="108">
        <f t="shared" si="15"/>
        <v>0</v>
      </c>
      <c r="DV31" s="108">
        <f t="shared" si="15"/>
        <v>0</v>
      </c>
      <c r="DW31" s="108">
        <f t="shared" si="15"/>
        <v>0</v>
      </c>
      <c r="DX31" s="108">
        <f t="shared" si="15"/>
        <v>0</v>
      </c>
      <c r="DY31" s="97"/>
      <c r="DZ31" s="97"/>
      <c r="EA31" s="97"/>
      <c r="EB31" s="97"/>
      <c r="EC31" s="97"/>
      <c r="ED31" s="97"/>
      <c r="EE31" s="100"/>
      <c r="EF31" s="108">
        <f t="shared" ref="EF31:ES31" si="16">SUM(EF32+EF33)</f>
        <v>76318</v>
      </c>
      <c r="EG31" s="108">
        <f t="shared" si="16"/>
        <v>82955</v>
      </c>
      <c r="EH31" s="108">
        <f t="shared" si="16"/>
        <v>95564</v>
      </c>
      <c r="EI31" s="108">
        <f t="shared" si="16"/>
        <v>97239</v>
      </c>
      <c r="EJ31" s="108">
        <f t="shared" si="16"/>
        <v>99206</v>
      </c>
      <c r="EK31" s="108">
        <f t="shared" si="16"/>
        <v>92455</v>
      </c>
      <c r="EL31" s="108">
        <f t="shared" si="16"/>
        <v>90277.33</v>
      </c>
      <c r="EM31" s="108">
        <f t="shared" si="16"/>
        <v>100700</v>
      </c>
      <c r="EN31" s="108">
        <f t="shared" si="16"/>
        <v>0</v>
      </c>
      <c r="EO31" s="108">
        <f t="shared" si="16"/>
        <v>0</v>
      </c>
      <c r="EP31" s="108">
        <f t="shared" si="16"/>
        <v>0</v>
      </c>
      <c r="EQ31" s="108">
        <f t="shared" si="16"/>
        <v>0</v>
      </c>
      <c r="ER31" s="163">
        <f t="shared" si="16"/>
        <v>0</v>
      </c>
      <c r="ES31" s="108">
        <f t="shared" si="16"/>
        <v>4991025</v>
      </c>
      <c r="ET31" s="108">
        <f t="shared" ref="ET31:EZ31" si="17">SUM(ET33+ET32)</f>
        <v>3751938</v>
      </c>
      <c r="EU31" s="108">
        <f t="shared" si="17"/>
        <v>4222354</v>
      </c>
      <c r="EV31" s="108">
        <f t="shared" si="17"/>
        <v>5908765</v>
      </c>
      <c r="EW31" s="108">
        <f t="shared" si="17"/>
        <v>6192335</v>
      </c>
      <c r="EX31" s="108">
        <f t="shared" si="17"/>
        <v>6796000</v>
      </c>
      <c r="EY31" s="108">
        <f t="shared" si="17"/>
        <v>6380000</v>
      </c>
      <c r="EZ31" s="108">
        <f t="shared" si="17"/>
        <v>6504000</v>
      </c>
      <c r="FA31" s="108">
        <f>SUM(FA32+FA33)</f>
        <v>0</v>
      </c>
      <c r="FB31" s="108">
        <f>SUM(FB32+FB33)</f>
        <v>0</v>
      </c>
      <c r="FC31" s="108">
        <f>SUM(FC32+FC33)</f>
        <v>0</v>
      </c>
      <c r="FD31" s="108">
        <f>SUM(FD32+FD33)</f>
        <v>0</v>
      </c>
      <c r="FE31" s="100"/>
      <c r="FF31" s="108">
        <f t="shared" ref="FF31:FP31" si="18">SUM(FF32+FF33)</f>
        <v>2967950</v>
      </c>
      <c r="FG31" s="108">
        <f t="shared" si="18"/>
        <v>3186555</v>
      </c>
      <c r="FH31" s="108">
        <f t="shared" si="18"/>
        <v>3989278</v>
      </c>
      <c r="FI31" s="108">
        <f t="shared" si="18"/>
        <v>4125086</v>
      </c>
      <c r="FJ31" s="108">
        <f t="shared" si="18"/>
        <v>4214795</v>
      </c>
      <c r="FK31" s="108">
        <f t="shared" si="18"/>
        <v>4190000</v>
      </c>
      <c r="FL31" s="108">
        <f t="shared" si="18"/>
        <v>4136815</v>
      </c>
      <c r="FM31" s="108">
        <f t="shared" si="18"/>
        <v>4305000</v>
      </c>
      <c r="FN31" s="108">
        <f t="shared" si="18"/>
        <v>0</v>
      </c>
      <c r="FO31" s="108">
        <f t="shared" si="18"/>
        <v>0</v>
      </c>
      <c r="FP31" s="108">
        <f t="shared" si="18"/>
        <v>0</v>
      </c>
      <c r="FQ31" s="97"/>
      <c r="FR31" s="100"/>
    </row>
    <row r="32" spans="4:174" x14ac:dyDescent="0.25">
      <c r="D32" s="75" t="s">
        <v>106</v>
      </c>
      <c r="E32" s="2" t="s">
        <v>107</v>
      </c>
      <c r="L32" s="103">
        <v>52.593110000000003</v>
      </c>
      <c r="M32" s="103">
        <v>53.393500000000003</v>
      </c>
      <c r="N32" s="103">
        <v>51.643000000000001</v>
      </c>
      <c r="O32" s="103"/>
      <c r="P32" s="103"/>
      <c r="Q32" s="103"/>
      <c r="R32" s="103"/>
      <c r="S32" s="91"/>
      <c r="Y32" s="103">
        <v>160.8331</v>
      </c>
      <c r="Z32" s="103">
        <v>176.03899999999999</v>
      </c>
      <c r="AA32" s="103">
        <v>176.03899999999999</v>
      </c>
      <c r="AB32" s="103"/>
      <c r="AC32" s="103"/>
      <c r="AD32" s="103"/>
      <c r="AE32" s="104"/>
      <c r="AS32" s="91"/>
      <c r="BE32" s="13"/>
      <c r="BS32" s="91"/>
      <c r="CE32" s="13"/>
      <c r="CJ32" s="107"/>
      <c r="CS32" s="91"/>
      <c r="DE32" s="13"/>
      <c r="DF32" s="91"/>
      <c r="DR32" s="13"/>
      <c r="DS32" s="20"/>
      <c r="DT32" s="21"/>
      <c r="DU32" s="21"/>
      <c r="DV32" s="21"/>
      <c r="DW32" s="21"/>
      <c r="DX32" s="21"/>
      <c r="EE32" s="13"/>
      <c r="EF32" s="20">
        <v>69633</v>
      </c>
      <c r="EG32" s="21">
        <v>75735</v>
      </c>
      <c r="EH32" s="21">
        <v>78038</v>
      </c>
      <c r="EI32" s="21">
        <v>79789</v>
      </c>
      <c r="EJ32" s="21">
        <v>81453</v>
      </c>
      <c r="EK32" s="21">
        <v>79320</v>
      </c>
      <c r="EL32" s="21">
        <v>77582.33</v>
      </c>
      <c r="EM32" s="21">
        <v>83700</v>
      </c>
      <c r="EN32" s="21"/>
      <c r="EO32" s="21"/>
      <c r="EP32" s="21"/>
      <c r="EQ32" s="21"/>
      <c r="ER32" s="21"/>
      <c r="ES32" s="20">
        <v>4788295</v>
      </c>
      <c r="ET32" s="21">
        <v>3588597</v>
      </c>
      <c r="EU32" s="21">
        <v>3877855</v>
      </c>
      <c r="EV32" s="21">
        <v>5474521</v>
      </c>
      <c r="EW32" s="21">
        <v>5762093</v>
      </c>
      <c r="EX32" s="21">
        <v>6351000</v>
      </c>
      <c r="EY32" s="164">
        <v>6052000</v>
      </c>
      <c r="EZ32" s="164">
        <v>6052700</v>
      </c>
      <c r="FE32" s="13"/>
      <c r="FF32" s="20">
        <v>2605235</v>
      </c>
      <c r="FG32" s="21">
        <v>2754715</v>
      </c>
      <c r="FH32" s="21">
        <v>2844333</v>
      </c>
      <c r="FI32" s="21">
        <v>2967086</v>
      </c>
      <c r="FJ32" s="21">
        <v>3046399</v>
      </c>
      <c r="FK32" s="21">
        <v>3083000</v>
      </c>
      <c r="FL32" s="164">
        <v>3204084</v>
      </c>
      <c r="FM32" s="164">
        <v>3199000</v>
      </c>
      <c r="FR32" s="13"/>
    </row>
    <row r="33" spans="4:174" x14ac:dyDescent="0.25">
      <c r="D33" s="75" t="s">
        <v>108</v>
      </c>
      <c r="E33" s="2" t="s">
        <v>109</v>
      </c>
      <c r="L33" s="103">
        <v>64.98366</v>
      </c>
      <c r="M33" s="103">
        <v>74.250500000000002</v>
      </c>
      <c r="N33" s="103">
        <v>63.921999999999997</v>
      </c>
      <c r="O33" s="103"/>
      <c r="P33" s="103"/>
      <c r="Q33" s="103"/>
      <c r="R33" s="103"/>
      <c r="S33" s="91"/>
      <c r="Y33" s="103">
        <v>280.46660000000003</v>
      </c>
      <c r="Z33" s="103">
        <v>319.40600000000001</v>
      </c>
      <c r="AA33" s="103">
        <v>319.50599999999997</v>
      </c>
      <c r="AB33" s="103"/>
      <c r="AC33" s="103"/>
      <c r="AD33" s="103"/>
      <c r="AE33" s="104"/>
      <c r="AS33" s="91"/>
      <c r="BE33" s="13"/>
      <c r="BS33" s="91"/>
      <c r="CE33" s="13"/>
      <c r="CJ33" s="107"/>
      <c r="CS33" s="91"/>
      <c r="DE33" s="13"/>
      <c r="DF33" s="91"/>
      <c r="DR33" s="13"/>
      <c r="DS33" s="20"/>
      <c r="DT33" s="21"/>
      <c r="DU33" s="21"/>
      <c r="DV33" s="21"/>
      <c r="DW33" s="21"/>
      <c r="DX33" s="21"/>
      <c r="EE33" s="13"/>
      <c r="EF33" s="20">
        <v>6685</v>
      </c>
      <c r="EG33" s="21">
        <v>7220</v>
      </c>
      <c r="EH33" s="21">
        <v>17526</v>
      </c>
      <c r="EI33" s="21">
        <v>17450</v>
      </c>
      <c r="EJ33" s="21">
        <v>17753</v>
      </c>
      <c r="EK33" s="21">
        <f>6150+6985</f>
        <v>13135</v>
      </c>
      <c r="EL33" s="21">
        <f>6577+6118</f>
        <v>12695</v>
      </c>
      <c r="EM33" s="21">
        <v>17000</v>
      </c>
      <c r="EN33" s="21"/>
      <c r="EO33" s="21"/>
      <c r="EP33" s="21"/>
      <c r="EQ33" s="21"/>
      <c r="ER33" s="21"/>
      <c r="ES33" s="20">
        <v>202730</v>
      </c>
      <c r="ET33" s="21">
        <v>163341</v>
      </c>
      <c r="EU33" s="21">
        <v>344499</v>
      </c>
      <c r="EV33" s="21">
        <v>434244</v>
      </c>
      <c r="EW33" s="21">
        <v>430242</v>
      </c>
      <c r="EX33" s="21">
        <v>445000</v>
      </c>
      <c r="EY33" s="164">
        <v>328000</v>
      </c>
      <c r="EZ33" s="164">
        <v>451300</v>
      </c>
      <c r="FE33" s="13"/>
      <c r="FF33" s="20">
        <v>362715</v>
      </c>
      <c r="FG33" s="21">
        <v>431840</v>
      </c>
      <c r="FH33" s="21">
        <v>1144945</v>
      </c>
      <c r="FI33" s="21">
        <v>1158000</v>
      </c>
      <c r="FJ33" s="21">
        <v>1168396</v>
      </c>
      <c r="FK33" s="21">
        <f>331000+776000</f>
        <v>1107000</v>
      </c>
      <c r="FL33" s="164">
        <f>628189+304542</f>
        <v>932731</v>
      </c>
      <c r="FM33" s="164">
        <v>1106000</v>
      </c>
      <c r="FR33" s="13"/>
    </row>
    <row r="34" spans="4:174" x14ac:dyDescent="0.25">
      <c r="S34" s="91"/>
      <c r="AE34" s="13"/>
      <c r="AS34" s="91"/>
      <c r="BE34" s="13"/>
      <c r="BS34" s="91"/>
      <c r="CE34" s="13"/>
      <c r="CJ34" s="107"/>
      <c r="CS34" s="91"/>
      <c r="DE34" s="13"/>
      <c r="DF34" s="91"/>
      <c r="DR34" s="13"/>
      <c r="DS34" s="91"/>
      <c r="EE34" s="13"/>
      <c r="EF34" s="91"/>
      <c r="ER34" s="13"/>
      <c r="ES34" s="91"/>
      <c r="FE34" s="13"/>
      <c r="FF34" s="91"/>
      <c r="FR34" s="13"/>
    </row>
    <row r="35" spans="4:174" s="4" customFormat="1" ht="18.75" customHeight="1" x14ac:dyDescent="0.3">
      <c r="D35" s="92"/>
      <c r="E35" s="105" t="s">
        <v>53</v>
      </c>
      <c r="F35" s="97">
        <v>685.5</v>
      </c>
      <c r="G35" s="97">
        <v>479.2</v>
      </c>
      <c r="H35" s="97">
        <v>446.6</v>
      </c>
      <c r="I35" s="97">
        <v>630.4</v>
      </c>
      <c r="J35" s="97">
        <f>677.2</f>
        <v>677.2</v>
      </c>
      <c r="K35" s="97">
        <v>718</v>
      </c>
      <c r="L35" s="95">
        <f t="shared" ref="L35:R35" si="19">SUM(L36:L55)</f>
        <v>695.17090900000005</v>
      </c>
      <c r="M35" s="95">
        <f t="shared" si="19"/>
        <v>711.61500000000001</v>
      </c>
      <c r="N35" s="95">
        <f t="shared" si="19"/>
        <v>702.69299999999998</v>
      </c>
      <c r="O35" s="95">
        <f t="shared" si="19"/>
        <v>0</v>
      </c>
      <c r="P35" s="95">
        <f t="shared" si="19"/>
        <v>0</v>
      </c>
      <c r="Q35" s="95">
        <f t="shared" si="19"/>
        <v>0</v>
      </c>
      <c r="R35" s="95">
        <f t="shared" si="19"/>
        <v>0</v>
      </c>
      <c r="S35" s="99">
        <f>1399</f>
        <v>1399</v>
      </c>
      <c r="T35" s="97">
        <f>1390-25.4+5.3</f>
        <v>1369.8999999999999</v>
      </c>
      <c r="U35" s="97">
        <f>1444.6-6.8-33+5.1</f>
        <v>1409.8999999999999</v>
      </c>
      <c r="V35" s="97">
        <f>1562.9-23.9</f>
        <v>1539</v>
      </c>
      <c r="W35" s="97">
        <f>1491.6-18.3</f>
        <v>1473.3</v>
      </c>
      <c r="X35" s="97">
        <v>1494.4</v>
      </c>
      <c r="Y35" s="95">
        <f t="shared" ref="Y35:AE35" si="20">SUM(Y36:Y55)</f>
        <v>1483.1487540000001</v>
      </c>
      <c r="Z35" s="95">
        <f t="shared" si="20"/>
        <v>1482.0095999999999</v>
      </c>
      <c r="AA35" s="95">
        <f t="shared" si="20"/>
        <v>1495.4270000000001</v>
      </c>
      <c r="AB35" s="95">
        <f t="shared" si="20"/>
        <v>0</v>
      </c>
      <c r="AC35" s="95">
        <f t="shared" si="20"/>
        <v>0</v>
      </c>
      <c r="AD35" s="95">
        <f t="shared" si="20"/>
        <v>0</v>
      </c>
      <c r="AE35" s="96">
        <f t="shared" si="20"/>
        <v>0</v>
      </c>
      <c r="AF35" s="97"/>
      <c r="AG35" s="97"/>
      <c r="AH35" s="97"/>
      <c r="AI35" s="97"/>
      <c r="AJ35" s="97"/>
      <c r="AK35" s="97"/>
      <c r="AL35" s="97"/>
      <c r="AM35" s="97"/>
      <c r="AN35" s="97"/>
      <c r="AO35" s="97"/>
      <c r="AP35" s="97"/>
      <c r="AQ35" s="97"/>
      <c r="AR35" s="97"/>
      <c r="AS35" s="99"/>
      <c r="AT35" s="97"/>
      <c r="AU35" s="97"/>
      <c r="AV35" s="97"/>
      <c r="AW35" s="97"/>
      <c r="AX35" s="97"/>
      <c r="AY35" s="97"/>
      <c r="AZ35" s="97"/>
      <c r="BA35" s="97"/>
      <c r="BB35" s="97"/>
      <c r="BC35" s="97"/>
      <c r="BD35" s="97"/>
      <c r="BE35" s="100"/>
      <c r="BF35" s="97"/>
      <c r="BG35" s="97"/>
      <c r="BH35" s="97"/>
      <c r="BI35" s="97"/>
      <c r="BJ35" s="97"/>
      <c r="BK35" s="97"/>
      <c r="BL35" s="97"/>
      <c r="BM35" s="97"/>
      <c r="BN35" s="97"/>
      <c r="BO35" s="97"/>
      <c r="BP35" s="97"/>
      <c r="BQ35" s="97"/>
      <c r="BR35" s="97"/>
      <c r="BS35" s="99"/>
      <c r="BT35" s="97">
        <v>222.6</v>
      </c>
      <c r="BU35" s="97">
        <v>226.6</v>
      </c>
      <c r="BV35" s="97">
        <v>53</v>
      </c>
      <c r="BW35" s="97">
        <v>30</v>
      </c>
      <c r="BX35" s="97"/>
      <c r="BY35" s="97"/>
      <c r="BZ35" s="97"/>
      <c r="CA35" s="97"/>
      <c r="CB35" s="97"/>
      <c r="CC35" s="97"/>
      <c r="CD35" s="97"/>
      <c r="CE35" s="100"/>
      <c r="CF35" s="97"/>
      <c r="CG35" s="97"/>
      <c r="CH35" s="97"/>
      <c r="CI35" s="97"/>
      <c r="CJ35" s="97"/>
      <c r="CK35" s="97"/>
      <c r="CL35" s="97"/>
      <c r="CM35" s="97"/>
      <c r="CN35" s="97"/>
      <c r="CO35" s="97"/>
      <c r="CP35" s="97"/>
      <c r="CQ35" s="97"/>
      <c r="CR35" s="97"/>
      <c r="CS35" s="99"/>
      <c r="CT35" s="97"/>
      <c r="CU35" s="97"/>
      <c r="CV35" s="97"/>
      <c r="CW35" s="97"/>
      <c r="CX35" s="97"/>
      <c r="CY35" s="97"/>
      <c r="CZ35" s="97"/>
      <c r="DA35" s="97"/>
      <c r="DB35" s="97"/>
      <c r="DC35" s="97"/>
      <c r="DD35" s="97"/>
      <c r="DE35" s="100"/>
      <c r="DF35" s="99"/>
      <c r="DG35" s="97"/>
      <c r="DH35" s="97"/>
      <c r="DI35" s="97"/>
      <c r="DJ35" s="97"/>
      <c r="DK35" s="97"/>
      <c r="DL35" s="97"/>
      <c r="DM35" s="97"/>
      <c r="DN35" s="97"/>
      <c r="DO35" s="97"/>
      <c r="DP35" s="97"/>
      <c r="DQ35" s="97"/>
      <c r="DR35" s="100"/>
      <c r="DS35" s="108">
        <f t="shared" ref="DS35:EE35" si="21">SUM(DS36:DS55)</f>
        <v>1895043.8900000001</v>
      </c>
      <c r="DT35" s="108">
        <f t="shared" si="21"/>
        <v>1854608.2681637742</v>
      </c>
      <c r="DU35" s="108">
        <f t="shared" si="21"/>
        <v>1854469.5999999999</v>
      </c>
      <c r="DV35" s="108">
        <f t="shared" si="21"/>
        <v>1847285.9966666664</v>
      </c>
      <c r="DW35" s="108">
        <f t="shared" si="21"/>
        <v>1791486.2067735051</v>
      </c>
      <c r="DX35" s="108">
        <f t="shared" si="21"/>
        <v>1713778.3827839969</v>
      </c>
      <c r="DY35" s="108">
        <f t="shared" si="21"/>
        <v>1655443</v>
      </c>
      <c r="DZ35" s="108">
        <f t="shared" si="21"/>
        <v>1647967</v>
      </c>
      <c r="EA35" s="108">
        <f t="shared" si="21"/>
        <v>1647967</v>
      </c>
      <c r="EB35" s="108">
        <f t="shared" si="21"/>
        <v>0</v>
      </c>
      <c r="EC35" s="108">
        <f t="shared" si="21"/>
        <v>0</v>
      </c>
      <c r="ED35" s="108">
        <f t="shared" si="21"/>
        <v>0</v>
      </c>
      <c r="EE35" s="108">
        <f t="shared" si="21"/>
        <v>0</v>
      </c>
      <c r="EF35" s="99"/>
      <c r="EG35" s="97"/>
      <c r="EH35" s="97"/>
      <c r="EI35" s="97"/>
      <c r="EJ35" s="97"/>
      <c r="EK35" s="97"/>
      <c r="EL35" s="97"/>
      <c r="EM35" s="97"/>
      <c r="EN35" s="97"/>
      <c r="EO35" s="97"/>
      <c r="EP35" s="97"/>
      <c r="EQ35" s="97"/>
      <c r="ER35" s="100"/>
      <c r="ES35" s="108">
        <v>47762705</v>
      </c>
      <c r="ET35" s="108">
        <v>30802886</v>
      </c>
      <c r="EU35" s="108">
        <v>30076033</v>
      </c>
      <c r="EV35" s="108">
        <v>39635856</v>
      </c>
      <c r="EW35" s="108">
        <v>42961260</v>
      </c>
      <c r="EX35" s="108">
        <f>SUM(EX36:EX55)</f>
        <v>48830000</v>
      </c>
      <c r="EY35" s="108">
        <f>SUM(EY36:EY55)</f>
        <v>48440000</v>
      </c>
      <c r="EZ35" s="108">
        <f>SUM(EZ37:EZ55)</f>
        <v>48400000</v>
      </c>
      <c r="FA35" s="108">
        <f>SUM(FA36:FA55)</f>
        <v>0</v>
      </c>
      <c r="FB35" s="108">
        <f>SUM(FB36:FB55)</f>
        <v>0</v>
      </c>
      <c r="FC35" s="108">
        <f>SUM(FC36:FC55)</f>
        <v>0</v>
      </c>
      <c r="FD35" s="108">
        <f>SUM(FD36:FD55)</f>
        <v>0</v>
      </c>
      <c r="FE35" s="100"/>
      <c r="FF35" s="99"/>
      <c r="FG35" s="97"/>
      <c r="FH35" s="97"/>
      <c r="FI35" s="97"/>
      <c r="FJ35" s="97"/>
      <c r="FK35" s="97"/>
      <c r="FL35" s="97"/>
      <c r="FM35" s="97"/>
      <c r="FN35" s="97"/>
      <c r="FO35" s="97"/>
      <c r="FP35" s="97"/>
      <c r="FQ35" s="97"/>
      <c r="FR35" s="100"/>
    </row>
    <row r="36" spans="4:174" x14ac:dyDescent="0.25">
      <c r="D36" s="75" t="s">
        <v>72</v>
      </c>
      <c r="E36" s="2" t="s">
        <v>73</v>
      </c>
      <c r="L36" s="103">
        <v>4.0755340000000002</v>
      </c>
      <c r="M36" s="103">
        <v>4.7130000000000001</v>
      </c>
      <c r="N36" s="103">
        <v>4.0540000000000003</v>
      </c>
      <c r="O36" s="103"/>
      <c r="P36" s="103"/>
      <c r="Q36" s="103"/>
      <c r="R36" s="103"/>
      <c r="S36" s="91"/>
      <c r="Y36" s="103">
        <v>19.125920000000001</v>
      </c>
      <c r="Z36" s="103">
        <v>19.251999999999999</v>
      </c>
      <c r="AA36" s="103">
        <v>19.981999999999999</v>
      </c>
      <c r="AB36" s="103"/>
      <c r="AC36" s="103"/>
      <c r="AD36" s="103"/>
      <c r="AE36" s="104"/>
      <c r="AS36" s="91"/>
      <c r="BE36" s="13"/>
      <c r="BS36" s="91"/>
      <c r="CE36" s="13"/>
      <c r="CS36" s="91"/>
      <c r="DE36" s="13"/>
      <c r="DF36" s="91"/>
      <c r="DR36" s="13"/>
      <c r="DS36" s="20">
        <v>20142.060000000001</v>
      </c>
      <c r="DT36" s="21">
        <v>20567.9433333333</v>
      </c>
      <c r="DU36" s="21">
        <v>21736.32</v>
      </c>
      <c r="DV36" s="21">
        <v>22423.803333333301</v>
      </c>
      <c r="DW36" s="21">
        <v>23696.900678392001</v>
      </c>
      <c r="DX36" s="21">
        <v>23506.0566666667</v>
      </c>
      <c r="DY36" s="21">
        <v>20965</v>
      </c>
      <c r="DZ36" s="21">
        <v>20639</v>
      </c>
      <c r="EA36" s="21">
        <v>20639</v>
      </c>
      <c r="EB36" s="21"/>
      <c r="EC36" s="21"/>
      <c r="ED36" s="21"/>
      <c r="EE36" s="21"/>
      <c r="EF36" s="20"/>
      <c r="EG36" s="21"/>
      <c r="EH36" s="21"/>
      <c r="EI36" s="21"/>
      <c r="EJ36" s="21"/>
      <c r="EK36" s="21"/>
      <c r="ER36" s="13"/>
      <c r="ES36" s="20"/>
      <c r="ET36" s="21"/>
      <c r="EU36" s="21"/>
      <c r="EV36" s="21"/>
      <c r="EW36" s="21"/>
      <c r="EX36" s="21">
        <v>148000</v>
      </c>
      <c r="EY36" s="165">
        <v>120000</v>
      </c>
      <c r="FE36" s="13"/>
      <c r="FF36" s="20"/>
      <c r="FG36" s="21"/>
      <c r="FH36" s="21"/>
      <c r="FI36" s="21"/>
      <c r="FJ36" s="21"/>
      <c r="FK36" s="21"/>
      <c r="FR36" s="13"/>
    </row>
    <row r="37" spans="4:174" x14ac:dyDescent="0.25">
      <c r="D37" s="75" t="s">
        <v>74</v>
      </c>
      <c r="E37" s="2" t="s">
        <v>75</v>
      </c>
      <c r="L37" s="103">
        <v>2.5423070000000001</v>
      </c>
      <c r="M37" s="103">
        <v>2.2189999999999999</v>
      </c>
      <c r="N37" s="103">
        <v>2.5129999999999999</v>
      </c>
      <c r="O37" s="103"/>
      <c r="P37" s="103"/>
      <c r="Q37" s="103"/>
      <c r="R37" s="103"/>
      <c r="S37" s="91"/>
      <c r="Y37" s="103">
        <v>9.0798670000000001</v>
      </c>
      <c r="Z37" s="103">
        <v>9.7680000000000007</v>
      </c>
      <c r="AA37" s="103">
        <v>9.5709999999999997</v>
      </c>
      <c r="AB37" s="103"/>
      <c r="AC37" s="103"/>
      <c r="AD37" s="103"/>
      <c r="AE37" s="104"/>
      <c r="AS37" s="91"/>
      <c r="BE37" s="13"/>
      <c r="BS37" s="91"/>
      <c r="CE37" s="13"/>
      <c r="CS37" s="91"/>
      <c r="DE37" s="13"/>
      <c r="DF37" s="91"/>
      <c r="DR37" s="13"/>
      <c r="DS37" s="20">
        <v>7246</v>
      </c>
      <c r="DT37" s="21">
        <v>9953.1999998763295</v>
      </c>
      <c r="DU37" s="21">
        <v>10281.15</v>
      </c>
      <c r="DV37" s="21">
        <v>10175.370000000001</v>
      </c>
      <c r="DW37" s="21">
        <v>13278.905473455499</v>
      </c>
      <c r="DX37" s="21">
        <v>12766.8253846154</v>
      </c>
      <c r="DY37" s="21">
        <v>9771</v>
      </c>
      <c r="DZ37" s="21">
        <v>9490</v>
      </c>
      <c r="EA37" s="21">
        <v>9490</v>
      </c>
      <c r="EB37" s="21"/>
      <c r="EC37" s="21"/>
      <c r="ED37" s="21"/>
      <c r="EE37" s="21"/>
      <c r="EF37" s="20"/>
      <c r="EG37" s="21"/>
      <c r="EH37" s="21"/>
      <c r="EI37" s="21"/>
      <c r="EJ37" s="21"/>
      <c r="EK37" s="21"/>
      <c r="ER37" s="13"/>
      <c r="ES37" s="20"/>
      <c r="ET37" s="21"/>
      <c r="EU37" s="21"/>
      <c r="EV37" s="21"/>
      <c r="EW37" s="21"/>
      <c r="EX37" s="21">
        <v>152000</v>
      </c>
      <c r="EY37" s="165">
        <v>149000</v>
      </c>
      <c r="FE37" s="13"/>
      <c r="FF37" s="20"/>
      <c r="FG37" s="21"/>
      <c r="FH37" s="21"/>
      <c r="FI37" s="21"/>
      <c r="FJ37" s="21"/>
      <c r="FK37" s="21"/>
      <c r="FR37" s="13"/>
    </row>
    <row r="38" spans="4:174" x14ac:dyDescent="0.25">
      <c r="D38" s="75" t="s">
        <v>76</v>
      </c>
      <c r="E38" s="2" t="s">
        <v>77</v>
      </c>
      <c r="L38" s="103">
        <v>6.5167970000000004</v>
      </c>
      <c r="M38" s="103">
        <v>7.6539999999999999</v>
      </c>
      <c r="N38" s="103">
        <v>6.1280000000000001</v>
      </c>
      <c r="O38" s="103"/>
      <c r="P38" s="103"/>
      <c r="Q38" s="103"/>
      <c r="R38" s="103"/>
      <c r="S38" s="91"/>
      <c r="Y38" s="103">
        <v>52.916460000000001</v>
      </c>
      <c r="Z38" s="103">
        <v>53.381999999999998</v>
      </c>
      <c r="AA38" s="103">
        <v>55.456000000000003</v>
      </c>
      <c r="AB38" s="103"/>
      <c r="AC38" s="103"/>
      <c r="AD38" s="103"/>
      <c r="AE38" s="104"/>
      <c r="AS38" s="91"/>
      <c r="BE38" s="13"/>
      <c r="BS38" s="91"/>
      <c r="CE38" s="13"/>
      <c r="CS38" s="91"/>
      <c r="DE38" s="13"/>
      <c r="DF38" s="91"/>
      <c r="DR38" s="13"/>
      <c r="DS38" s="20">
        <v>67504.820000000007</v>
      </c>
      <c r="DT38" s="21">
        <v>68143.424833259996</v>
      </c>
      <c r="DU38" s="21">
        <v>68370.78</v>
      </c>
      <c r="DV38" s="21">
        <v>67413.539999999994</v>
      </c>
      <c r="DW38" s="21">
        <v>59885.4429636364</v>
      </c>
      <c r="DX38" s="21">
        <v>54018.92</v>
      </c>
      <c r="DY38" s="21">
        <v>54948</v>
      </c>
      <c r="DZ38" s="21">
        <v>54953</v>
      </c>
      <c r="EA38" s="21">
        <v>54953</v>
      </c>
      <c r="EB38" s="21"/>
      <c r="EC38" s="21"/>
      <c r="ED38" s="21"/>
      <c r="EE38" s="21"/>
      <c r="EF38" s="20"/>
      <c r="EG38" s="21"/>
      <c r="EH38" s="21"/>
      <c r="EI38" s="21"/>
      <c r="EJ38" s="21"/>
      <c r="EK38" s="21"/>
      <c r="ER38" s="13"/>
      <c r="ES38" s="20"/>
      <c r="ET38" s="21"/>
      <c r="EU38" s="21"/>
      <c r="EV38" s="21"/>
      <c r="EW38" s="21"/>
      <c r="EX38" s="21">
        <v>879000</v>
      </c>
      <c r="EY38" s="165">
        <v>891000</v>
      </c>
      <c r="FE38" s="13"/>
      <c r="FF38" s="20"/>
      <c r="FG38" s="21"/>
      <c r="FH38" s="21"/>
      <c r="FI38" s="21"/>
      <c r="FJ38" s="21"/>
      <c r="FK38" s="21"/>
      <c r="FR38" s="13"/>
    </row>
    <row r="39" spans="4:174" x14ac:dyDescent="0.25">
      <c r="D39" s="75" t="s">
        <v>78</v>
      </c>
      <c r="E39" s="2" t="s">
        <v>79</v>
      </c>
      <c r="L39" s="103">
        <v>3.4252999999999999E-2</v>
      </c>
      <c r="M39" s="103">
        <v>0.14299999999999999</v>
      </c>
      <c r="N39" s="103">
        <v>0.128</v>
      </c>
      <c r="O39" s="103"/>
      <c r="P39" s="103"/>
      <c r="Q39" s="103"/>
      <c r="R39" s="103"/>
      <c r="S39" s="91"/>
      <c r="Y39" s="103">
        <v>8.8479799999999997</v>
      </c>
      <c r="Z39" s="103">
        <v>9.3040000000000003</v>
      </c>
      <c r="AA39" s="103">
        <v>9.7240000000000002</v>
      </c>
      <c r="AB39" s="103"/>
      <c r="AC39" s="103"/>
      <c r="AD39" s="103"/>
      <c r="AE39" s="104"/>
      <c r="AS39" s="91"/>
      <c r="BE39" s="13"/>
      <c r="BS39" s="91"/>
      <c r="CE39" s="13"/>
      <c r="CS39" s="91"/>
      <c r="DE39" s="13"/>
      <c r="DF39" s="91"/>
      <c r="DR39" s="13"/>
      <c r="DS39" s="20">
        <v>39526.15</v>
      </c>
      <c r="DT39" s="21">
        <v>28975.733333500699</v>
      </c>
      <c r="DU39" s="21">
        <v>28982.83</v>
      </c>
      <c r="DV39" s="21">
        <v>27467.45</v>
      </c>
      <c r="DW39" s="21">
        <v>26009.850470085501</v>
      </c>
      <c r="DX39" s="21">
        <v>17464.61</v>
      </c>
      <c r="DY39" s="21">
        <v>8850</v>
      </c>
      <c r="DZ39" s="21">
        <v>8491</v>
      </c>
      <c r="EA39" s="21">
        <v>8491</v>
      </c>
      <c r="EB39" s="21"/>
      <c r="EC39" s="21"/>
      <c r="ED39" s="21"/>
      <c r="EE39" s="21"/>
      <c r="EF39" s="20"/>
      <c r="EG39" s="21"/>
      <c r="EH39" s="21"/>
      <c r="EI39" s="21"/>
      <c r="EJ39" s="21"/>
      <c r="EK39" s="21"/>
      <c r="ER39" s="13"/>
      <c r="ES39" s="20"/>
      <c r="ET39" s="21"/>
      <c r="EU39" s="21"/>
      <c r="EV39" s="21"/>
      <c r="EW39" s="21"/>
      <c r="EX39" s="21">
        <v>261000</v>
      </c>
      <c r="EY39" s="165">
        <v>182000</v>
      </c>
      <c r="FE39" s="13"/>
      <c r="FF39" s="20"/>
      <c r="FG39" s="21"/>
      <c r="FH39" s="21"/>
      <c r="FI39" s="21"/>
      <c r="FJ39" s="21"/>
      <c r="FK39" s="21"/>
      <c r="FR39" s="13"/>
    </row>
    <row r="40" spans="4:174" x14ac:dyDescent="0.25">
      <c r="D40" s="75" t="s">
        <v>80</v>
      </c>
      <c r="E40" s="2" t="s">
        <v>81</v>
      </c>
      <c r="L40" s="103">
        <v>12.68751</v>
      </c>
      <c r="M40" s="103">
        <v>16.882999999999999</v>
      </c>
      <c r="N40" s="103">
        <v>12.391999999999999</v>
      </c>
      <c r="O40" s="103"/>
      <c r="P40" s="103"/>
      <c r="Q40" s="103"/>
      <c r="R40" s="103"/>
      <c r="S40" s="91"/>
      <c r="Y40" s="103">
        <v>58.955080000000002</v>
      </c>
      <c r="Z40" s="103">
        <v>62.41</v>
      </c>
      <c r="AA40" s="103">
        <v>64.897999999999996</v>
      </c>
      <c r="AB40" s="103"/>
      <c r="AC40" s="103"/>
      <c r="AD40" s="103"/>
      <c r="AE40" s="104"/>
      <c r="AS40" s="91"/>
      <c r="BE40" s="13"/>
      <c r="BS40" s="91"/>
      <c r="CE40" s="13"/>
      <c r="CS40" s="91"/>
      <c r="DE40" s="13"/>
      <c r="DF40" s="91"/>
      <c r="DR40" s="13"/>
      <c r="DS40" s="20">
        <v>71986.27</v>
      </c>
      <c r="DT40" s="21">
        <v>79663.479999942705</v>
      </c>
      <c r="DU40" s="21">
        <v>82991.37</v>
      </c>
      <c r="DV40" s="21">
        <v>83603.259999999995</v>
      </c>
      <c r="DW40" s="21">
        <v>82411.870290528794</v>
      </c>
      <c r="DX40" s="21">
        <v>76528.622105263203</v>
      </c>
      <c r="DY40" s="21">
        <v>70258</v>
      </c>
      <c r="DZ40" s="21">
        <v>68834</v>
      </c>
      <c r="EA40" s="21">
        <v>68834</v>
      </c>
      <c r="EB40" s="21"/>
      <c r="EC40" s="21"/>
      <c r="ED40" s="21"/>
      <c r="EE40" s="21"/>
      <c r="EF40" s="20"/>
      <c r="EG40" s="21"/>
      <c r="EH40" s="21"/>
      <c r="EI40" s="21"/>
      <c r="EJ40" s="21"/>
      <c r="EK40" s="21"/>
      <c r="ER40" s="13"/>
      <c r="ES40" s="20"/>
      <c r="ET40" s="21"/>
      <c r="EU40" s="21"/>
      <c r="EV40" s="21"/>
      <c r="EW40" s="21"/>
      <c r="EX40" s="21">
        <v>1571000</v>
      </c>
      <c r="EY40" s="165">
        <v>1497000</v>
      </c>
      <c r="FE40" s="13"/>
      <c r="FF40" s="20"/>
      <c r="FG40" s="21"/>
      <c r="FH40" s="21"/>
      <c r="FI40" s="21"/>
      <c r="FJ40" s="21"/>
      <c r="FK40" s="21"/>
      <c r="FR40" s="13"/>
    </row>
    <row r="41" spans="4:174" x14ac:dyDescent="0.25">
      <c r="D41" s="75" t="s">
        <v>82</v>
      </c>
      <c r="E41" s="2" t="s">
        <v>83</v>
      </c>
      <c r="L41" s="103">
        <v>1.4999999999999999E-4</v>
      </c>
      <c r="M41" s="103">
        <v>1.2E-2</v>
      </c>
      <c r="N41" s="103">
        <v>0</v>
      </c>
      <c r="O41" s="103"/>
      <c r="P41" s="103"/>
      <c r="Q41" s="103"/>
      <c r="R41" s="103"/>
      <c r="S41" s="91"/>
      <c r="Y41" s="103">
        <v>16.618819999999999</v>
      </c>
      <c r="Z41" s="103">
        <v>17.507999999999999</v>
      </c>
      <c r="AA41" s="103">
        <v>17.155999999999999</v>
      </c>
      <c r="AB41" s="103"/>
      <c r="AC41" s="103"/>
      <c r="AD41" s="103"/>
      <c r="AE41" s="104"/>
      <c r="AS41" s="91"/>
      <c r="BE41" s="13"/>
      <c r="BS41" s="91"/>
      <c r="CE41" s="13"/>
      <c r="CS41" s="91"/>
      <c r="DE41" s="13"/>
      <c r="DF41" s="91"/>
      <c r="DR41" s="13"/>
      <c r="DS41" s="20">
        <v>20374.75</v>
      </c>
      <c r="DT41" s="21">
        <v>21047.039999996701</v>
      </c>
      <c r="DU41" s="21">
        <v>21103.87</v>
      </c>
      <c r="DV41" s="21">
        <v>21273.3733333333</v>
      </c>
      <c r="DW41" s="21">
        <v>20482.63</v>
      </c>
      <c r="DX41" s="21">
        <v>20530.38</v>
      </c>
      <c r="DY41" s="21">
        <v>18432</v>
      </c>
      <c r="DZ41" s="21">
        <v>17027</v>
      </c>
      <c r="EA41" s="21">
        <v>17027</v>
      </c>
      <c r="EB41" s="21"/>
      <c r="EC41" s="21"/>
      <c r="ED41" s="21"/>
      <c r="EE41" s="21"/>
      <c r="EF41" s="20"/>
      <c r="EG41" s="21"/>
      <c r="EH41" s="21"/>
      <c r="EI41" s="21"/>
      <c r="EJ41" s="21"/>
      <c r="EK41" s="21"/>
      <c r="ER41" s="13"/>
      <c r="ES41" s="20"/>
      <c r="ET41" s="21"/>
      <c r="EU41" s="21"/>
      <c r="EV41" s="21"/>
      <c r="EW41" s="21"/>
      <c r="EX41" s="21">
        <v>166000</v>
      </c>
      <c r="EY41" s="165">
        <v>146000</v>
      </c>
      <c r="FE41" s="13"/>
      <c r="FF41" s="20"/>
      <c r="FG41" s="21"/>
      <c r="FH41" s="21"/>
      <c r="FI41" s="21"/>
      <c r="FJ41" s="21"/>
      <c r="FK41" s="21"/>
      <c r="FR41" s="13"/>
    </row>
    <row r="42" spans="4:174" x14ac:dyDescent="0.25">
      <c r="D42" s="75" t="s">
        <v>84</v>
      </c>
      <c r="E42" s="2" t="s">
        <v>85</v>
      </c>
      <c r="L42" s="103">
        <v>0</v>
      </c>
      <c r="M42" s="103">
        <v>3.0000000000000001E-3</v>
      </c>
      <c r="N42" s="103">
        <v>0</v>
      </c>
      <c r="O42" s="103"/>
      <c r="P42" s="103"/>
      <c r="Q42" s="103"/>
      <c r="R42" s="103"/>
      <c r="S42" s="91"/>
      <c r="Y42" s="103">
        <v>6.5289580000000003</v>
      </c>
      <c r="Z42" s="103">
        <v>7.2590000000000003</v>
      </c>
      <c r="AA42" s="103">
        <v>7.133</v>
      </c>
      <c r="AB42" s="103"/>
      <c r="AC42" s="103"/>
      <c r="AD42" s="103"/>
      <c r="AE42" s="104"/>
      <c r="AS42" s="91"/>
      <c r="BE42" s="13"/>
      <c r="BS42" s="91"/>
      <c r="CE42" s="13"/>
      <c r="CS42" s="91"/>
      <c r="DE42" s="13"/>
      <c r="DF42" s="91"/>
      <c r="DR42" s="13"/>
      <c r="DS42" s="20">
        <v>9849.52</v>
      </c>
      <c r="DT42" s="21">
        <v>9907.81</v>
      </c>
      <c r="DU42" s="21">
        <v>10098.950000000001</v>
      </c>
      <c r="DV42" s="21">
        <v>10254.756666666701</v>
      </c>
      <c r="DW42" s="21">
        <v>8873.6542159383007</v>
      </c>
      <c r="DX42" s="21">
        <v>6572.97</v>
      </c>
      <c r="DY42" s="21">
        <v>5570</v>
      </c>
      <c r="DZ42" s="21">
        <v>5898</v>
      </c>
      <c r="EA42" s="21">
        <v>5898</v>
      </c>
      <c r="EB42" s="21"/>
      <c r="EC42" s="21"/>
      <c r="ED42" s="21"/>
      <c r="EE42" s="21"/>
      <c r="EF42" s="20"/>
      <c r="EG42" s="21"/>
      <c r="EH42" s="21"/>
      <c r="EI42" s="21"/>
      <c r="EJ42" s="21"/>
      <c r="EK42" s="21"/>
      <c r="ER42" s="13"/>
      <c r="ES42" s="20"/>
      <c r="ET42" s="21"/>
      <c r="EU42" s="21"/>
      <c r="EV42" s="21"/>
      <c r="EW42" s="21"/>
      <c r="FE42" s="13"/>
      <c r="FF42" s="20"/>
      <c r="FG42" s="21"/>
      <c r="FH42" s="21"/>
      <c r="FI42" s="21"/>
      <c r="FJ42" s="21"/>
      <c r="FK42" s="21"/>
      <c r="FR42" s="13"/>
    </row>
    <row r="43" spans="4:174" x14ac:dyDescent="0.25">
      <c r="D43" s="75" t="s">
        <v>86</v>
      </c>
      <c r="E43" s="2" t="s">
        <v>87</v>
      </c>
      <c r="L43" s="103">
        <v>1.6776960000000001</v>
      </c>
      <c r="M43" s="103">
        <v>1.794</v>
      </c>
      <c r="N43" s="103">
        <v>1.66</v>
      </c>
      <c r="O43" s="103"/>
      <c r="P43" s="103"/>
      <c r="Q43" s="103"/>
      <c r="R43" s="103"/>
      <c r="S43" s="91"/>
      <c r="Y43" s="103">
        <v>30.379549999999998</v>
      </c>
      <c r="Z43" s="103">
        <v>28.719000000000001</v>
      </c>
      <c r="AA43" s="103">
        <v>28.895</v>
      </c>
      <c r="AB43" s="103"/>
      <c r="AC43" s="103"/>
      <c r="AD43" s="103"/>
      <c r="AE43" s="104"/>
      <c r="AS43" s="91"/>
      <c r="BE43" s="13"/>
      <c r="BS43" s="91"/>
      <c r="CE43" s="13"/>
      <c r="CS43" s="91"/>
      <c r="DE43" s="13"/>
      <c r="DF43" s="91"/>
      <c r="DR43" s="13"/>
      <c r="DS43" s="20">
        <v>23548.17</v>
      </c>
      <c r="DT43" s="21">
        <v>27097.5500000797</v>
      </c>
      <c r="DU43" s="21">
        <v>29586.79</v>
      </c>
      <c r="DV43" s="21">
        <v>30892.3533333333</v>
      </c>
      <c r="DW43" s="21">
        <v>33387.867309771304</v>
      </c>
      <c r="DX43" s="21">
        <v>33660.916666666701</v>
      </c>
      <c r="DY43" s="21">
        <v>30168</v>
      </c>
      <c r="DZ43" s="21">
        <v>28451</v>
      </c>
      <c r="EA43" s="21">
        <v>28451</v>
      </c>
      <c r="EB43" s="21"/>
      <c r="EC43" s="21"/>
      <c r="ED43" s="21"/>
      <c r="EE43" s="21"/>
      <c r="EF43" s="20"/>
      <c r="EG43" s="21"/>
      <c r="EH43" s="21"/>
      <c r="EI43" s="21"/>
      <c r="EJ43" s="21"/>
      <c r="EK43" s="21"/>
      <c r="ER43" s="13"/>
      <c r="ES43" s="20"/>
      <c r="ET43" s="21"/>
      <c r="EU43" s="21"/>
      <c r="EV43" s="21"/>
      <c r="EW43" s="21"/>
      <c r="EX43" s="21">
        <v>64000</v>
      </c>
      <c r="EY43" s="165">
        <v>60000</v>
      </c>
      <c r="FE43" s="13"/>
      <c r="FF43" s="20"/>
      <c r="FG43" s="21"/>
      <c r="FH43" s="21"/>
      <c r="FI43" s="21"/>
      <c r="FJ43" s="21"/>
      <c r="FK43" s="21"/>
      <c r="FR43" s="13"/>
    </row>
    <row r="44" spans="4:174" x14ac:dyDescent="0.25">
      <c r="D44" s="75" t="s">
        <v>88</v>
      </c>
      <c r="E44" s="2" t="s">
        <v>89</v>
      </c>
      <c r="L44" s="103">
        <v>1.6784539999999999</v>
      </c>
      <c r="M44" s="103">
        <v>1.6839999999999999</v>
      </c>
      <c r="N44" s="103">
        <v>1.758</v>
      </c>
      <c r="O44" s="103"/>
      <c r="P44" s="103"/>
      <c r="Q44" s="103"/>
      <c r="R44" s="103"/>
      <c r="S44" s="91"/>
      <c r="Y44" s="103">
        <v>10.236409999999999</v>
      </c>
      <c r="Z44" s="103">
        <v>10.206</v>
      </c>
      <c r="AA44" s="103">
        <v>10.72</v>
      </c>
      <c r="AB44" s="103"/>
      <c r="AC44" s="103"/>
      <c r="AD44" s="103"/>
      <c r="AE44" s="104"/>
      <c r="AS44" s="91"/>
      <c r="BE44" s="13"/>
      <c r="BS44" s="91"/>
      <c r="CE44" s="13"/>
      <c r="CS44" s="91"/>
      <c r="DE44" s="13"/>
      <c r="DF44" s="91"/>
      <c r="DR44" s="13"/>
      <c r="DS44" s="20">
        <v>9426.8700000000008</v>
      </c>
      <c r="DT44" s="21">
        <v>10145.4166666703</v>
      </c>
      <c r="DU44" s="21">
        <v>10198.61</v>
      </c>
      <c r="DV44" s="21">
        <v>9972.1200000000008</v>
      </c>
      <c r="DW44" s="21">
        <v>11755.2483383992</v>
      </c>
      <c r="DX44" s="21">
        <v>11632.1864705882</v>
      </c>
      <c r="DY44" s="21">
        <v>9723</v>
      </c>
      <c r="DZ44" s="21">
        <v>9786</v>
      </c>
      <c r="EA44" s="21">
        <v>9786</v>
      </c>
      <c r="EB44" s="21"/>
      <c r="EC44" s="21"/>
      <c r="ED44" s="21"/>
      <c r="EE44" s="21"/>
      <c r="EF44" s="20"/>
      <c r="EG44" s="21"/>
      <c r="EH44" s="21"/>
      <c r="EI44" s="21"/>
      <c r="EJ44" s="21"/>
      <c r="EK44" s="21"/>
      <c r="ER44" s="13"/>
      <c r="ES44" s="20"/>
      <c r="ET44" s="21"/>
      <c r="EU44" s="21"/>
      <c r="EV44" s="21"/>
      <c r="EW44" s="21"/>
      <c r="EX44" s="21">
        <v>122000</v>
      </c>
      <c r="EY44" s="165">
        <v>106000</v>
      </c>
      <c r="FE44" s="13"/>
      <c r="FF44" s="20"/>
      <c r="FG44" s="21"/>
      <c r="FH44" s="21"/>
      <c r="FI44" s="21"/>
      <c r="FJ44" s="21"/>
      <c r="FK44" s="21"/>
      <c r="FR44" s="13"/>
    </row>
    <row r="45" spans="4:174" x14ac:dyDescent="0.25">
      <c r="D45" s="75" t="s">
        <v>90</v>
      </c>
      <c r="E45" s="2" t="s">
        <v>91</v>
      </c>
      <c r="L45" s="103">
        <v>23.868110000000001</v>
      </c>
      <c r="M45" s="103">
        <v>26.92</v>
      </c>
      <c r="N45" s="103">
        <v>23.89</v>
      </c>
      <c r="O45" s="103"/>
      <c r="P45" s="103"/>
      <c r="Q45" s="103"/>
      <c r="R45" s="103"/>
      <c r="S45" s="91"/>
      <c r="Y45" s="103">
        <v>96.72475</v>
      </c>
      <c r="Z45" s="103">
        <v>96.834999999999994</v>
      </c>
      <c r="AA45" s="103">
        <v>97.221000000000004</v>
      </c>
      <c r="AB45" s="103"/>
      <c r="AC45" s="103"/>
      <c r="AD45" s="103"/>
      <c r="AE45" s="104"/>
      <c r="AS45" s="91"/>
      <c r="BE45" s="13"/>
      <c r="BS45" s="91"/>
      <c r="CE45" s="13"/>
      <c r="CS45" s="91"/>
      <c r="DE45" s="13"/>
      <c r="DF45" s="91"/>
      <c r="DR45" s="13"/>
      <c r="DS45" s="20">
        <v>121777.87</v>
      </c>
      <c r="DT45" s="21">
        <v>123381.329999134</v>
      </c>
      <c r="DU45" s="21">
        <v>122876.14</v>
      </c>
      <c r="DV45" s="21">
        <v>122435.183333333</v>
      </c>
      <c r="DW45" s="21">
        <v>122235.070669958</v>
      </c>
      <c r="DX45" s="21">
        <v>118466.55</v>
      </c>
      <c r="DY45" s="21">
        <v>111644</v>
      </c>
      <c r="DZ45" s="21">
        <v>110235</v>
      </c>
      <c r="EA45" s="21">
        <v>110235</v>
      </c>
      <c r="EB45" s="21"/>
      <c r="EC45" s="21"/>
      <c r="ED45" s="21"/>
      <c r="EE45" s="21"/>
      <c r="EF45" s="20"/>
      <c r="EG45" s="21"/>
      <c r="EH45" s="21"/>
      <c r="EI45" s="21"/>
      <c r="EJ45" s="21"/>
      <c r="EK45" s="21"/>
      <c r="ER45" s="13"/>
      <c r="ES45" s="20"/>
      <c r="ET45" s="21"/>
      <c r="EU45" s="21"/>
      <c r="EV45" s="21"/>
      <c r="EW45" s="21"/>
      <c r="EX45" s="21">
        <v>2795000</v>
      </c>
      <c r="EY45" s="165">
        <v>2743000</v>
      </c>
      <c r="FE45" s="13"/>
      <c r="FF45" s="20"/>
      <c r="FG45" s="21"/>
      <c r="FH45" s="21"/>
      <c r="FI45" s="21"/>
      <c r="FJ45" s="21"/>
      <c r="FK45" s="21"/>
      <c r="FR45" s="13"/>
    </row>
    <row r="46" spans="4:174" x14ac:dyDescent="0.25">
      <c r="D46" s="75" t="s">
        <v>92</v>
      </c>
      <c r="E46" s="2" t="s">
        <v>93</v>
      </c>
      <c r="L46" s="103">
        <v>2.6590289999999999</v>
      </c>
      <c r="M46" s="103">
        <v>3.1970000000000001</v>
      </c>
      <c r="N46" s="103">
        <v>3.0150000000000001</v>
      </c>
      <c r="O46" s="103"/>
      <c r="P46" s="103"/>
      <c r="Q46" s="103"/>
      <c r="R46" s="103"/>
      <c r="S46" s="91"/>
      <c r="Y46" s="103">
        <v>26.859729999999999</v>
      </c>
      <c r="Z46" s="103">
        <v>27.417999999999999</v>
      </c>
      <c r="AA46" s="103">
        <v>28.128</v>
      </c>
      <c r="AB46" s="103"/>
      <c r="AC46" s="103"/>
      <c r="AD46" s="103"/>
      <c r="AE46" s="104"/>
      <c r="AS46" s="91"/>
      <c r="BE46" s="13"/>
      <c r="BS46" s="91"/>
      <c r="CE46" s="13"/>
      <c r="CS46" s="91"/>
      <c r="DE46" s="13"/>
      <c r="DF46" s="91"/>
      <c r="DR46" s="13"/>
      <c r="DS46" s="20">
        <v>34661.4</v>
      </c>
      <c r="DT46" s="21">
        <v>33935.730000000003</v>
      </c>
      <c r="DU46" s="21">
        <v>31721.25</v>
      </c>
      <c r="DV46" s="21">
        <v>32164.41</v>
      </c>
      <c r="DW46" s="21">
        <v>31190.008795918398</v>
      </c>
      <c r="DX46" s="21">
        <v>31417.48</v>
      </c>
      <c r="DY46" s="21">
        <v>29959</v>
      </c>
      <c r="DZ46" s="21">
        <v>30280</v>
      </c>
      <c r="EA46" s="21">
        <v>30280</v>
      </c>
      <c r="EB46" s="21"/>
      <c r="EC46" s="21"/>
      <c r="ED46" s="21"/>
      <c r="EE46" s="21"/>
      <c r="EF46" s="20"/>
      <c r="EG46" s="21"/>
      <c r="EH46" s="21"/>
      <c r="EI46" s="21"/>
      <c r="EJ46" s="21"/>
      <c r="EK46" s="21"/>
      <c r="ER46" s="13"/>
      <c r="ES46" s="20"/>
      <c r="ET46" s="21"/>
      <c r="EU46" s="21"/>
      <c r="EV46" s="21"/>
      <c r="EW46" s="21"/>
      <c r="EX46" s="21">
        <v>297000</v>
      </c>
      <c r="EY46" s="165">
        <v>257000</v>
      </c>
      <c r="FE46" s="13"/>
      <c r="FF46" s="20"/>
      <c r="FG46" s="21"/>
      <c r="FH46" s="21"/>
      <c r="FI46" s="21"/>
      <c r="FJ46" s="21"/>
      <c r="FK46" s="21"/>
      <c r="FR46" s="13"/>
    </row>
    <row r="47" spans="4:174" x14ac:dyDescent="0.25">
      <c r="D47" s="75" t="s">
        <v>94</v>
      </c>
      <c r="E47" s="2" t="s">
        <v>95</v>
      </c>
      <c r="L47" s="103">
        <v>15.224869999999999</v>
      </c>
      <c r="M47" s="103">
        <v>17.864999999999998</v>
      </c>
      <c r="N47" s="103">
        <v>15.227</v>
      </c>
      <c r="O47" s="103"/>
      <c r="P47" s="103"/>
      <c r="Q47" s="103"/>
      <c r="R47" s="103"/>
      <c r="S47" s="91"/>
      <c r="Y47" s="103">
        <v>52.753929999999997</v>
      </c>
      <c r="Z47" s="103">
        <v>53.491999999999997</v>
      </c>
      <c r="AA47" s="103">
        <v>54.042999999999999</v>
      </c>
      <c r="AB47" s="103"/>
      <c r="AC47" s="103"/>
      <c r="AD47" s="103"/>
      <c r="AE47" s="104"/>
      <c r="AS47" s="91"/>
      <c r="BE47" s="13"/>
      <c r="BS47" s="91"/>
      <c r="CE47" s="13"/>
      <c r="CS47" s="91"/>
      <c r="DE47" s="13"/>
      <c r="DF47" s="91"/>
      <c r="DR47" s="13"/>
      <c r="DS47" s="20">
        <v>83657.539999999994</v>
      </c>
      <c r="DT47" s="21">
        <v>82548.98333314</v>
      </c>
      <c r="DU47" s="21">
        <v>79524.67</v>
      </c>
      <c r="DV47" s="21">
        <v>77444.899999999994</v>
      </c>
      <c r="DW47" s="21">
        <v>68935.213466872097</v>
      </c>
      <c r="DX47" s="21">
        <v>63282.393333333297</v>
      </c>
      <c r="DY47" s="21">
        <v>61077</v>
      </c>
      <c r="DZ47" s="21">
        <v>60048</v>
      </c>
      <c r="EA47" s="21">
        <v>60048</v>
      </c>
      <c r="EB47" s="21"/>
      <c r="EC47" s="21"/>
      <c r="ED47" s="21"/>
      <c r="EE47" s="21"/>
      <c r="EF47" s="20"/>
      <c r="EG47" s="21"/>
      <c r="EH47" s="21"/>
      <c r="EI47" s="21"/>
      <c r="EJ47" s="21"/>
      <c r="EK47" s="21"/>
      <c r="ER47" s="13"/>
      <c r="ES47" s="20"/>
      <c r="ET47" s="21"/>
      <c r="EU47" s="21"/>
      <c r="EV47" s="21"/>
      <c r="EW47" s="21"/>
      <c r="EX47" s="21">
        <v>1461000</v>
      </c>
      <c r="EY47" s="165">
        <v>1347000</v>
      </c>
      <c r="FE47" s="13"/>
      <c r="FF47" s="20"/>
      <c r="FG47" s="21"/>
      <c r="FH47" s="21"/>
      <c r="FI47" s="21"/>
      <c r="FJ47" s="21"/>
      <c r="FK47" s="21"/>
      <c r="FR47" s="13"/>
    </row>
    <row r="48" spans="4:174" x14ac:dyDescent="0.25">
      <c r="D48" s="75" t="s">
        <v>96</v>
      </c>
      <c r="E48" s="2" t="s">
        <v>97</v>
      </c>
      <c r="L48" s="103">
        <v>6.7392599999999998</v>
      </c>
      <c r="M48" s="103">
        <v>9.8539999999999992</v>
      </c>
      <c r="N48" s="103">
        <v>6.7030000000000003</v>
      </c>
      <c r="O48" s="103"/>
      <c r="P48" s="103"/>
      <c r="Q48" s="103"/>
      <c r="R48" s="103"/>
      <c r="S48" s="91"/>
      <c r="Y48" s="103">
        <v>29.987179999999999</v>
      </c>
      <c r="Z48" s="103">
        <v>31.856000000000002</v>
      </c>
      <c r="AA48" s="103">
        <v>30.818999999999999</v>
      </c>
      <c r="AB48" s="103"/>
      <c r="AC48" s="103"/>
      <c r="AD48" s="103"/>
      <c r="AE48" s="104"/>
      <c r="AS48" s="91"/>
      <c r="BE48" s="13"/>
      <c r="BS48" s="91"/>
      <c r="CE48" s="13"/>
      <c r="CS48" s="91"/>
      <c r="DE48" s="13"/>
      <c r="DF48" s="91"/>
      <c r="DR48" s="13"/>
      <c r="DS48" s="20">
        <v>32208.79</v>
      </c>
      <c r="DT48" s="21">
        <v>33800.733333185999</v>
      </c>
      <c r="DU48" s="21">
        <v>32703.75</v>
      </c>
      <c r="DV48" s="21">
        <v>30165.49</v>
      </c>
      <c r="DW48" s="21">
        <v>34610.140563760498</v>
      </c>
      <c r="DX48" s="21">
        <v>33238.6254901961</v>
      </c>
      <c r="DY48" s="21">
        <v>28372</v>
      </c>
      <c r="DZ48" s="21">
        <v>28684</v>
      </c>
      <c r="EA48" s="21">
        <v>28684</v>
      </c>
      <c r="EB48" s="21"/>
      <c r="EC48" s="21"/>
      <c r="ED48" s="21"/>
      <c r="EE48" s="21"/>
      <c r="EF48" s="20"/>
      <c r="EG48" s="21"/>
      <c r="EH48" s="21"/>
      <c r="EI48" s="21"/>
      <c r="EJ48" s="21"/>
      <c r="EK48" s="21"/>
      <c r="ER48" s="13"/>
      <c r="ES48" s="20"/>
      <c r="ET48" s="21"/>
      <c r="EU48" s="21"/>
      <c r="EV48" s="21"/>
      <c r="EW48" s="21"/>
      <c r="EX48" s="21">
        <v>426000</v>
      </c>
      <c r="EY48" s="165">
        <v>395000</v>
      </c>
      <c r="FE48" s="13"/>
      <c r="FF48" s="20"/>
      <c r="FG48" s="21"/>
      <c r="FH48" s="21"/>
      <c r="FI48" s="21"/>
      <c r="FJ48" s="21"/>
      <c r="FK48" s="21"/>
      <c r="FR48" s="13"/>
    </row>
    <row r="49" spans="1:174" x14ac:dyDescent="0.25">
      <c r="D49" s="75" t="s">
        <v>98</v>
      </c>
      <c r="E49" s="2" t="s">
        <v>99</v>
      </c>
      <c r="L49" s="103">
        <v>5.3554440000000003</v>
      </c>
      <c r="M49" s="103">
        <v>5.54</v>
      </c>
      <c r="N49" s="103">
        <v>5.2869999999999999</v>
      </c>
      <c r="O49" s="103"/>
      <c r="P49" s="103"/>
      <c r="Q49" s="103"/>
      <c r="R49" s="103"/>
      <c r="S49" s="91"/>
      <c r="Y49" s="103">
        <v>28.485119999999998</v>
      </c>
      <c r="Z49" s="103">
        <v>25.263000000000002</v>
      </c>
      <c r="AA49" s="103">
        <v>25.646000000000001</v>
      </c>
      <c r="AB49" s="103"/>
      <c r="AC49" s="103"/>
      <c r="AD49" s="103"/>
      <c r="AE49" s="104"/>
      <c r="AS49" s="91"/>
      <c r="BE49" s="13"/>
      <c r="BS49" s="91"/>
      <c r="CE49" s="13"/>
      <c r="CS49" s="91"/>
      <c r="DE49" s="13"/>
      <c r="DF49" s="91"/>
      <c r="DR49" s="13"/>
      <c r="DS49" s="20">
        <v>39315.279999999999</v>
      </c>
      <c r="DT49" s="21">
        <v>39854.366666699701</v>
      </c>
      <c r="DU49" s="21">
        <v>39618.620000000003</v>
      </c>
      <c r="DV49" s="21">
        <v>39901.26</v>
      </c>
      <c r="DW49" s="21">
        <v>40103.400818584101</v>
      </c>
      <c r="DX49" s="21">
        <v>37833.79</v>
      </c>
      <c r="DY49" s="21">
        <v>34224</v>
      </c>
      <c r="DZ49" s="21">
        <v>31681</v>
      </c>
      <c r="EA49" s="21">
        <v>31681</v>
      </c>
      <c r="EB49" s="21"/>
      <c r="EC49" s="21"/>
      <c r="ED49" s="21"/>
      <c r="EE49" s="21"/>
      <c r="EF49" s="20"/>
      <c r="EG49" s="21"/>
      <c r="EH49" s="21"/>
      <c r="EI49" s="21"/>
      <c r="EJ49" s="21"/>
      <c r="EK49" s="21"/>
      <c r="ER49" s="13"/>
      <c r="ES49" s="20"/>
      <c r="ET49" s="21"/>
      <c r="EU49" s="21"/>
      <c r="EV49" s="21"/>
      <c r="EW49" s="21"/>
      <c r="EX49" s="21">
        <v>373000</v>
      </c>
      <c r="EY49" s="165">
        <v>337000</v>
      </c>
      <c r="FE49" s="13"/>
      <c r="FF49" s="20"/>
      <c r="FG49" s="21"/>
      <c r="FH49" s="21"/>
      <c r="FI49" s="21"/>
      <c r="FJ49" s="21"/>
      <c r="FK49" s="21"/>
      <c r="FR49" s="13"/>
    </row>
    <row r="50" spans="1:174" x14ac:dyDescent="0.25">
      <c r="D50" s="75" t="s">
        <v>100</v>
      </c>
      <c r="E50" s="2" t="s">
        <v>101</v>
      </c>
      <c r="L50" s="103">
        <v>4.9234E-2</v>
      </c>
      <c r="M50" s="103">
        <v>0</v>
      </c>
      <c r="N50" s="103">
        <v>0.05</v>
      </c>
      <c r="O50" s="103"/>
      <c r="P50" s="103"/>
      <c r="Q50" s="103"/>
      <c r="R50" s="103"/>
      <c r="S50" s="91"/>
      <c r="Y50" s="103">
        <v>7.2190760000000003</v>
      </c>
      <c r="Z50" s="103">
        <v>7.4139999999999997</v>
      </c>
      <c r="AA50" s="103">
        <v>7.484</v>
      </c>
      <c r="AB50" s="103"/>
      <c r="AC50" s="103"/>
      <c r="AD50" s="103"/>
      <c r="AE50" s="104"/>
      <c r="AS50" s="91"/>
      <c r="BE50" s="13"/>
      <c r="BS50" s="91"/>
      <c r="CE50" s="13"/>
      <c r="CS50" s="91"/>
      <c r="DE50" s="13"/>
      <c r="DF50" s="91"/>
      <c r="DR50" s="13"/>
      <c r="DS50" s="20">
        <v>9308.8700000000008</v>
      </c>
      <c r="DT50" s="21">
        <v>9819.7833332976697</v>
      </c>
      <c r="DU50" s="21">
        <v>9127.81</v>
      </c>
      <c r="DV50" s="21">
        <v>8536.5300000000007</v>
      </c>
      <c r="DW50" s="21">
        <v>7523.87</v>
      </c>
      <c r="DX50" s="21">
        <v>7158.51</v>
      </c>
      <c r="DY50" s="21">
        <v>7117</v>
      </c>
      <c r="DZ50" s="21">
        <v>7116</v>
      </c>
      <c r="EA50" s="21">
        <v>7116</v>
      </c>
      <c r="EB50" s="21"/>
      <c r="EC50" s="21"/>
      <c r="ED50" s="21"/>
      <c r="EE50" s="21"/>
      <c r="EF50" s="20"/>
      <c r="EG50" s="21"/>
      <c r="EH50" s="21"/>
      <c r="EI50" s="21"/>
      <c r="EJ50" s="21"/>
      <c r="EK50" s="21"/>
      <c r="ER50" s="13"/>
      <c r="ES50" s="20"/>
      <c r="ET50" s="21"/>
      <c r="EU50" s="21"/>
      <c r="EV50" s="21"/>
      <c r="EW50" s="21"/>
      <c r="EX50" s="21">
        <v>111000</v>
      </c>
      <c r="EY50" s="165">
        <v>102000</v>
      </c>
      <c r="FE50" s="13"/>
      <c r="FF50" s="20"/>
      <c r="FG50" s="21"/>
      <c r="FH50" s="21"/>
      <c r="FI50" s="21"/>
      <c r="FJ50" s="21"/>
      <c r="FK50" s="21"/>
      <c r="FR50" s="13"/>
    </row>
    <row r="51" spans="1:174" x14ac:dyDescent="0.25">
      <c r="D51" s="75" t="s">
        <v>102</v>
      </c>
      <c r="E51" s="2" t="s">
        <v>103</v>
      </c>
      <c r="L51" s="103">
        <v>2.726467</v>
      </c>
      <c r="M51" s="103">
        <v>2.9140000000000001</v>
      </c>
      <c r="N51" s="103">
        <v>2.8079999999999998</v>
      </c>
      <c r="O51" s="103"/>
      <c r="P51" s="103"/>
      <c r="Q51" s="103"/>
      <c r="R51" s="103"/>
      <c r="S51" s="91"/>
      <c r="Y51" s="103">
        <v>24.480699999999999</v>
      </c>
      <c r="Z51" s="103">
        <v>24.413</v>
      </c>
      <c r="AA51" s="103">
        <v>24.859000000000002</v>
      </c>
      <c r="AB51" s="103"/>
      <c r="AC51" s="103"/>
      <c r="AD51" s="103"/>
      <c r="AE51" s="104"/>
      <c r="AS51" s="91"/>
      <c r="BE51" s="13"/>
      <c r="BS51" s="91"/>
      <c r="CE51" s="13"/>
      <c r="CS51" s="91"/>
      <c r="DE51" s="13"/>
      <c r="DF51" s="91"/>
      <c r="DR51" s="13"/>
      <c r="DS51" s="20">
        <v>24194.58</v>
      </c>
      <c r="DT51" s="21">
        <v>27834.910000000302</v>
      </c>
      <c r="DU51" s="21">
        <v>27888.46</v>
      </c>
      <c r="DV51" s="21">
        <v>28240.256666666701</v>
      </c>
      <c r="DW51" s="21">
        <v>28862.5263589077</v>
      </c>
      <c r="DX51" s="21">
        <v>28364.12</v>
      </c>
      <c r="DY51" s="21">
        <v>25743</v>
      </c>
      <c r="DZ51" s="21">
        <v>25009</v>
      </c>
      <c r="EA51" s="21">
        <v>25009</v>
      </c>
      <c r="EB51" s="21"/>
      <c r="EC51" s="21"/>
      <c r="ED51" s="21"/>
      <c r="EE51" s="21"/>
      <c r="EF51" s="20"/>
      <c r="EG51" s="21"/>
      <c r="EH51" s="21"/>
      <c r="EI51" s="21"/>
      <c r="EJ51" s="21"/>
      <c r="EK51" s="21"/>
      <c r="ER51" s="13"/>
      <c r="ES51" s="20"/>
      <c r="ET51" s="21"/>
      <c r="EU51" s="21"/>
      <c r="EV51" s="21"/>
      <c r="EW51" s="21"/>
      <c r="EX51" s="21">
        <v>184000</v>
      </c>
      <c r="EY51" s="165">
        <v>175000</v>
      </c>
      <c r="FE51" s="13"/>
      <c r="FF51" s="20"/>
      <c r="FG51" s="21"/>
      <c r="FH51" s="21"/>
      <c r="FI51" s="21"/>
      <c r="FJ51" s="21"/>
      <c r="FK51" s="21"/>
      <c r="FR51" s="13"/>
    </row>
    <row r="52" spans="1:174" x14ac:dyDescent="0.25">
      <c r="D52" s="75" t="s">
        <v>104</v>
      </c>
      <c r="E52" s="2" t="s">
        <v>105</v>
      </c>
      <c r="L52" s="103">
        <v>9.0603269999999991</v>
      </c>
      <c r="M52" s="103">
        <v>9.3940000000000001</v>
      </c>
      <c r="N52" s="103">
        <v>8.8640000000000008</v>
      </c>
      <c r="O52" s="103"/>
      <c r="P52" s="103"/>
      <c r="Q52" s="103"/>
      <c r="R52" s="103"/>
      <c r="S52" s="91"/>
      <c r="Y52" s="103">
        <v>45.243949999999998</v>
      </c>
      <c r="Z52" s="103">
        <v>44.633000000000003</v>
      </c>
      <c r="AA52" s="103">
        <v>46.762999999999998</v>
      </c>
      <c r="AB52" s="103"/>
      <c r="AC52" s="103"/>
      <c r="AD52" s="103"/>
      <c r="AE52" s="104"/>
      <c r="AS52" s="91"/>
      <c r="BE52" s="13"/>
      <c r="BS52" s="91"/>
      <c r="CE52" s="13"/>
      <c r="CS52" s="91"/>
      <c r="DE52" s="13"/>
      <c r="DF52" s="91"/>
      <c r="DR52" s="13"/>
      <c r="DS52" s="20">
        <v>72893.570000000007</v>
      </c>
      <c r="DT52" s="21">
        <v>75485.216666506705</v>
      </c>
      <c r="DU52" s="21">
        <v>75968.429999999993</v>
      </c>
      <c r="DV52" s="21">
        <v>75271.710000000006</v>
      </c>
      <c r="DW52" s="21">
        <v>72319.997877094997</v>
      </c>
      <c r="DX52" s="21">
        <v>63200.93</v>
      </c>
      <c r="DY52" s="21">
        <v>53610</v>
      </c>
      <c r="DZ52" s="21">
        <v>53114</v>
      </c>
      <c r="EA52" s="21">
        <v>53114</v>
      </c>
      <c r="EB52" s="21"/>
      <c r="EC52" s="21"/>
      <c r="ED52" s="21"/>
      <c r="EE52" s="21"/>
      <c r="EF52" s="20"/>
      <c r="EG52" s="21"/>
      <c r="EH52" s="21"/>
      <c r="EI52" s="21"/>
      <c r="EJ52" s="21"/>
      <c r="EK52" s="21"/>
      <c r="ER52" s="13"/>
      <c r="ES52" s="20"/>
      <c r="ET52" s="21"/>
      <c r="EU52" s="21"/>
      <c r="EV52" s="21"/>
      <c r="EW52" s="21"/>
      <c r="EX52" s="21">
        <v>823000</v>
      </c>
      <c r="EY52" s="165">
        <v>728000</v>
      </c>
      <c r="FE52" s="13"/>
      <c r="FF52" s="20"/>
      <c r="FG52" s="21"/>
      <c r="FH52" s="21"/>
      <c r="FI52" s="21"/>
      <c r="FJ52" s="21"/>
      <c r="FK52" s="21"/>
      <c r="FR52" s="13"/>
    </row>
    <row r="53" spans="1:174" x14ac:dyDescent="0.25">
      <c r="D53" s="75" t="s">
        <v>106</v>
      </c>
      <c r="E53" s="2" t="s">
        <v>107</v>
      </c>
      <c r="L53" s="103">
        <v>312.86750000000001</v>
      </c>
      <c r="M53" s="103">
        <v>302.76600000000002</v>
      </c>
      <c r="N53" s="103">
        <v>315.45400000000001</v>
      </c>
      <c r="O53" s="103"/>
      <c r="P53" s="103"/>
      <c r="Q53" s="103"/>
      <c r="R53" s="103"/>
      <c r="S53" s="91"/>
      <c r="Y53" s="103">
        <v>520.6123</v>
      </c>
      <c r="Z53" s="103">
        <v>496.64760000000001</v>
      </c>
      <c r="AA53" s="103">
        <v>499.24400000000003</v>
      </c>
      <c r="AB53" s="103"/>
      <c r="AC53" s="103"/>
      <c r="AD53" s="103"/>
      <c r="AE53" s="104"/>
      <c r="AS53" s="91"/>
      <c r="BE53" s="13"/>
      <c r="BS53" s="91"/>
      <c r="CE53" s="13"/>
      <c r="CS53" s="91"/>
      <c r="DE53" s="13"/>
      <c r="DF53" s="91"/>
      <c r="DR53" s="13"/>
      <c r="DS53" s="20">
        <v>540869.65</v>
      </c>
      <c r="DT53" s="21">
        <v>544945.583334647</v>
      </c>
      <c r="DU53" s="21">
        <v>544916.35</v>
      </c>
      <c r="DV53" s="21">
        <v>545266.94999999995</v>
      </c>
      <c r="DW53" s="21">
        <v>540415.75455847301</v>
      </c>
      <c r="DX53" s="21">
        <v>538494.45666666701</v>
      </c>
      <c r="DY53" s="21">
        <v>538590</v>
      </c>
      <c r="DZ53" s="21">
        <v>543410</v>
      </c>
      <c r="EA53" s="21">
        <v>543410</v>
      </c>
      <c r="EB53" s="21"/>
      <c r="EC53" s="21"/>
      <c r="ED53" s="21"/>
      <c r="EE53" s="21"/>
      <c r="EF53" s="20"/>
      <c r="EG53" s="21"/>
      <c r="EH53" s="21"/>
      <c r="EI53" s="21"/>
      <c r="EJ53" s="21"/>
      <c r="EK53" s="21"/>
      <c r="ER53" s="13"/>
      <c r="ES53" s="20"/>
      <c r="ET53" s="21"/>
      <c r="EU53" s="21"/>
      <c r="EV53" s="21"/>
      <c r="EW53" s="21"/>
      <c r="EX53" s="21">
        <v>27258000</v>
      </c>
      <c r="EY53" s="165">
        <v>27541000</v>
      </c>
      <c r="EZ53" s="2">
        <v>48400000</v>
      </c>
      <c r="FE53" s="13"/>
      <c r="FF53" s="20"/>
      <c r="FG53" s="21"/>
      <c r="FH53" s="21"/>
      <c r="FI53" s="21"/>
      <c r="FJ53" s="21"/>
      <c r="FK53" s="21"/>
      <c r="FR53" s="13"/>
    </row>
    <row r="54" spans="1:174" x14ac:dyDescent="0.25">
      <c r="D54" s="75" t="s">
        <v>108</v>
      </c>
      <c r="E54" s="2" t="s">
        <v>109</v>
      </c>
      <c r="L54" s="103">
        <v>287.39699999999999</v>
      </c>
      <c r="M54" s="103">
        <v>290.26</v>
      </c>
      <c r="N54" s="103">
        <v>292.762</v>
      </c>
      <c r="O54" s="103"/>
      <c r="P54" s="103"/>
      <c r="Q54" s="103"/>
      <c r="R54" s="103"/>
      <c r="S54" s="91"/>
      <c r="Y54" s="103">
        <v>437.98009999999999</v>
      </c>
      <c r="Z54" s="103">
        <v>455.51400000000001</v>
      </c>
      <c r="AA54" s="103">
        <v>456.96899999999999</v>
      </c>
      <c r="AB54" s="103"/>
      <c r="AC54" s="103"/>
      <c r="AD54" s="103"/>
      <c r="AE54" s="104"/>
      <c r="AS54" s="91"/>
      <c r="BE54" s="13"/>
      <c r="BS54" s="91"/>
      <c r="CE54" s="13"/>
      <c r="CS54" s="91"/>
      <c r="DE54" s="13"/>
      <c r="DF54" s="91"/>
      <c r="DR54" s="13"/>
      <c r="DS54" s="20">
        <v>629898.73</v>
      </c>
      <c r="DT54" s="21">
        <v>572446.03333050304</v>
      </c>
      <c r="DU54" s="21">
        <v>571804.44999999995</v>
      </c>
      <c r="DV54" s="21">
        <v>571810.28</v>
      </c>
      <c r="DW54" s="21">
        <v>534461.85392372904</v>
      </c>
      <c r="DX54" s="21">
        <v>504975.04</v>
      </c>
      <c r="DY54" s="21">
        <v>505722</v>
      </c>
      <c r="DZ54" s="21">
        <v>504088</v>
      </c>
      <c r="EA54" s="21">
        <v>504088</v>
      </c>
      <c r="EB54" s="21"/>
      <c r="EC54" s="21"/>
      <c r="ED54" s="21"/>
      <c r="EE54" s="21"/>
      <c r="EF54" s="20"/>
      <c r="EG54" s="21"/>
      <c r="EH54" s="21"/>
      <c r="EI54" s="21"/>
      <c r="EJ54" s="21"/>
      <c r="EK54" s="21"/>
      <c r="ER54" s="13"/>
      <c r="ES54" s="20"/>
      <c r="ET54" s="21"/>
      <c r="EU54" s="21"/>
      <c r="EV54" s="21"/>
      <c r="EW54" s="21"/>
      <c r="EX54" s="21">
        <v>11313000</v>
      </c>
      <c r="EY54" s="165">
        <v>11260000</v>
      </c>
      <c r="FE54" s="13"/>
      <c r="FF54" s="20"/>
      <c r="FG54" s="21"/>
      <c r="FH54" s="21"/>
      <c r="FI54" s="21"/>
      <c r="FJ54" s="21"/>
      <c r="FK54" s="21"/>
      <c r="FR54" s="13"/>
    </row>
    <row r="55" spans="1:174" x14ac:dyDescent="0.25">
      <c r="E55" s="2" t="s">
        <v>112</v>
      </c>
      <c r="L55" s="103">
        <v>1.0966999999999999E-2</v>
      </c>
      <c r="M55" s="103">
        <v>7.8</v>
      </c>
      <c r="N55" s="103">
        <v>0</v>
      </c>
      <c r="O55" s="103"/>
      <c r="P55" s="103"/>
      <c r="Q55" s="103"/>
      <c r="R55" s="103"/>
      <c r="S55" s="91"/>
      <c r="Y55" s="103">
        <v>0.112873</v>
      </c>
      <c r="Z55" s="103">
        <v>0.71599999999999997</v>
      </c>
      <c r="AA55" s="103">
        <v>0.71599999999999997</v>
      </c>
      <c r="AB55" s="103"/>
      <c r="AC55" s="103"/>
      <c r="AD55" s="103"/>
      <c r="AE55" s="104"/>
      <c r="AS55" s="91"/>
      <c r="BE55" s="13"/>
      <c r="BS55" s="91"/>
      <c r="CE55" s="13"/>
      <c r="CS55" s="91"/>
      <c r="DE55" s="13"/>
      <c r="DF55" s="91"/>
      <c r="DR55" s="13"/>
      <c r="DS55" s="20">
        <f>16664+19989</f>
        <v>36653</v>
      </c>
      <c r="DT55" s="21">
        <f>16445+18609</f>
        <v>35054</v>
      </c>
      <c r="DU55" s="21">
        <f>16137+18832</f>
        <v>34969</v>
      </c>
      <c r="DV55" s="21">
        <f>14006+18567</f>
        <v>32573</v>
      </c>
      <c r="DW55" s="21">
        <f>13212+17834</f>
        <v>31046</v>
      </c>
      <c r="DX55" s="21">
        <f>13212+17453</f>
        <v>30665</v>
      </c>
      <c r="DY55" s="21">
        <f>13286+17414</f>
        <v>30700</v>
      </c>
      <c r="DZ55" s="21">
        <f>17559+13174</f>
        <v>30733</v>
      </c>
      <c r="EA55" s="21">
        <f>17559+13174</f>
        <v>30733</v>
      </c>
      <c r="EB55" s="21"/>
      <c r="EC55" s="21"/>
      <c r="ED55" s="21"/>
      <c r="EE55" s="21"/>
      <c r="EF55" s="20"/>
      <c r="EG55" s="21"/>
      <c r="EH55" s="21"/>
      <c r="EI55" s="21"/>
      <c r="EJ55" s="21"/>
      <c r="EK55" s="21"/>
      <c r="ER55" s="13"/>
      <c r="ES55" s="20"/>
      <c r="ET55" s="21"/>
      <c r="EU55" s="21"/>
      <c r="EV55" s="21"/>
      <c r="EW55" s="21"/>
      <c r="EX55" s="21">
        <f>249000+177000</f>
        <v>426000</v>
      </c>
      <c r="EY55" s="2">
        <f>234000+170000</f>
        <v>404000</v>
      </c>
      <c r="FE55" s="13"/>
      <c r="FF55" s="20"/>
      <c r="FG55" s="21"/>
      <c r="FH55" s="21"/>
      <c r="FI55" s="21"/>
      <c r="FJ55" s="21"/>
      <c r="FK55" s="21"/>
      <c r="FR55" s="13"/>
    </row>
    <row r="56" spans="1:174" s="4" customFormat="1" ht="18.75" customHeight="1" x14ac:dyDescent="0.35">
      <c r="B56" s="109"/>
      <c r="D56" s="92"/>
      <c r="E56" s="105" t="s">
        <v>55</v>
      </c>
      <c r="F56" s="97">
        <f>F78-F9-F31-F35</f>
        <v>10</v>
      </c>
      <c r="G56" s="97">
        <f>G78-G9-G31-G35</f>
        <v>12.5</v>
      </c>
      <c r="H56" s="97">
        <v>28.2</v>
      </c>
      <c r="I56" s="97">
        <v>27.3</v>
      </c>
      <c r="J56" s="97">
        <f>36.7</f>
        <v>36.700000000000003</v>
      </c>
      <c r="K56" s="97">
        <f>K78-K35-K31-K9</f>
        <v>43.700000000000053</v>
      </c>
      <c r="L56" s="111">
        <f t="shared" ref="L56:R56" si="22">SUM(L57:L75)</f>
        <v>25.142363100000001</v>
      </c>
      <c r="M56" s="111">
        <f t="shared" si="22"/>
        <v>22.493000000000002</v>
      </c>
      <c r="N56" s="111">
        <f t="shared" si="22"/>
        <v>22.766999999999999</v>
      </c>
      <c r="O56" s="111">
        <f t="shared" si="22"/>
        <v>0</v>
      </c>
      <c r="P56" s="111">
        <f t="shared" si="22"/>
        <v>0</v>
      </c>
      <c r="Q56" s="111">
        <f t="shared" si="22"/>
        <v>0</v>
      </c>
      <c r="R56" s="112">
        <f t="shared" si="22"/>
        <v>0</v>
      </c>
      <c r="S56" s="95">
        <f t="shared" ref="S56:AE56" si="23">SUM(S57:S76)</f>
        <v>0</v>
      </c>
      <c r="T56" s="95">
        <f t="shared" si="23"/>
        <v>0</v>
      </c>
      <c r="U56" s="95">
        <f t="shared" si="23"/>
        <v>0</v>
      </c>
      <c r="V56" s="95">
        <f t="shared" si="23"/>
        <v>0</v>
      </c>
      <c r="W56" s="95">
        <f t="shared" si="23"/>
        <v>0</v>
      </c>
      <c r="X56" s="95">
        <f t="shared" si="23"/>
        <v>0</v>
      </c>
      <c r="Y56" s="95">
        <f t="shared" si="23"/>
        <v>0</v>
      </c>
      <c r="Z56" s="95">
        <f t="shared" si="23"/>
        <v>0</v>
      </c>
      <c r="AA56" s="95">
        <f t="shared" si="23"/>
        <v>0</v>
      </c>
      <c r="AB56" s="95">
        <f t="shared" si="23"/>
        <v>0</v>
      </c>
      <c r="AC56" s="95">
        <f t="shared" si="23"/>
        <v>0</v>
      </c>
      <c r="AD56" s="95">
        <f t="shared" si="23"/>
        <v>0</v>
      </c>
      <c r="AE56" s="96">
        <f t="shared" si="23"/>
        <v>0</v>
      </c>
      <c r="AF56" s="97">
        <v>253.9</v>
      </c>
      <c r="AG56" s="97">
        <v>226.6</v>
      </c>
      <c r="AH56" s="97">
        <v>269.7</v>
      </c>
      <c r="AI56" s="97">
        <v>263.5</v>
      </c>
      <c r="AJ56" s="97">
        <v>275.60000000000002</v>
      </c>
      <c r="AK56" s="97">
        <v>279.10000000000002</v>
      </c>
      <c r="AL56" s="95">
        <f t="shared" ref="AL56:AR56" si="24">SUM(AL57:AL76)</f>
        <v>296.49469000000005</v>
      </c>
      <c r="AM56" s="95">
        <f t="shared" si="24"/>
        <v>321.66146000000003</v>
      </c>
      <c r="AN56" s="95">
        <f t="shared" si="24"/>
        <v>324.90446000000003</v>
      </c>
      <c r="AO56" s="95">
        <f t="shared" si="24"/>
        <v>0</v>
      </c>
      <c r="AP56" s="95">
        <f t="shared" si="24"/>
        <v>0</v>
      </c>
      <c r="AQ56" s="95">
        <f t="shared" si="24"/>
        <v>0</v>
      </c>
      <c r="AR56" s="96">
        <f t="shared" si="24"/>
        <v>0</v>
      </c>
      <c r="AS56" s="99">
        <v>1.8</v>
      </c>
      <c r="AT56" s="97">
        <v>1.8</v>
      </c>
      <c r="AU56" s="97">
        <v>1.8</v>
      </c>
      <c r="AV56" s="97">
        <v>2.4</v>
      </c>
      <c r="AW56" s="97">
        <v>2.6</v>
      </c>
      <c r="AX56" s="97">
        <v>2.9</v>
      </c>
      <c r="AY56" s="95">
        <f t="shared" ref="AY56:BE56" si="25">SUM(AY57:AY75)</f>
        <v>3.3737399999999997</v>
      </c>
      <c r="AZ56" s="95">
        <f t="shared" si="25"/>
        <v>3.2800000000000002</v>
      </c>
      <c r="BA56" s="95">
        <f t="shared" si="25"/>
        <v>3.2800000000000002</v>
      </c>
      <c r="BB56" s="95">
        <f t="shared" si="25"/>
        <v>0</v>
      </c>
      <c r="BC56" s="95">
        <f t="shared" si="25"/>
        <v>0</v>
      </c>
      <c r="BD56" s="95">
        <f t="shared" si="25"/>
        <v>0</v>
      </c>
      <c r="BE56" s="96">
        <f t="shared" si="25"/>
        <v>0</v>
      </c>
      <c r="BF56" s="97">
        <f>3.4-0.5</f>
        <v>2.9</v>
      </c>
      <c r="BG56" s="97">
        <f>1.2-2.4</f>
        <v>-1.2</v>
      </c>
      <c r="BH56" s="97">
        <f>6.7-2.4</f>
        <v>4.3000000000000007</v>
      </c>
      <c r="BI56" s="97">
        <f>15.7-1.9</f>
        <v>13.799999999999999</v>
      </c>
      <c r="BJ56" s="97">
        <f>0.2-10.5</f>
        <v>-10.3</v>
      </c>
      <c r="BK56" s="97">
        <f>-10.4</f>
        <v>-10.4</v>
      </c>
      <c r="BL56" s="95">
        <f>SUM(BL57:BL75)</f>
        <v>-5.7284877299999994</v>
      </c>
      <c r="BM56" s="95">
        <f>SUM(BM57:BM75)</f>
        <v>0</v>
      </c>
      <c r="BN56" s="95">
        <f>SUM(BN57:BN75)</f>
        <v>-1.5350000000000001</v>
      </c>
      <c r="BO56" s="95"/>
      <c r="BP56" s="95"/>
      <c r="BQ56" s="95"/>
      <c r="BR56" s="95"/>
      <c r="BS56" s="99"/>
      <c r="BT56" s="97">
        <v>7.9</v>
      </c>
      <c r="BU56" s="97">
        <v>14.9</v>
      </c>
      <c r="BV56" s="97"/>
      <c r="BW56" s="97">
        <v>0.2</v>
      </c>
      <c r="BX56" s="97"/>
      <c r="BY56" s="97"/>
      <c r="BZ56" s="97"/>
      <c r="CA56" s="97"/>
      <c r="CB56" s="97"/>
      <c r="CC56" s="97"/>
      <c r="CD56" s="97"/>
      <c r="CE56" s="100"/>
      <c r="CF56" s="97"/>
      <c r="CG56" s="97"/>
      <c r="CH56" s="97"/>
      <c r="CI56" s="97"/>
      <c r="CJ56" s="97"/>
      <c r="CK56" s="97"/>
      <c r="CL56" s="97"/>
      <c r="CM56" s="97"/>
      <c r="CN56" s="97"/>
      <c r="CO56" s="97"/>
      <c r="CP56" s="97"/>
      <c r="CQ56" s="97"/>
      <c r="CR56" s="97"/>
      <c r="CS56" s="99"/>
      <c r="CT56" s="97"/>
      <c r="CU56" s="97"/>
      <c r="CV56" s="97"/>
      <c r="CW56" s="97"/>
      <c r="CX56" s="97"/>
      <c r="CY56" s="97"/>
      <c r="CZ56" s="97"/>
      <c r="DA56" s="97"/>
      <c r="DB56" s="97"/>
      <c r="DC56" s="97"/>
      <c r="DD56" s="97"/>
      <c r="DE56" s="100"/>
      <c r="DF56" s="99"/>
      <c r="DG56" s="97"/>
      <c r="DH56" s="97"/>
      <c r="DI56" s="97"/>
      <c r="DJ56" s="97"/>
      <c r="DK56" s="97"/>
      <c r="DL56" s="97"/>
      <c r="DM56" s="97"/>
      <c r="DN56" s="97"/>
      <c r="DO56" s="97"/>
      <c r="DP56" s="97"/>
      <c r="DQ56" s="97"/>
      <c r="DR56" s="100"/>
      <c r="DS56" s="99"/>
      <c r="DT56" s="97"/>
      <c r="DU56" s="97"/>
      <c r="DV56" s="97"/>
      <c r="DW56" s="97"/>
      <c r="DX56" s="97"/>
      <c r="DY56" s="97"/>
      <c r="DZ56" s="97"/>
      <c r="EA56" s="97"/>
      <c r="EB56" s="97"/>
      <c r="EC56" s="97"/>
      <c r="ED56" s="97"/>
      <c r="EE56" s="100"/>
      <c r="EF56" s="99"/>
      <c r="EG56" s="97"/>
      <c r="EH56" s="97"/>
      <c r="EI56" s="97"/>
      <c r="EJ56" s="97"/>
      <c r="EK56" s="97"/>
      <c r="EL56" s="97"/>
      <c r="EM56" s="97"/>
      <c r="EN56" s="97"/>
      <c r="EO56" s="97"/>
      <c r="EP56" s="97"/>
      <c r="EQ56" s="97"/>
      <c r="ER56" s="100"/>
      <c r="ES56" s="99"/>
      <c r="ET56" s="97"/>
      <c r="EU56" s="97"/>
      <c r="EV56" s="97"/>
      <c r="EW56" s="97"/>
      <c r="EX56" s="97"/>
      <c r="EY56" s="97"/>
      <c r="EZ56" s="97"/>
      <c r="FA56" s="97"/>
      <c r="FB56" s="97"/>
      <c r="FC56" s="97"/>
      <c r="FD56" s="97"/>
      <c r="FE56" s="100"/>
      <c r="FF56" s="99"/>
      <c r="FG56" s="97"/>
      <c r="FH56" s="97"/>
      <c r="FI56" s="97"/>
      <c r="FJ56" s="97"/>
      <c r="FK56" s="97"/>
      <c r="FL56" s="97"/>
      <c r="FM56" s="97"/>
      <c r="FN56" s="97"/>
      <c r="FO56" s="97"/>
      <c r="FP56" s="97"/>
      <c r="FQ56" s="97"/>
      <c r="FR56" s="100"/>
    </row>
    <row r="57" spans="1:174" ht="15.6" x14ac:dyDescent="0.3">
      <c r="A57" s="113" t="s">
        <v>72</v>
      </c>
      <c r="B57" s="114" t="s">
        <v>113</v>
      </c>
      <c r="C57" s="2" t="s">
        <v>114</v>
      </c>
      <c r="D57" s="114">
        <v>201</v>
      </c>
      <c r="E57" s="2" t="s">
        <v>73</v>
      </c>
      <c r="L57" s="103">
        <v>2.7033000000000001E-3</v>
      </c>
      <c r="M57" s="103">
        <v>0</v>
      </c>
      <c r="N57" s="103">
        <v>0</v>
      </c>
      <c r="O57" s="103"/>
      <c r="P57" s="103"/>
      <c r="Q57" s="103"/>
      <c r="R57" s="103"/>
      <c r="S57" s="91"/>
      <c r="Z57" s="103"/>
      <c r="AA57" s="103"/>
      <c r="AB57" s="103"/>
      <c r="AC57" s="103"/>
      <c r="AD57" s="103"/>
      <c r="AE57" s="104"/>
      <c r="AL57" s="103">
        <v>3.04223</v>
      </c>
      <c r="AM57" s="103">
        <v>3.26</v>
      </c>
      <c r="AN57" s="103">
        <v>3.1840000000000002</v>
      </c>
      <c r="AO57" s="103"/>
      <c r="AP57" s="103"/>
      <c r="AQ57" s="103"/>
      <c r="AR57" s="103"/>
      <c r="AS57" s="91"/>
      <c r="AY57" s="103">
        <v>2.6259999999999999E-2</v>
      </c>
      <c r="AZ57" s="103">
        <v>2.5000000000000001E-2</v>
      </c>
      <c r="BA57" s="103">
        <v>2.5000000000000001E-2</v>
      </c>
      <c r="BB57" s="103"/>
      <c r="BC57" s="103"/>
      <c r="BD57" s="103"/>
      <c r="BE57" s="104"/>
      <c r="BL57" s="103">
        <v>-5.925134E-2</v>
      </c>
      <c r="BM57" s="103">
        <v>0</v>
      </c>
      <c r="BN57" s="103">
        <v>-1.6E-2</v>
      </c>
      <c r="BO57" s="103"/>
      <c r="BP57" s="103"/>
      <c r="BQ57" s="103"/>
      <c r="BR57" s="103"/>
      <c r="BS57" s="91"/>
      <c r="CE57" s="13"/>
      <c r="CS57" s="91"/>
      <c r="DE57" s="13"/>
      <c r="DF57" s="91"/>
      <c r="DR57" s="13"/>
      <c r="EE57" s="115"/>
      <c r="ER57" s="115"/>
      <c r="FE57" s="115"/>
      <c r="FR57" s="115"/>
    </row>
    <row r="58" spans="1:174" ht="15.6" x14ac:dyDescent="0.3">
      <c r="A58" s="113" t="s">
        <v>74</v>
      </c>
      <c r="B58" s="114" t="s">
        <v>115</v>
      </c>
      <c r="C58" s="2" t="s">
        <v>116</v>
      </c>
      <c r="D58" s="114">
        <v>202</v>
      </c>
      <c r="E58" s="2" t="s">
        <v>75</v>
      </c>
      <c r="L58" s="103">
        <v>8.2872999999999992E-3</v>
      </c>
      <c r="M58" s="103">
        <v>2E-3</v>
      </c>
      <c r="N58" s="103">
        <v>7.0000000000000001E-3</v>
      </c>
      <c r="O58" s="103"/>
      <c r="P58" s="103"/>
      <c r="Q58" s="103"/>
      <c r="R58" s="103"/>
      <c r="S58" s="91"/>
      <c r="Z58" s="103"/>
      <c r="AA58" s="103"/>
      <c r="AB58" s="103"/>
      <c r="AC58" s="103"/>
      <c r="AD58" s="103"/>
      <c r="AE58" s="104"/>
      <c r="AL58" s="103">
        <v>2.48143</v>
      </c>
      <c r="AM58" s="103">
        <v>2.3650000000000002</v>
      </c>
      <c r="AN58" s="103">
        <v>2.8849999999999998</v>
      </c>
      <c r="AO58" s="103"/>
      <c r="AP58" s="103"/>
      <c r="AQ58" s="103"/>
      <c r="AR58" s="103"/>
      <c r="AS58" s="91"/>
      <c r="AY58" s="103">
        <v>1.6799999999999999E-2</v>
      </c>
      <c r="AZ58" s="103">
        <v>1.6E-2</v>
      </c>
      <c r="BA58" s="103">
        <v>1.6E-2</v>
      </c>
      <c r="BB58" s="103"/>
      <c r="BC58" s="103"/>
      <c r="BD58" s="103"/>
      <c r="BE58" s="104"/>
      <c r="BL58" s="103">
        <v>-2.5957480000000002E-2</v>
      </c>
      <c r="BM58" s="103">
        <v>0</v>
      </c>
      <c r="BN58" s="103">
        <v>-7.0000000000000001E-3</v>
      </c>
      <c r="BO58" s="103"/>
      <c r="BP58" s="103"/>
      <c r="BQ58" s="103"/>
      <c r="BR58" s="103"/>
      <c r="BS58" s="91"/>
      <c r="CE58" s="13"/>
      <c r="CS58" s="91"/>
      <c r="DE58" s="13"/>
      <c r="DF58" s="91"/>
      <c r="DR58" s="13"/>
      <c r="DS58" s="20"/>
      <c r="DT58" s="21"/>
      <c r="DU58" s="21"/>
      <c r="DV58" s="21"/>
      <c r="DW58" s="21"/>
      <c r="DX58" s="21"/>
      <c r="EE58" s="13"/>
      <c r="EF58" s="20"/>
      <c r="EG58" s="21"/>
      <c r="EH58" s="21"/>
      <c r="EI58" s="21"/>
      <c r="EJ58" s="21"/>
      <c r="EK58" s="21"/>
      <c r="ER58" s="13"/>
      <c r="ES58" s="20"/>
      <c r="ET58" s="21"/>
      <c r="EU58" s="21"/>
      <c r="EV58" s="21"/>
      <c r="EW58" s="21"/>
      <c r="EX58" s="21"/>
      <c r="FE58" s="13"/>
      <c r="FF58" s="20"/>
      <c r="FG58" s="21"/>
      <c r="FH58" s="21"/>
      <c r="FI58" s="21"/>
      <c r="FJ58" s="21"/>
      <c r="FK58" s="21"/>
      <c r="FR58" s="13"/>
    </row>
    <row r="59" spans="1:174" ht="15.6" x14ac:dyDescent="0.3">
      <c r="A59" s="113" t="s">
        <v>76</v>
      </c>
      <c r="B59" s="114" t="s">
        <v>117</v>
      </c>
      <c r="C59" s="2" t="s">
        <v>118</v>
      </c>
      <c r="D59" s="114">
        <v>203</v>
      </c>
      <c r="E59" s="2" t="s">
        <v>77</v>
      </c>
      <c r="L59" s="103">
        <v>1.3351200000000001E-2</v>
      </c>
      <c r="M59" s="103">
        <v>0</v>
      </c>
      <c r="N59" s="103">
        <v>1.2E-2</v>
      </c>
      <c r="O59" s="103"/>
      <c r="P59" s="103"/>
      <c r="Q59" s="103"/>
      <c r="R59" s="103"/>
      <c r="S59" s="91"/>
      <c r="Z59" s="103"/>
      <c r="AA59" s="103"/>
      <c r="AB59" s="103"/>
      <c r="AC59" s="103"/>
      <c r="AD59" s="103"/>
      <c r="AE59" s="104"/>
      <c r="AL59" s="103">
        <v>6.2795899999999998</v>
      </c>
      <c r="AM59" s="103">
        <v>6.3540000000000001</v>
      </c>
      <c r="AN59" s="103">
        <v>6.8620000000000001</v>
      </c>
      <c r="AO59" s="103"/>
      <c r="AP59" s="103"/>
      <c r="AQ59" s="103"/>
      <c r="AR59" s="103"/>
      <c r="AS59" s="91"/>
      <c r="AY59" s="103">
        <v>0.10933</v>
      </c>
      <c r="AZ59" s="103">
        <v>0.105</v>
      </c>
      <c r="BA59" s="103">
        <v>0.105</v>
      </c>
      <c r="BB59" s="103"/>
      <c r="BC59" s="103"/>
      <c r="BD59" s="103"/>
      <c r="BE59" s="104"/>
      <c r="BL59" s="103">
        <v>-0.10393207</v>
      </c>
      <c r="BM59" s="103">
        <v>0</v>
      </c>
      <c r="BN59" s="103">
        <v>-2.9000000000000001E-2</v>
      </c>
      <c r="BO59" s="103"/>
      <c r="BP59" s="103"/>
      <c r="BQ59" s="103"/>
      <c r="BR59" s="103"/>
      <c r="BS59" s="91"/>
      <c r="CE59" s="13"/>
      <c r="CS59" s="91"/>
      <c r="DE59" s="13"/>
      <c r="DF59" s="91"/>
      <c r="DR59" s="13"/>
      <c r="DS59" s="20"/>
      <c r="DT59" s="21"/>
      <c r="DU59" s="21"/>
      <c r="DV59" s="21"/>
      <c r="DW59" s="21"/>
      <c r="DX59" s="21"/>
      <c r="EE59" s="13"/>
      <c r="EF59" s="20"/>
      <c r="EG59" s="21"/>
      <c r="EH59" s="21"/>
      <c r="EI59" s="21"/>
      <c r="EJ59" s="21"/>
      <c r="EK59" s="21"/>
      <c r="ER59" s="13"/>
      <c r="ES59" s="20"/>
      <c r="ET59" s="21"/>
      <c r="EU59" s="21"/>
      <c r="EV59" s="21"/>
      <c r="EW59" s="21"/>
      <c r="EX59" s="21"/>
      <c r="FE59" s="13"/>
      <c r="FF59" s="20"/>
      <c r="FG59" s="21"/>
      <c r="FH59" s="21"/>
      <c r="FI59" s="21"/>
      <c r="FJ59" s="21"/>
      <c r="FK59" s="21"/>
      <c r="FR59" s="13"/>
    </row>
    <row r="60" spans="1:174" ht="15.6" x14ac:dyDescent="0.3">
      <c r="A60" s="113" t="s">
        <v>78</v>
      </c>
      <c r="B60" s="114" t="s">
        <v>119</v>
      </c>
      <c r="C60" s="2" t="s">
        <v>120</v>
      </c>
      <c r="D60" s="114">
        <v>204</v>
      </c>
      <c r="E60" s="2" t="s">
        <v>79</v>
      </c>
      <c r="L60" s="103">
        <v>2.6410000000000002E-4</v>
      </c>
      <c r="M60" s="103">
        <v>0</v>
      </c>
      <c r="N60" s="103">
        <v>0</v>
      </c>
      <c r="O60" s="103"/>
      <c r="P60" s="103"/>
      <c r="Q60" s="103"/>
      <c r="R60" s="103"/>
      <c r="S60" s="91"/>
      <c r="Z60" s="103"/>
      <c r="AA60" s="103"/>
      <c r="AB60" s="103"/>
      <c r="AC60" s="103"/>
      <c r="AD60" s="103"/>
      <c r="AE60" s="104"/>
      <c r="AL60" s="103">
        <v>2.63517</v>
      </c>
      <c r="AM60" s="103">
        <v>2.5089999999999999</v>
      </c>
      <c r="AN60" s="103">
        <v>2.7</v>
      </c>
      <c r="AO60" s="103"/>
      <c r="AP60" s="103"/>
      <c r="AQ60" s="103"/>
      <c r="AR60" s="103"/>
      <c r="AS60" s="91"/>
      <c r="AY60" s="103">
        <v>6.268E-2</v>
      </c>
      <c r="AZ60" s="103">
        <v>6.5000000000000002E-2</v>
      </c>
      <c r="BA60" s="103">
        <v>6.5000000000000002E-2</v>
      </c>
      <c r="BB60" s="103"/>
      <c r="BC60" s="103"/>
      <c r="BD60" s="103"/>
      <c r="BE60" s="104"/>
      <c r="BL60" s="103">
        <v>-3.393434E-2</v>
      </c>
      <c r="BM60" s="103">
        <v>0</v>
      </c>
      <c r="BN60" s="103">
        <v>-8.0000000000000002E-3</v>
      </c>
      <c r="BO60" s="103"/>
      <c r="BP60" s="103"/>
      <c r="BQ60" s="103"/>
      <c r="BR60" s="103"/>
      <c r="BS60" s="91"/>
      <c r="CE60" s="13"/>
      <c r="CS60" s="91"/>
      <c r="DE60" s="13"/>
      <c r="DF60" s="91"/>
      <c r="DR60" s="13"/>
      <c r="DS60" s="20"/>
      <c r="DT60" s="21"/>
      <c r="DU60" s="21"/>
      <c r="DV60" s="21"/>
      <c r="DW60" s="21"/>
      <c r="DX60" s="21"/>
      <c r="EE60" s="13"/>
      <c r="EF60" s="20"/>
      <c r="EG60" s="21"/>
      <c r="EH60" s="21"/>
      <c r="EI60" s="21"/>
      <c r="EJ60" s="21"/>
      <c r="EK60" s="21"/>
      <c r="ER60" s="13"/>
      <c r="ES60" s="20"/>
      <c r="ET60" s="21"/>
      <c r="EU60" s="21"/>
      <c r="EV60" s="21"/>
      <c r="EW60" s="21"/>
      <c r="EX60" s="21"/>
      <c r="FE60" s="13"/>
      <c r="FF60" s="20"/>
      <c r="FG60" s="21"/>
      <c r="FH60" s="21"/>
      <c r="FI60" s="21"/>
      <c r="FJ60" s="21"/>
      <c r="FK60" s="21"/>
      <c r="FR60" s="13"/>
    </row>
    <row r="61" spans="1:174" ht="15.6" x14ac:dyDescent="0.3">
      <c r="A61" s="113" t="s">
        <v>80</v>
      </c>
      <c r="B61" s="114" t="s">
        <v>121</v>
      </c>
      <c r="C61" s="2" t="s">
        <v>122</v>
      </c>
      <c r="D61" s="114">
        <v>205</v>
      </c>
      <c r="E61" s="2" t="s">
        <v>81</v>
      </c>
      <c r="L61" s="103">
        <v>1.40115E-2</v>
      </c>
      <c r="M61" s="103">
        <v>0</v>
      </c>
      <c r="N61" s="103">
        <v>1.2E-2</v>
      </c>
      <c r="O61" s="103"/>
      <c r="P61" s="103"/>
      <c r="Q61" s="103"/>
      <c r="R61" s="103"/>
      <c r="S61" s="91"/>
      <c r="Z61" s="103"/>
      <c r="AA61" s="103"/>
      <c r="AB61" s="103"/>
      <c r="AC61" s="103"/>
      <c r="AD61" s="103"/>
      <c r="AE61" s="104"/>
      <c r="AL61" s="103">
        <v>9.2105899999999998</v>
      </c>
      <c r="AM61" s="103">
        <v>9.3339999999999996</v>
      </c>
      <c r="AN61" s="103">
        <v>10.28</v>
      </c>
      <c r="AO61" s="103"/>
      <c r="AP61" s="103"/>
      <c r="AQ61" s="103"/>
      <c r="AR61" s="103"/>
      <c r="AS61" s="91"/>
      <c r="AY61" s="103">
        <v>0.11701</v>
      </c>
      <c r="AZ61" s="103">
        <v>0.112</v>
      </c>
      <c r="BA61" s="103">
        <v>0.112</v>
      </c>
      <c r="BB61" s="103"/>
      <c r="BC61" s="103"/>
      <c r="BD61" s="103"/>
      <c r="BE61" s="104"/>
      <c r="BL61" s="103">
        <v>-0.11742242</v>
      </c>
      <c r="BM61" s="103">
        <v>0</v>
      </c>
      <c r="BN61" s="103">
        <v>-3.3000000000000002E-2</v>
      </c>
      <c r="BO61" s="103"/>
      <c r="BP61" s="103"/>
      <c r="BQ61" s="103"/>
      <c r="BR61" s="103"/>
      <c r="BS61" s="91"/>
      <c r="CE61" s="13"/>
      <c r="CS61" s="91"/>
      <c r="DE61" s="13"/>
      <c r="DF61" s="91"/>
      <c r="DR61" s="13"/>
      <c r="DS61" s="20"/>
      <c r="DT61" s="21"/>
      <c r="DU61" s="21"/>
      <c r="DV61" s="21"/>
      <c r="DW61" s="21"/>
      <c r="DX61" s="21"/>
      <c r="EE61" s="13"/>
      <c r="EF61" s="20"/>
      <c r="EG61" s="21"/>
      <c r="EH61" s="21"/>
      <c r="EI61" s="21"/>
      <c r="EJ61" s="21"/>
      <c r="EK61" s="21"/>
      <c r="ER61" s="13"/>
      <c r="ES61" s="20"/>
      <c r="ET61" s="21"/>
      <c r="EU61" s="21"/>
      <c r="EV61" s="21"/>
      <c r="EW61" s="21"/>
      <c r="EX61" s="21"/>
      <c r="FE61" s="13"/>
      <c r="FF61" s="20"/>
      <c r="FG61" s="21"/>
      <c r="FH61" s="21"/>
      <c r="FI61" s="21"/>
      <c r="FJ61" s="21"/>
      <c r="FK61" s="21"/>
      <c r="FR61" s="13"/>
    </row>
    <row r="62" spans="1:174" ht="15.6" x14ac:dyDescent="0.3">
      <c r="A62" s="113" t="s">
        <v>82</v>
      </c>
      <c r="B62" s="114" t="s">
        <v>123</v>
      </c>
      <c r="C62" s="2" t="s">
        <v>124</v>
      </c>
      <c r="D62" s="114">
        <v>206</v>
      </c>
      <c r="E62" s="2" t="s">
        <v>83</v>
      </c>
      <c r="L62" s="103">
        <v>0</v>
      </c>
      <c r="M62" s="103">
        <v>0</v>
      </c>
      <c r="N62" s="103">
        <v>0</v>
      </c>
      <c r="O62" s="103"/>
      <c r="P62" s="103"/>
      <c r="Q62" s="103"/>
      <c r="R62" s="103"/>
      <c r="S62" s="91"/>
      <c r="Z62" s="103"/>
      <c r="AA62" s="103"/>
      <c r="AB62" s="103"/>
      <c r="AC62" s="103"/>
      <c r="AD62" s="103"/>
      <c r="AE62" s="104"/>
      <c r="AL62" s="103">
        <v>1.7741</v>
      </c>
      <c r="AM62" s="103">
        <v>1.6519999999999999</v>
      </c>
      <c r="AN62" s="103">
        <v>1.802</v>
      </c>
      <c r="AO62" s="103"/>
      <c r="AP62" s="103"/>
      <c r="AQ62" s="103"/>
      <c r="AR62" s="103"/>
      <c r="AS62" s="91"/>
      <c r="AY62" s="103">
        <v>2.9010000000000001E-2</v>
      </c>
      <c r="AZ62" s="103">
        <v>2.8000000000000001E-2</v>
      </c>
      <c r="BA62" s="103">
        <v>2.8000000000000001E-2</v>
      </c>
      <c r="BB62" s="103"/>
      <c r="BC62" s="103"/>
      <c r="BD62" s="103"/>
      <c r="BE62" s="104"/>
      <c r="BL62" s="103">
        <v>-3.9759849999999999E-2</v>
      </c>
      <c r="BM62" s="103">
        <v>0</v>
      </c>
      <c r="BN62" s="103">
        <v>-1.0999999999999999E-2</v>
      </c>
      <c r="BO62" s="103"/>
      <c r="BP62" s="103"/>
      <c r="BQ62" s="103"/>
      <c r="BR62" s="103"/>
      <c r="BS62" s="91"/>
      <c r="CE62" s="13"/>
      <c r="CS62" s="91"/>
      <c r="DE62" s="13"/>
      <c r="DF62" s="91"/>
      <c r="DR62" s="13"/>
      <c r="DS62" s="20"/>
      <c r="DT62" s="21"/>
      <c r="DU62" s="21"/>
      <c r="DV62" s="21"/>
      <c r="DW62" s="21"/>
      <c r="DX62" s="21"/>
      <c r="EE62" s="13"/>
      <c r="EF62" s="20"/>
      <c r="EG62" s="21"/>
      <c r="EH62" s="21"/>
      <c r="EI62" s="21"/>
      <c r="EJ62" s="21"/>
      <c r="EK62" s="21"/>
      <c r="ER62" s="13"/>
      <c r="ES62" s="20"/>
      <c r="ET62" s="21"/>
      <c r="EU62" s="21"/>
      <c r="EV62" s="21"/>
      <c r="EW62" s="21"/>
      <c r="EX62" s="21"/>
      <c r="FE62" s="13"/>
      <c r="FF62" s="20"/>
      <c r="FG62" s="21"/>
      <c r="FH62" s="21"/>
      <c r="FI62" s="21"/>
      <c r="FJ62" s="21"/>
      <c r="FK62" s="21"/>
      <c r="FR62" s="13"/>
    </row>
    <row r="63" spans="1:174" ht="15.6" x14ac:dyDescent="0.3">
      <c r="A63" s="113" t="s">
        <v>84</v>
      </c>
      <c r="B63" s="114" t="s">
        <v>125</v>
      </c>
      <c r="C63" s="2" t="s">
        <v>126</v>
      </c>
      <c r="D63" s="114">
        <v>207</v>
      </c>
      <c r="E63" s="2" t="s">
        <v>85</v>
      </c>
      <c r="L63" s="103">
        <v>0</v>
      </c>
      <c r="M63" s="103">
        <v>0</v>
      </c>
      <c r="N63" s="103">
        <v>0</v>
      </c>
      <c r="O63" s="103"/>
      <c r="P63" s="103"/>
      <c r="Q63" s="103"/>
      <c r="R63" s="103"/>
      <c r="S63" s="91"/>
      <c r="Z63" s="103"/>
      <c r="AA63" s="103"/>
      <c r="AB63" s="103"/>
      <c r="AC63" s="103"/>
      <c r="AD63" s="103"/>
      <c r="AE63" s="104"/>
      <c r="AL63" s="103">
        <v>0.61465999999999998</v>
      </c>
      <c r="AM63" s="103">
        <v>0.64900000000000002</v>
      </c>
      <c r="AN63" s="103">
        <v>0.62</v>
      </c>
      <c r="AO63" s="103"/>
      <c r="AP63" s="103"/>
      <c r="AQ63" s="103"/>
      <c r="AR63" s="103"/>
      <c r="AS63" s="91"/>
      <c r="AY63" s="103">
        <v>1.396E-2</v>
      </c>
      <c r="AZ63" s="103">
        <v>1.4E-2</v>
      </c>
      <c r="BA63" s="103">
        <v>1.4E-2</v>
      </c>
      <c r="BB63" s="103"/>
      <c r="BC63" s="103"/>
      <c r="BD63" s="103"/>
      <c r="BE63" s="104"/>
      <c r="BL63" s="103">
        <v>-1.866456E-2</v>
      </c>
      <c r="BM63" s="103">
        <v>0</v>
      </c>
      <c r="BN63" s="103">
        <v>-5.0000000000000001E-3</v>
      </c>
      <c r="BO63" s="103"/>
      <c r="BP63" s="103"/>
      <c r="BQ63" s="103"/>
      <c r="BR63" s="103"/>
      <c r="BS63" s="91"/>
      <c r="CE63" s="13"/>
      <c r="CS63" s="91"/>
      <c r="DE63" s="13"/>
      <c r="DF63" s="91"/>
      <c r="DR63" s="13"/>
      <c r="DS63" s="20"/>
      <c r="DT63" s="21"/>
      <c r="DU63" s="21"/>
      <c r="DV63" s="21"/>
      <c r="DW63" s="21"/>
      <c r="DX63" s="21"/>
      <c r="EE63" s="13"/>
      <c r="EF63" s="20"/>
      <c r="EG63" s="21"/>
      <c r="EH63" s="21"/>
      <c r="EI63" s="21"/>
      <c r="EJ63" s="21"/>
      <c r="EK63" s="21"/>
      <c r="ER63" s="13"/>
      <c r="ES63" s="20"/>
      <c r="ET63" s="21"/>
      <c r="EU63" s="21"/>
      <c r="EV63" s="21"/>
      <c r="EW63" s="21"/>
      <c r="EX63" s="21"/>
      <c r="FE63" s="13"/>
      <c r="FF63" s="20"/>
      <c r="FG63" s="21"/>
      <c r="FH63" s="21"/>
      <c r="FI63" s="21"/>
      <c r="FJ63" s="21"/>
      <c r="FK63" s="21"/>
      <c r="FR63" s="13"/>
    </row>
    <row r="64" spans="1:174" ht="15.6" x14ac:dyDescent="0.3">
      <c r="A64" s="113" t="s">
        <v>86</v>
      </c>
      <c r="B64" s="114" t="s">
        <v>127</v>
      </c>
      <c r="C64" s="2" t="s">
        <v>128</v>
      </c>
      <c r="D64" s="114">
        <v>208</v>
      </c>
      <c r="E64" s="2" t="s">
        <v>87</v>
      </c>
      <c r="L64" s="103">
        <v>1.7726E-3</v>
      </c>
      <c r="M64" s="103">
        <v>1E-3</v>
      </c>
      <c r="N64" s="103">
        <v>2E-3</v>
      </c>
      <c r="O64" s="103"/>
      <c r="P64" s="103"/>
      <c r="Q64" s="103"/>
      <c r="R64" s="103"/>
      <c r="S64" s="91"/>
      <c r="Z64" s="103"/>
      <c r="AA64" s="103"/>
      <c r="AB64" s="103"/>
      <c r="AC64" s="103"/>
      <c r="AD64" s="103"/>
      <c r="AE64" s="104"/>
      <c r="AL64" s="103">
        <v>3.3458700000000001</v>
      </c>
      <c r="AM64" s="103">
        <v>3.399</v>
      </c>
      <c r="AN64" s="103">
        <v>3.403</v>
      </c>
      <c r="AO64" s="103"/>
      <c r="AP64" s="103"/>
      <c r="AQ64" s="103"/>
      <c r="AR64" s="103"/>
      <c r="AS64" s="91"/>
      <c r="AY64" s="103">
        <v>2.895E-2</v>
      </c>
      <c r="AZ64" s="103">
        <v>2.5999999999999999E-2</v>
      </c>
      <c r="BA64" s="103">
        <v>2.5999999999999999E-2</v>
      </c>
      <c r="BB64" s="103"/>
      <c r="BC64" s="103"/>
      <c r="BD64" s="103"/>
      <c r="BE64" s="104"/>
      <c r="BL64" s="103">
        <v>-7.7663309999999999E-2</v>
      </c>
      <c r="BM64" s="103">
        <v>0</v>
      </c>
      <c r="BN64" s="103">
        <v>-0.02</v>
      </c>
      <c r="BO64" s="103"/>
      <c r="BP64" s="103"/>
      <c r="BQ64" s="103"/>
      <c r="BR64" s="103"/>
      <c r="BS64" s="91"/>
      <c r="CE64" s="13"/>
      <c r="CS64" s="91"/>
      <c r="DE64" s="13"/>
      <c r="DF64" s="91"/>
      <c r="DR64" s="13"/>
      <c r="DS64" s="20"/>
      <c r="DT64" s="21"/>
      <c r="DU64" s="21"/>
      <c r="DV64" s="21"/>
      <c r="DW64" s="21"/>
      <c r="DX64" s="21"/>
      <c r="EE64" s="13"/>
      <c r="EF64" s="20"/>
      <c r="EG64" s="21"/>
      <c r="EH64" s="21"/>
      <c r="EI64" s="21"/>
      <c r="EJ64" s="21"/>
      <c r="EK64" s="21"/>
      <c r="ER64" s="13"/>
      <c r="ES64" s="20"/>
      <c r="ET64" s="21"/>
      <c r="EU64" s="21"/>
      <c r="EV64" s="21"/>
      <c r="EW64" s="21"/>
      <c r="EX64" s="21"/>
      <c r="FE64" s="13"/>
      <c r="FF64" s="20"/>
      <c r="FG64" s="21"/>
      <c r="FH64" s="21"/>
      <c r="FI64" s="21"/>
      <c r="FJ64" s="21"/>
      <c r="FK64" s="21"/>
      <c r="FR64" s="13"/>
    </row>
    <row r="65" spans="1:174" ht="15.6" x14ac:dyDescent="0.3">
      <c r="A65" s="113" t="s">
        <v>88</v>
      </c>
      <c r="B65" s="114" t="s">
        <v>129</v>
      </c>
      <c r="C65" s="2" t="s">
        <v>130</v>
      </c>
      <c r="D65" s="114">
        <v>209</v>
      </c>
      <c r="E65" s="2" t="s">
        <v>89</v>
      </c>
      <c r="L65" s="103">
        <v>1.0148600000000001E-2</v>
      </c>
      <c r="M65" s="103">
        <v>3.0000000000000001E-3</v>
      </c>
      <c r="N65" s="103">
        <v>8.9999999999999993E-3</v>
      </c>
      <c r="O65" s="103"/>
      <c r="P65" s="103"/>
      <c r="Q65" s="103"/>
      <c r="R65" s="103"/>
      <c r="S65" s="91"/>
      <c r="Z65" s="103"/>
      <c r="AA65" s="103"/>
      <c r="AB65" s="103"/>
      <c r="AC65" s="103"/>
      <c r="AD65" s="103"/>
      <c r="AE65" s="104"/>
      <c r="AL65" s="103">
        <v>1.7969200000000001</v>
      </c>
      <c r="AM65" s="103">
        <v>1.829</v>
      </c>
      <c r="AN65" s="103">
        <v>1.9139999999999999</v>
      </c>
      <c r="AO65" s="103"/>
      <c r="AP65" s="103"/>
      <c r="AQ65" s="103"/>
      <c r="AR65" s="103"/>
      <c r="AS65" s="91"/>
      <c r="AY65" s="103">
        <v>1.1690000000000001E-2</v>
      </c>
      <c r="AZ65" s="103">
        <v>1.0999999999999999E-2</v>
      </c>
      <c r="BA65" s="103">
        <v>1.0999999999999999E-2</v>
      </c>
      <c r="BB65" s="103"/>
      <c r="BC65" s="103"/>
      <c r="BD65" s="103"/>
      <c r="BE65" s="104"/>
      <c r="BL65" s="103">
        <v>-2.4271359999999999E-2</v>
      </c>
      <c r="BM65" s="103">
        <v>0</v>
      </c>
      <c r="BN65" s="103">
        <v>-6.0000000000000001E-3</v>
      </c>
      <c r="BO65" s="103"/>
      <c r="BP65" s="103"/>
      <c r="BQ65" s="103"/>
      <c r="BR65" s="103"/>
      <c r="BS65" s="91"/>
      <c r="CE65" s="13"/>
      <c r="CS65" s="91"/>
      <c r="DE65" s="13"/>
      <c r="DF65" s="91"/>
      <c r="DR65" s="13"/>
      <c r="DS65" s="20"/>
      <c r="DT65" s="21"/>
      <c r="DU65" s="21"/>
      <c r="DV65" s="21"/>
      <c r="DW65" s="21"/>
      <c r="DX65" s="21"/>
      <c r="EE65" s="13"/>
      <c r="EF65" s="20"/>
      <c r="EG65" s="21"/>
      <c r="EH65" s="21"/>
      <c r="EI65" s="21"/>
      <c r="EJ65" s="21"/>
      <c r="EK65" s="21"/>
      <c r="ER65" s="13"/>
      <c r="ES65" s="20"/>
      <c r="ET65" s="21"/>
      <c r="EU65" s="21"/>
      <c r="EV65" s="21"/>
      <c r="EW65" s="21"/>
      <c r="EX65" s="21"/>
      <c r="FE65" s="13"/>
      <c r="FF65" s="20"/>
      <c r="FG65" s="21"/>
      <c r="FH65" s="21"/>
      <c r="FI65" s="21"/>
      <c r="FJ65" s="21"/>
      <c r="FK65" s="21"/>
      <c r="FR65" s="13"/>
    </row>
    <row r="66" spans="1:174" ht="15.6" x14ac:dyDescent="0.3">
      <c r="A66" s="113" t="s">
        <v>90</v>
      </c>
      <c r="B66" s="114" t="s">
        <v>131</v>
      </c>
      <c r="C66" s="2" t="s">
        <v>132</v>
      </c>
      <c r="D66" s="114">
        <v>210</v>
      </c>
      <c r="E66" s="2" t="s">
        <v>91</v>
      </c>
      <c r="L66" s="103">
        <v>7.0740899999999995E-2</v>
      </c>
      <c r="M66" s="103">
        <v>2.9000000000000001E-2</v>
      </c>
      <c r="N66" s="103">
        <v>6.2E-2</v>
      </c>
      <c r="O66" s="103"/>
      <c r="P66" s="103"/>
      <c r="Q66" s="103"/>
      <c r="R66" s="103"/>
      <c r="S66" s="91"/>
      <c r="Z66" s="103"/>
      <c r="AA66" s="103"/>
      <c r="AB66" s="103"/>
      <c r="AC66" s="103"/>
      <c r="AD66" s="103"/>
      <c r="AE66" s="104"/>
      <c r="AL66" s="103">
        <v>14.8028</v>
      </c>
      <c r="AM66" s="103">
        <v>14.999000000000001</v>
      </c>
      <c r="AN66" s="103">
        <v>15.708</v>
      </c>
      <c r="AO66" s="103"/>
      <c r="AP66" s="103"/>
      <c r="AQ66" s="103"/>
      <c r="AR66" s="103"/>
      <c r="AS66" s="91"/>
      <c r="AY66" s="103">
        <v>0.20429</v>
      </c>
      <c r="AZ66" s="103">
        <v>0.19700000000000001</v>
      </c>
      <c r="BA66" s="103">
        <v>0.19700000000000001</v>
      </c>
      <c r="BB66" s="103"/>
      <c r="BC66" s="103"/>
      <c r="BD66" s="103"/>
      <c r="BE66" s="104"/>
      <c r="BL66" s="103">
        <v>-0.18599447</v>
      </c>
      <c r="BM66" s="103">
        <v>0</v>
      </c>
      <c r="BN66" s="103">
        <v>-0.05</v>
      </c>
      <c r="BO66" s="103"/>
      <c r="BP66" s="103"/>
      <c r="BQ66" s="103"/>
      <c r="BR66" s="103"/>
      <c r="BS66" s="91"/>
      <c r="CE66" s="13"/>
      <c r="CS66" s="91"/>
      <c r="DE66" s="13"/>
      <c r="DF66" s="91"/>
      <c r="DR66" s="13"/>
      <c r="DS66" s="20"/>
      <c r="DT66" s="21"/>
      <c r="DU66" s="21"/>
      <c r="DV66" s="21"/>
      <c r="DW66" s="21"/>
      <c r="DX66" s="21"/>
      <c r="EE66" s="13"/>
      <c r="EF66" s="20"/>
      <c r="EG66" s="21"/>
      <c r="EH66" s="21"/>
      <c r="EI66" s="21"/>
      <c r="EJ66" s="21"/>
      <c r="EK66" s="21"/>
      <c r="ER66" s="13"/>
      <c r="ES66" s="20"/>
      <c r="ET66" s="21"/>
      <c r="EU66" s="21"/>
      <c r="EV66" s="21"/>
      <c r="EW66" s="21"/>
      <c r="EX66" s="21"/>
      <c r="FE66" s="13"/>
      <c r="FF66" s="20"/>
      <c r="FG66" s="21"/>
      <c r="FH66" s="21"/>
      <c r="FI66" s="21"/>
      <c r="FJ66" s="21"/>
      <c r="FK66" s="21"/>
      <c r="FR66" s="13"/>
    </row>
    <row r="67" spans="1:174" ht="15.6" x14ac:dyDescent="0.3">
      <c r="A67" s="113" t="s">
        <v>92</v>
      </c>
      <c r="B67" s="114" t="s">
        <v>133</v>
      </c>
      <c r="C67" s="2" t="s">
        <v>134</v>
      </c>
      <c r="D67" s="114">
        <v>211</v>
      </c>
      <c r="E67" s="2" t="s">
        <v>93</v>
      </c>
      <c r="L67" s="103">
        <v>5.4952999999999998E-3</v>
      </c>
      <c r="M67" s="103">
        <v>4.0000000000000001E-3</v>
      </c>
      <c r="N67" s="103">
        <v>5.0000000000000001E-3</v>
      </c>
      <c r="O67" s="103"/>
      <c r="P67" s="103"/>
      <c r="Q67" s="103"/>
      <c r="R67" s="103"/>
      <c r="S67" s="91"/>
      <c r="Z67" s="103"/>
      <c r="AA67" s="103"/>
      <c r="AB67" s="103"/>
      <c r="AC67" s="103"/>
      <c r="AD67" s="103"/>
      <c r="AE67" s="104"/>
      <c r="AL67" s="103">
        <v>3.9893200000000002</v>
      </c>
      <c r="AM67" s="103">
        <v>3.6160000000000001</v>
      </c>
      <c r="AN67" s="103">
        <v>3.7690000000000001</v>
      </c>
      <c r="AO67" s="103"/>
      <c r="AP67" s="103"/>
      <c r="AQ67" s="103"/>
      <c r="AR67" s="103"/>
      <c r="AS67" s="91"/>
      <c r="AY67" s="103">
        <v>5.6050000000000003E-2</v>
      </c>
      <c r="AZ67" s="103">
        <v>5.3999999999999999E-2</v>
      </c>
      <c r="BA67" s="103">
        <v>5.3999999999999999E-2</v>
      </c>
      <c r="BB67" s="103"/>
      <c r="BC67" s="103"/>
      <c r="BD67" s="103"/>
      <c r="BE67" s="104"/>
      <c r="BL67" s="103">
        <v>-6.1267559999999999E-2</v>
      </c>
      <c r="BM67" s="103">
        <v>0</v>
      </c>
      <c r="BN67" s="103">
        <v>-1.6E-2</v>
      </c>
      <c r="BO67" s="103"/>
      <c r="BP67" s="103"/>
      <c r="BQ67" s="103"/>
      <c r="BR67" s="103"/>
      <c r="BS67" s="91"/>
      <c r="CE67" s="13"/>
      <c r="CS67" s="91"/>
      <c r="DE67" s="13"/>
      <c r="DF67" s="91"/>
      <c r="DR67" s="13"/>
      <c r="DS67" s="20"/>
      <c r="DT67" s="21"/>
      <c r="DU67" s="21"/>
      <c r="DV67" s="21"/>
      <c r="DW67" s="21"/>
      <c r="DX67" s="21"/>
      <c r="EE67" s="13"/>
      <c r="EF67" s="20"/>
      <c r="EG67" s="21"/>
      <c r="EH67" s="21"/>
      <c r="EI67" s="21"/>
      <c r="EJ67" s="21"/>
      <c r="EK67" s="21"/>
      <c r="ER67" s="13"/>
      <c r="ES67" s="20"/>
      <c r="ET67" s="21"/>
      <c r="EU67" s="21"/>
      <c r="EV67" s="21"/>
      <c r="EW67" s="21"/>
      <c r="EX67" s="21"/>
      <c r="FE67" s="13"/>
      <c r="FF67" s="20"/>
      <c r="FG67" s="21"/>
      <c r="FH67" s="21"/>
      <c r="FI67" s="21"/>
      <c r="FJ67" s="21"/>
      <c r="FK67" s="21"/>
      <c r="FR67" s="13"/>
    </row>
    <row r="68" spans="1:174" ht="15.6" x14ac:dyDescent="0.3">
      <c r="A68" s="113" t="s">
        <v>94</v>
      </c>
      <c r="B68" s="114" t="s">
        <v>135</v>
      </c>
      <c r="C68" s="2" t="s">
        <v>136</v>
      </c>
      <c r="D68" s="114">
        <v>213</v>
      </c>
      <c r="E68" s="2" t="s">
        <v>95</v>
      </c>
      <c r="L68" s="103">
        <v>6.3924999999999996E-2</v>
      </c>
      <c r="M68" s="103">
        <v>2.9000000000000001E-2</v>
      </c>
      <c r="N68" s="103">
        <v>5.6000000000000001E-2</v>
      </c>
      <c r="O68" s="103"/>
      <c r="P68" s="103"/>
      <c r="Q68" s="103"/>
      <c r="R68" s="103"/>
      <c r="S68" s="91"/>
      <c r="Z68" s="103"/>
      <c r="AA68" s="103"/>
      <c r="AB68" s="103"/>
      <c r="AC68" s="103"/>
      <c r="AD68" s="103"/>
      <c r="AE68" s="104"/>
      <c r="AL68" s="103">
        <v>8.3825000000000003</v>
      </c>
      <c r="AM68" s="103">
        <v>8.6010000000000009</v>
      </c>
      <c r="AN68" s="103">
        <v>9.0180000000000007</v>
      </c>
      <c r="AO68" s="103"/>
      <c r="AP68" s="103"/>
      <c r="AQ68" s="103"/>
      <c r="AR68" s="103"/>
      <c r="AS68" s="91"/>
      <c r="AY68" s="103">
        <v>0.14249999999999999</v>
      </c>
      <c r="AZ68" s="103">
        <v>0.13900000000000001</v>
      </c>
      <c r="BA68" s="103">
        <v>0.13900000000000001</v>
      </c>
      <c r="BB68" s="103"/>
      <c r="BC68" s="103"/>
      <c r="BD68" s="103"/>
      <c r="BE68" s="104"/>
      <c r="BL68" s="103">
        <v>-9.9368899999999996E-2</v>
      </c>
      <c r="BM68" s="103">
        <v>0</v>
      </c>
      <c r="BN68" s="103">
        <v>-3.5999999999999997E-2</v>
      </c>
      <c r="BO68" s="103"/>
      <c r="BP68" s="103"/>
      <c r="BQ68" s="103"/>
      <c r="BR68" s="103"/>
      <c r="BS68" s="91"/>
      <c r="CE68" s="13"/>
      <c r="CS68" s="91"/>
      <c r="DE68" s="13"/>
      <c r="DF68" s="91"/>
      <c r="DR68" s="13"/>
      <c r="DS68" s="20"/>
      <c r="DT68" s="21"/>
      <c r="DU68" s="21"/>
      <c r="DV68" s="21"/>
      <c r="DW68" s="21"/>
      <c r="DX68" s="21"/>
      <c r="EE68" s="13"/>
      <c r="EF68" s="20"/>
      <c r="EG68" s="21"/>
      <c r="EH68" s="21"/>
      <c r="EI68" s="21"/>
      <c r="EJ68" s="21"/>
      <c r="EK68" s="21"/>
      <c r="ER68" s="13"/>
      <c r="ES68" s="20"/>
      <c r="ET68" s="21"/>
      <c r="EU68" s="21"/>
      <c r="EV68" s="21"/>
      <c r="EW68" s="21"/>
      <c r="EX68" s="21"/>
      <c r="FE68" s="13"/>
      <c r="FF68" s="20"/>
      <c r="FG68" s="21"/>
      <c r="FH68" s="21"/>
      <c r="FI68" s="21"/>
      <c r="FJ68" s="21"/>
      <c r="FK68" s="21"/>
      <c r="FR68" s="13"/>
    </row>
    <row r="69" spans="1:174" ht="15.6" x14ac:dyDescent="0.3">
      <c r="A69" s="113" t="s">
        <v>96</v>
      </c>
      <c r="B69" s="114" t="s">
        <v>137</v>
      </c>
      <c r="C69" s="2" t="s">
        <v>138</v>
      </c>
      <c r="D69" s="114">
        <v>214</v>
      </c>
      <c r="E69" s="2" t="s">
        <v>97</v>
      </c>
      <c r="L69" s="103">
        <v>4.8287E-3</v>
      </c>
      <c r="M69" s="103">
        <v>4.0000000000000001E-3</v>
      </c>
      <c r="N69" s="103">
        <v>4.0000000000000001E-3</v>
      </c>
      <c r="O69" s="103"/>
      <c r="P69" s="103"/>
      <c r="Q69" s="103"/>
      <c r="R69" s="103"/>
      <c r="S69" s="91"/>
      <c r="Z69" s="103"/>
      <c r="AA69" s="103"/>
      <c r="AB69" s="103"/>
      <c r="AC69" s="103"/>
      <c r="AD69" s="103"/>
      <c r="AE69" s="104"/>
      <c r="AL69" s="103">
        <v>4.1329000000000002</v>
      </c>
      <c r="AM69" s="103">
        <v>4.7279999999999998</v>
      </c>
      <c r="AN69" s="103">
        <v>4.8310000000000004</v>
      </c>
      <c r="AO69" s="103"/>
      <c r="AP69" s="103"/>
      <c r="AQ69" s="103"/>
      <c r="AR69" s="103"/>
      <c r="AS69" s="91"/>
      <c r="AY69" s="103">
        <v>4.2759999999999999E-2</v>
      </c>
      <c r="AZ69" s="103">
        <v>0.04</v>
      </c>
      <c r="BA69" s="103">
        <v>0.04</v>
      </c>
      <c r="BB69" s="103"/>
      <c r="BC69" s="103"/>
      <c r="BD69" s="103"/>
      <c r="BE69" s="104"/>
      <c r="BL69" s="103">
        <v>-6.0803620000000003E-2</v>
      </c>
      <c r="BM69" s="103">
        <v>0</v>
      </c>
      <c r="BN69" s="103">
        <v>-1.6E-2</v>
      </c>
      <c r="BO69" s="103"/>
      <c r="BP69" s="103"/>
      <c r="BQ69" s="103"/>
      <c r="BR69" s="103"/>
      <c r="BS69" s="91"/>
      <c r="CE69" s="13"/>
      <c r="CS69" s="91"/>
      <c r="DE69" s="13"/>
      <c r="DF69" s="91"/>
      <c r="DR69" s="13"/>
      <c r="DS69" s="20"/>
      <c r="DT69" s="21"/>
      <c r="DU69" s="21"/>
      <c r="DV69" s="21"/>
      <c r="DW69" s="21"/>
      <c r="DX69" s="21"/>
      <c r="EE69" s="13"/>
      <c r="EF69" s="20"/>
      <c r="EG69" s="21"/>
      <c r="EH69" s="21"/>
      <c r="EI69" s="21"/>
      <c r="EJ69" s="21"/>
      <c r="EK69" s="21"/>
      <c r="ER69" s="13"/>
      <c r="ES69" s="20"/>
      <c r="ET69" s="21"/>
      <c r="EU69" s="21"/>
      <c r="EV69" s="21"/>
      <c r="EW69" s="21"/>
      <c r="EX69" s="21"/>
      <c r="FE69" s="13"/>
      <c r="FF69" s="20"/>
      <c r="FG69" s="21"/>
      <c r="FH69" s="21"/>
      <c r="FI69" s="21"/>
      <c r="FJ69" s="21"/>
      <c r="FK69" s="21"/>
      <c r="FR69" s="13"/>
    </row>
    <row r="70" spans="1:174" ht="15.6" x14ac:dyDescent="0.3">
      <c r="A70" s="113" t="s">
        <v>98</v>
      </c>
      <c r="B70" s="114" t="s">
        <v>139</v>
      </c>
      <c r="C70" s="2" t="s">
        <v>140</v>
      </c>
      <c r="D70" s="114">
        <v>215</v>
      </c>
      <c r="E70" s="2" t="s">
        <v>99</v>
      </c>
      <c r="L70" s="103">
        <v>4.8988E-3</v>
      </c>
      <c r="M70" s="103">
        <v>5.0000000000000001E-3</v>
      </c>
      <c r="N70" s="103">
        <v>5.0000000000000001E-3</v>
      </c>
      <c r="O70" s="103"/>
      <c r="P70" s="103"/>
      <c r="Q70" s="103"/>
      <c r="R70" s="103"/>
      <c r="S70" s="91"/>
      <c r="Z70" s="103"/>
      <c r="AA70" s="103"/>
      <c r="AB70" s="103"/>
      <c r="AC70" s="103"/>
      <c r="AD70" s="103"/>
      <c r="AE70" s="104"/>
      <c r="AL70" s="103">
        <v>5.0330599999999999</v>
      </c>
      <c r="AM70" s="103">
        <v>5.266</v>
      </c>
      <c r="AN70" s="103">
        <v>5.1779999999999999</v>
      </c>
      <c r="AO70" s="103"/>
      <c r="AP70" s="103"/>
      <c r="AQ70" s="103"/>
      <c r="AR70" s="103"/>
      <c r="AS70" s="91"/>
      <c r="AY70" s="103">
        <v>7.4209999999999998E-2</v>
      </c>
      <c r="AZ70" s="103">
        <v>7.2999999999999995E-2</v>
      </c>
      <c r="BA70" s="103">
        <v>7.2999999999999995E-2</v>
      </c>
      <c r="BB70" s="103"/>
      <c r="BC70" s="103"/>
      <c r="BD70" s="103"/>
      <c r="BE70" s="104"/>
      <c r="BL70" s="103">
        <v>-8.3079100000000003E-2</v>
      </c>
      <c r="BM70" s="103">
        <v>0</v>
      </c>
      <c r="BN70" s="103">
        <v>-2.1999999999999999E-2</v>
      </c>
      <c r="BO70" s="103"/>
      <c r="BP70" s="103"/>
      <c r="BQ70" s="103"/>
      <c r="BR70" s="103"/>
      <c r="BS70" s="91"/>
      <c r="CE70" s="13"/>
      <c r="CS70" s="91"/>
      <c r="DE70" s="13"/>
      <c r="DF70" s="91"/>
      <c r="DR70" s="13"/>
      <c r="DS70" s="20"/>
      <c r="DT70" s="21"/>
      <c r="DU70" s="21"/>
      <c r="DV70" s="21"/>
      <c r="DW70" s="21"/>
      <c r="DX70" s="21"/>
      <c r="EE70" s="13"/>
      <c r="EF70" s="20"/>
      <c r="EG70" s="21"/>
      <c r="EH70" s="21"/>
      <c r="EI70" s="21"/>
      <c r="EJ70" s="21"/>
      <c r="EK70" s="21"/>
      <c r="ER70" s="13"/>
      <c r="ES70" s="20"/>
      <c r="ET70" s="21"/>
      <c r="EU70" s="21"/>
      <c r="EV70" s="21"/>
      <c r="EW70" s="21"/>
      <c r="EX70" s="21"/>
      <c r="FE70" s="13"/>
      <c r="FF70" s="20"/>
      <c r="FG70" s="21"/>
      <c r="FH70" s="21"/>
      <c r="FI70" s="21"/>
      <c r="FJ70" s="21"/>
      <c r="FK70" s="21"/>
      <c r="FR70" s="13"/>
    </row>
    <row r="71" spans="1:174" ht="15.6" x14ac:dyDescent="0.3">
      <c r="A71" s="113" t="s">
        <v>100</v>
      </c>
      <c r="B71" s="114" t="s">
        <v>141</v>
      </c>
      <c r="C71" s="2" t="s">
        <v>142</v>
      </c>
      <c r="D71" s="114">
        <v>216</v>
      </c>
      <c r="E71" s="2" t="s">
        <v>101</v>
      </c>
      <c r="L71" s="103">
        <v>0</v>
      </c>
      <c r="M71" s="103">
        <v>0</v>
      </c>
      <c r="N71" s="103">
        <v>0</v>
      </c>
      <c r="O71" s="103"/>
      <c r="P71" s="103"/>
      <c r="Q71" s="103"/>
      <c r="R71" s="103"/>
      <c r="S71" s="91"/>
      <c r="Z71" s="103"/>
      <c r="AA71" s="103"/>
      <c r="AB71" s="103"/>
      <c r="AC71" s="103"/>
      <c r="AD71" s="103"/>
      <c r="AE71" s="104"/>
      <c r="AL71" s="103">
        <v>0.89117000000000002</v>
      </c>
      <c r="AM71" s="103">
        <v>0.94099999999999995</v>
      </c>
      <c r="AN71" s="103">
        <v>1.1200000000000001</v>
      </c>
      <c r="AO71" s="103"/>
      <c r="AP71" s="103"/>
      <c r="AQ71" s="103"/>
      <c r="AR71" s="103"/>
      <c r="AS71" s="91"/>
      <c r="AY71" s="103">
        <v>1.9390000000000001E-2</v>
      </c>
      <c r="AZ71" s="103">
        <v>1.9E-2</v>
      </c>
      <c r="BA71" s="103">
        <v>1.9E-2</v>
      </c>
      <c r="BB71" s="103"/>
      <c r="BC71" s="103"/>
      <c r="BD71" s="103"/>
      <c r="BE71" s="104"/>
      <c r="BL71" s="103">
        <v>-2.0140990000000001E-2</v>
      </c>
      <c r="BM71" s="103">
        <v>0</v>
      </c>
      <c r="BN71" s="103">
        <v>-5.0000000000000001E-3</v>
      </c>
      <c r="BO71" s="103"/>
      <c r="BP71" s="103"/>
      <c r="BQ71" s="103"/>
      <c r="BR71" s="103"/>
      <c r="BS71" s="91"/>
      <c r="CE71" s="13"/>
      <c r="CS71" s="91"/>
      <c r="DE71" s="13"/>
      <c r="DF71" s="91"/>
      <c r="DR71" s="13"/>
      <c r="DS71" s="20"/>
      <c r="DT71" s="21"/>
      <c r="DU71" s="21"/>
      <c r="DV71" s="21"/>
      <c r="DW71" s="21"/>
      <c r="DX71" s="21"/>
      <c r="EE71" s="13"/>
      <c r="EF71" s="20"/>
      <c r="EG71" s="21"/>
      <c r="EH71" s="21"/>
      <c r="EI71" s="21"/>
      <c r="EJ71" s="21"/>
      <c r="EK71" s="21"/>
      <c r="ER71" s="13"/>
      <c r="ES71" s="20"/>
      <c r="ET71" s="21"/>
      <c r="EU71" s="21"/>
      <c r="EV71" s="21"/>
      <c r="EW71" s="21"/>
      <c r="EX71" s="21"/>
      <c r="FE71" s="13"/>
      <c r="FF71" s="20"/>
      <c r="FG71" s="21"/>
      <c r="FH71" s="21"/>
      <c r="FI71" s="21"/>
      <c r="FJ71" s="21"/>
      <c r="FK71" s="21"/>
      <c r="FR71" s="13"/>
    </row>
    <row r="72" spans="1:174" ht="15.6" x14ac:dyDescent="0.3">
      <c r="A72" s="113" t="s">
        <v>102</v>
      </c>
      <c r="B72" s="114" t="s">
        <v>143</v>
      </c>
      <c r="C72" s="2" t="s">
        <v>144</v>
      </c>
      <c r="D72" s="114">
        <v>217</v>
      </c>
      <c r="E72" s="2" t="s">
        <v>103</v>
      </c>
      <c r="L72" s="103">
        <v>8.4028000000000002E-3</v>
      </c>
      <c r="M72" s="103">
        <v>2E-3</v>
      </c>
      <c r="N72" s="103">
        <v>7.0000000000000001E-3</v>
      </c>
      <c r="O72" s="103"/>
      <c r="P72" s="103"/>
      <c r="Q72" s="103"/>
      <c r="R72" s="103"/>
      <c r="S72" s="91"/>
      <c r="Z72" s="103"/>
      <c r="AA72" s="103"/>
      <c r="AB72" s="103"/>
      <c r="AC72" s="103"/>
      <c r="AD72" s="103"/>
      <c r="AE72" s="104"/>
      <c r="AL72" s="103">
        <v>3.52393</v>
      </c>
      <c r="AM72" s="103">
        <v>3.496</v>
      </c>
      <c r="AN72" s="103">
        <v>3.6230000000000002</v>
      </c>
      <c r="AO72" s="103"/>
      <c r="AP72" s="103"/>
      <c r="AQ72" s="103"/>
      <c r="AR72" s="103"/>
      <c r="AS72" s="91"/>
      <c r="AY72" s="103">
        <v>3.5009999999999999E-2</v>
      </c>
      <c r="AZ72" s="103">
        <v>3.3000000000000002E-2</v>
      </c>
      <c r="BA72" s="103">
        <v>3.3000000000000002E-2</v>
      </c>
      <c r="BB72" s="103"/>
      <c r="BC72" s="103"/>
      <c r="BD72" s="103"/>
      <c r="BE72" s="104"/>
      <c r="BL72" s="103">
        <v>-6.3067049999999999E-2</v>
      </c>
      <c r="BM72" s="103">
        <v>0</v>
      </c>
      <c r="BN72" s="103">
        <v>-1.6E-2</v>
      </c>
      <c r="BO72" s="103"/>
      <c r="BP72" s="103"/>
      <c r="BQ72" s="103"/>
      <c r="BR72" s="103"/>
      <c r="BS72" s="91"/>
      <c r="CE72" s="13"/>
      <c r="CS72" s="91"/>
      <c r="DE72" s="13"/>
      <c r="DF72" s="91"/>
      <c r="DR72" s="13"/>
      <c r="DS72" s="20"/>
      <c r="DT72" s="21"/>
      <c r="DU72" s="21"/>
      <c r="DV72" s="21"/>
      <c r="DW72" s="21"/>
      <c r="DX72" s="21"/>
      <c r="EE72" s="13"/>
      <c r="EF72" s="20"/>
      <c r="EG72" s="21"/>
      <c r="EH72" s="21"/>
      <c r="EI72" s="21"/>
      <c r="EJ72" s="21"/>
      <c r="EK72" s="21"/>
      <c r="ER72" s="13"/>
      <c r="ES72" s="20"/>
      <c r="ET72" s="21"/>
      <c r="EU72" s="21"/>
      <c r="EV72" s="21"/>
      <c r="EW72" s="21"/>
      <c r="EX72" s="21"/>
      <c r="FE72" s="13"/>
      <c r="FF72" s="20"/>
      <c r="FG72" s="21"/>
      <c r="FH72" s="21"/>
      <c r="FI72" s="21"/>
      <c r="FJ72" s="21"/>
      <c r="FK72" s="21"/>
      <c r="FR72" s="13"/>
    </row>
    <row r="73" spans="1:174" ht="15.6" x14ac:dyDescent="0.3">
      <c r="A73" s="113" t="s">
        <v>104</v>
      </c>
      <c r="B73" s="114" t="s">
        <v>145</v>
      </c>
      <c r="C73" s="2" t="s">
        <v>146</v>
      </c>
      <c r="D73" s="114">
        <v>218</v>
      </c>
      <c r="E73" s="2" t="s">
        <v>105</v>
      </c>
      <c r="L73" s="103">
        <v>1.7711399999999999E-2</v>
      </c>
      <c r="M73" s="103">
        <v>1.9E-2</v>
      </c>
      <c r="N73" s="103">
        <v>1.6E-2</v>
      </c>
      <c r="O73" s="103"/>
      <c r="P73" s="103"/>
      <c r="Q73" s="103"/>
      <c r="R73" s="103"/>
      <c r="S73" s="91"/>
      <c r="Z73" s="103"/>
      <c r="AA73" s="103"/>
      <c r="AB73" s="103"/>
      <c r="AC73" s="103"/>
      <c r="AD73" s="103"/>
      <c r="AE73" s="104"/>
      <c r="AL73" s="103">
        <v>8.70364</v>
      </c>
      <c r="AM73" s="103">
        <v>8.641</v>
      </c>
      <c r="AN73" s="103">
        <v>9.1020000000000003</v>
      </c>
      <c r="AO73" s="103"/>
      <c r="AP73" s="103"/>
      <c r="AQ73" s="103"/>
      <c r="AR73" s="103"/>
      <c r="AS73" s="91"/>
      <c r="AY73" s="103">
        <v>0.12814</v>
      </c>
      <c r="AZ73" s="103">
        <v>0.127</v>
      </c>
      <c r="BA73" s="103">
        <v>0.127</v>
      </c>
      <c r="BB73" s="103"/>
      <c r="BC73" s="103"/>
      <c r="BD73" s="103"/>
      <c r="BE73" s="104"/>
      <c r="BL73" s="103">
        <v>-0.10391904</v>
      </c>
      <c r="BM73" s="103">
        <v>0</v>
      </c>
      <c r="BN73" s="103">
        <v>-2.5999999999999999E-2</v>
      </c>
      <c r="BO73" s="103"/>
      <c r="BP73" s="103"/>
      <c r="BQ73" s="103"/>
      <c r="BR73" s="103"/>
      <c r="BS73" s="91"/>
      <c r="CE73" s="13"/>
      <c r="CS73" s="91"/>
      <c r="DE73" s="13"/>
      <c r="DF73" s="91"/>
      <c r="DR73" s="13"/>
      <c r="DS73" s="20"/>
      <c r="DT73" s="21"/>
      <c r="DU73" s="21"/>
      <c r="DV73" s="21"/>
      <c r="DW73" s="21"/>
      <c r="DX73" s="21"/>
      <c r="EE73" s="13"/>
      <c r="EF73" s="20"/>
      <c r="EG73" s="21"/>
      <c r="EH73" s="21"/>
      <c r="EI73" s="21"/>
      <c r="EJ73" s="21"/>
      <c r="EK73" s="21"/>
      <c r="ER73" s="13"/>
      <c r="ES73" s="20"/>
      <c r="ET73" s="21"/>
      <c r="EU73" s="21"/>
      <c r="EV73" s="21"/>
      <c r="EW73" s="21"/>
      <c r="EX73" s="21"/>
      <c r="FE73" s="13"/>
      <c r="FF73" s="20"/>
      <c r="FG73" s="21"/>
      <c r="FH73" s="21"/>
      <c r="FI73" s="21"/>
      <c r="FJ73" s="21"/>
      <c r="FK73" s="21"/>
      <c r="FR73" s="13"/>
    </row>
    <row r="74" spans="1:174" ht="15.6" x14ac:dyDescent="0.3">
      <c r="A74" s="113" t="s">
        <v>106</v>
      </c>
      <c r="B74" s="114" t="s">
        <v>147</v>
      </c>
      <c r="C74" s="2" t="s">
        <v>148</v>
      </c>
      <c r="D74" s="114">
        <v>219</v>
      </c>
      <c r="E74" s="2" t="s">
        <v>107</v>
      </c>
      <c r="L74" s="103">
        <v>19.509153000000001</v>
      </c>
      <c r="M74" s="103">
        <v>17.065000000000001</v>
      </c>
      <c r="N74" s="103">
        <v>17.096</v>
      </c>
      <c r="O74" s="103"/>
      <c r="P74" s="103"/>
      <c r="Q74" s="103"/>
      <c r="R74" s="103"/>
      <c r="S74" s="91"/>
      <c r="Z74" s="103"/>
      <c r="AA74" s="103"/>
      <c r="AB74" s="103"/>
      <c r="AC74" s="103"/>
      <c r="AD74" s="103"/>
      <c r="AE74" s="104"/>
      <c r="AL74" s="103">
        <v>99.468000000000004</v>
      </c>
      <c r="AM74" s="103">
        <v>109.09399999999999</v>
      </c>
      <c r="AN74" s="103">
        <v>109.34099999999999</v>
      </c>
      <c r="AO74" s="103"/>
      <c r="AP74" s="103"/>
      <c r="AQ74" s="103"/>
      <c r="AR74" s="103"/>
      <c r="AS74" s="91"/>
      <c r="AY74" s="103">
        <v>0.97782999999999998</v>
      </c>
      <c r="AZ74" s="103">
        <v>0.93600000000000005</v>
      </c>
      <c r="BA74" s="103">
        <v>0.93600000000000005</v>
      </c>
      <c r="BB74" s="103"/>
      <c r="BC74" s="103"/>
      <c r="BD74" s="103"/>
      <c r="BE74" s="104"/>
      <c r="BL74" s="103">
        <v>-0.85422056999999996</v>
      </c>
      <c r="BM74" s="103">
        <v>0</v>
      </c>
      <c r="BN74" s="103">
        <v>-0.23200000000000001</v>
      </c>
      <c r="BO74" s="103"/>
      <c r="BP74" s="103"/>
      <c r="BQ74" s="103"/>
      <c r="BR74" s="103"/>
      <c r="BS74" s="91"/>
      <c r="CE74" s="13"/>
      <c r="CS74" s="91"/>
      <c r="DE74" s="13"/>
      <c r="DF74" s="91"/>
      <c r="DR74" s="13"/>
      <c r="DS74" s="20"/>
      <c r="DT74" s="21"/>
      <c r="DU74" s="21"/>
      <c r="DV74" s="21"/>
      <c r="DW74" s="21"/>
      <c r="DX74" s="21"/>
      <c r="EE74" s="13"/>
      <c r="EF74" s="20"/>
      <c r="EG74" s="21"/>
      <c r="EH74" s="21"/>
      <c r="EI74" s="21"/>
      <c r="EJ74" s="21"/>
      <c r="EK74" s="21"/>
      <c r="ER74" s="13"/>
      <c r="ES74" s="20"/>
      <c r="ET74" s="21"/>
      <c r="EU74" s="21"/>
      <c r="EV74" s="21"/>
      <c r="EW74" s="21"/>
      <c r="EX74" s="21"/>
      <c r="FE74" s="13"/>
      <c r="FF74" s="20"/>
      <c r="FG74" s="21"/>
      <c r="FH74" s="21"/>
      <c r="FI74" s="21"/>
      <c r="FJ74" s="21"/>
      <c r="FK74" s="21"/>
      <c r="FR74" s="13"/>
    </row>
    <row r="75" spans="1:174" ht="15.6" x14ac:dyDescent="0.3">
      <c r="A75" s="113" t="s">
        <v>108</v>
      </c>
      <c r="B75" s="114" t="s">
        <v>149</v>
      </c>
      <c r="C75" s="2" t="s">
        <v>150</v>
      </c>
      <c r="D75" s="114" t="s">
        <v>108</v>
      </c>
      <c r="E75" s="2" t="s">
        <v>109</v>
      </c>
      <c r="L75" s="103">
        <v>5.4066685999999997</v>
      </c>
      <c r="M75" s="103">
        <v>5.33</v>
      </c>
      <c r="N75" s="103">
        <v>5.4740000000000002</v>
      </c>
      <c r="O75" s="103"/>
      <c r="P75" s="103"/>
      <c r="Q75" s="103"/>
      <c r="R75" s="103"/>
      <c r="S75" s="91"/>
      <c r="Z75" s="103"/>
      <c r="AA75" s="103"/>
      <c r="AB75" s="103"/>
      <c r="AC75" s="103"/>
      <c r="AD75" s="103"/>
      <c r="AE75" s="104"/>
      <c r="AL75" s="103">
        <v>114.526</v>
      </c>
      <c r="AM75" s="103">
        <v>122.264</v>
      </c>
      <c r="AN75" s="103">
        <v>127.996</v>
      </c>
      <c r="AO75" s="103"/>
      <c r="AP75" s="103"/>
      <c r="AQ75" s="103"/>
      <c r="AR75" s="103"/>
      <c r="AS75" s="91"/>
      <c r="AY75" s="103">
        <v>1.2778700000000001</v>
      </c>
      <c r="AZ75" s="103">
        <v>1.26</v>
      </c>
      <c r="BA75" s="103">
        <v>1.26</v>
      </c>
      <c r="BB75" s="103"/>
      <c r="BC75" s="103"/>
      <c r="BD75" s="103"/>
      <c r="BE75" s="104"/>
      <c r="BL75" s="103">
        <v>-3.6957697</v>
      </c>
      <c r="BM75" s="103">
        <v>0</v>
      </c>
      <c r="BN75" s="103">
        <v>-0.98099999999999998</v>
      </c>
      <c r="BO75" s="103"/>
      <c r="BP75" s="103"/>
      <c r="BQ75" s="103"/>
      <c r="BR75" s="103"/>
      <c r="BS75" s="91"/>
      <c r="CE75" s="13"/>
      <c r="CS75" s="91"/>
      <c r="DE75" s="13"/>
      <c r="DF75" s="91"/>
      <c r="DR75" s="13"/>
      <c r="DS75" s="20"/>
      <c r="DT75" s="21"/>
      <c r="DU75" s="21"/>
      <c r="DV75" s="21"/>
      <c r="DW75" s="21"/>
      <c r="DX75" s="21"/>
      <c r="EE75" s="13"/>
      <c r="EF75" s="20"/>
      <c r="EG75" s="21"/>
      <c r="EH75" s="21"/>
      <c r="EI75" s="21"/>
      <c r="EJ75" s="21"/>
      <c r="EK75" s="21"/>
      <c r="ER75" s="13"/>
      <c r="ES75" s="20"/>
      <c r="ET75" s="21"/>
      <c r="EU75" s="21"/>
      <c r="EV75" s="21"/>
      <c r="EW75" s="21"/>
      <c r="EX75" s="21"/>
      <c r="FE75" s="13"/>
      <c r="FF75" s="20"/>
      <c r="FG75" s="21"/>
      <c r="FH75" s="21"/>
      <c r="FI75" s="21"/>
      <c r="FJ75" s="21"/>
      <c r="FK75" s="21"/>
      <c r="FR75" s="13"/>
    </row>
    <row r="76" spans="1:174" ht="15.6" x14ac:dyDescent="0.3">
      <c r="B76" s="114"/>
      <c r="D76" s="114" t="s">
        <v>151</v>
      </c>
      <c r="E76" s="2" t="s">
        <v>111</v>
      </c>
      <c r="S76" s="91"/>
      <c r="Z76" s="103"/>
      <c r="AA76" s="103"/>
      <c r="AB76" s="103"/>
      <c r="AC76" s="103"/>
      <c r="AD76" s="103"/>
      <c r="AE76" s="104"/>
      <c r="AL76" s="103">
        <v>1.8608100000000001</v>
      </c>
      <c r="AM76" s="103">
        <v>8.6644600000000001</v>
      </c>
      <c r="AN76" s="103">
        <v>1.56846</v>
      </c>
      <c r="AO76" s="103"/>
      <c r="AP76" s="103"/>
      <c r="AQ76" s="103"/>
      <c r="AR76" s="103"/>
      <c r="AS76" s="91"/>
      <c r="BE76" s="13"/>
      <c r="BS76" s="91"/>
      <c r="CE76" s="13"/>
      <c r="CS76" s="91"/>
      <c r="DE76" s="13"/>
      <c r="DF76" s="91"/>
      <c r="DR76" s="13"/>
      <c r="DS76" s="20"/>
      <c r="DT76" s="21"/>
      <c r="DU76" s="21"/>
      <c r="DV76" s="21"/>
      <c r="DW76" s="21"/>
      <c r="DX76" s="21"/>
      <c r="EE76" s="13"/>
      <c r="EF76" s="20"/>
      <c r="EG76" s="21"/>
      <c r="EH76" s="21"/>
      <c r="EI76" s="21"/>
      <c r="EJ76" s="21"/>
      <c r="EK76" s="21"/>
      <c r="ER76" s="13"/>
      <c r="ES76" s="20"/>
      <c r="ET76" s="21"/>
      <c r="EU76" s="21"/>
      <c r="EV76" s="21"/>
      <c r="EW76" s="21"/>
      <c r="EX76" s="21"/>
      <c r="FE76" s="13"/>
      <c r="FF76" s="20"/>
      <c r="FG76" s="21"/>
      <c r="FH76" s="21"/>
      <c r="FI76" s="21"/>
      <c r="FJ76" s="21"/>
      <c r="FK76" s="21"/>
      <c r="FR76" s="13"/>
    </row>
    <row r="77" spans="1:174" ht="15.6" x14ac:dyDescent="0.3">
      <c r="S77" s="91"/>
      <c r="Z77" s="117"/>
      <c r="AA77" s="117"/>
      <c r="AB77" s="117"/>
      <c r="AC77" s="117"/>
      <c r="AD77" s="117"/>
      <c r="AE77" s="118"/>
      <c r="AS77" s="91"/>
      <c r="BE77" s="13"/>
      <c r="BS77" s="91"/>
      <c r="CE77" s="13"/>
      <c r="CS77" s="91"/>
      <c r="DE77" s="13"/>
      <c r="DF77" s="91"/>
      <c r="DR77" s="13"/>
      <c r="DS77" s="20"/>
      <c r="DT77" s="21"/>
      <c r="DU77" s="21"/>
      <c r="DV77" s="21"/>
      <c r="DW77" s="21"/>
      <c r="DX77" s="21"/>
      <c r="EE77" s="13"/>
      <c r="EF77" s="20"/>
      <c r="EG77" s="21"/>
      <c r="EH77" s="21"/>
      <c r="EI77" s="21"/>
      <c r="EJ77" s="21"/>
      <c r="EK77" s="21"/>
      <c r="ER77" s="13"/>
      <c r="ES77" s="20"/>
      <c r="ET77" s="21"/>
      <c r="EU77" s="21"/>
      <c r="EV77" s="21"/>
      <c r="EW77" s="21"/>
      <c r="EX77" s="21"/>
      <c r="FE77" s="13"/>
      <c r="FF77" s="20"/>
      <c r="FG77" s="21"/>
      <c r="FH77" s="21"/>
      <c r="FI77" s="21"/>
      <c r="FJ77" s="21"/>
      <c r="FK77" s="21"/>
      <c r="FR77" s="13"/>
    </row>
    <row r="78" spans="1:174" ht="15.6" x14ac:dyDescent="0.3">
      <c r="D78" s="75" t="s">
        <v>152</v>
      </c>
      <c r="E78" s="119" t="s">
        <v>56</v>
      </c>
      <c r="F78" s="119">
        <v>785.5</v>
      </c>
      <c r="G78" s="119">
        <v>559.29999999999995</v>
      </c>
      <c r="H78" s="119">
        <f>SUM(H9:H56)</f>
        <v>570</v>
      </c>
      <c r="I78" s="119">
        <f>SUM(I9:I56)</f>
        <v>770.9</v>
      </c>
      <c r="J78" s="119">
        <f>SUM(J9:J56)</f>
        <v>842.90000000000009</v>
      </c>
      <c r="K78" s="119">
        <v>907.2</v>
      </c>
      <c r="L78" s="121">
        <f t="shared" ref="L78:AN78" si="26">L9+L31+L35+L56</f>
        <v>872.02988610000011</v>
      </c>
      <c r="M78" s="121">
        <f t="shared" si="26"/>
        <v>889.21600000000001</v>
      </c>
      <c r="N78" s="121">
        <f t="shared" si="26"/>
        <v>871.42190000000005</v>
      </c>
      <c r="O78" s="121">
        <f t="shared" si="26"/>
        <v>0</v>
      </c>
      <c r="P78" s="121">
        <f t="shared" si="26"/>
        <v>0</v>
      </c>
      <c r="Q78" s="121">
        <f t="shared" si="26"/>
        <v>0</v>
      </c>
      <c r="R78" s="122">
        <f t="shared" si="26"/>
        <v>0</v>
      </c>
      <c r="S78" s="121">
        <f t="shared" si="26"/>
        <v>2182.6999999999998</v>
      </c>
      <c r="T78" s="121">
        <f t="shared" si="26"/>
        <v>2151</v>
      </c>
      <c r="U78" s="121">
        <f t="shared" si="26"/>
        <v>2271</v>
      </c>
      <c r="V78" s="121">
        <f t="shared" si="26"/>
        <v>2459.1</v>
      </c>
      <c r="W78" s="121">
        <f t="shared" si="26"/>
        <v>2507.1999999999998</v>
      </c>
      <c r="X78" s="121">
        <f t="shared" si="26"/>
        <v>2608.6999999999998</v>
      </c>
      <c r="Y78" s="121">
        <f t="shared" si="26"/>
        <v>2567.6033770000004</v>
      </c>
      <c r="Z78" s="121">
        <f t="shared" si="26"/>
        <v>2649.7082999999998</v>
      </c>
      <c r="AA78" s="121">
        <f t="shared" si="26"/>
        <v>2652.2327</v>
      </c>
      <c r="AB78" s="121">
        <f t="shared" si="26"/>
        <v>0</v>
      </c>
      <c r="AC78" s="121">
        <f t="shared" si="26"/>
        <v>0</v>
      </c>
      <c r="AD78" s="121">
        <f t="shared" si="26"/>
        <v>0</v>
      </c>
      <c r="AE78" s="122">
        <f t="shared" si="26"/>
        <v>0</v>
      </c>
      <c r="AF78" s="121">
        <f t="shared" si="26"/>
        <v>253.9</v>
      </c>
      <c r="AG78" s="121">
        <f t="shared" si="26"/>
        <v>226.6</v>
      </c>
      <c r="AH78" s="121">
        <f t="shared" si="26"/>
        <v>269.7</v>
      </c>
      <c r="AI78" s="121">
        <f t="shared" si="26"/>
        <v>263.5</v>
      </c>
      <c r="AJ78" s="121">
        <f t="shared" si="26"/>
        <v>275.60000000000002</v>
      </c>
      <c r="AK78" s="121">
        <f t="shared" si="26"/>
        <v>279.10000000000002</v>
      </c>
      <c r="AL78" s="121">
        <f t="shared" si="26"/>
        <v>296.49469000000005</v>
      </c>
      <c r="AM78" s="121">
        <f t="shared" si="26"/>
        <v>321.66146000000003</v>
      </c>
      <c r="AN78" s="121">
        <f t="shared" si="26"/>
        <v>324.90446000000003</v>
      </c>
      <c r="AO78" s="121"/>
      <c r="AP78" s="121"/>
      <c r="AQ78" s="121"/>
      <c r="AR78" s="122"/>
      <c r="AS78" s="120">
        <f t="shared" ref="AS78:BN78" si="27">AS9+AS31+AS35+AS56</f>
        <v>1.8</v>
      </c>
      <c r="AT78" s="121">
        <f t="shared" si="27"/>
        <v>1.8</v>
      </c>
      <c r="AU78" s="121">
        <f t="shared" si="27"/>
        <v>1.8</v>
      </c>
      <c r="AV78" s="121">
        <f t="shared" si="27"/>
        <v>2.4</v>
      </c>
      <c r="AW78" s="121">
        <f t="shared" si="27"/>
        <v>2.6</v>
      </c>
      <c r="AX78" s="121">
        <f t="shared" si="27"/>
        <v>2.9</v>
      </c>
      <c r="AY78" s="121">
        <f t="shared" si="27"/>
        <v>3.3737399999999997</v>
      </c>
      <c r="AZ78" s="121">
        <f t="shared" si="27"/>
        <v>3.2800000000000002</v>
      </c>
      <c r="BA78" s="121">
        <f t="shared" si="27"/>
        <v>3.2800000000000002</v>
      </c>
      <c r="BB78" s="121">
        <f t="shared" si="27"/>
        <v>0</v>
      </c>
      <c r="BC78" s="121">
        <f t="shared" si="27"/>
        <v>0</v>
      </c>
      <c r="BD78" s="121">
        <f t="shared" si="27"/>
        <v>0</v>
      </c>
      <c r="BE78" s="122">
        <f t="shared" si="27"/>
        <v>0</v>
      </c>
      <c r="BF78" s="121">
        <f t="shared" si="27"/>
        <v>2.9</v>
      </c>
      <c r="BG78" s="121">
        <f t="shared" si="27"/>
        <v>-1.2</v>
      </c>
      <c r="BH78" s="121">
        <f t="shared" si="27"/>
        <v>4.3000000000000007</v>
      </c>
      <c r="BI78" s="121">
        <f t="shared" si="27"/>
        <v>13.799999999999999</v>
      </c>
      <c r="BJ78" s="121">
        <f t="shared" si="27"/>
        <v>-10.3</v>
      </c>
      <c r="BK78" s="121">
        <f t="shared" si="27"/>
        <v>-10.4</v>
      </c>
      <c r="BL78" s="121">
        <f t="shared" si="27"/>
        <v>-5.7284877299999994</v>
      </c>
      <c r="BM78" s="121">
        <f t="shared" si="27"/>
        <v>0</v>
      </c>
      <c r="BN78" s="121">
        <f t="shared" si="27"/>
        <v>-1.5350000000000001</v>
      </c>
      <c r="BO78" s="121"/>
      <c r="BP78" s="121"/>
      <c r="BQ78" s="121"/>
      <c r="BR78" s="121"/>
      <c r="BS78" s="120">
        <f t="shared" ref="BS78:BX78" si="28">BS9+BS31+BS35+BS56</f>
        <v>0</v>
      </c>
      <c r="BT78" s="121">
        <f t="shared" si="28"/>
        <v>225.1</v>
      </c>
      <c r="BU78" s="121">
        <f t="shared" si="28"/>
        <v>267.3</v>
      </c>
      <c r="BV78" s="121">
        <f t="shared" si="28"/>
        <v>63.1</v>
      </c>
      <c r="BW78" s="121">
        <f t="shared" si="28"/>
        <v>40.700000000000003</v>
      </c>
      <c r="BX78" s="121">
        <f t="shared" si="28"/>
        <v>0</v>
      </c>
      <c r="BY78" s="121"/>
      <c r="BZ78" s="121">
        <f>BZ9+BZ31+BZ35+BZ56</f>
        <v>0</v>
      </c>
      <c r="CA78" s="121"/>
      <c r="CB78" s="121"/>
      <c r="CC78" s="121"/>
      <c r="CD78" s="121"/>
      <c r="CE78" s="122"/>
      <c r="CF78" s="119"/>
      <c r="CG78" s="119"/>
      <c r="CH78" s="119"/>
      <c r="CI78" s="119"/>
      <c r="CJ78" s="119"/>
      <c r="CK78" s="119"/>
      <c r="CL78" s="119"/>
      <c r="CM78" s="166"/>
      <c r="CN78" s="166"/>
      <c r="CO78" s="166"/>
      <c r="CP78" s="166"/>
      <c r="CQ78" s="166"/>
      <c r="CR78" s="166"/>
      <c r="CS78" s="167"/>
      <c r="CT78" s="119"/>
      <c r="CU78" s="119"/>
      <c r="CV78" s="119"/>
      <c r="CW78" s="119"/>
      <c r="CX78" s="119"/>
      <c r="CY78" s="119"/>
      <c r="CZ78" s="119"/>
      <c r="DA78" s="119"/>
      <c r="DB78" s="119"/>
      <c r="DC78" s="119"/>
      <c r="DD78" s="119"/>
      <c r="DE78" s="168"/>
      <c r="DF78" s="167"/>
      <c r="DG78" s="119"/>
      <c r="DH78" s="119"/>
      <c r="DI78" s="119"/>
      <c r="DJ78" s="119"/>
      <c r="DK78" s="119"/>
      <c r="DL78" s="119"/>
      <c r="DM78" s="119"/>
      <c r="DN78" s="119"/>
      <c r="DO78" s="119"/>
      <c r="DP78" s="119"/>
      <c r="DQ78" s="119"/>
      <c r="DR78" s="168"/>
      <c r="DS78" s="99"/>
      <c r="DT78" s="97"/>
      <c r="DU78" s="97"/>
      <c r="DV78" s="97"/>
      <c r="DW78" s="97"/>
      <c r="DX78" s="97"/>
      <c r="DY78" s="97"/>
      <c r="DZ78" s="97"/>
      <c r="EA78" s="97"/>
      <c r="EB78" s="97"/>
      <c r="EC78" s="97"/>
      <c r="ED78" s="97"/>
      <c r="EE78" s="100"/>
      <c r="EF78" s="99"/>
      <c r="EG78" s="97"/>
      <c r="EH78" s="97"/>
      <c r="EI78" s="97"/>
      <c r="EJ78" s="97"/>
      <c r="EK78" s="97"/>
      <c r="EL78" s="97"/>
      <c r="EM78" s="97"/>
      <c r="EN78" s="97"/>
      <c r="EO78" s="97"/>
      <c r="EP78" s="97"/>
      <c r="EQ78" s="97"/>
      <c r="ER78" s="100"/>
      <c r="ES78" s="99"/>
      <c r="ET78" s="97"/>
      <c r="EU78" s="97"/>
      <c r="EV78" s="97"/>
      <c r="EW78" s="97"/>
      <c r="EX78" s="97"/>
      <c r="EY78" s="97"/>
      <c r="EZ78" s="97"/>
      <c r="FA78" s="97"/>
      <c r="FB78" s="97"/>
      <c r="FC78" s="97"/>
      <c r="FD78" s="97"/>
      <c r="FE78" s="100"/>
      <c r="FF78" s="99"/>
      <c r="FG78" s="97"/>
      <c r="FH78" s="97"/>
      <c r="FI78" s="97"/>
      <c r="FJ78" s="97"/>
      <c r="FK78" s="97"/>
      <c r="FL78" s="97"/>
      <c r="FM78" s="97"/>
      <c r="FN78" s="97"/>
      <c r="FO78" s="97"/>
      <c r="FP78" s="97"/>
      <c r="FQ78" s="97"/>
      <c r="FR78" s="100"/>
    </row>
    <row r="79" spans="1:174" ht="15.6" x14ac:dyDescent="0.3">
      <c r="Z79" s="103"/>
      <c r="AA79" s="103"/>
      <c r="AB79" s="103"/>
      <c r="AC79" s="103"/>
      <c r="AD79" s="103"/>
      <c r="AE79" s="103"/>
      <c r="BT79" s="4"/>
      <c r="BU79" s="4"/>
      <c r="BV79" s="4"/>
      <c r="BW79" s="4"/>
    </row>
    <row r="80" spans="1:174" ht="15.6" x14ac:dyDescent="0.3">
      <c r="Z80" s="103"/>
      <c r="AA80" s="103"/>
      <c r="AB80" s="103"/>
      <c r="AC80" s="103"/>
      <c r="AD80" s="103"/>
      <c r="AE80" s="103"/>
    </row>
    <row r="82" spans="13:31" ht="15.6" x14ac:dyDescent="0.3">
      <c r="M82" s="103"/>
      <c r="N82" s="103"/>
      <c r="O82" s="103"/>
      <c r="P82" s="103"/>
      <c r="Q82" s="103"/>
      <c r="R82" s="103"/>
      <c r="Z82" s="103"/>
      <c r="AA82" s="103"/>
      <c r="AB82" s="103"/>
      <c r="AC82" s="103"/>
      <c r="AD82" s="103"/>
      <c r="AE82" s="103"/>
    </row>
    <row r="85" spans="13:31" ht="15.6" x14ac:dyDescent="0.3">
      <c r="M85" s="103"/>
      <c r="N85" s="103"/>
      <c r="O85" s="103"/>
      <c r="P85" s="103"/>
      <c r="Q85" s="103"/>
      <c r="R85" s="103"/>
    </row>
  </sheetData>
  <mergeCells count="13">
    <mergeCell ref="EF4:ER4"/>
    <mergeCell ref="ES4:FE4"/>
    <mergeCell ref="FF4:FR4"/>
    <mergeCell ref="BS4:CE4"/>
    <mergeCell ref="CF4:CR4"/>
    <mergeCell ref="CS4:DE4"/>
    <mergeCell ref="DF4:DR4"/>
    <mergeCell ref="DS4:EE4"/>
    <mergeCell ref="F4:R4"/>
    <mergeCell ref="S4:AE4"/>
    <mergeCell ref="AF4:AR4"/>
    <mergeCell ref="AS4:BE4"/>
    <mergeCell ref="BF4:BR4"/>
  </mergeCells>
  <pageMargins left="0.7" right="0.7" top="0.75" bottom="0.75" header="0.511811023622047" footer="0.511811023622047"/>
  <pageSetup paperSize="8" orientation="landscape" horizontalDpi="300" verticalDpi="300"/>
  <ignoredErrors>
    <ignoredError sqref="EZ3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FR131"/>
  <sheetViews>
    <sheetView showGridLines="0" view="pageBreakPreview" zoomScale="90" zoomScaleNormal="100" zoomScaleSheetLayoutView="90" workbookViewId="0">
      <pane xSplit="5" ySplit="5" topLeftCell="CU110" activePane="bottomRight" state="frozen"/>
      <selection pane="topRight" activeCell="FJ1" sqref="FJ1"/>
      <selection pane="bottomLeft" activeCell="A6" sqref="A6"/>
      <selection pane="bottomRight" activeCell="DT63" sqref="DT63"/>
    </sheetView>
  </sheetViews>
  <sheetFormatPr defaultColWidth="9" defaultRowHeight="15.75" outlineLevelCol="1" x14ac:dyDescent="0.25"/>
  <cols>
    <col min="1" max="3" width="9" style="2" hidden="1" outlineLevel="1"/>
    <col min="4" max="4" width="9" style="75" hidden="1" outlineLevel="1"/>
    <col min="5" max="5" width="64.125" style="2" customWidth="1" collapsed="1"/>
    <col min="6" max="6" width="23.625" style="2" customWidth="1"/>
    <col min="7" max="14" width="19.25" style="2" customWidth="1"/>
    <col min="15" max="18" width="13.5" style="2" customWidth="1"/>
    <col min="19" max="27" width="19.25" style="2" customWidth="1"/>
    <col min="28" max="31" width="12.75" style="2" customWidth="1"/>
    <col min="32" max="40" width="17.75" style="2" customWidth="1"/>
    <col min="41" max="44" width="11.625" style="2" customWidth="1"/>
    <col min="45" max="53" width="16.625" style="2" customWidth="1"/>
    <col min="54" max="57" width="10.125" style="2" customWidth="1"/>
    <col min="58" max="60" width="16.625" style="2" customWidth="1"/>
    <col min="61" max="61" width="15.625" style="2" customWidth="1"/>
    <col min="62" max="62" width="16.625" style="2" customWidth="1"/>
    <col min="63" max="63" width="15.625" style="2" customWidth="1"/>
    <col min="64" max="64" width="16.625" style="2" customWidth="1"/>
    <col min="65" max="65" width="15.625" style="2" customWidth="1"/>
    <col min="66" max="66" width="16.75" style="2" customWidth="1"/>
    <col min="67" max="69" width="10.125" style="2" customWidth="1"/>
    <col min="70" max="70" width="9.75" style="2" customWidth="1"/>
    <col min="71" max="71" width="15.625" style="2" customWidth="1"/>
    <col min="72" max="74" width="18.375" style="2" customWidth="1"/>
    <col min="75" max="75" width="17.375" style="2" customWidth="1"/>
    <col min="76" max="76" width="16.25" style="2" customWidth="1"/>
    <col min="77" max="79" width="15.625" style="2" customWidth="1"/>
    <col min="80" max="82" width="7" style="2" customWidth="1"/>
    <col min="83" max="83" width="6.125" style="2" customWidth="1"/>
    <col min="84" max="92" width="19.25" style="2" customWidth="1" outlineLevel="1"/>
    <col min="93" max="93" width="7" style="2" customWidth="1"/>
    <col min="94" max="94" width="19.25" style="2" customWidth="1"/>
    <col min="95" max="95" width="7" style="2" customWidth="1"/>
    <col min="96" max="96" width="6.125" style="2" customWidth="1"/>
    <col min="97" max="105" width="19.25" style="2" customWidth="1" outlineLevel="1"/>
    <col min="106" max="106" width="7" style="2" customWidth="1"/>
    <col min="107" max="107" width="19.25" style="2" customWidth="1"/>
    <col min="108" max="108" width="7" style="2" customWidth="1"/>
    <col min="109" max="109" width="6.125" style="2" customWidth="1"/>
    <col min="110" max="117" width="15.625" style="2" customWidth="1"/>
    <col min="118" max="122" width="7" style="2" customWidth="1"/>
    <col min="123" max="131" width="22.875" style="2" customWidth="1"/>
    <col min="132" max="132" width="6.125" style="2" customWidth="1"/>
    <col min="133" max="133" width="22.875" style="2" customWidth="1"/>
    <col min="134" max="148" width="10" style="2" customWidth="1"/>
    <col min="149" max="157" width="24.875" style="2" customWidth="1"/>
    <col min="158" max="158" width="6.125" style="2" customWidth="1"/>
    <col min="159" max="159" width="24.875" style="2" customWidth="1"/>
    <col min="160" max="160" width="7" style="2" customWidth="1"/>
    <col min="161" max="161" width="6.125" style="2" customWidth="1"/>
    <col min="162" max="170" width="22.875" style="2" customWidth="1"/>
    <col min="171" max="171" width="6.125" style="2" customWidth="1"/>
    <col min="172" max="172" width="22.875" style="2" customWidth="1"/>
    <col min="173" max="173" width="10" style="2" customWidth="1"/>
    <col min="174" max="174" width="13.25" style="2" customWidth="1"/>
    <col min="175" max="16384" width="9" style="2"/>
  </cols>
  <sheetData>
    <row r="1" spans="1:174" x14ac:dyDescent="0.25">
      <c r="E1" s="4"/>
    </row>
    <row r="2" spans="1:174" x14ac:dyDescent="0.25">
      <c r="F2" s="3"/>
      <c r="G2" s="3"/>
      <c r="H2" s="3"/>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c r="DN2" s="76"/>
      <c r="DO2" s="76"/>
      <c r="DP2" s="76"/>
    </row>
    <row r="3" spans="1:174" ht="15.75" customHeight="1" x14ac:dyDescent="0.25">
      <c r="F3" s="150"/>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169"/>
      <c r="BG3" s="169"/>
      <c r="BH3" s="169"/>
      <c r="BI3" s="169"/>
      <c r="BJ3" s="169"/>
      <c r="BK3" s="169"/>
      <c r="BL3" s="169"/>
      <c r="BM3" s="169"/>
      <c r="BN3" s="169"/>
      <c r="BO3" s="76"/>
      <c r="BP3" s="76"/>
      <c r="BQ3" s="76"/>
      <c r="BR3" s="76"/>
      <c r="BS3" s="76"/>
      <c r="BT3" s="150"/>
      <c r="BU3" s="76"/>
      <c r="BV3" s="76"/>
      <c r="BW3" s="76"/>
      <c r="BX3" s="76"/>
      <c r="BY3" s="76"/>
      <c r="BZ3" s="76"/>
      <c r="CA3" s="76"/>
      <c r="CB3" s="76"/>
      <c r="CC3" s="76"/>
      <c r="CD3" s="76"/>
      <c r="CE3" s="76"/>
      <c r="CF3" s="76"/>
      <c r="CG3" s="76"/>
      <c r="CH3" s="76"/>
      <c r="CI3" s="76"/>
      <c r="CJ3" s="76"/>
      <c r="CK3" s="76"/>
      <c r="CL3" s="76"/>
      <c r="CM3" s="76"/>
      <c r="CN3" s="76"/>
      <c r="CO3" s="76"/>
      <c r="CP3" s="76"/>
      <c r="CQ3" s="76"/>
      <c r="CR3" s="76"/>
      <c r="CS3" s="150"/>
      <c r="CT3" s="76"/>
      <c r="CU3" s="76"/>
      <c r="CV3" s="76"/>
      <c r="CW3" s="76"/>
      <c r="CX3" s="76"/>
      <c r="CY3" s="76"/>
      <c r="CZ3" s="76"/>
      <c r="DA3" s="76"/>
      <c r="DB3" s="76"/>
      <c r="DC3" s="76"/>
      <c r="DD3" s="76"/>
      <c r="DE3" s="76"/>
      <c r="DF3" s="76"/>
      <c r="DG3" s="76"/>
      <c r="DH3" s="76"/>
      <c r="DI3" s="76"/>
      <c r="DJ3" s="76"/>
      <c r="DK3" s="76"/>
      <c r="DL3" s="76"/>
      <c r="DM3" s="76"/>
      <c r="DN3" s="76"/>
      <c r="DO3" s="76"/>
      <c r="DP3" s="76"/>
    </row>
    <row r="4" spans="1:174" s="77" customFormat="1" ht="40.5" customHeight="1" x14ac:dyDescent="0.2">
      <c r="D4" s="78"/>
      <c r="E4" s="127" t="s">
        <v>12</v>
      </c>
      <c r="F4" s="321" t="s">
        <v>26</v>
      </c>
      <c r="G4" s="321"/>
      <c r="H4" s="321"/>
      <c r="I4" s="321"/>
      <c r="J4" s="321"/>
      <c r="K4" s="321"/>
      <c r="L4" s="321"/>
      <c r="M4" s="321"/>
      <c r="N4" s="321"/>
      <c r="O4" s="321"/>
      <c r="P4" s="321"/>
      <c r="Q4" s="321"/>
      <c r="R4" s="321"/>
      <c r="S4" s="321" t="s">
        <v>27</v>
      </c>
      <c r="T4" s="321"/>
      <c r="U4" s="321"/>
      <c r="V4" s="321"/>
      <c r="W4" s="321"/>
      <c r="X4" s="321"/>
      <c r="Y4" s="321"/>
      <c r="Z4" s="321"/>
      <c r="AA4" s="321"/>
      <c r="AB4" s="321"/>
      <c r="AC4" s="321"/>
      <c r="AD4" s="321"/>
      <c r="AE4" s="321"/>
      <c r="AF4" s="321" t="s">
        <v>28</v>
      </c>
      <c r="AG4" s="321"/>
      <c r="AH4" s="321"/>
      <c r="AI4" s="321"/>
      <c r="AJ4" s="321"/>
      <c r="AK4" s="321"/>
      <c r="AL4" s="321"/>
      <c r="AM4" s="321"/>
      <c r="AN4" s="321"/>
      <c r="AO4" s="321"/>
      <c r="AP4" s="321"/>
      <c r="AQ4" s="321"/>
      <c r="AR4" s="321"/>
      <c r="AS4" s="321" t="s">
        <v>29</v>
      </c>
      <c r="AT4" s="321"/>
      <c r="AU4" s="321"/>
      <c r="AV4" s="321"/>
      <c r="AW4" s="321"/>
      <c r="AX4" s="321"/>
      <c r="AY4" s="321"/>
      <c r="AZ4" s="321"/>
      <c r="BA4" s="321"/>
      <c r="BB4" s="321"/>
      <c r="BC4" s="321"/>
      <c r="BD4" s="321"/>
      <c r="BE4" s="321"/>
      <c r="BF4" s="321" t="s">
        <v>30</v>
      </c>
      <c r="BG4" s="321"/>
      <c r="BH4" s="321"/>
      <c r="BI4" s="321"/>
      <c r="BJ4" s="321"/>
      <c r="BK4" s="321"/>
      <c r="BL4" s="321"/>
      <c r="BM4" s="321"/>
      <c r="BN4" s="321"/>
      <c r="BO4" s="321"/>
      <c r="BP4" s="321"/>
      <c r="BQ4" s="321"/>
      <c r="BR4" s="321"/>
      <c r="BS4" s="321" t="s">
        <v>31</v>
      </c>
      <c r="BT4" s="321"/>
      <c r="BU4" s="321"/>
      <c r="BV4" s="321"/>
      <c r="BW4" s="321"/>
      <c r="BX4" s="321"/>
      <c r="BY4" s="321"/>
      <c r="BZ4" s="321"/>
      <c r="CA4" s="321"/>
      <c r="CB4" s="321"/>
      <c r="CC4" s="321"/>
      <c r="CD4" s="321"/>
      <c r="CE4" s="321"/>
      <c r="CF4" s="321" t="s">
        <v>32</v>
      </c>
      <c r="CG4" s="321"/>
      <c r="CH4" s="321"/>
      <c r="CI4" s="321"/>
      <c r="CJ4" s="321"/>
      <c r="CK4" s="321"/>
      <c r="CL4" s="321"/>
      <c r="CM4" s="321"/>
      <c r="CN4" s="321"/>
      <c r="CO4" s="321"/>
      <c r="CP4" s="321"/>
      <c r="CQ4" s="321"/>
      <c r="CR4" s="321"/>
      <c r="CS4" s="325" t="s">
        <v>33</v>
      </c>
      <c r="CT4" s="325"/>
      <c r="CU4" s="325"/>
      <c r="CV4" s="325"/>
      <c r="CW4" s="325"/>
      <c r="CX4" s="325"/>
      <c r="CY4" s="325"/>
      <c r="CZ4" s="325"/>
      <c r="DA4" s="325"/>
      <c r="DB4" s="325"/>
      <c r="DC4" s="325"/>
      <c r="DD4" s="325"/>
      <c r="DE4" s="325"/>
      <c r="DF4" s="321" t="s">
        <v>34</v>
      </c>
      <c r="DG4" s="321"/>
      <c r="DH4" s="321"/>
      <c r="DI4" s="321"/>
      <c r="DJ4" s="321"/>
      <c r="DK4" s="321"/>
      <c r="DL4" s="321"/>
      <c r="DM4" s="321"/>
      <c r="DN4" s="321"/>
      <c r="DO4" s="321"/>
      <c r="DP4" s="321"/>
      <c r="DQ4" s="321"/>
      <c r="DR4" s="321"/>
      <c r="DS4" s="321" t="s">
        <v>35</v>
      </c>
      <c r="DT4" s="321"/>
      <c r="DU4" s="321"/>
      <c r="DV4" s="321"/>
      <c r="DW4" s="321"/>
      <c r="DX4" s="321"/>
      <c r="DY4" s="321"/>
      <c r="DZ4" s="321"/>
      <c r="EA4" s="321"/>
      <c r="EB4" s="321"/>
      <c r="EC4" s="321"/>
      <c r="ED4" s="321"/>
      <c r="EE4" s="321"/>
      <c r="EF4" s="321" t="s">
        <v>36</v>
      </c>
      <c r="EG4" s="321"/>
      <c r="EH4" s="321"/>
      <c r="EI4" s="321"/>
      <c r="EJ4" s="321"/>
      <c r="EK4" s="321"/>
      <c r="EL4" s="321"/>
      <c r="EM4" s="321"/>
      <c r="EN4" s="321"/>
      <c r="EO4" s="321"/>
      <c r="EP4" s="321"/>
      <c r="EQ4" s="321"/>
      <c r="ER4" s="321"/>
      <c r="ES4" s="321" t="s">
        <v>49</v>
      </c>
      <c r="ET4" s="321"/>
      <c r="EU4" s="321"/>
      <c r="EV4" s="321"/>
      <c r="EW4" s="321"/>
      <c r="EX4" s="321"/>
      <c r="EY4" s="321"/>
      <c r="EZ4" s="321"/>
      <c r="FA4" s="321"/>
      <c r="FB4" s="321"/>
      <c r="FC4" s="321"/>
      <c r="FD4" s="321"/>
      <c r="FE4" s="321"/>
      <c r="FF4" s="321" t="s">
        <v>50</v>
      </c>
      <c r="FG4" s="321"/>
      <c r="FH4" s="321"/>
      <c r="FI4" s="321"/>
      <c r="FJ4" s="321"/>
      <c r="FK4" s="321"/>
      <c r="FL4" s="321"/>
      <c r="FM4" s="321"/>
      <c r="FN4" s="321"/>
      <c r="FO4" s="321"/>
      <c r="FP4" s="321"/>
      <c r="FQ4" s="321"/>
      <c r="FR4" s="321"/>
    </row>
    <row r="5" spans="1:174" x14ac:dyDescent="0.25">
      <c r="E5" s="128"/>
      <c r="F5" s="81" t="s">
        <v>310</v>
      </c>
      <c r="G5" s="80" t="s">
        <v>311</v>
      </c>
      <c r="H5" s="80" t="s">
        <v>312</v>
      </c>
      <c r="I5" s="10" t="s">
        <v>313</v>
      </c>
      <c r="J5" s="10" t="s">
        <v>314</v>
      </c>
      <c r="K5" s="10" t="s">
        <v>315</v>
      </c>
      <c r="L5" s="82" t="s">
        <v>42</v>
      </c>
      <c r="M5" s="82" t="s">
        <v>43</v>
      </c>
      <c r="N5" s="82" t="s">
        <v>37</v>
      </c>
      <c r="O5" s="82" t="s">
        <v>38</v>
      </c>
      <c r="P5" s="82" t="s">
        <v>39</v>
      </c>
      <c r="Q5" s="10" t="s">
        <v>40</v>
      </c>
      <c r="R5" s="10" t="s">
        <v>41</v>
      </c>
      <c r="S5" s="81" t="s">
        <v>310</v>
      </c>
      <c r="T5" s="80" t="s">
        <v>311</v>
      </c>
      <c r="U5" s="80" t="s">
        <v>312</v>
      </c>
      <c r="V5" s="10" t="s">
        <v>313</v>
      </c>
      <c r="W5" s="10" t="s">
        <v>314</v>
      </c>
      <c r="X5" s="10" t="s">
        <v>315</v>
      </c>
      <c r="Y5" s="82" t="s">
        <v>42</v>
      </c>
      <c r="Z5" s="82" t="s">
        <v>43</v>
      </c>
      <c r="AA5" s="82" t="s">
        <v>37</v>
      </c>
      <c r="AB5" s="82" t="s">
        <v>38</v>
      </c>
      <c r="AC5" s="82" t="s">
        <v>39</v>
      </c>
      <c r="AD5" s="10" t="s">
        <v>40</v>
      </c>
      <c r="AE5" s="10" t="s">
        <v>41</v>
      </c>
      <c r="AF5" s="81" t="s">
        <v>310</v>
      </c>
      <c r="AG5" s="80" t="s">
        <v>311</v>
      </c>
      <c r="AH5" s="80" t="s">
        <v>312</v>
      </c>
      <c r="AI5" s="10" t="s">
        <v>313</v>
      </c>
      <c r="AJ5" s="10" t="s">
        <v>314</v>
      </c>
      <c r="AK5" s="10" t="s">
        <v>315</v>
      </c>
      <c r="AL5" s="82" t="s">
        <v>42</v>
      </c>
      <c r="AM5" s="82" t="s">
        <v>43</v>
      </c>
      <c r="AN5" s="82" t="s">
        <v>37</v>
      </c>
      <c r="AO5" s="82" t="s">
        <v>38</v>
      </c>
      <c r="AP5" s="82" t="s">
        <v>39</v>
      </c>
      <c r="AQ5" s="10" t="s">
        <v>40</v>
      </c>
      <c r="AR5" s="10" t="s">
        <v>41</v>
      </c>
      <c r="AS5" s="81" t="s">
        <v>310</v>
      </c>
      <c r="AT5" s="80" t="s">
        <v>311</v>
      </c>
      <c r="AU5" s="80" t="s">
        <v>312</v>
      </c>
      <c r="AV5" s="10" t="s">
        <v>313</v>
      </c>
      <c r="AW5" s="10" t="s">
        <v>314</v>
      </c>
      <c r="AX5" s="10" t="s">
        <v>315</v>
      </c>
      <c r="AY5" s="82" t="s">
        <v>42</v>
      </c>
      <c r="AZ5" s="82" t="s">
        <v>43</v>
      </c>
      <c r="BA5" s="82" t="s">
        <v>37</v>
      </c>
      <c r="BB5" s="82" t="s">
        <v>38</v>
      </c>
      <c r="BC5" s="82" t="s">
        <v>39</v>
      </c>
      <c r="BD5" s="10" t="s">
        <v>40</v>
      </c>
      <c r="BE5" s="10" t="s">
        <v>41</v>
      </c>
      <c r="BF5" s="81" t="s">
        <v>310</v>
      </c>
      <c r="BG5" s="80" t="s">
        <v>311</v>
      </c>
      <c r="BH5" s="80" t="s">
        <v>312</v>
      </c>
      <c r="BI5" s="10" t="s">
        <v>313</v>
      </c>
      <c r="BJ5" s="10" t="s">
        <v>314</v>
      </c>
      <c r="BK5" s="10" t="s">
        <v>315</v>
      </c>
      <c r="BL5" s="82" t="s">
        <v>42</v>
      </c>
      <c r="BM5" s="82" t="s">
        <v>43</v>
      </c>
      <c r="BN5" s="82" t="s">
        <v>37</v>
      </c>
      <c r="BO5" s="82" t="s">
        <v>38</v>
      </c>
      <c r="BP5" s="82" t="s">
        <v>39</v>
      </c>
      <c r="BQ5" s="10" t="s">
        <v>40</v>
      </c>
      <c r="BR5" s="10" t="s">
        <v>41</v>
      </c>
      <c r="BS5" s="81" t="s">
        <v>310</v>
      </c>
      <c r="BT5" s="80" t="s">
        <v>311</v>
      </c>
      <c r="BU5" s="80" t="s">
        <v>312</v>
      </c>
      <c r="BV5" s="10" t="s">
        <v>313</v>
      </c>
      <c r="BW5" s="10" t="s">
        <v>314</v>
      </c>
      <c r="BX5" s="10" t="s">
        <v>315</v>
      </c>
      <c r="BY5" s="82" t="s">
        <v>42</v>
      </c>
      <c r="BZ5" s="82" t="s">
        <v>43</v>
      </c>
      <c r="CA5" s="82" t="s">
        <v>37</v>
      </c>
      <c r="CB5" s="82" t="s">
        <v>38</v>
      </c>
      <c r="CC5" s="82" t="s">
        <v>39</v>
      </c>
      <c r="CD5" s="10" t="s">
        <v>40</v>
      </c>
      <c r="CE5" s="10" t="s">
        <v>41</v>
      </c>
      <c r="CF5" s="81" t="s">
        <v>310</v>
      </c>
      <c r="CG5" s="80" t="s">
        <v>311</v>
      </c>
      <c r="CH5" s="80" t="s">
        <v>312</v>
      </c>
      <c r="CI5" s="10" t="s">
        <v>313</v>
      </c>
      <c r="CJ5" s="10" t="s">
        <v>314</v>
      </c>
      <c r="CK5" s="10" t="s">
        <v>315</v>
      </c>
      <c r="CL5" s="82" t="s">
        <v>42</v>
      </c>
      <c r="CM5" s="82" t="s">
        <v>43</v>
      </c>
      <c r="CN5" s="82" t="s">
        <v>37</v>
      </c>
      <c r="CO5" s="82" t="s">
        <v>38</v>
      </c>
      <c r="CP5" s="82" t="s">
        <v>39</v>
      </c>
      <c r="CQ5" s="10" t="s">
        <v>40</v>
      </c>
      <c r="CR5" s="10" t="s">
        <v>41</v>
      </c>
      <c r="CS5" s="81" t="s">
        <v>310</v>
      </c>
      <c r="CT5" s="80" t="s">
        <v>311</v>
      </c>
      <c r="CU5" s="80" t="s">
        <v>312</v>
      </c>
      <c r="CV5" s="10" t="s">
        <v>313</v>
      </c>
      <c r="CW5" s="10" t="s">
        <v>314</v>
      </c>
      <c r="CX5" s="10" t="s">
        <v>315</v>
      </c>
      <c r="CY5" s="82" t="s">
        <v>42</v>
      </c>
      <c r="CZ5" s="82" t="s">
        <v>43</v>
      </c>
      <c r="DA5" s="82" t="s">
        <v>37</v>
      </c>
      <c r="DB5" s="82" t="s">
        <v>38</v>
      </c>
      <c r="DC5" s="82" t="s">
        <v>39</v>
      </c>
      <c r="DD5" s="10" t="s">
        <v>40</v>
      </c>
      <c r="DE5" s="10" t="s">
        <v>41</v>
      </c>
      <c r="DF5" s="170" t="s">
        <v>310</v>
      </c>
      <c r="DG5" s="171" t="s">
        <v>311</v>
      </c>
      <c r="DH5" s="171" t="s">
        <v>312</v>
      </c>
      <c r="DI5" s="172" t="s">
        <v>313</v>
      </c>
      <c r="DJ5" s="172" t="s">
        <v>314</v>
      </c>
      <c r="DK5" s="172" t="s">
        <v>315</v>
      </c>
      <c r="DL5" s="173" t="s">
        <v>42</v>
      </c>
      <c r="DM5" s="173" t="s">
        <v>43</v>
      </c>
      <c r="DN5" s="173" t="s">
        <v>37</v>
      </c>
      <c r="DO5" s="173" t="s">
        <v>38</v>
      </c>
      <c r="DP5" s="173" t="s">
        <v>39</v>
      </c>
      <c r="DQ5" s="172" t="s">
        <v>40</v>
      </c>
      <c r="DR5" s="172" t="s">
        <v>41</v>
      </c>
      <c r="DS5" s="81" t="s">
        <v>310</v>
      </c>
      <c r="DT5" s="80" t="s">
        <v>311</v>
      </c>
      <c r="DU5" s="80" t="s">
        <v>312</v>
      </c>
      <c r="DV5" s="10" t="s">
        <v>313</v>
      </c>
      <c r="DW5" s="10" t="s">
        <v>314</v>
      </c>
      <c r="DX5" s="10" t="s">
        <v>315</v>
      </c>
      <c r="DY5" s="82" t="s">
        <v>42</v>
      </c>
      <c r="DZ5" s="82" t="s">
        <v>43</v>
      </c>
      <c r="EA5" s="82" t="s">
        <v>37</v>
      </c>
      <c r="EB5" s="82" t="s">
        <v>38</v>
      </c>
      <c r="EC5" s="82" t="s">
        <v>39</v>
      </c>
      <c r="ED5" s="10" t="s">
        <v>40</v>
      </c>
      <c r="EE5" s="10" t="s">
        <v>41</v>
      </c>
      <c r="EF5" s="81" t="s">
        <v>310</v>
      </c>
      <c r="EG5" s="80" t="s">
        <v>311</v>
      </c>
      <c r="EH5" s="80" t="s">
        <v>312</v>
      </c>
      <c r="EI5" s="10" t="s">
        <v>313</v>
      </c>
      <c r="EJ5" s="10" t="s">
        <v>314</v>
      </c>
      <c r="EK5" s="10" t="s">
        <v>315</v>
      </c>
      <c r="EL5" s="82" t="s">
        <v>42</v>
      </c>
      <c r="EM5" s="82" t="s">
        <v>43</v>
      </c>
      <c r="EN5" s="82" t="s">
        <v>37</v>
      </c>
      <c r="EO5" s="82" t="s">
        <v>38</v>
      </c>
      <c r="EP5" s="82" t="s">
        <v>39</v>
      </c>
      <c r="EQ5" s="10" t="s">
        <v>40</v>
      </c>
      <c r="ER5" s="10" t="s">
        <v>41</v>
      </c>
      <c r="ES5" s="81" t="s">
        <v>310</v>
      </c>
      <c r="ET5" s="80" t="s">
        <v>311</v>
      </c>
      <c r="EU5" s="80" t="s">
        <v>312</v>
      </c>
      <c r="EV5" s="10" t="s">
        <v>313</v>
      </c>
      <c r="EW5" s="10" t="s">
        <v>314</v>
      </c>
      <c r="EX5" s="10" t="s">
        <v>315</v>
      </c>
      <c r="EY5" s="82" t="s">
        <v>42</v>
      </c>
      <c r="EZ5" s="82" t="s">
        <v>43</v>
      </c>
      <c r="FA5" s="82" t="s">
        <v>37</v>
      </c>
      <c r="FB5" s="82" t="s">
        <v>38</v>
      </c>
      <c r="FC5" s="82" t="s">
        <v>39</v>
      </c>
      <c r="FD5" s="10" t="s">
        <v>40</v>
      </c>
      <c r="FE5" s="10" t="s">
        <v>41</v>
      </c>
      <c r="FF5" s="81" t="s">
        <v>310</v>
      </c>
      <c r="FG5" s="80" t="s">
        <v>311</v>
      </c>
      <c r="FH5" s="80" t="s">
        <v>312</v>
      </c>
      <c r="FI5" s="10" t="s">
        <v>313</v>
      </c>
      <c r="FJ5" s="10" t="s">
        <v>314</v>
      </c>
      <c r="FK5" s="10" t="s">
        <v>315</v>
      </c>
      <c r="FL5" s="82" t="s">
        <v>42</v>
      </c>
      <c r="FM5" s="82" t="s">
        <v>43</v>
      </c>
      <c r="FN5" s="82" t="s">
        <v>37</v>
      </c>
      <c r="FO5" s="82" t="s">
        <v>38</v>
      </c>
      <c r="FP5" s="82" t="s">
        <v>39</v>
      </c>
      <c r="FQ5" s="10" t="s">
        <v>40</v>
      </c>
      <c r="FR5" s="11" t="s">
        <v>41</v>
      </c>
    </row>
    <row r="6" spans="1:174" x14ac:dyDescent="0.25">
      <c r="E6" s="132" t="s">
        <v>44</v>
      </c>
      <c r="F6" s="174">
        <v>1930.1836000000001</v>
      </c>
      <c r="G6" s="175">
        <v>1296.42174</v>
      </c>
      <c r="H6" s="175">
        <v>1417.6207899999999</v>
      </c>
      <c r="I6" s="175">
        <v>1696.1998599999999</v>
      </c>
      <c r="J6" s="175">
        <v>1934.6117899999999</v>
      </c>
      <c r="K6" s="175">
        <v>2142.7691799999998</v>
      </c>
      <c r="L6" s="175">
        <v>2119.2034899999999</v>
      </c>
      <c r="M6" s="175">
        <v>2058.20075</v>
      </c>
      <c r="N6" s="175">
        <v>2058.6657799999998</v>
      </c>
      <c r="O6" s="175"/>
      <c r="P6" s="175">
        <v>2130.6514200000001</v>
      </c>
      <c r="Q6" s="175"/>
      <c r="R6" s="176"/>
      <c r="S6" s="175">
        <v>4249.8941100000002</v>
      </c>
      <c r="T6" s="175">
        <v>4154.2948200000001</v>
      </c>
      <c r="U6" s="175">
        <v>4344.1483699999999</v>
      </c>
      <c r="V6" s="175">
        <v>4825.1193499999999</v>
      </c>
      <c r="W6" s="175">
        <v>4898.9099100000003</v>
      </c>
      <c r="X6" s="175">
        <v>4794.7202900000002</v>
      </c>
      <c r="Y6" s="175">
        <v>4865.2266900000004</v>
      </c>
      <c r="Z6" s="175">
        <v>4852.9756900000002</v>
      </c>
      <c r="AA6" s="175">
        <v>5020.1899299999995</v>
      </c>
      <c r="AB6" s="175"/>
      <c r="AC6" s="175">
        <v>4989.7258300000003</v>
      </c>
      <c r="AD6" s="175"/>
      <c r="AE6" s="176"/>
      <c r="AF6" s="175">
        <v>566.78859</v>
      </c>
      <c r="AG6" s="175">
        <v>575.43634999999995</v>
      </c>
      <c r="AH6" s="175">
        <v>613.56113000000005</v>
      </c>
      <c r="AI6" s="175">
        <v>578.72373000000005</v>
      </c>
      <c r="AJ6" s="175">
        <v>607.64706000000001</v>
      </c>
      <c r="AK6" s="175">
        <v>657.84379999999999</v>
      </c>
      <c r="AL6" s="175">
        <v>664.93849</v>
      </c>
      <c r="AM6" s="175">
        <v>690.29998999999998</v>
      </c>
      <c r="AN6" s="175">
        <v>688.28536999999994</v>
      </c>
      <c r="AO6" s="175"/>
      <c r="AP6" s="175">
        <v>682.5</v>
      </c>
      <c r="AQ6" s="175"/>
      <c r="AR6" s="176"/>
      <c r="AS6" s="175">
        <v>24.208850000000002</v>
      </c>
      <c r="AT6" s="175">
        <v>26.486529999999998</v>
      </c>
      <c r="AU6" s="175">
        <v>27.36542</v>
      </c>
      <c r="AV6" s="175">
        <v>28.866959999999999</v>
      </c>
      <c r="AW6" s="175">
        <v>30.19313</v>
      </c>
      <c r="AX6" s="175">
        <v>33.751220000000004</v>
      </c>
      <c r="AY6" s="175">
        <v>32.085830000000001</v>
      </c>
      <c r="AZ6" s="175">
        <v>37.625120000000003</v>
      </c>
      <c r="BA6" s="175">
        <v>36.310650000000003</v>
      </c>
      <c r="BB6" s="175"/>
      <c r="BC6" s="175">
        <v>38.183230000000002</v>
      </c>
      <c r="BD6" s="175"/>
      <c r="BE6" s="176"/>
      <c r="BF6" s="175">
        <v>24.966940000000001</v>
      </c>
      <c r="BG6" s="175">
        <v>49.309489999999997</v>
      </c>
      <c r="BH6" s="175">
        <v>10.051600000000001</v>
      </c>
      <c r="BI6" s="175">
        <v>9.9907800000000009</v>
      </c>
      <c r="BJ6" s="175">
        <v>17.921029999999998</v>
      </c>
      <c r="BK6" s="175">
        <v>6.9341400000000002</v>
      </c>
      <c r="BL6" s="175">
        <v>16.481400000000001</v>
      </c>
      <c r="BM6" s="175">
        <v>4.09999</v>
      </c>
      <c r="BN6" s="175">
        <v>18</v>
      </c>
      <c r="BO6" s="175"/>
      <c r="BP6" s="175">
        <v>-1.8</v>
      </c>
      <c r="BQ6" s="175"/>
      <c r="BR6" s="176"/>
      <c r="BS6" s="175">
        <v>0</v>
      </c>
      <c r="BT6" s="175">
        <v>455.32420999999999</v>
      </c>
      <c r="BU6" s="175">
        <v>463.95719000000003</v>
      </c>
      <c r="BV6" s="175">
        <v>111.15260000000001</v>
      </c>
      <c r="BW6" s="175">
        <v>82.223010000000002</v>
      </c>
      <c r="BX6" s="175">
        <v>2.3631899999999999</v>
      </c>
      <c r="BY6" s="175">
        <v>0</v>
      </c>
      <c r="BZ6" s="175">
        <v>0</v>
      </c>
      <c r="CA6" s="175">
        <v>0</v>
      </c>
      <c r="CB6" s="175"/>
      <c r="CC6" s="175">
        <v>0</v>
      </c>
      <c r="CD6" s="175"/>
      <c r="CE6" s="176"/>
      <c r="CF6" s="175">
        <v>4865.8584799999999</v>
      </c>
      <c r="CG6" s="175">
        <v>4805.5272000000004</v>
      </c>
      <c r="CH6" s="175">
        <v>4995.1265299999995</v>
      </c>
      <c r="CI6" s="175">
        <v>5442.70082</v>
      </c>
      <c r="CJ6" s="175">
        <v>5554.6711299999997</v>
      </c>
      <c r="CK6" s="175">
        <v>5493.2494500000003</v>
      </c>
      <c r="CL6" s="175">
        <v>5578.7324099999996</v>
      </c>
      <c r="CM6" s="175">
        <v>5585.0007900000001</v>
      </c>
      <c r="CN6" s="175">
        <v>5762.7859399999998</v>
      </c>
      <c r="CO6" s="175"/>
      <c r="CP6" s="175">
        <v>5708.6090599999998</v>
      </c>
      <c r="CQ6" s="175"/>
      <c r="CR6" s="176"/>
      <c r="CS6" s="175">
        <v>2935.67488</v>
      </c>
      <c r="CT6" s="175">
        <v>3053.78125</v>
      </c>
      <c r="CU6" s="175">
        <v>3113.5485399999998</v>
      </c>
      <c r="CV6" s="175">
        <v>3635.34836</v>
      </c>
      <c r="CW6" s="175">
        <v>3537.8363300000001</v>
      </c>
      <c r="CX6" s="175">
        <v>3348.11708</v>
      </c>
      <c r="CY6" s="175">
        <v>3459.52891</v>
      </c>
      <c r="CZ6" s="175">
        <v>3526.8000400000001</v>
      </c>
      <c r="DA6" s="175">
        <v>3704.1201599999999</v>
      </c>
      <c r="DB6" s="175"/>
      <c r="DC6" s="175">
        <v>3577.9576400000001</v>
      </c>
      <c r="DD6" s="175"/>
      <c r="DE6" s="176"/>
      <c r="DF6" s="177">
        <v>0.11650000000000001</v>
      </c>
      <c r="DG6" s="177">
        <v>0.1197</v>
      </c>
      <c r="DH6" s="177">
        <v>0.12280000000000001</v>
      </c>
      <c r="DI6" s="177">
        <v>0.10630000000000001</v>
      </c>
      <c r="DJ6" s="177">
        <v>0.1094</v>
      </c>
      <c r="DK6" s="177">
        <v>0.1198</v>
      </c>
      <c r="DL6" s="177">
        <v>0.1192</v>
      </c>
      <c r="DM6" s="177">
        <v>0.1236</v>
      </c>
      <c r="DN6" s="177">
        <v>0.11940000000000001</v>
      </c>
      <c r="DO6" s="177"/>
      <c r="DP6" s="177">
        <v>0.1196</v>
      </c>
      <c r="DQ6" s="177"/>
      <c r="DR6" s="178"/>
      <c r="DS6" s="175">
        <v>4232703.6165399998</v>
      </c>
      <c r="DT6" s="175">
        <v>4084195.89928</v>
      </c>
      <c r="DU6" s="175">
        <v>4077598.3166200002</v>
      </c>
      <c r="DV6" s="175">
        <v>4119023.9781499999</v>
      </c>
      <c r="DW6" s="175">
        <v>4114493.9799700002</v>
      </c>
      <c r="DX6" s="175">
        <v>4061247.3066400001</v>
      </c>
      <c r="DY6" s="175">
        <v>4028943.2499799998</v>
      </c>
      <c r="DZ6" s="175">
        <v>3997256.3989900001</v>
      </c>
      <c r="EA6" s="175">
        <v>4069893.3491699998</v>
      </c>
      <c r="EB6" s="175"/>
      <c r="EC6" s="175">
        <v>4074529.8714299998</v>
      </c>
      <c r="ED6" s="175"/>
      <c r="EE6" s="176"/>
      <c r="EF6" s="175">
        <v>151818</v>
      </c>
      <c r="EG6" s="175">
        <v>151573</v>
      </c>
      <c r="EH6" s="175">
        <v>158157</v>
      </c>
      <c r="EI6" s="175">
        <v>156802</v>
      </c>
      <c r="EJ6" s="175">
        <v>154941</v>
      </c>
      <c r="EK6" s="175">
        <v>157654.07999999999</v>
      </c>
      <c r="EL6" s="175">
        <v>167419.1</v>
      </c>
      <c r="EM6" s="175">
        <v>173653</v>
      </c>
      <c r="EN6" s="175">
        <v>172316.68</v>
      </c>
      <c r="EO6" s="175"/>
      <c r="EP6" s="175">
        <v>179803.34</v>
      </c>
      <c r="EQ6" s="175"/>
      <c r="ER6" s="176"/>
      <c r="ES6" s="175">
        <v>201646717.99000001</v>
      </c>
      <c r="ET6" s="175">
        <v>130191006.76046</v>
      </c>
      <c r="EU6" s="175">
        <v>128773742.01592</v>
      </c>
      <c r="EV6" s="175">
        <v>160129388.85870001</v>
      </c>
      <c r="EW6" s="175">
        <v>173612062.22327</v>
      </c>
      <c r="EX6" s="175">
        <v>175496165.10455</v>
      </c>
      <c r="EY6" s="175">
        <v>172816719.25652</v>
      </c>
      <c r="EZ6" s="175">
        <v>170314824.59628001</v>
      </c>
      <c r="FA6" s="175">
        <v>173856015.70901999</v>
      </c>
      <c r="FB6" s="175"/>
      <c r="FC6" s="175">
        <v>172969831.23730001</v>
      </c>
      <c r="FD6" s="175"/>
      <c r="FE6" s="176"/>
      <c r="FF6" s="175">
        <v>7825683</v>
      </c>
      <c r="FG6" s="175">
        <v>7629001</v>
      </c>
      <c r="FH6" s="175">
        <v>8034836</v>
      </c>
      <c r="FI6" s="175">
        <v>7998171</v>
      </c>
      <c r="FJ6" s="175">
        <v>7987375</v>
      </c>
      <c r="FK6" s="175">
        <v>8076229</v>
      </c>
      <c r="FL6" s="175">
        <v>8442977</v>
      </c>
      <c r="FM6" s="175">
        <v>8932495.0099999998</v>
      </c>
      <c r="FN6" s="175">
        <v>8657460</v>
      </c>
      <c r="FO6" s="175">
        <f>SUM(FO7)</f>
        <v>0</v>
      </c>
      <c r="FP6" s="175">
        <v>9116589.5999999996</v>
      </c>
      <c r="FQ6" s="175">
        <v>0</v>
      </c>
      <c r="FR6" s="176">
        <v>0</v>
      </c>
    </row>
    <row r="7" spans="1:174" x14ac:dyDescent="0.25">
      <c r="F7" s="179"/>
      <c r="G7" s="180"/>
      <c r="H7" s="180"/>
      <c r="I7" s="180"/>
      <c r="J7" s="180"/>
      <c r="K7" s="180"/>
      <c r="L7" s="180"/>
      <c r="M7" s="180"/>
      <c r="N7" s="180"/>
      <c r="O7" s="180"/>
      <c r="P7" s="180"/>
      <c r="Q7" s="180"/>
      <c r="R7" s="181"/>
      <c r="S7" s="180"/>
      <c r="T7" s="180"/>
      <c r="U7" s="180"/>
      <c r="V7" s="180"/>
      <c r="W7" s="180"/>
      <c r="X7" s="180"/>
      <c r="Y7" s="180"/>
      <c r="Z7" s="180"/>
      <c r="AA7" s="180"/>
      <c r="AB7" s="180"/>
      <c r="AC7" s="180"/>
      <c r="AD7" s="180"/>
      <c r="AE7" s="181"/>
      <c r="AF7" s="180"/>
      <c r="AG7" s="180"/>
      <c r="AH7" s="180"/>
      <c r="AI7" s="180"/>
      <c r="AJ7" s="180"/>
      <c r="AK7" s="180"/>
      <c r="AL7" s="180"/>
      <c r="AM7" s="180"/>
      <c r="AN7" s="180"/>
      <c r="AO7" s="180"/>
      <c r="AP7" s="180"/>
      <c r="AQ7" s="180"/>
      <c r="AR7" s="181"/>
      <c r="AS7" s="180"/>
      <c r="AT7" s="180"/>
      <c r="AU7" s="180"/>
      <c r="AV7" s="180"/>
      <c r="AW7" s="180"/>
      <c r="AX7" s="180"/>
      <c r="AY7" s="180"/>
      <c r="AZ7" s="180"/>
      <c r="BA7" s="180"/>
      <c r="BB7" s="180"/>
      <c r="BC7" s="180"/>
      <c r="BD7" s="180"/>
      <c r="BE7" s="181"/>
      <c r="BF7" s="180"/>
      <c r="BG7" s="180"/>
      <c r="BH7" s="180"/>
      <c r="BI7" s="180"/>
      <c r="BJ7" s="180"/>
      <c r="BK7" s="180"/>
      <c r="BL7" s="180"/>
      <c r="BM7" s="180"/>
      <c r="BN7" s="180"/>
      <c r="BO7" s="180"/>
      <c r="BP7" s="180"/>
      <c r="BQ7" s="180"/>
      <c r="BR7" s="181"/>
      <c r="BS7" s="180"/>
      <c r="BT7" s="180"/>
      <c r="BU7" s="180"/>
      <c r="BV7" s="180"/>
      <c r="BW7" s="180"/>
      <c r="BX7" s="180"/>
      <c r="BY7" s="180"/>
      <c r="BZ7" s="180"/>
      <c r="CA7" s="180"/>
      <c r="CB7" s="180"/>
      <c r="CC7" s="180"/>
      <c r="CD7" s="180"/>
      <c r="CE7" s="181"/>
      <c r="CF7" s="180"/>
      <c r="CG7" s="180"/>
      <c r="CH7" s="180"/>
      <c r="CI7" s="180"/>
      <c r="CJ7" s="180"/>
      <c r="CK7" s="180"/>
      <c r="CL7" s="180"/>
      <c r="CM7" s="180"/>
      <c r="CN7" s="180"/>
      <c r="CO7" s="180"/>
      <c r="CP7" s="180"/>
      <c r="CQ7" s="180"/>
      <c r="CR7" s="181"/>
      <c r="CS7" s="180"/>
      <c r="CT7" s="180"/>
      <c r="CU7" s="180"/>
      <c r="CV7" s="180"/>
      <c r="CW7" s="180"/>
      <c r="CX7" s="180"/>
      <c r="CY7" s="180"/>
      <c r="CZ7" s="180"/>
      <c r="DA7" s="180"/>
      <c r="DB7" s="180"/>
      <c r="DC7" s="180"/>
      <c r="DD7" s="180"/>
      <c r="DE7" s="181"/>
      <c r="DF7" s="182"/>
      <c r="DG7" s="182"/>
      <c r="DH7" s="182"/>
      <c r="DI7" s="182"/>
      <c r="DJ7" s="182"/>
      <c r="DK7" s="182"/>
      <c r="DL7" s="182"/>
      <c r="DM7" s="182"/>
      <c r="DN7" s="182"/>
      <c r="DO7" s="182"/>
      <c r="DP7" s="182"/>
      <c r="DQ7" s="182"/>
      <c r="DR7" s="183"/>
      <c r="DS7" s="180"/>
      <c r="DT7" s="180"/>
      <c r="DU7" s="180"/>
      <c r="DV7" s="180"/>
      <c r="DW7" s="180"/>
      <c r="DX7" s="180"/>
      <c r="DY7" s="180"/>
      <c r="DZ7" s="180"/>
      <c r="EA7" s="180"/>
      <c r="EB7" s="180"/>
      <c r="EC7" s="180"/>
      <c r="ED7" s="180"/>
      <c r="EE7" s="181"/>
      <c r="EF7" s="180"/>
      <c r="EG7" s="180"/>
      <c r="EH7" s="180"/>
      <c r="EI7" s="180"/>
      <c r="EJ7" s="180"/>
      <c r="EK7" s="180"/>
      <c r="EL7" s="180"/>
      <c r="EM7" s="180"/>
      <c r="EN7" s="180"/>
      <c r="EO7" s="180"/>
      <c r="EP7" s="180"/>
      <c r="EQ7" s="180"/>
      <c r="ER7" s="181"/>
      <c r="ES7" s="180"/>
      <c r="ET7" s="180"/>
      <c r="EU7" s="180"/>
      <c r="EV7" s="180"/>
      <c r="EW7" s="180"/>
      <c r="EX7" s="180"/>
      <c r="EY7" s="180"/>
      <c r="EZ7" s="180"/>
      <c r="FA7" s="180"/>
      <c r="FB7" s="180"/>
      <c r="FC7" s="180"/>
      <c r="FD7" s="180"/>
      <c r="FE7" s="181"/>
      <c r="FF7" s="180"/>
      <c r="FG7" s="180"/>
      <c r="FH7" s="180"/>
      <c r="FI7" s="180"/>
      <c r="FJ7" s="180"/>
      <c r="FK7" s="180"/>
      <c r="FL7" s="180"/>
      <c r="FM7" s="180"/>
      <c r="FN7" s="180"/>
      <c r="FO7" s="180"/>
      <c r="FP7" s="180"/>
      <c r="FQ7" s="180"/>
      <c r="FR7" s="181"/>
    </row>
    <row r="8" spans="1:174" x14ac:dyDescent="0.25">
      <c r="F8" s="184"/>
      <c r="G8" s="185"/>
      <c r="H8" s="185"/>
      <c r="I8" s="185"/>
      <c r="J8" s="185"/>
      <c r="K8" s="185"/>
      <c r="L8" s="185"/>
      <c r="M8" s="185"/>
      <c r="N8" s="185"/>
      <c r="O8" s="185"/>
      <c r="P8" s="185"/>
      <c r="Q8" s="185"/>
      <c r="R8" s="186"/>
      <c r="S8" s="185"/>
      <c r="T8" s="185"/>
      <c r="U8" s="185"/>
      <c r="V8" s="185"/>
      <c r="W8" s="185"/>
      <c r="X8" s="185"/>
      <c r="Y8" s="185"/>
      <c r="Z8" s="185"/>
      <c r="AA8" s="185"/>
      <c r="AB8" s="185"/>
      <c r="AC8" s="185"/>
      <c r="AD8" s="185"/>
      <c r="AE8" s="186"/>
      <c r="AF8" s="185"/>
      <c r="AG8" s="185"/>
      <c r="AH8" s="185"/>
      <c r="AI8" s="185"/>
      <c r="AJ8" s="185"/>
      <c r="AK8" s="185"/>
      <c r="AL8" s="185"/>
      <c r="AM8" s="185"/>
      <c r="AN8" s="185"/>
      <c r="AO8" s="185"/>
      <c r="AP8" s="185"/>
      <c r="AQ8" s="185"/>
      <c r="AR8" s="186"/>
      <c r="AS8" s="185"/>
      <c r="AT8" s="185"/>
      <c r="AU8" s="185"/>
      <c r="AV8" s="185"/>
      <c r="AW8" s="185"/>
      <c r="AX8" s="185"/>
      <c r="AY8" s="185"/>
      <c r="AZ8" s="185"/>
      <c r="BA8" s="185"/>
      <c r="BB8" s="185"/>
      <c r="BC8" s="185"/>
      <c r="BD8" s="185"/>
      <c r="BE8" s="186"/>
      <c r="BF8" s="185"/>
      <c r="BG8" s="185"/>
      <c r="BH8" s="185"/>
      <c r="BI8" s="185"/>
      <c r="BJ8" s="185"/>
      <c r="BK8" s="185"/>
      <c r="BL8" s="185"/>
      <c r="BM8" s="185"/>
      <c r="BN8" s="185"/>
      <c r="BO8" s="185"/>
      <c r="BP8" s="185"/>
      <c r="BQ8" s="185"/>
      <c r="BR8" s="186"/>
      <c r="BS8" s="185"/>
      <c r="BT8" s="185"/>
      <c r="BU8" s="185"/>
      <c r="BV8" s="185"/>
      <c r="BW8" s="185"/>
      <c r="BX8" s="185"/>
      <c r="BY8" s="185"/>
      <c r="BZ8" s="185"/>
      <c r="CA8" s="185"/>
      <c r="CB8" s="185"/>
      <c r="CC8" s="185"/>
      <c r="CD8" s="185"/>
      <c r="CE8" s="186"/>
      <c r="CF8" s="185"/>
      <c r="CG8" s="185"/>
      <c r="CH8" s="185"/>
      <c r="CI8" s="185"/>
      <c r="CJ8" s="185"/>
      <c r="CK8" s="185"/>
      <c r="CL8" s="185"/>
      <c r="CM8" s="185"/>
      <c r="CN8" s="185"/>
      <c r="CO8" s="185"/>
      <c r="CP8" s="185"/>
      <c r="CQ8" s="185"/>
      <c r="CR8" s="186"/>
      <c r="CS8" s="185"/>
      <c r="CT8" s="185"/>
      <c r="CU8" s="185"/>
      <c r="CV8" s="185"/>
      <c r="CW8" s="185"/>
      <c r="CX8" s="185"/>
      <c r="CY8" s="185"/>
      <c r="CZ8" s="185"/>
      <c r="DA8" s="185"/>
      <c r="DB8" s="185"/>
      <c r="DC8" s="185"/>
      <c r="DD8" s="185"/>
      <c r="DE8" s="186"/>
      <c r="DF8" s="187"/>
      <c r="DG8" s="187"/>
      <c r="DH8" s="187"/>
      <c r="DI8" s="187"/>
      <c r="DJ8" s="187"/>
      <c r="DK8" s="187"/>
      <c r="DL8" s="187"/>
      <c r="DM8" s="187"/>
      <c r="DN8" s="187"/>
      <c r="DO8" s="187"/>
      <c r="DP8" s="187"/>
      <c r="DQ8" s="187"/>
      <c r="DR8" s="188"/>
      <c r="DS8" s="185"/>
      <c r="DT8" s="185"/>
      <c r="DU8" s="185"/>
      <c r="DV8" s="185"/>
      <c r="DW8" s="185"/>
      <c r="DX8" s="185"/>
      <c r="DY8" s="185"/>
      <c r="DZ8" s="185"/>
      <c r="EA8" s="185"/>
      <c r="EB8" s="185"/>
      <c r="EC8" s="185"/>
      <c r="ED8" s="185"/>
      <c r="EE8" s="186"/>
      <c r="EF8" s="185"/>
      <c r="EG8" s="185"/>
      <c r="EH8" s="185"/>
      <c r="EI8" s="185"/>
      <c r="EJ8" s="185"/>
      <c r="EK8" s="185"/>
      <c r="EL8" s="185"/>
      <c r="EM8" s="185"/>
      <c r="EN8" s="185"/>
      <c r="EO8" s="185"/>
      <c r="EP8" s="185"/>
      <c r="EQ8" s="185"/>
      <c r="ER8" s="186"/>
      <c r="ES8" s="185"/>
      <c r="ET8" s="185"/>
      <c r="EU8" s="185"/>
      <c r="EV8" s="185"/>
      <c r="EW8" s="185"/>
      <c r="EX8" s="185"/>
      <c r="EY8" s="185"/>
      <c r="EZ8" s="185"/>
      <c r="FA8" s="185"/>
      <c r="FB8" s="185"/>
      <c r="FC8" s="185"/>
      <c r="FD8" s="185"/>
      <c r="FE8" s="186"/>
      <c r="FF8" s="185"/>
      <c r="FG8" s="185"/>
      <c r="FH8" s="185"/>
      <c r="FI8" s="185"/>
      <c r="FJ8" s="185"/>
      <c r="FK8" s="185"/>
      <c r="FL8" s="185"/>
      <c r="FM8" s="185"/>
      <c r="FN8" s="185"/>
      <c r="FO8" s="185"/>
      <c r="FP8" s="185"/>
      <c r="FQ8" s="185"/>
      <c r="FR8" s="186"/>
    </row>
    <row r="9" spans="1:174" s="4" customFormat="1" ht="18.75" customHeight="1" x14ac:dyDescent="0.3">
      <c r="A9" s="100"/>
      <c r="B9" s="100"/>
      <c r="C9" s="100"/>
      <c r="D9" s="100"/>
      <c r="E9" s="93" t="s">
        <v>51</v>
      </c>
      <c r="F9" s="189">
        <v>56.24971</v>
      </c>
      <c r="G9" s="190">
        <v>43.424030000000002</v>
      </c>
      <c r="H9" s="190">
        <v>51.342750000000002</v>
      </c>
      <c r="I9" s="190">
        <v>58.893560000000001</v>
      </c>
      <c r="J9" s="190">
        <v>64.417860000000005</v>
      </c>
      <c r="K9" s="190">
        <v>73.084590000000006</v>
      </c>
      <c r="L9" s="190">
        <v>81.126549999999995</v>
      </c>
      <c r="M9" s="190">
        <v>83.128649999999993</v>
      </c>
      <c r="N9" s="190">
        <v>77.896889999999999</v>
      </c>
      <c r="O9" s="190"/>
      <c r="P9" s="190">
        <v>78.628410000000002</v>
      </c>
      <c r="Q9" s="190"/>
      <c r="R9" s="191"/>
      <c r="S9" s="190">
        <v>645.03630999999996</v>
      </c>
      <c r="T9" s="190">
        <v>591.08105</v>
      </c>
      <c r="U9" s="190">
        <v>642.09875999999997</v>
      </c>
      <c r="V9" s="190">
        <v>786.35913000000005</v>
      </c>
      <c r="W9" s="190">
        <v>803.5136</v>
      </c>
      <c r="X9" s="190">
        <v>789.51058</v>
      </c>
      <c r="Y9" s="190">
        <v>761.38385000000005</v>
      </c>
      <c r="Z9" s="190">
        <v>779.42623000000003</v>
      </c>
      <c r="AA9" s="190">
        <v>828.92945999999995</v>
      </c>
      <c r="AB9" s="190"/>
      <c r="AC9" s="190">
        <v>832.83051999999998</v>
      </c>
      <c r="AD9" s="190"/>
      <c r="AE9" s="191"/>
      <c r="AF9" s="190">
        <v>70.533169999999998</v>
      </c>
      <c r="AG9" s="190">
        <v>78.429050000000004</v>
      </c>
      <c r="AH9" s="190">
        <v>84.074299999999994</v>
      </c>
      <c r="AI9" s="190">
        <v>87.058419999999998</v>
      </c>
      <c r="AJ9" s="190">
        <v>78.516319999999993</v>
      </c>
      <c r="AK9" s="190">
        <v>96.317999999999998</v>
      </c>
      <c r="AL9" s="190">
        <v>100.23259</v>
      </c>
      <c r="AM9" s="190">
        <v>106.49999</v>
      </c>
      <c r="AN9" s="190">
        <v>106.49902</v>
      </c>
      <c r="AO9" s="190"/>
      <c r="AP9" s="190">
        <v>140.19999999999999</v>
      </c>
      <c r="AQ9" s="190"/>
      <c r="AR9" s="191"/>
      <c r="AS9" s="190">
        <v>0</v>
      </c>
      <c r="AT9" s="190">
        <v>0</v>
      </c>
      <c r="AU9" s="190">
        <v>0</v>
      </c>
      <c r="AV9" s="190">
        <v>0</v>
      </c>
      <c r="AW9" s="190">
        <v>0</v>
      </c>
      <c r="AX9" s="190">
        <v>0</v>
      </c>
      <c r="AY9" s="190">
        <v>0</v>
      </c>
      <c r="AZ9" s="190">
        <v>0</v>
      </c>
      <c r="BA9" s="190">
        <v>0</v>
      </c>
      <c r="BB9" s="190"/>
      <c r="BC9" s="190">
        <v>0</v>
      </c>
      <c r="BD9" s="190"/>
      <c r="BE9" s="191"/>
      <c r="BF9" s="190">
        <v>1.0047600000000001</v>
      </c>
      <c r="BG9" s="190">
        <v>1.17503</v>
      </c>
      <c r="BH9" s="190">
        <v>0</v>
      </c>
      <c r="BI9" s="190">
        <v>0</v>
      </c>
      <c r="BJ9" s="190">
        <v>0</v>
      </c>
      <c r="BK9" s="190">
        <v>0</v>
      </c>
      <c r="BL9" s="190">
        <v>0</v>
      </c>
      <c r="BM9" s="190">
        <v>0</v>
      </c>
      <c r="BN9" s="190">
        <v>0</v>
      </c>
      <c r="BO9" s="190"/>
      <c r="BP9" s="190">
        <v>0</v>
      </c>
      <c r="BQ9" s="190"/>
      <c r="BR9" s="191"/>
      <c r="BS9" s="190">
        <v>0</v>
      </c>
      <c r="BT9" s="190">
        <v>88.383349999999993</v>
      </c>
      <c r="BU9" s="190">
        <v>22.131699999999999</v>
      </c>
      <c r="BV9" s="190">
        <v>0</v>
      </c>
      <c r="BW9" s="190">
        <v>-10.58135</v>
      </c>
      <c r="BX9" s="190">
        <v>-0.38761000000000001</v>
      </c>
      <c r="BY9" s="190">
        <v>0</v>
      </c>
      <c r="BZ9" s="190">
        <v>0</v>
      </c>
      <c r="CA9" s="190">
        <v>0</v>
      </c>
      <c r="CB9" s="190"/>
      <c r="CC9" s="190">
        <v>0</v>
      </c>
      <c r="CD9" s="190"/>
      <c r="CE9" s="191"/>
      <c r="CF9" s="190">
        <v>716.57424000000003</v>
      </c>
      <c r="CG9" s="190">
        <v>670.68514000000005</v>
      </c>
      <c r="CH9" s="190">
        <v>726.17305999999996</v>
      </c>
      <c r="CI9" s="190">
        <v>873.41754000000003</v>
      </c>
      <c r="CJ9" s="190">
        <v>882.02991999999995</v>
      </c>
      <c r="CK9" s="190">
        <v>885.82857999999999</v>
      </c>
      <c r="CL9" s="190">
        <v>861.61644000000001</v>
      </c>
      <c r="CM9" s="190">
        <v>885.92621999999994</v>
      </c>
      <c r="CN9" s="190">
        <v>935.42846999999995</v>
      </c>
      <c r="CO9" s="190"/>
      <c r="CP9" s="190">
        <v>973.03051000000005</v>
      </c>
      <c r="CQ9" s="190"/>
      <c r="CR9" s="191"/>
      <c r="CS9" s="190">
        <v>660.32452999999998</v>
      </c>
      <c r="CT9" s="190">
        <v>715.64445000000001</v>
      </c>
      <c r="CU9" s="190">
        <v>696.96200999999996</v>
      </c>
      <c r="CV9" s="190">
        <v>814.52399000000003</v>
      </c>
      <c r="CW9" s="190">
        <v>807.03071</v>
      </c>
      <c r="CX9" s="190">
        <v>812.35639000000003</v>
      </c>
      <c r="CY9" s="190">
        <v>780.48988999999995</v>
      </c>
      <c r="CZ9" s="190">
        <v>802.79756999999995</v>
      </c>
      <c r="DA9" s="190">
        <v>857.53157999999996</v>
      </c>
      <c r="DB9" s="190"/>
      <c r="DC9" s="190">
        <v>894.40210000000002</v>
      </c>
      <c r="DD9" s="190"/>
      <c r="DE9" s="191"/>
      <c r="DF9" s="192">
        <v>9.8400000000000001E-2</v>
      </c>
      <c r="DG9" s="192">
        <v>0.1169</v>
      </c>
      <c r="DH9" s="192">
        <v>0.1158</v>
      </c>
      <c r="DI9" s="192">
        <v>9.9699999999999997E-2</v>
      </c>
      <c r="DJ9" s="192">
        <v>8.8999999999999996E-2</v>
      </c>
      <c r="DK9" s="192">
        <v>0.1087</v>
      </c>
      <c r="DL9" s="192">
        <v>0.1163</v>
      </c>
      <c r="DM9" s="192">
        <v>0.1202</v>
      </c>
      <c r="DN9" s="192">
        <v>0.1139</v>
      </c>
      <c r="DO9" s="192"/>
      <c r="DP9" s="192">
        <v>0.14410000000000001</v>
      </c>
      <c r="DQ9" s="192"/>
      <c r="DR9" s="193"/>
      <c r="DS9" s="190">
        <v>0</v>
      </c>
      <c r="DT9" s="190">
        <v>0</v>
      </c>
      <c r="DU9" s="190">
        <v>0</v>
      </c>
      <c r="DV9" s="190">
        <v>0</v>
      </c>
      <c r="DW9" s="190">
        <v>0</v>
      </c>
      <c r="DX9" s="190">
        <v>0</v>
      </c>
      <c r="DY9" s="190">
        <v>0</v>
      </c>
      <c r="DZ9" s="190">
        <v>0</v>
      </c>
      <c r="EA9" s="190">
        <v>0</v>
      </c>
      <c r="EB9" s="190"/>
      <c r="EC9" s="190">
        <v>0</v>
      </c>
      <c r="ED9" s="190"/>
      <c r="EE9" s="191"/>
      <c r="EF9" s="190">
        <v>0</v>
      </c>
      <c r="EG9" s="190">
        <v>0</v>
      </c>
      <c r="EH9" s="190">
        <v>0</v>
      </c>
      <c r="EI9" s="190">
        <v>0</v>
      </c>
      <c r="EJ9" s="190">
        <v>0</v>
      </c>
      <c r="EK9" s="190">
        <v>0</v>
      </c>
      <c r="EL9" s="190">
        <v>0</v>
      </c>
      <c r="EM9" s="190">
        <v>0</v>
      </c>
      <c r="EN9" s="190">
        <v>0</v>
      </c>
      <c r="EO9" s="190"/>
      <c r="EP9" s="190">
        <v>0</v>
      </c>
      <c r="EQ9" s="190"/>
      <c r="ER9" s="191"/>
      <c r="ES9" s="190">
        <v>3703810</v>
      </c>
      <c r="ET9" s="190">
        <v>3113997</v>
      </c>
      <c r="EU9" s="190">
        <v>3401204</v>
      </c>
      <c r="EV9" s="190">
        <v>3669939</v>
      </c>
      <c r="EW9" s="190">
        <v>3714189</v>
      </c>
      <c r="EX9" s="190">
        <v>3731352</v>
      </c>
      <c r="EY9" s="190">
        <v>3656466</v>
      </c>
      <c r="EZ9" s="190">
        <v>3716173.6620499999</v>
      </c>
      <c r="FA9" s="190">
        <v>3755842.95266</v>
      </c>
      <c r="FB9" s="190"/>
      <c r="FC9" s="190">
        <v>3751308.2413599999</v>
      </c>
      <c r="FD9" s="190"/>
      <c r="FE9" s="191"/>
      <c r="FF9" s="190">
        <v>0</v>
      </c>
      <c r="FG9" s="190">
        <v>0</v>
      </c>
      <c r="FH9" s="190">
        <v>0</v>
      </c>
      <c r="FI9" s="190">
        <v>0</v>
      </c>
      <c r="FJ9" s="190">
        <v>0</v>
      </c>
      <c r="FK9" s="190">
        <v>0</v>
      </c>
      <c r="FL9" s="190">
        <v>0</v>
      </c>
      <c r="FM9" s="190">
        <v>0</v>
      </c>
      <c r="FN9" s="190">
        <v>0</v>
      </c>
      <c r="FO9" s="190"/>
      <c r="FP9" s="190">
        <v>0</v>
      </c>
      <c r="FQ9" s="190"/>
      <c r="FR9" s="191"/>
    </row>
    <row r="10" spans="1:174" s="4" customFormat="1" x14ac:dyDescent="0.25">
      <c r="E10" s="2" t="s">
        <v>153</v>
      </c>
      <c r="F10" s="184">
        <v>7.0971900000000003</v>
      </c>
      <c r="G10" s="185">
        <v>6.1385699999999996</v>
      </c>
      <c r="H10" s="185">
        <v>7.0777900000000002</v>
      </c>
      <c r="I10" s="185">
        <v>7.8446899999999999</v>
      </c>
      <c r="J10" s="185">
        <v>8.4562299999999997</v>
      </c>
      <c r="K10" s="185">
        <v>9.9203399999999995</v>
      </c>
      <c r="L10" s="185">
        <v>11.34355</v>
      </c>
      <c r="M10" s="185">
        <v>11.29504</v>
      </c>
      <c r="N10" s="185">
        <v>10.41703</v>
      </c>
      <c r="O10" s="185"/>
      <c r="P10" s="185">
        <v>10.386850000000001</v>
      </c>
      <c r="Q10" s="185"/>
      <c r="R10" s="194"/>
      <c r="S10" s="185">
        <v>53.803339999999999</v>
      </c>
      <c r="T10" s="185">
        <v>47.626510000000003</v>
      </c>
      <c r="U10" s="185">
        <v>54.575760000000002</v>
      </c>
      <c r="V10" s="185">
        <v>66.880070000000003</v>
      </c>
      <c r="W10" s="185">
        <v>73.343559999999997</v>
      </c>
      <c r="X10" s="185">
        <v>72.865920000000003</v>
      </c>
      <c r="Y10" s="185">
        <v>69.909409999999994</v>
      </c>
      <c r="Z10" s="185">
        <v>71.997010000000003</v>
      </c>
      <c r="AA10" s="185">
        <v>77.710620000000006</v>
      </c>
      <c r="AB10" s="185"/>
      <c r="AC10" s="185">
        <v>75.802400000000006</v>
      </c>
      <c r="AD10" s="185"/>
      <c r="AE10" s="194"/>
      <c r="AF10" s="185">
        <v>8.0214300000000005</v>
      </c>
      <c r="AG10" s="185">
        <v>9.0927799999999994</v>
      </c>
      <c r="AH10" s="185">
        <v>10.26365</v>
      </c>
      <c r="AI10" s="185">
        <v>10.37955</v>
      </c>
      <c r="AJ10" s="185">
        <v>10.1348</v>
      </c>
      <c r="AK10" s="185">
        <v>13.00009</v>
      </c>
      <c r="AL10" s="185">
        <v>13.731780000000001</v>
      </c>
      <c r="AM10" s="185">
        <v>14.50751</v>
      </c>
      <c r="AN10" s="185">
        <v>14.88069</v>
      </c>
      <c r="AO10" s="185"/>
      <c r="AP10" s="185">
        <v>19.864329999999999</v>
      </c>
      <c r="AQ10" s="185"/>
      <c r="AR10" s="194"/>
      <c r="AS10" s="185">
        <v>0</v>
      </c>
      <c r="AT10" s="185">
        <v>0</v>
      </c>
      <c r="AU10" s="185">
        <v>0</v>
      </c>
      <c r="AV10" s="185">
        <v>0</v>
      </c>
      <c r="AW10" s="185">
        <v>0</v>
      </c>
      <c r="AX10" s="185">
        <v>0</v>
      </c>
      <c r="AY10" s="185">
        <v>0</v>
      </c>
      <c r="AZ10" s="185">
        <v>0</v>
      </c>
      <c r="BA10" s="185">
        <v>0</v>
      </c>
      <c r="BB10" s="185"/>
      <c r="BC10" s="185">
        <v>0</v>
      </c>
      <c r="BD10" s="185"/>
      <c r="BE10" s="194"/>
      <c r="BF10" s="185">
        <v>0.10521</v>
      </c>
      <c r="BG10" s="185">
        <v>0.11758</v>
      </c>
      <c r="BH10" s="185">
        <v>0</v>
      </c>
      <c r="BI10" s="185">
        <v>0</v>
      </c>
      <c r="BJ10" s="185">
        <v>0</v>
      </c>
      <c r="BK10" s="185">
        <v>0</v>
      </c>
      <c r="BL10" s="185">
        <v>0</v>
      </c>
      <c r="BM10" s="185">
        <v>0</v>
      </c>
      <c r="BN10" s="185">
        <v>0</v>
      </c>
      <c r="BO10" s="185"/>
      <c r="BP10" s="185">
        <v>0</v>
      </c>
      <c r="BQ10" s="185"/>
      <c r="BR10" s="194"/>
      <c r="BS10" s="185">
        <v>0</v>
      </c>
      <c r="BT10" s="185">
        <v>9.7668300000000006</v>
      </c>
      <c r="BU10" s="185">
        <v>4.04474</v>
      </c>
      <c r="BV10" s="185">
        <v>0</v>
      </c>
      <c r="BW10" s="185">
        <v>-0.96584999999999999</v>
      </c>
      <c r="BX10" s="185">
        <v>-3.5380000000000002E-2</v>
      </c>
      <c r="BY10" s="185">
        <v>0</v>
      </c>
      <c r="BZ10" s="185">
        <v>0</v>
      </c>
      <c r="CA10" s="185">
        <v>0</v>
      </c>
      <c r="CB10" s="185"/>
      <c r="CC10" s="185">
        <v>0</v>
      </c>
      <c r="CD10" s="185"/>
      <c r="CE10" s="194"/>
      <c r="CF10" s="185">
        <v>61.929989999999997</v>
      </c>
      <c r="CG10" s="185">
        <v>56.836869999999998</v>
      </c>
      <c r="CH10" s="185">
        <v>64.839410000000001</v>
      </c>
      <c r="CI10" s="185">
        <v>77.259619999999998</v>
      </c>
      <c r="CJ10" s="185">
        <v>83.478359999999995</v>
      </c>
      <c r="CK10" s="185">
        <v>85.866020000000006</v>
      </c>
      <c r="CL10" s="185">
        <v>83.641189999999995</v>
      </c>
      <c r="CM10" s="185">
        <v>86.504519999999999</v>
      </c>
      <c r="CN10" s="185">
        <v>92.591309999999993</v>
      </c>
      <c r="CO10" s="185"/>
      <c r="CP10" s="185">
        <v>95.666740000000004</v>
      </c>
      <c r="CQ10" s="185"/>
      <c r="CR10" s="194"/>
      <c r="CS10" s="185">
        <v>54.832799999999999</v>
      </c>
      <c r="CT10" s="185">
        <v>60.465130000000002</v>
      </c>
      <c r="CU10" s="185">
        <v>61.806350000000002</v>
      </c>
      <c r="CV10" s="185">
        <v>69.414919999999995</v>
      </c>
      <c r="CW10" s="185">
        <v>74.056290000000004</v>
      </c>
      <c r="CX10" s="185">
        <v>75.910300000000007</v>
      </c>
      <c r="CY10" s="185">
        <v>72.297640000000001</v>
      </c>
      <c r="CZ10" s="185">
        <v>75.209479999999999</v>
      </c>
      <c r="DA10" s="185">
        <v>82.174279999999996</v>
      </c>
      <c r="DB10" s="185"/>
      <c r="DC10" s="185">
        <v>85.279889999999995</v>
      </c>
      <c r="DD10" s="185"/>
      <c r="DE10" s="194"/>
      <c r="DF10" s="187">
        <v>0.1295</v>
      </c>
      <c r="DG10" s="187">
        <v>0.16</v>
      </c>
      <c r="DH10" s="187">
        <v>0.1583</v>
      </c>
      <c r="DI10" s="187">
        <v>0.1343</v>
      </c>
      <c r="DJ10" s="187">
        <v>0.12139999999999999</v>
      </c>
      <c r="DK10" s="187">
        <v>0.15140000000000001</v>
      </c>
      <c r="DL10" s="187">
        <v>0.16420000000000001</v>
      </c>
      <c r="DM10" s="187">
        <v>0.16769999999999999</v>
      </c>
      <c r="DN10" s="187">
        <v>0.16070000000000001</v>
      </c>
      <c r="DO10" s="187"/>
      <c r="DP10" s="187">
        <v>0.20760000000000001</v>
      </c>
      <c r="DQ10" s="187"/>
      <c r="DR10" s="195"/>
      <c r="DS10" s="185">
        <v>0</v>
      </c>
      <c r="DT10" s="185">
        <v>0</v>
      </c>
      <c r="DU10" s="185">
        <v>0</v>
      </c>
      <c r="DV10" s="185">
        <v>0</v>
      </c>
      <c r="DW10" s="185">
        <v>0</v>
      </c>
      <c r="DX10" s="185">
        <v>0</v>
      </c>
      <c r="DY10" s="185">
        <v>0</v>
      </c>
      <c r="DZ10" s="185">
        <v>0</v>
      </c>
      <c r="EA10" s="185">
        <v>0</v>
      </c>
      <c r="EB10" s="185"/>
      <c r="EC10" s="185">
        <v>0</v>
      </c>
      <c r="ED10" s="185"/>
      <c r="EE10" s="194"/>
      <c r="EF10" s="185">
        <v>0</v>
      </c>
      <c r="EG10" s="185">
        <v>0</v>
      </c>
      <c r="EH10" s="185">
        <v>0</v>
      </c>
      <c r="EI10" s="185">
        <v>0</v>
      </c>
      <c r="EJ10" s="185">
        <v>0</v>
      </c>
      <c r="EK10" s="185">
        <v>0</v>
      </c>
      <c r="EL10" s="185">
        <v>0</v>
      </c>
      <c r="EM10" s="185">
        <v>0</v>
      </c>
      <c r="EN10" s="185">
        <v>0</v>
      </c>
      <c r="EO10" s="185"/>
      <c r="EP10" s="185">
        <v>0</v>
      </c>
      <c r="EQ10" s="185"/>
      <c r="ER10" s="194"/>
      <c r="ES10" s="185">
        <v>348349</v>
      </c>
      <c r="ET10" s="185">
        <v>282437</v>
      </c>
      <c r="EU10" s="185">
        <v>323066</v>
      </c>
      <c r="EV10" s="185">
        <v>345147</v>
      </c>
      <c r="EW10" s="185">
        <v>375086</v>
      </c>
      <c r="EX10" s="185">
        <v>392645</v>
      </c>
      <c r="EY10" s="185">
        <v>385304</v>
      </c>
      <c r="EZ10" s="185">
        <v>390669.24589999998</v>
      </c>
      <c r="FA10" s="185">
        <v>388880.74245999998</v>
      </c>
      <c r="FB10" s="185"/>
      <c r="FC10" s="185">
        <v>392142.94118999998</v>
      </c>
      <c r="FD10" s="185"/>
      <c r="FE10" s="194"/>
      <c r="FF10" s="185"/>
      <c r="FG10" s="185"/>
      <c r="FH10" s="185"/>
      <c r="FI10" s="185"/>
      <c r="FJ10" s="185"/>
      <c r="FK10" s="185"/>
      <c r="FL10" s="185"/>
      <c r="FM10" s="185"/>
      <c r="FN10" s="185"/>
      <c r="FO10" s="185"/>
      <c r="FP10" s="185"/>
      <c r="FQ10" s="185"/>
      <c r="FR10" s="194"/>
    </row>
    <row r="11" spans="1:174" s="4" customFormat="1" x14ac:dyDescent="0.25">
      <c r="E11" s="2" t="s">
        <v>154</v>
      </c>
      <c r="F11" s="184">
        <v>1.7318100000000001</v>
      </c>
      <c r="G11" s="185">
        <v>1.39757</v>
      </c>
      <c r="H11" s="185">
        <v>1.5669500000000001</v>
      </c>
      <c r="I11" s="185">
        <v>1.7608200000000001</v>
      </c>
      <c r="J11" s="185">
        <v>1.8664099999999999</v>
      </c>
      <c r="K11" s="185">
        <v>2.1606399999999999</v>
      </c>
      <c r="L11" s="185">
        <v>2.54501</v>
      </c>
      <c r="M11" s="185">
        <v>2.5352700000000001</v>
      </c>
      <c r="N11" s="185">
        <v>2.4428999999999998</v>
      </c>
      <c r="O11" s="185"/>
      <c r="P11" s="185">
        <v>2.4835600000000002</v>
      </c>
      <c r="Q11" s="185"/>
      <c r="R11" s="194"/>
      <c r="S11" s="185">
        <v>9.32423</v>
      </c>
      <c r="T11" s="185">
        <v>7.95153</v>
      </c>
      <c r="U11" s="185">
        <v>8.6482200000000002</v>
      </c>
      <c r="V11" s="185">
        <v>11.03782</v>
      </c>
      <c r="W11" s="185">
        <v>11.279590000000001</v>
      </c>
      <c r="X11" s="185">
        <v>11.22067</v>
      </c>
      <c r="Y11" s="185">
        <v>11.57996</v>
      </c>
      <c r="Z11" s="185">
        <v>11.683809999999999</v>
      </c>
      <c r="AA11" s="185">
        <v>13.13585</v>
      </c>
      <c r="AB11" s="185"/>
      <c r="AC11" s="185">
        <v>13.58418</v>
      </c>
      <c r="AD11" s="185"/>
      <c r="AE11" s="194"/>
      <c r="AF11" s="185">
        <v>1.4397800000000001</v>
      </c>
      <c r="AG11" s="185">
        <v>1.5433600000000001</v>
      </c>
      <c r="AH11" s="185">
        <v>1.7284999999999999</v>
      </c>
      <c r="AI11" s="185">
        <v>1.7977099999999999</v>
      </c>
      <c r="AJ11" s="185">
        <v>1.72353</v>
      </c>
      <c r="AK11" s="185">
        <v>2.1398999999999999</v>
      </c>
      <c r="AL11" s="185">
        <v>2.45933</v>
      </c>
      <c r="AM11" s="185">
        <v>2.58738</v>
      </c>
      <c r="AN11" s="185">
        <v>2.7238199999999999</v>
      </c>
      <c r="AO11" s="185"/>
      <c r="AP11" s="185">
        <v>3.7053600000000002</v>
      </c>
      <c r="AQ11" s="185"/>
      <c r="AR11" s="194"/>
      <c r="AS11" s="185">
        <v>0</v>
      </c>
      <c r="AT11" s="185">
        <v>0</v>
      </c>
      <c r="AU11" s="185">
        <v>0</v>
      </c>
      <c r="AV11" s="185">
        <v>0</v>
      </c>
      <c r="AW11" s="185">
        <v>0</v>
      </c>
      <c r="AX11" s="185">
        <v>0</v>
      </c>
      <c r="AY11" s="185">
        <v>0</v>
      </c>
      <c r="AZ11" s="185">
        <v>0</v>
      </c>
      <c r="BA11" s="185">
        <v>0</v>
      </c>
      <c r="BB11" s="185"/>
      <c r="BC11" s="185">
        <v>0</v>
      </c>
      <c r="BD11" s="185"/>
      <c r="BE11" s="194"/>
      <c r="BF11" s="185">
        <v>1.6879999999999999E-2</v>
      </c>
      <c r="BG11" s="185">
        <v>1.797E-2</v>
      </c>
      <c r="BH11" s="185">
        <v>0</v>
      </c>
      <c r="BI11" s="185">
        <v>0</v>
      </c>
      <c r="BJ11" s="185">
        <v>0</v>
      </c>
      <c r="BK11" s="185">
        <v>0</v>
      </c>
      <c r="BL11" s="185">
        <v>0</v>
      </c>
      <c r="BM11" s="185">
        <v>0</v>
      </c>
      <c r="BN11" s="185">
        <v>0</v>
      </c>
      <c r="BO11" s="185"/>
      <c r="BP11" s="185">
        <v>0</v>
      </c>
      <c r="BQ11" s="185"/>
      <c r="BR11" s="194"/>
      <c r="BS11" s="185">
        <v>0</v>
      </c>
      <c r="BT11" s="185">
        <v>1.9077999999999999</v>
      </c>
      <c r="BU11" s="185">
        <v>-9.5070000000000002E-2</v>
      </c>
      <c r="BV11" s="185">
        <v>0</v>
      </c>
      <c r="BW11" s="185">
        <v>-0.14854000000000001</v>
      </c>
      <c r="BX11" s="185">
        <v>-5.4400000000000004E-3</v>
      </c>
      <c r="BY11" s="185">
        <v>0</v>
      </c>
      <c r="BZ11" s="185">
        <v>0</v>
      </c>
      <c r="CA11" s="185">
        <v>0</v>
      </c>
      <c r="CB11" s="185"/>
      <c r="CC11" s="185">
        <v>0</v>
      </c>
      <c r="CD11" s="185"/>
      <c r="CE11" s="194"/>
      <c r="CF11" s="185">
        <v>10.780889999999999</v>
      </c>
      <c r="CG11" s="185">
        <v>9.5128599999999999</v>
      </c>
      <c r="CH11" s="185">
        <v>10.376720000000001</v>
      </c>
      <c r="CI11" s="185">
        <v>12.83553</v>
      </c>
      <c r="CJ11" s="185">
        <v>13.003119999999999</v>
      </c>
      <c r="CK11" s="185">
        <v>13.360569999999999</v>
      </c>
      <c r="CL11" s="185">
        <v>14.039289999999999</v>
      </c>
      <c r="CM11" s="185">
        <v>14.271190000000001</v>
      </c>
      <c r="CN11" s="185">
        <v>15.859669999999999</v>
      </c>
      <c r="CO11" s="185"/>
      <c r="CP11" s="185">
        <v>17.289539999999999</v>
      </c>
      <c r="CQ11" s="185"/>
      <c r="CR11" s="194"/>
      <c r="CS11" s="185">
        <v>9.0490899999999996</v>
      </c>
      <c r="CT11" s="185">
        <v>10.02309</v>
      </c>
      <c r="CU11" s="185">
        <v>8.7146899999999992</v>
      </c>
      <c r="CV11" s="185">
        <v>11.07471</v>
      </c>
      <c r="CW11" s="185">
        <v>10.98817</v>
      </c>
      <c r="CX11" s="185">
        <v>11.19449</v>
      </c>
      <c r="CY11" s="185">
        <v>11.49428</v>
      </c>
      <c r="CZ11" s="185">
        <v>11.73593</v>
      </c>
      <c r="DA11" s="185">
        <v>13.41677</v>
      </c>
      <c r="DB11" s="185"/>
      <c r="DC11" s="185">
        <v>14.80598</v>
      </c>
      <c r="DD11" s="185"/>
      <c r="DE11" s="194"/>
      <c r="DF11" s="187">
        <v>0.13350000000000001</v>
      </c>
      <c r="DG11" s="187">
        <v>0.16220000000000001</v>
      </c>
      <c r="DH11" s="187">
        <v>0.1666</v>
      </c>
      <c r="DI11" s="187">
        <v>0.1401</v>
      </c>
      <c r="DJ11" s="187">
        <v>0.13250000000000001</v>
      </c>
      <c r="DK11" s="187">
        <v>0.16020000000000001</v>
      </c>
      <c r="DL11" s="187">
        <v>0.17519999999999999</v>
      </c>
      <c r="DM11" s="187">
        <v>0.18129999999999999</v>
      </c>
      <c r="DN11" s="187">
        <v>0.17169999999999999</v>
      </c>
      <c r="DO11" s="187"/>
      <c r="DP11" s="187">
        <v>0.21429999999999999</v>
      </c>
      <c r="DQ11" s="187"/>
      <c r="DR11" s="195"/>
      <c r="DS11" s="185">
        <v>0</v>
      </c>
      <c r="DT11" s="185">
        <v>0</v>
      </c>
      <c r="DU11" s="185">
        <v>0</v>
      </c>
      <c r="DV11" s="185">
        <v>0</v>
      </c>
      <c r="DW11" s="185">
        <v>0</v>
      </c>
      <c r="DX11" s="185">
        <v>0</v>
      </c>
      <c r="DY11" s="185">
        <v>0</v>
      </c>
      <c r="DZ11" s="185">
        <v>0</v>
      </c>
      <c r="EA11" s="185">
        <v>0</v>
      </c>
      <c r="EB11" s="185"/>
      <c r="EC11" s="185">
        <v>0</v>
      </c>
      <c r="ED11" s="185"/>
      <c r="EE11" s="194"/>
      <c r="EF11" s="185">
        <v>0</v>
      </c>
      <c r="EG11" s="185">
        <v>0</v>
      </c>
      <c r="EH11" s="185">
        <v>0</v>
      </c>
      <c r="EI11" s="185">
        <v>0</v>
      </c>
      <c r="EJ11" s="185">
        <v>0</v>
      </c>
      <c r="EK11" s="185">
        <v>0</v>
      </c>
      <c r="EL11" s="185">
        <v>0</v>
      </c>
      <c r="EM11" s="185">
        <v>0</v>
      </c>
      <c r="EN11" s="185">
        <v>0</v>
      </c>
      <c r="EO11" s="185"/>
      <c r="EP11" s="185">
        <v>0</v>
      </c>
      <c r="EQ11" s="185"/>
      <c r="ER11" s="194"/>
      <c r="ES11" s="185">
        <v>49664</v>
      </c>
      <c r="ET11" s="185">
        <v>37294</v>
      </c>
      <c r="EU11" s="185">
        <v>42356</v>
      </c>
      <c r="EV11" s="185">
        <v>45803</v>
      </c>
      <c r="EW11" s="185">
        <v>47585</v>
      </c>
      <c r="EX11" s="185">
        <v>49648</v>
      </c>
      <c r="EY11" s="185">
        <v>53261</v>
      </c>
      <c r="EZ11" s="185">
        <v>53271.47997</v>
      </c>
      <c r="FA11" s="185">
        <v>55278.458610000001</v>
      </c>
      <c r="FB11" s="185"/>
      <c r="FC11" s="185">
        <v>56398.697079999998</v>
      </c>
      <c r="FD11" s="185"/>
      <c r="FE11" s="194"/>
      <c r="FF11" s="185"/>
      <c r="FG11" s="185"/>
      <c r="FH11" s="185"/>
      <c r="FI11" s="185"/>
      <c r="FJ11" s="185"/>
      <c r="FK11" s="185"/>
      <c r="FL11" s="185"/>
      <c r="FM11" s="185"/>
      <c r="FN11" s="185"/>
      <c r="FO11" s="185"/>
      <c r="FP11" s="185"/>
      <c r="FQ11" s="185"/>
      <c r="FR11" s="194"/>
    </row>
    <row r="12" spans="1:174" s="4" customFormat="1" x14ac:dyDescent="0.25">
      <c r="E12" s="2" t="s">
        <v>155</v>
      </c>
      <c r="F12" s="184">
        <v>0.44030000000000002</v>
      </c>
      <c r="G12" s="185">
        <v>0.35997000000000001</v>
      </c>
      <c r="H12" s="185">
        <v>0.37830000000000003</v>
      </c>
      <c r="I12" s="185">
        <v>0.42602000000000001</v>
      </c>
      <c r="J12" s="185">
        <v>0.50775999999999999</v>
      </c>
      <c r="K12" s="185">
        <v>0.63290999999999997</v>
      </c>
      <c r="L12" s="185">
        <v>0.76853000000000005</v>
      </c>
      <c r="M12" s="185">
        <v>0.72819999999999996</v>
      </c>
      <c r="N12" s="185">
        <v>0.71316000000000002</v>
      </c>
      <c r="O12" s="185"/>
      <c r="P12" s="185">
        <v>0.73456999999999995</v>
      </c>
      <c r="Q12" s="185"/>
      <c r="R12" s="194"/>
      <c r="S12" s="185">
        <v>10.198460000000001</v>
      </c>
      <c r="T12" s="185">
        <v>9.3648500000000006</v>
      </c>
      <c r="U12" s="185">
        <v>8.8748400000000007</v>
      </c>
      <c r="V12" s="185">
        <v>9.8619299999999992</v>
      </c>
      <c r="W12" s="185">
        <v>11.25604</v>
      </c>
      <c r="X12" s="185">
        <v>12.16948</v>
      </c>
      <c r="Y12" s="185">
        <v>12.824120000000001</v>
      </c>
      <c r="Z12" s="185">
        <v>13.22123</v>
      </c>
      <c r="AA12" s="185">
        <v>14.06894</v>
      </c>
      <c r="AB12" s="185"/>
      <c r="AC12" s="185">
        <v>14.00962</v>
      </c>
      <c r="AD12" s="185"/>
      <c r="AE12" s="194"/>
      <c r="AF12" s="185">
        <v>0.91085000000000005</v>
      </c>
      <c r="AG12" s="185">
        <v>1.004</v>
      </c>
      <c r="AH12" s="185">
        <v>1.0479400000000001</v>
      </c>
      <c r="AI12" s="185">
        <v>1.00627</v>
      </c>
      <c r="AJ12" s="185">
        <v>0.99307999999999996</v>
      </c>
      <c r="AK12" s="185">
        <v>1.32067</v>
      </c>
      <c r="AL12" s="185">
        <v>1.55586</v>
      </c>
      <c r="AM12" s="185">
        <v>1.69794</v>
      </c>
      <c r="AN12" s="185">
        <v>1.76</v>
      </c>
      <c r="AO12" s="185"/>
      <c r="AP12" s="185">
        <v>2.3431099999999998</v>
      </c>
      <c r="AQ12" s="185"/>
      <c r="AR12" s="194"/>
      <c r="AS12" s="185">
        <v>0</v>
      </c>
      <c r="AT12" s="185">
        <v>0</v>
      </c>
      <c r="AU12" s="185">
        <v>0</v>
      </c>
      <c r="AV12" s="185">
        <v>0</v>
      </c>
      <c r="AW12" s="185">
        <v>0</v>
      </c>
      <c r="AX12" s="185">
        <v>0</v>
      </c>
      <c r="AY12" s="185">
        <v>0</v>
      </c>
      <c r="AZ12" s="185">
        <v>0</v>
      </c>
      <c r="BA12" s="185">
        <v>0</v>
      </c>
      <c r="BB12" s="185"/>
      <c r="BC12" s="185">
        <v>0</v>
      </c>
      <c r="BD12" s="185"/>
      <c r="BE12" s="194"/>
      <c r="BF12" s="185">
        <v>1.2919999999999999E-2</v>
      </c>
      <c r="BG12" s="185">
        <v>1.4540000000000001E-2</v>
      </c>
      <c r="BH12" s="185">
        <v>0</v>
      </c>
      <c r="BI12" s="185">
        <v>0</v>
      </c>
      <c r="BJ12" s="185">
        <v>0</v>
      </c>
      <c r="BK12" s="185">
        <v>0</v>
      </c>
      <c r="BL12" s="185">
        <v>0</v>
      </c>
      <c r="BM12" s="185">
        <v>0</v>
      </c>
      <c r="BN12" s="185">
        <v>0</v>
      </c>
      <c r="BO12" s="185"/>
      <c r="BP12" s="185">
        <v>0</v>
      </c>
      <c r="BQ12" s="185"/>
      <c r="BR12" s="194"/>
      <c r="BS12" s="185">
        <v>0</v>
      </c>
      <c r="BT12" s="185">
        <v>1.67686</v>
      </c>
      <c r="BU12" s="185">
        <v>0.65991</v>
      </c>
      <c r="BV12" s="185">
        <v>0</v>
      </c>
      <c r="BW12" s="185">
        <v>-0.14823</v>
      </c>
      <c r="BX12" s="185">
        <v>-5.4299999999999999E-3</v>
      </c>
      <c r="BY12" s="185">
        <v>0</v>
      </c>
      <c r="BZ12" s="185">
        <v>0</v>
      </c>
      <c r="CA12" s="185">
        <v>0</v>
      </c>
      <c r="CB12" s="185"/>
      <c r="CC12" s="185">
        <v>0</v>
      </c>
      <c r="CD12" s="185"/>
      <c r="CE12" s="194"/>
      <c r="CF12" s="185">
        <v>11.12224</v>
      </c>
      <c r="CG12" s="185">
        <v>10.38339</v>
      </c>
      <c r="CH12" s="185">
        <v>9.9227799999999995</v>
      </c>
      <c r="CI12" s="185">
        <v>10.8682</v>
      </c>
      <c r="CJ12" s="185">
        <v>12.24912</v>
      </c>
      <c r="CK12" s="185">
        <v>13.49015</v>
      </c>
      <c r="CL12" s="185">
        <v>14.37998</v>
      </c>
      <c r="CM12" s="185">
        <v>14.919169999999999</v>
      </c>
      <c r="CN12" s="185">
        <v>15.82893</v>
      </c>
      <c r="CO12" s="185"/>
      <c r="CP12" s="185">
        <v>16.352720000000001</v>
      </c>
      <c r="CQ12" s="185"/>
      <c r="CR12" s="194"/>
      <c r="CS12" s="185">
        <v>10.681940000000001</v>
      </c>
      <c r="CT12" s="185">
        <v>11.70027</v>
      </c>
      <c r="CU12" s="185">
        <v>10.20439</v>
      </c>
      <c r="CV12" s="185">
        <v>10.44219</v>
      </c>
      <c r="CW12" s="185">
        <v>11.59314</v>
      </c>
      <c r="CX12" s="185">
        <v>12.85181</v>
      </c>
      <c r="CY12" s="185">
        <v>13.61144</v>
      </c>
      <c r="CZ12" s="185">
        <v>14.19097</v>
      </c>
      <c r="DA12" s="185">
        <v>15.115780000000001</v>
      </c>
      <c r="DB12" s="185"/>
      <c r="DC12" s="185">
        <v>15.61816</v>
      </c>
      <c r="DD12" s="185"/>
      <c r="DE12" s="194"/>
      <c r="DF12" s="187">
        <v>8.1900000000000001E-2</v>
      </c>
      <c r="DG12" s="187">
        <v>9.6699999999999994E-2</v>
      </c>
      <c r="DH12" s="187">
        <v>0.1056</v>
      </c>
      <c r="DI12" s="187">
        <v>9.2600000000000002E-2</v>
      </c>
      <c r="DJ12" s="187">
        <v>8.1100000000000005E-2</v>
      </c>
      <c r="DK12" s="187">
        <v>9.7900000000000001E-2</v>
      </c>
      <c r="DL12" s="187">
        <v>0.1082</v>
      </c>
      <c r="DM12" s="187">
        <v>0.1138</v>
      </c>
      <c r="DN12" s="187">
        <v>0.11119999999999999</v>
      </c>
      <c r="DO12" s="187"/>
      <c r="DP12" s="187">
        <v>0.14330000000000001</v>
      </c>
      <c r="DQ12" s="187"/>
      <c r="DR12" s="195"/>
      <c r="DS12" s="185">
        <v>0</v>
      </c>
      <c r="DT12" s="185">
        <v>0</v>
      </c>
      <c r="DU12" s="185">
        <v>0</v>
      </c>
      <c r="DV12" s="185">
        <v>0</v>
      </c>
      <c r="DW12" s="185">
        <v>0</v>
      </c>
      <c r="DX12" s="185">
        <v>0</v>
      </c>
      <c r="DY12" s="185">
        <v>0</v>
      </c>
      <c r="DZ12" s="185">
        <v>0</v>
      </c>
      <c r="EA12" s="185">
        <v>0</v>
      </c>
      <c r="EB12" s="185"/>
      <c r="EC12" s="185">
        <v>0</v>
      </c>
      <c r="ED12" s="185"/>
      <c r="EE12" s="194"/>
      <c r="EF12" s="185">
        <v>0</v>
      </c>
      <c r="EG12" s="185">
        <v>0</v>
      </c>
      <c r="EH12" s="185">
        <v>0</v>
      </c>
      <c r="EI12" s="185">
        <v>0</v>
      </c>
      <c r="EJ12" s="185">
        <v>0</v>
      </c>
      <c r="EK12" s="185">
        <v>0</v>
      </c>
      <c r="EL12" s="185">
        <v>0</v>
      </c>
      <c r="EM12" s="185">
        <v>0</v>
      </c>
      <c r="EN12" s="185">
        <v>0</v>
      </c>
      <c r="EO12" s="185"/>
      <c r="EP12" s="185">
        <v>0</v>
      </c>
      <c r="EQ12" s="185"/>
      <c r="ER12" s="194"/>
      <c r="ES12" s="185">
        <v>72830</v>
      </c>
      <c r="ET12" s="185">
        <v>58617</v>
      </c>
      <c r="EU12" s="185">
        <v>57232</v>
      </c>
      <c r="EV12" s="185">
        <v>62348</v>
      </c>
      <c r="EW12" s="185">
        <v>64038</v>
      </c>
      <c r="EX12" s="185">
        <v>67252</v>
      </c>
      <c r="EY12" s="185">
        <v>73373</v>
      </c>
      <c r="EZ12" s="185">
        <v>74886.935020000004</v>
      </c>
      <c r="FA12" s="185">
        <v>76671.557620000007</v>
      </c>
      <c r="FB12" s="185"/>
      <c r="FC12" s="185">
        <v>77317.772779999999</v>
      </c>
      <c r="FD12" s="185"/>
      <c r="FE12" s="194"/>
      <c r="FF12" s="185"/>
      <c r="FG12" s="185"/>
      <c r="FH12" s="185"/>
      <c r="FI12" s="185"/>
      <c r="FJ12" s="185"/>
      <c r="FK12" s="185"/>
      <c r="FL12" s="185"/>
      <c r="FM12" s="185"/>
      <c r="FN12" s="185"/>
      <c r="FO12" s="185"/>
      <c r="FP12" s="185"/>
      <c r="FQ12" s="185"/>
      <c r="FR12" s="194"/>
    </row>
    <row r="13" spans="1:174" s="4" customFormat="1" x14ac:dyDescent="0.25">
      <c r="E13" s="2" t="s">
        <v>156</v>
      </c>
      <c r="F13" s="184">
        <v>1.3986799999999999</v>
      </c>
      <c r="G13" s="185">
        <v>1.1261000000000001</v>
      </c>
      <c r="H13" s="185">
        <v>1.25722</v>
      </c>
      <c r="I13" s="185">
        <v>1.46312</v>
      </c>
      <c r="J13" s="185">
        <v>1.57213</v>
      </c>
      <c r="K13" s="185">
        <v>1.7087399999999999</v>
      </c>
      <c r="L13" s="185">
        <v>2.0253700000000001</v>
      </c>
      <c r="M13" s="185">
        <v>2.0035799999999999</v>
      </c>
      <c r="N13" s="185">
        <v>1.9776899999999999</v>
      </c>
      <c r="O13" s="185"/>
      <c r="P13" s="185">
        <v>1.9848699999999999</v>
      </c>
      <c r="Q13" s="185"/>
      <c r="R13" s="194"/>
      <c r="S13" s="185">
        <v>17.272349999999999</v>
      </c>
      <c r="T13" s="185">
        <v>16.06259</v>
      </c>
      <c r="U13" s="185">
        <v>16.16901</v>
      </c>
      <c r="V13" s="185">
        <v>19.273700000000002</v>
      </c>
      <c r="W13" s="185">
        <v>21.07274</v>
      </c>
      <c r="X13" s="185">
        <v>19.677160000000001</v>
      </c>
      <c r="Y13" s="185">
        <v>20.12688</v>
      </c>
      <c r="Z13" s="185">
        <v>20.109570000000001</v>
      </c>
      <c r="AA13" s="185">
        <v>20.92361</v>
      </c>
      <c r="AB13" s="185"/>
      <c r="AC13" s="185">
        <v>20.026959999999999</v>
      </c>
      <c r="AD13" s="185"/>
      <c r="AE13" s="194"/>
      <c r="AF13" s="185">
        <v>1.4782500000000001</v>
      </c>
      <c r="AG13" s="185">
        <v>1.6471199999999999</v>
      </c>
      <c r="AH13" s="185">
        <v>1.8489800000000001</v>
      </c>
      <c r="AI13" s="185">
        <v>2.00604</v>
      </c>
      <c r="AJ13" s="185">
        <v>1.8835999999999999</v>
      </c>
      <c r="AK13" s="185">
        <v>2.25352</v>
      </c>
      <c r="AL13" s="185">
        <v>2.4947699999999999</v>
      </c>
      <c r="AM13" s="185">
        <v>2.6470699999999998</v>
      </c>
      <c r="AN13" s="185">
        <v>2.8574700000000002</v>
      </c>
      <c r="AO13" s="185"/>
      <c r="AP13" s="185">
        <v>3.8536000000000001</v>
      </c>
      <c r="AQ13" s="185"/>
      <c r="AR13" s="194"/>
      <c r="AS13" s="185">
        <v>0</v>
      </c>
      <c r="AT13" s="185">
        <v>0</v>
      </c>
      <c r="AU13" s="185">
        <v>0</v>
      </c>
      <c r="AV13" s="185">
        <v>0</v>
      </c>
      <c r="AW13" s="185">
        <v>0</v>
      </c>
      <c r="AX13" s="185">
        <v>0</v>
      </c>
      <c r="AY13" s="185">
        <v>0</v>
      </c>
      <c r="AZ13" s="185">
        <v>0</v>
      </c>
      <c r="BA13" s="185">
        <v>0</v>
      </c>
      <c r="BB13" s="185"/>
      <c r="BC13" s="185">
        <v>0</v>
      </c>
      <c r="BD13" s="185"/>
      <c r="BE13" s="194"/>
      <c r="BF13" s="185">
        <v>1.7389999999999999E-2</v>
      </c>
      <c r="BG13" s="185">
        <v>2.0549999999999999E-2</v>
      </c>
      <c r="BH13" s="185">
        <v>0</v>
      </c>
      <c r="BI13" s="185">
        <v>0</v>
      </c>
      <c r="BJ13" s="185">
        <v>0</v>
      </c>
      <c r="BK13" s="185">
        <v>0</v>
      </c>
      <c r="BL13" s="185">
        <v>0</v>
      </c>
      <c r="BM13" s="185">
        <v>0</v>
      </c>
      <c r="BN13" s="185">
        <v>0</v>
      </c>
      <c r="BO13" s="185"/>
      <c r="BP13" s="185">
        <v>0</v>
      </c>
      <c r="BQ13" s="185"/>
      <c r="BR13" s="194"/>
      <c r="BS13" s="185">
        <v>0</v>
      </c>
      <c r="BT13" s="185">
        <v>1.4428000000000001</v>
      </c>
      <c r="BU13" s="185">
        <v>0.70931</v>
      </c>
      <c r="BV13" s="185">
        <v>0</v>
      </c>
      <c r="BW13" s="185">
        <v>-0.27750000000000002</v>
      </c>
      <c r="BX13" s="185">
        <v>-1.017E-2</v>
      </c>
      <c r="BY13" s="185">
        <v>0</v>
      </c>
      <c r="BZ13" s="185">
        <v>0</v>
      </c>
      <c r="CA13" s="185">
        <v>0</v>
      </c>
      <c r="CB13" s="185"/>
      <c r="CC13" s="185">
        <v>0</v>
      </c>
      <c r="CD13" s="185"/>
      <c r="CE13" s="194"/>
      <c r="CF13" s="185">
        <v>18.768000000000001</v>
      </c>
      <c r="CG13" s="185">
        <v>17.730270000000001</v>
      </c>
      <c r="CH13" s="185">
        <v>18.017990000000001</v>
      </c>
      <c r="CI13" s="185">
        <v>21.27974</v>
      </c>
      <c r="CJ13" s="185">
        <v>22.956340000000001</v>
      </c>
      <c r="CK13" s="185">
        <v>21.930669999999999</v>
      </c>
      <c r="CL13" s="185">
        <v>22.621649999999999</v>
      </c>
      <c r="CM13" s="185">
        <v>22.756630000000001</v>
      </c>
      <c r="CN13" s="185">
        <v>23.781079999999999</v>
      </c>
      <c r="CO13" s="185"/>
      <c r="CP13" s="185">
        <v>23.880559999999999</v>
      </c>
      <c r="CQ13" s="185"/>
      <c r="CR13" s="194"/>
      <c r="CS13" s="185">
        <v>17.369309999999999</v>
      </c>
      <c r="CT13" s="185">
        <v>18.046959999999999</v>
      </c>
      <c r="CU13" s="185">
        <v>17.470079999999999</v>
      </c>
      <c r="CV13" s="185">
        <v>19.81662</v>
      </c>
      <c r="CW13" s="185">
        <v>21.10671</v>
      </c>
      <c r="CX13" s="185">
        <v>20.211770000000001</v>
      </c>
      <c r="CY13" s="185">
        <v>20.59628</v>
      </c>
      <c r="CZ13" s="185">
        <v>20.753050000000002</v>
      </c>
      <c r="DA13" s="185">
        <v>21.80339</v>
      </c>
      <c r="DB13" s="185"/>
      <c r="DC13" s="185">
        <v>21.895689999999998</v>
      </c>
      <c r="DD13" s="185"/>
      <c r="DE13" s="194"/>
      <c r="DF13" s="187">
        <v>7.8799999999999995E-2</v>
      </c>
      <c r="DG13" s="187">
        <v>9.2899999999999996E-2</v>
      </c>
      <c r="DH13" s="187">
        <v>0.1026</v>
      </c>
      <c r="DI13" s="187">
        <v>9.4299999999999995E-2</v>
      </c>
      <c r="DJ13" s="187">
        <v>8.2100000000000006E-2</v>
      </c>
      <c r="DK13" s="187">
        <v>0.1028</v>
      </c>
      <c r="DL13" s="187">
        <v>0.1103</v>
      </c>
      <c r="DM13" s="187">
        <v>0.1163</v>
      </c>
      <c r="DN13" s="187">
        <v>0.1202</v>
      </c>
      <c r="DO13" s="187"/>
      <c r="DP13" s="187">
        <v>0.16139999999999999</v>
      </c>
      <c r="DQ13" s="187"/>
      <c r="DR13" s="195"/>
      <c r="DS13" s="185">
        <v>0</v>
      </c>
      <c r="DT13" s="185">
        <v>0</v>
      </c>
      <c r="DU13" s="185">
        <v>0</v>
      </c>
      <c r="DV13" s="185">
        <v>0</v>
      </c>
      <c r="DW13" s="185">
        <v>0</v>
      </c>
      <c r="DX13" s="185">
        <v>0</v>
      </c>
      <c r="DY13" s="185">
        <v>0</v>
      </c>
      <c r="DZ13" s="185">
        <v>0</v>
      </c>
      <c r="EA13" s="185">
        <v>0</v>
      </c>
      <c r="EB13" s="185"/>
      <c r="EC13" s="185">
        <v>0</v>
      </c>
      <c r="ED13" s="185"/>
      <c r="EE13" s="194"/>
      <c r="EF13" s="185">
        <v>0</v>
      </c>
      <c r="EG13" s="185">
        <v>0</v>
      </c>
      <c r="EH13" s="185">
        <v>0</v>
      </c>
      <c r="EI13" s="185">
        <v>0</v>
      </c>
      <c r="EJ13" s="185">
        <v>0</v>
      </c>
      <c r="EK13" s="185">
        <v>0</v>
      </c>
      <c r="EL13" s="185">
        <v>0</v>
      </c>
      <c r="EM13" s="185">
        <v>0</v>
      </c>
      <c r="EN13" s="185">
        <v>0</v>
      </c>
      <c r="EO13" s="185"/>
      <c r="EP13" s="185">
        <v>0</v>
      </c>
      <c r="EQ13" s="185"/>
      <c r="ER13" s="194"/>
      <c r="ES13" s="185">
        <v>122079</v>
      </c>
      <c r="ET13" s="185">
        <v>104741</v>
      </c>
      <c r="EU13" s="185">
        <v>105735</v>
      </c>
      <c r="EV13" s="185">
        <v>112991</v>
      </c>
      <c r="EW13" s="185">
        <v>120667</v>
      </c>
      <c r="EX13" s="185">
        <v>123311</v>
      </c>
      <c r="EY13" s="185">
        <v>125514</v>
      </c>
      <c r="EZ13" s="185">
        <v>126401.05484</v>
      </c>
      <c r="FA13" s="185">
        <v>130436.23662</v>
      </c>
      <c r="FB13" s="185"/>
      <c r="FC13" s="185">
        <v>131202.61188000001</v>
      </c>
      <c r="FD13" s="185"/>
      <c r="FE13" s="194"/>
      <c r="FF13" s="185"/>
      <c r="FG13" s="185"/>
      <c r="FH13" s="185"/>
      <c r="FI13" s="185"/>
      <c r="FJ13" s="185"/>
      <c r="FK13" s="185"/>
      <c r="FL13" s="185"/>
      <c r="FM13" s="185"/>
      <c r="FN13" s="185"/>
      <c r="FO13" s="185"/>
      <c r="FP13" s="185"/>
      <c r="FQ13" s="185"/>
      <c r="FR13" s="194"/>
    </row>
    <row r="14" spans="1:174" s="4" customFormat="1" x14ac:dyDescent="0.25">
      <c r="E14" s="2" t="s">
        <v>157</v>
      </c>
      <c r="F14" s="184">
        <v>0.89910000000000001</v>
      </c>
      <c r="G14" s="185">
        <v>0.62673999999999996</v>
      </c>
      <c r="H14" s="185">
        <v>0.76578999999999997</v>
      </c>
      <c r="I14" s="185">
        <v>0.87856000000000001</v>
      </c>
      <c r="J14" s="185">
        <v>0.94211999999999996</v>
      </c>
      <c r="K14" s="185">
        <v>1.0749200000000001</v>
      </c>
      <c r="L14" s="185">
        <v>1.18207</v>
      </c>
      <c r="M14" s="185">
        <v>1.20567</v>
      </c>
      <c r="N14" s="185">
        <v>1.1314500000000001</v>
      </c>
      <c r="O14" s="185"/>
      <c r="P14" s="185">
        <v>1.1274900000000001</v>
      </c>
      <c r="Q14" s="185"/>
      <c r="R14" s="194"/>
      <c r="S14" s="185">
        <v>11.85693</v>
      </c>
      <c r="T14" s="185">
        <v>11.126849999999999</v>
      </c>
      <c r="U14" s="185">
        <v>12.32978</v>
      </c>
      <c r="V14" s="185">
        <v>13.89321</v>
      </c>
      <c r="W14" s="185">
        <v>14.272779999999999</v>
      </c>
      <c r="X14" s="185">
        <v>14.29959</v>
      </c>
      <c r="Y14" s="185">
        <v>14.22499</v>
      </c>
      <c r="Z14" s="185">
        <v>14.37298</v>
      </c>
      <c r="AA14" s="185">
        <v>15.307550000000001</v>
      </c>
      <c r="AB14" s="185"/>
      <c r="AC14" s="185">
        <v>15.07602</v>
      </c>
      <c r="AD14" s="185"/>
      <c r="AE14" s="194"/>
      <c r="AF14" s="185">
        <v>1.2004999999999999</v>
      </c>
      <c r="AG14" s="185">
        <v>1.19126</v>
      </c>
      <c r="AH14" s="185">
        <v>1.38392</v>
      </c>
      <c r="AI14" s="185">
        <v>1.40272</v>
      </c>
      <c r="AJ14" s="185">
        <v>1.3741399999999999</v>
      </c>
      <c r="AK14" s="185">
        <v>1.60395</v>
      </c>
      <c r="AL14" s="185">
        <v>1.73553</v>
      </c>
      <c r="AM14" s="185">
        <v>1.8180799999999999</v>
      </c>
      <c r="AN14" s="185">
        <v>1.8176699999999999</v>
      </c>
      <c r="AO14" s="185"/>
      <c r="AP14" s="185">
        <v>2.4434399999999998</v>
      </c>
      <c r="AQ14" s="185"/>
      <c r="AR14" s="194"/>
      <c r="AS14" s="185">
        <v>0</v>
      </c>
      <c r="AT14" s="185">
        <v>0</v>
      </c>
      <c r="AU14" s="185">
        <v>0</v>
      </c>
      <c r="AV14" s="185">
        <v>0</v>
      </c>
      <c r="AW14" s="185">
        <v>0</v>
      </c>
      <c r="AX14" s="185">
        <v>0</v>
      </c>
      <c r="AY14" s="185">
        <v>0</v>
      </c>
      <c r="AZ14" s="185">
        <v>0</v>
      </c>
      <c r="BA14" s="185">
        <v>0</v>
      </c>
      <c r="BB14" s="185"/>
      <c r="BC14" s="185">
        <v>0</v>
      </c>
      <c r="BD14" s="185"/>
      <c r="BE14" s="194"/>
      <c r="BF14" s="185">
        <v>1.3820000000000001E-2</v>
      </c>
      <c r="BG14" s="185">
        <v>1.4239999999999999E-2</v>
      </c>
      <c r="BH14" s="185">
        <v>0</v>
      </c>
      <c r="BI14" s="185">
        <v>0</v>
      </c>
      <c r="BJ14" s="185">
        <v>0</v>
      </c>
      <c r="BK14" s="185">
        <v>0</v>
      </c>
      <c r="BL14" s="185">
        <v>0</v>
      </c>
      <c r="BM14" s="185">
        <v>0</v>
      </c>
      <c r="BN14" s="185">
        <v>0</v>
      </c>
      <c r="BO14" s="185"/>
      <c r="BP14" s="185">
        <v>0</v>
      </c>
      <c r="BQ14" s="185"/>
      <c r="BR14" s="194"/>
      <c r="BS14" s="185">
        <v>0</v>
      </c>
      <c r="BT14" s="185">
        <v>1.39622</v>
      </c>
      <c r="BU14" s="185">
        <v>9.8390000000000005E-2</v>
      </c>
      <c r="BV14" s="185">
        <v>0</v>
      </c>
      <c r="BW14" s="185">
        <v>-0.18795999999999999</v>
      </c>
      <c r="BX14" s="185">
        <v>-6.8900000000000003E-3</v>
      </c>
      <c r="BY14" s="185">
        <v>0</v>
      </c>
      <c r="BZ14" s="185">
        <v>0</v>
      </c>
      <c r="CA14" s="185">
        <v>0</v>
      </c>
      <c r="CB14" s="185"/>
      <c r="CC14" s="185">
        <v>0</v>
      </c>
      <c r="CD14" s="185"/>
      <c r="CE14" s="194"/>
      <c r="CF14" s="185">
        <v>13.071249999999999</v>
      </c>
      <c r="CG14" s="185">
        <v>12.33234</v>
      </c>
      <c r="CH14" s="185">
        <v>13.713699999999999</v>
      </c>
      <c r="CI14" s="185">
        <v>15.29593</v>
      </c>
      <c r="CJ14" s="185">
        <v>15.64692</v>
      </c>
      <c r="CK14" s="185">
        <v>15.90354</v>
      </c>
      <c r="CL14" s="185">
        <v>15.96053</v>
      </c>
      <c r="CM14" s="185">
        <v>16.191050000000001</v>
      </c>
      <c r="CN14" s="185">
        <v>17.125229999999998</v>
      </c>
      <c r="CO14" s="185"/>
      <c r="CP14" s="185">
        <v>17.519459999999999</v>
      </c>
      <c r="CQ14" s="185"/>
      <c r="CR14" s="194"/>
      <c r="CS14" s="185">
        <v>12.17215</v>
      </c>
      <c r="CT14" s="185">
        <v>13.10182</v>
      </c>
      <c r="CU14" s="185">
        <v>13.046290000000001</v>
      </c>
      <c r="CV14" s="185">
        <v>14.41737</v>
      </c>
      <c r="CW14" s="185">
        <v>14.51684</v>
      </c>
      <c r="CX14" s="185">
        <v>14.821730000000001</v>
      </c>
      <c r="CY14" s="185">
        <v>14.778460000000001</v>
      </c>
      <c r="CZ14" s="185">
        <v>14.985390000000001</v>
      </c>
      <c r="DA14" s="185">
        <v>15.993779999999999</v>
      </c>
      <c r="DB14" s="185"/>
      <c r="DC14" s="185">
        <v>16.391970000000001</v>
      </c>
      <c r="DD14" s="185"/>
      <c r="DE14" s="194"/>
      <c r="DF14" s="187">
        <v>9.1800000000000007E-2</v>
      </c>
      <c r="DG14" s="187">
        <v>9.6600000000000005E-2</v>
      </c>
      <c r="DH14" s="187">
        <v>0.1009</v>
      </c>
      <c r="DI14" s="187">
        <v>9.1700000000000004E-2</v>
      </c>
      <c r="DJ14" s="187">
        <v>8.7800000000000003E-2</v>
      </c>
      <c r="DK14" s="187">
        <v>0.1009</v>
      </c>
      <c r="DL14" s="187">
        <v>0.1087</v>
      </c>
      <c r="DM14" s="187">
        <v>0.1123</v>
      </c>
      <c r="DN14" s="187">
        <v>0.1061</v>
      </c>
      <c r="DO14" s="187"/>
      <c r="DP14" s="187">
        <v>0.13950000000000001</v>
      </c>
      <c r="DQ14" s="187"/>
      <c r="DR14" s="195"/>
      <c r="DS14" s="185">
        <v>0</v>
      </c>
      <c r="DT14" s="185">
        <v>0</v>
      </c>
      <c r="DU14" s="185">
        <v>0</v>
      </c>
      <c r="DV14" s="185">
        <v>0</v>
      </c>
      <c r="DW14" s="185">
        <v>0</v>
      </c>
      <c r="DX14" s="185">
        <v>0</v>
      </c>
      <c r="DY14" s="185">
        <v>0</v>
      </c>
      <c r="DZ14" s="185">
        <v>0</v>
      </c>
      <c r="EA14" s="185">
        <v>0</v>
      </c>
      <c r="EB14" s="185"/>
      <c r="EC14" s="185">
        <v>0</v>
      </c>
      <c r="ED14" s="185"/>
      <c r="EE14" s="194"/>
      <c r="EF14" s="185">
        <v>0</v>
      </c>
      <c r="EG14" s="185">
        <v>0</v>
      </c>
      <c r="EH14" s="185">
        <v>0</v>
      </c>
      <c r="EI14" s="185">
        <v>0</v>
      </c>
      <c r="EJ14" s="185">
        <v>0</v>
      </c>
      <c r="EK14" s="185">
        <v>0</v>
      </c>
      <c r="EL14" s="185">
        <v>0</v>
      </c>
      <c r="EM14" s="185">
        <v>0</v>
      </c>
      <c r="EN14" s="185">
        <v>0</v>
      </c>
      <c r="EO14" s="185"/>
      <c r="EP14" s="185">
        <v>0</v>
      </c>
      <c r="EQ14" s="185"/>
      <c r="ER14" s="194"/>
      <c r="ES14" s="185">
        <v>97751</v>
      </c>
      <c r="ET14" s="185">
        <v>90480</v>
      </c>
      <c r="EU14" s="185">
        <v>96098</v>
      </c>
      <c r="EV14" s="185">
        <v>99653</v>
      </c>
      <c r="EW14" s="185">
        <v>106352</v>
      </c>
      <c r="EX14" s="185">
        <v>104296</v>
      </c>
      <c r="EY14" s="185">
        <v>104360</v>
      </c>
      <c r="EZ14" s="185">
        <v>100046.73987</v>
      </c>
      <c r="FA14" s="185">
        <v>105889.40442000001</v>
      </c>
      <c r="FB14" s="185"/>
      <c r="FC14" s="185">
        <v>102598.37188999999</v>
      </c>
      <c r="FD14" s="185"/>
      <c r="FE14" s="194"/>
      <c r="FF14" s="185"/>
      <c r="FG14" s="185"/>
      <c r="FH14" s="185"/>
      <c r="FI14" s="185"/>
      <c r="FJ14" s="185"/>
      <c r="FK14" s="185"/>
      <c r="FL14" s="185"/>
      <c r="FM14" s="185"/>
      <c r="FN14" s="185"/>
      <c r="FO14" s="185"/>
      <c r="FP14" s="185"/>
      <c r="FQ14" s="185"/>
      <c r="FR14" s="194"/>
    </row>
    <row r="15" spans="1:174" s="4" customFormat="1" x14ac:dyDescent="0.25">
      <c r="E15" s="2" t="s">
        <v>158</v>
      </c>
      <c r="F15" s="184">
        <v>0.26795000000000002</v>
      </c>
      <c r="G15" s="185">
        <v>0.20175999999999999</v>
      </c>
      <c r="H15" s="185">
        <v>0.24987999999999999</v>
      </c>
      <c r="I15" s="185">
        <v>0.28993000000000002</v>
      </c>
      <c r="J15" s="185">
        <v>0.31023000000000001</v>
      </c>
      <c r="K15" s="185">
        <v>0.37819000000000003</v>
      </c>
      <c r="L15" s="185">
        <v>0.43286999999999998</v>
      </c>
      <c r="M15" s="185">
        <v>0.42979000000000001</v>
      </c>
      <c r="N15" s="185">
        <v>0.43611</v>
      </c>
      <c r="O15" s="185"/>
      <c r="P15" s="185">
        <v>0.42826999999999998</v>
      </c>
      <c r="Q15" s="185"/>
      <c r="R15" s="194"/>
      <c r="S15" s="185">
        <v>1.7170099999999999</v>
      </c>
      <c r="T15" s="185">
        <v>1.1420300000000001</v>
      </c>
      <c r="U15" s="185">
        <v>1.24414</v>
      </c>
      <c r="V15" s="185">
        <v>1.63083</v>
      </c>
      <c r="W15" s="185">
        <v>1.75474</v>
      </c>
      <c r="X15" s="185">
        <v>2.6392000000000002</v>
      </c>
      <c r="Y15" s="185">
        <v>1.5912200000000001</v>
      </c>
      <c r="Z15" s="185">
        <v>1.6594599999999999</v>
      </c>
      <c r="AA15" s="185">
        <v>1.74884</v>
      </c>
      <c r="AB15" s="185"/>
      <c r="AC15" s="185">
        <v>1.6225799999999999</v>
      </c>
      <c r="AD15" s="185"/>
      <c r="AE15" s="194"/>
      <c r="AF15" s="185">
        <v>0.19647000000000001</v>
      </c>
      <c r="AG15" s="185">
        <v>0.19797999999999999</v>
      </c>
      <c r="AH15" s="185">
        <v>0.23169000000000001</v>
      </c>
      <c r="AI15" s="185">
        <v>0.24499000000000001</v>
      </c>
      <c r="AJ15" s="185">
        <v>0.24856</v>
      </c>
      <c r="AK15" s="185">
        <v>0.43120000000000003</v>
      </c>
      <c r="AL15" s="185">
        <v>0.36176999999999998</v>
      </c>
      <c r="AM15" s="185">
        <v>0.37335000000000002</v>
      </c>
      <c r="AN15" s="185">
        <v>0.41985</v>
      </c>
      <c r="AO15" s="185"/>
      <c r="AP15" s="185">
        <v>0.55642000000000003</v>
      </c>
      <c r="AQ15" s="185"/>
      <c r="AR15" s="194"/>
      <c r="AS15" s="185">
        <v>0</v>
      </c>
      <c r="AT15" s="185">
        <v>0</v>
      </c>
      <c r="AU15" s="185">
        <v>0</v>
      </c>
      <c r="AV15" s="185">
        <v>0</v>
      </c>
      <c r="AW15" s="185">
        <v>0</v>
      </c>
      <c r="AX15" s="185">
        <v>0</v>
      </c>
      <c r="AY15" s="185">
        <v>0</v>
      </c>
      <c r="AZ15" s="185">
        <v>0</v>
      </c>
      <c r="BA15" s="185">
        <v>0</v>
      </c>
      <c r="BB15" s="185"/>
      <c r="BC15" s="185">
        <v>0</v>
      </c>
      <c r="BD15" s="185"/>
      <c r="BE15" s="194"/>
      <c r="BF15" s="185">
        <v>2.1700000000000001E-3</v>
      </c>
      <c r="BG15" s="185">
        <v>2.2499999999999998E-3</v>
      </c>
      <c r="BH15" s="185">
        <v>0</v>
      </c>
      <c r="BI15" s="185">
        <v>0</v>
      </c>
      <c r="BJ15" s="185">
        <v>0</v>
      </c>
      <c r="BK15" s="185">
        <v>0</v>
      </c>
      <c r="BL15" s="185">
        <v>0</v>
      </c>
      <c r="BM15" s="185">
        <v>0</v>
      </c>
      <c r="BN15" s="185">
        <v>0</v>
      </c>
      <c r="BO15" s="185"/>
      <c r="BP15" s="185">
        <v>0</v>
      </c>
      <c r="BQ15" s="185"/>
      <c r="BR15" s="194"/>
      <c r="BS15" s="185">
        <v>0</v>
      </c>
      <c r="BT15" s="185">
        <v>0.30989</v>
      </c>
      <c r="BU15" s="185">
        <v>0.1326</v>
      </c>
      <c r="BV15" s="185">
        <v>0</v>
      </c>
      <c r="BW15" s="185">
        <v>-2.3109999999999999E-2</v>
      </c>
      <c r="BX15" s="185">
        <v>-8.4999999999999995E-4</v>
      </c>
      <c r="BY15" s="185">
        <v>0</v>
      </c>
      <c r="BZ15" s="185">
        <v>0</v>
      </c>
      <c r="CA15" s="185">
        <v>0</v>
      </c>
      <c r="CB15" s="185"/>
      <c r="CC15" s="185">
        <v>0</v>
      </c>
      <c r="CD15" s="185"/>
      <c r="CE15" s="194"/>
      <c r="CF15" s="185">
        <v>1.9156599999999999</v>
      </c>
      <c r="CG15" s="185">
        <v>1.3422499999999999</v>
      </c>
      <c r="CH15" s="185">
        <v>1.4758199999999999</v>
      </c>
      <c r="CI15" s="185">
        <v>1.87582</v>
      </c>
      <c r="CJ15" s="185">
        <v>2.0032999999999999</v>
      </c>
      <c r="CK15" s="185">
        <v>3.0703999999999998</v>
      </c>
      <c r="CL15" s="185">
        <v>1.95299</v>
      </c>
      <c r="CM15" s="185">
        <v>2.03281</v>
      </c>
      <c r="CN15" s="185">
        <v>2.1686999999999999</v>
      </c>
      <c r="CO15" s="185"/>
      <c r="CP15" s="185">
        <v>2.1789999999999998</v>
      </c>
      <c r="CQ15" s="185"/>
      <c r="CR15" s="194"/>
      <c r="CS15" s="185">
        <v>1.64771</v>
      </c>
      <c r="CT15" s="185">
        <v>1.4503699999999999</v>
      </c>
      <c r="CU15" s="185">
        <v>1.3585400000000001</v>
      </c>
      <c r="CV15" s="185">
        <v>1.58588</v>
      </c>
      <c r="CW15" s="185">
        <v>1.6699600000000001</v>
      </c>
      <c r="CX15" s="185">
        <v>2.69136</v>
      </c>
      <c r="CY15" s="185">
        <v>1.5201199999999999</v>
      </c>
      <c r="CZ15" s="185">
        <v>1.60301</v>
      </c>
      <c r="DA15" s="185">
        <v>1.7325900000000001</v>
      </c>
      <c r="DB15" s="185"/>
      <c r="DC15" s="185">
        <v>1.75074</v>
      </c>
      <c r="DD15" s="185"/>
      <c r="DE15" s="194"/>
      <c r="DF15" s="187">
        <v>0.1026</v>
      </c>
      <c r="DG15" s="187">
        <v>0.14749999999999999</v>
      </c>
      <c r="DH15" s="187">
        <v>0.157</v>
      </c>
      <c r="DI15" s="187">
        <v>0.13059999999999999</v>
      </c>
      <c r="DJ15" s="187">
        <v>0.1241</v>
      </c>
      <c r="DK15" s="187">
        <v>0.1404</v>
      </c>
      <c r="DL15" s="187">
        <v>0.1852</v>
      </c>
      <c r="DM15" s="187">
        <v>0.1837</v>
      </c>
      <c r="DN15" s="187">
        <v>0.19359999999999999</v>
      </c>
      <c r="DO15" s="187"/>
      <c r="DP15" s="187">
        <v>0.25540000000000002</v>
      </c>
      <c r="DQ15" s="187"/>
      <c r="DR15" s="195"/>
      <c r="DS15" s="185">
        <v>0</v>
      </c>
      <c r="DT15" s="185">
        <v>0</v>
      </c>
      <c r="DU15" s="185">
        <v>0</v>
      </c>
      <c r="DV15" s="185">
        <v>0</v>
      </c>
      <c r="DW15" s="185">
        <v>0</v>
      </c>
      <c r="DX15" s="185">
        <v>0</v>
      </c>
      <c r="DY15" s="185">
        <v>0</v>
      </c>
      <c r="DZ15" s="185">
        <v>0</v>
      </c>
      <c r="EA15" s="185">
        <v>0</v>
      </c>
      <c r="EB15" s="185"/>
      <c r="EC15" s="185">
        <v>0</v>
      </c>
      <c r="ED15" s="185"/>
      <c r="EE15" s="194"/>
      <c r="EF15" s="185">
        <v>0</v>
      </c>
      <c r="EG15" s="185">
        <v>0</v>
      </c>
      <c r="EH15" s="185">
        <v>0</v>
      </c>
      <c r="EI15" s="185">
        <v>0</v>
      </c>
      <c r="EJ15" s="185">
        <v>0</v>
      </c>
      <c r="EK15" s="185">
        <v>0</v>
      </c>
      <c r="EL15" s="185">
        <v>0</v>
      </c>
      <c r="EM15" s="185">
        <v>0</v>
      </c>
      <c r="EN15" s="185">
        <v>0</v>
      </c>
      <c r="EO15" s="185"/>
      <c r="EP15" s="185">
        <v>0</v>
      </c>
      <c r="EQ15" s="185"/>
      <c r="ER15" s="194"/>
      <c r="ES15" s="185">
        <v>8571</v>
      </c>
      <c r="ET15" s="185">
        <v>6554</v>
      </c>
      <c r="EU15" s="185">
        <v>6743</v>
      </c>
      <c r="EV15" s="185">
        <v>7731</v>
      </c>
      <c r="EW15" s="185">
        <v>8187</v>
      </c>
      <c r="EX15" s="185">
        <v>12104</v>
      </c>
      <c r="EY15" s="185">
        <v>8243</v>
      </c>
      <c r="EZ15" s="185">
        <v>8566.7338600000003</v>
      </c>
      <c r="FA15" s="185">
        <v>8566.9412499999999</v>
      </c>
      <c r="FB15" s="185"/>
      <c r="FC15" s="185">
        <v>8581.3245399999996</v>
      </c>
      <c r="FD15" s="185"/>
      <c r="FE15" s="194"/>
      <c r="FF15" s="185"/>
      <c r="FG15" s="185"/>
      <c r="FH15" s="185"/>
      <c r="FI15" s="185"/>
      <c r="FJ15" s="185"/>
      <c r="FK15" s="185"/>
      <c r="FL15" s="185"/>
      <c r="FM15" s="185"/>
      <c r="FN15" s="185"/>
      <c r="FO15" s="185"/>
      <c r="FP15" s="185"/>
      <c r="FQ15" s="185"/>
      <c r="FR15" s="194"/>
    </row>
    <row r="16" spans="1:174" s="4" customFormat="1" x14ac:dyDescent="0.25">
      <c r="E16" s="2" t="s">
        <v>159</v>
      </c>
      <c r="F16" s="184">
        <v>1.32823</v>
      </c>
      <c r="G16" s="185">
        <v>1.05223</v>
      </c>
      <c r="H16" s="185">
        <v>1.1697599999999999</v>
      </c>
      <c r="I16" s="185">
        <v>1.37504</v>
      </c>
      <c r="J16" s="185">
        <v>1.45414</v>
      </c>
      <c r="K16" s="185">
        <v>1.7314700000000001</v>
      </c>
      <c r="L16" s="185">
        <v>2.1358999999999999</v>
      </c>
      <c r="M16" s="185">
        <v>2.0674399999999999</v>
      </c>
      <c r="N16" s="185">
        <v>2.04684</v>
      </c>
      <c r="O16" s="185"/>
      <c r="P16" s="185">
        <v>2.09415</v>
      </c>
      <c r="Q16" s="185"/>
      <c r="R16" s="194"/>
      <c r="S16" s="185">
        <v>10.130190000000001</v>
      </c>
      <c r="T16" s="185">
        <v>9.5780700000000003</v>
      </c>
      <c r="U16" s="185">
        <v>10.22622</v>
      </c>
      <c r="V16" s="185">
        <v>12.22968</v>
      </c>
      <c r="W16" s="185">
        <v>11.91635</v>
      </c>
      <c r="X16" s="185">
        <v>12.383330000000001</v>
      </c>
      <c r="Y16" s="185">
        <v>13.091799999999999</v>
      </c>
      <c r="Z16" s="185">
        <v>12.908480000000001</v>
      </c>
      <c r="AA16" s="185">
        <v>13.7889</v>
      </c>
      <c r="AB16" s="185"/>
      <c r="AC16" s="185">
        <v>14.437010000000001</v>
      </c>
      <c r="AD16" s="185"/>
      <c r="AE16" s="194"/>
      <c r="AF16" s="185">
        <v>1.1426000000000001</v>
      </c>
      <c r="AG16" s="185">
        <v>1.204</v>
      </c>
      <c r="AH16" s="185">
        <v>1.3034699999999999</v>
      </c>
      <c r="AI16" s="185">
        <v>1.45061</v>
      </c>
      <c r="AJ16" s="185">
        <v>1.41046</v>
      </c>
      <c r="AK16" s="185">
        <v>1.80142</v>
      </c>
      <c r="AL16" s="185">
        <v>2.1159300000000001</v>
      </c>
      <c r="AM16" s="185">
        <v>2.2373400000000001</v>
      </c>
      <c r="AN16" s="185">
        <v>2.3054000000000001</v>
      </c>
      <c r="AO16" s="185"/>
      <c r="AP16" s="185">
        <v>3.2106499999999998</v>
      </c>
      <c r="AQ16" s="185"/>
      <c r="AR16" s="194"/>
      <c r="AS16" s="185">
        <v>0</v>
      </c>
      <c r="AT16" s="185">
        <v>0</v>
      </c>
      <c r="AU16" s="185">
        <v>0</v>
      </c>
      <c r="AV16" s="185">
        <v>0</v>
      </c>
      <c r="AW16" s="185">
        <v>0</v>
      </c>
      <c r="AX16" s="185">
        <v>0</v>
      </c>
      <c r="AY16" s="185">
        <v>0</v>
      </c>
      <c r="AZ16" s="185">
        <v>0</v>
      </c>
      <c r="BA16" s="185">
        <v>0</v>
      </c>
      <c r="BB16" s="185"/>
      <c r="BC16" s="185">
        <v>0</v>
      </c>
      <c r="BD16" s="185"/>
      <c r="BE16" s="194"/>
      <c r="BF16" s="185">
        <v>1.272E-2</v>
      </c>
      <c r="BG16" s="185">
        <v>1.34E-2</v>
      </c>
      <c r="BH16" s="185">
        <v>0</v>
      </c>
      <c r="BI16" s="185">
        <v>0</v>
      </c>
      <c r="BJ16" s="185">
        <v>0</v>
      </c>
      <c r="BK16" s="185">
        <v>0</v>
      </c>
      <c r="BL16" s="185">
        <v>0</v>
      </c>
      <c r="BM16" s="185">
        <v>0</v>
      </c>
      <c r="BN16" s="185">
        <v>0</v>
      </c>
      <c r="BO16" s="185"/>
      <c r="BP16" s="185">
        <v>0</v>
      </c>
      <c r="BQ16" s="185"/>
      <c r="BR16" s="194"/>
      <c r="BS16" s="185">
        <v>0</v>
      </c>
      <c r="BT16" s="185">
        <v>1.6162700000000001</v>
      </c>
      <c r="BU16" s="185">
        <v>-9.8269999999999996E-2</v>
      </c>
      <c r="BV16" s="185">
        <v>0</v>
      </c>
      <c r="BW16" s="185">
        <v>-0.15692</v>
      </c>
      <c r="BX16" s="185">
        <v>-5.7499999999999999E-3</v>
      </c>
      <c r="BY16" s="185">
        <v>0</v>
      </c>
      <c r="BZ16" s="185">
        <v>0</v>
      </c>
      <c r="CA16" s="185">
        <v>0</v>
      </c>
      <c r="CB16" s="185"/>
      <c r="CC16" s="185">
        <v>0</v>
      </c>
      <c r="CD16" s="185"/>
      <c r="CE16" s="194"/>
      <c r="CF16" s="185">
        <v>11.28551</v>
      </c>
      <c r="CG16" s="185">
        <v>10.79547</v>
      </c>
      <c r="CH16" s="185">
        <v>11.52969</v>
      </c>
      <c r="CI16" s="185">
        <v>13.680289999999999</v>
      </c>
      <c r="CJ16" s="185">
        <v>13.32681</v>
      </c>
      <c r="CK16" s="185">
        <v>14.184749999999999</v>
      </c>
      <c r="CL16" s="185">
        <v>15.20773</v>
      </c>
      <c r="CM16" s="185">
        <v>15.145820000000001</v>
      </c>
      <c r="CN16" s="185">
        <v>16.094290000000001</v>
      </c>
      <c r="CO16" s="185"/>
      <c r="CP16" s="185">
        <v>17.647659999999998</v>
      </c>
      <c r="CQ16" s="185"/>
      <c r="CR16" s="194"/>
      <c r="CS16" s="185">
        <v>9.9572800000000008</v>
      </c>
      <c r="CT16" s="185">
        <v>11.35951</v>
      </c>
      <c r="CU16" s="185">
        <v>10.261659999999999</v>
      </c>
      <c r="CV16" s="185">
        <v>12.305260000000001</v>
      </c>
      <c r="CW16" s="185">
        <v>11.71575</v>
      </c>
      <c r="CX16" s="185">
        <v>12.44753</v>
      </c>
      <c r="CY16" s="185">
        <v>13.07183</v>
      </c>
      <c r="CZ16" s="185">
        <v>13.078379999999999</v>
      </c>
      <c r="DA16" s="185">
        <v>14.04745</v>
      </c>
      <c r="DB16" s="185"/>
      <c r="DC16" s="185">
        <v>15.553520000000001</v>
      </c>
      <c r="DD16" s="185"/>
      <c r="DE16" s="194"/>
      <c r="DF16" s="187">
        <v>0.1012</v>
      </c>
      <c r="DG16" s="187">
        <v>0.1115</v>
      </c>
      <c r="DH16" s="187">
        <v>0.11310000000000001</v>
      </c>
      <c r="DI16" s="187">
        <v>0.106</v>
      </c>
      <c r="DJ16" s="187">
        <v>0.10580000000000001</v>
      </c>
      <c r="DK16" s="187">
        <v>0.127</v>
      </c>
      <c r="DL16" s="187">
        <v>0.1391</v>
      </c>
      <c r="DM16" s="187">
        <v>0.1477</v>
      </c>
      <c r="DN16" s="187">
        <v>0.14319999999999999</v>
      </c>
      <c r="DO16" s="187"/>
      <c r="DP16" s="187">
        <v>0.18190000000000001</v>
      </c>
      <c r="DQ16" s="187"/>
      <c r="DR16" s="195"/>
      <c r="DS16" s="185">
        <v>0</v>
      </c>
      <c r="DT16" s="185">
        <v>0</v>
      </c>
      <c r="DU16" s="185">
        <v>0</v>
      </c>
      <c r="DV16" s="185">
        <v>0</v>
      </c>
      <c r="DW16" s="185">
        <v>0</v>
      </c>
      <c r="DX16" s="185">
        <v>0</v>
      </c>
      <c r="DY16" s="185">
        <v>0</v>
      </c>
      <c r="DZ16" s="185">
        <v>0</v>
      </c>
      <c r="EA16" s="185">
        <v>0</v>
      </c>
      <c r="EB16" s="185"/>
      <c r="EC16" s="185">
        <v>0</v>
      </c>
      <c r="ED16" s="185"/>
      <c r="EE16" s="194"/>
      <c r="EF16" s="185">
        <v>0</v>
      </c>
      <c r="EG16" s="185">
        <v>0</v>
      </c>
      <c r="EH16" s="185">
        <v>0</v>
      </c>
      <c r="EI16" s="185">
        <v>0</v>
      </c>
      <c r="EJ16" s="185">
        <v>0</v>
      </c>
      <c r="EK16" s="185">
        <v>0</v>
      </c>
      <c r="EL16" s="185">
        <v>0</v>
      </c>
      <c r="EM16" s="185">
        <v>0</v>
      </c>
      <c r="EN16" s="185">
        <v>0</v>
      </c>
      <c r="EO16" s="185"/>
      <c r="EP16" s="185">
        <v>0</v>
      </c>
      <c r="EQ16" s="185"/>
      <c r="ER16" s="194"/>
      <c r="ES16" s="185">
        <v>55208</v>
      </c>
      <c r="ET16" s="185">
        <v>50151</v>
      </c>
      <c r="EU16" s="185">
        <v>52530</v>
      </c>
      <c r="EV16" s="185">
        <v>54959</v>
      </c>
      <c r="EW16" s="185">
        <v>55471</v>
      </c>
      <c r="EX16" s="185">
        <v>60537</v>
      </c>
      <c r="EY16" s="185">
        <v>63582</v>
      </c>
      <c r="EZ16" s="185">
        <v>65375.395490000003</v>
      </c>
      <c r="FA16" s="185">
        <v>63996.635029999998</v>
      </c>
      <c r="FB16" s="185"/>
      <c r="FC16" s="185">
        <v>66038.424650000001</v>
      </c>
      <c r="FD16" s="185"/>
      <c r="FE16" s="194"/>
      <c r="FF16" s="185"/>
      <c r="FG16" s="185"/>
      <c r="FH16" s="185"/>
      <c r="FI16" s="185"/>
      <c r="FJ16" s="185"/>
      <c r="FK16" s="185"/>
      <c r="FL16" s="185"/>
      <c r="FM16" s="185"/>
      <c r="FN16" s="185"/>
      <c r="FO16" s="185"/>
      <c r="FP16" s="185"/>
      <c r="FQ16" s="185"/>
      <c r="FR16" s="194"/>
    </row>
    <row r="17" spans="5:174" s="4" customFormat="1" x14ac:dyDescent="0.25">
      <c r="E17" s="2" t="s">
        <v>160</v>
      </c>
      <c r="F17" s="184">
        <v>1.3996200000000001</v>
      </c>
      <c r="G17" s="185">
        <v>1.0419499999999999</v>
      </c>
      <c r="H17" s="185">
        <v>1.28308</v>
      </c>
      <c r="I17" s="185">
        <v>1.5445599999999999</v>
      </c>
      <c r="J17" s="185">
        <v>1.65862</v>
      </c>
      <c r="K17" s="185">
        <v>1.80501</v>
      </c>
      <c r="L17" s="185">
        <v>1.97783</v>
      </c>
      <c r="M17" s="185">
        <v>1.9139299999999999</v>
      </c>
      <c r="N17" s="185">
        <v>1.8579300000000001</v>
      </c>
      <c r="O17" s="185"/>
      <c r="P17" s="185">
        <v>1.8573999999999999</v>
      </c>
      <c r="Q17" s="185"/>
      <c r="R17" s="194"/>
      <c r="S17" s="185">
        <v>14.30344</v>
      </c>
      <c r="T17" s="185">
        <v>12.940989999999999</v>
      </c>
      <c r="U17" s="185">
        <v>13.613239999999999</v>
      </c>
      <c r="V17" s="185">
        <v>17.09177</v>
      </c>
      <c r="W17" s="185">
        <v>17.857970000000002</v>
      </c>
      <c r="X17" s="185">
        <v>18.276720000000001</v>
      </c>
      <c r="Y17" s="185">
        <v>17.85858</v>
      </c>
      <c r="Z17" s="185">
        <v>16.840789999999998</v>
      </c>
      <c r="AA17" s="185">
        <v>17.342590000000001</v>
      </c>
      <c r="AB17" s="185"/>
      <c r="AC17" s="185">
        <v>16.669280000000001</v>
      </c>
      <c r="AD17" s="185"/>
      <c r="AE17" s="194"/>
      <c r="AF17" s="185">
        <v>1.4976100000000001</v>
      </c>
      <c r="AG17" s="185">
        <v>1.4896499999999999</v>
      </c>
      <c r="AH17" s="185">
        <v>1.6884999999999999</v>
      </c>
      <c r="AI17" s="185">
        <v>1.9404300000000001</v>
      </c>
      <c r="AJ17" s="185">
        <v>1.87019</v>
      </c>
      <c r="AK17" s="185">
        <v>2.2326600000000001</v>
      </c>
      <c r="AL17" s="185">
        <v>2.3590599999999999</v>
      </c>
      <c r="AM17" s="185">
        <v>2.4714299999999998</v>
      </c>
      <c r="AN17" s="185">
        <v>2.5702699999999998</v>
      </c>
      <c r="AO17" s="185"/>
      <c r="AP17" s="185">
        <v>3.4693200000000002</v>
      </c>
      <c r="AQ17" s="185"/>
      <c r="AR17" s="194"/>
      <c r="AS17" s="185">
        <v>0</v>
      </c>
      <c r="AT17" s="185">
        <v>0</v>
      </c>
      <c r="AU17" s="185">
        <v>0</v>
      </c>
      <c r="AV17" s="185">
        <v>0</v>
      </c>
      <c r="AW17" s="185">
        <v>0</v>
      </c>
      <c r="AX17" s="185">
        <v>0</v>
      </c>
      <c r="AY17" s="185">
        <v>0</v>
      </c>
      <c r="AZ17" s="185">
        <v>0</v>
      </c>
      <c r="BA17" s="185">
        <v>0</v>
      </c>
      <c r="BB17" s="185"/>
      <c r="BC17" s="185">
        <v>0</v>
      </c>
      <c r="BD17" s="185"/>
      <c r="BE17" s="194"/>
      <c r="BF17" s="185">
        <v>1.745E-2</v>
      </c>
      <c r="BG17" s="185">
        <v>1.8169999999999999E-2</v>
      </c>
      <c r="BH17" s="185">
        <v>0</v>
      </c>
      <c r="BI17" s="185">
        <v>0</v>
      </c>
      <c r="BJ17" s="185">
        <v>0</v>
      </c>
      <c r="BK17" s="185">
        <v>0</v>
      </c>
      <c r="BL17" s="185">
        <v>0</v>
      </c>
      <c r="BM17" s="185">
        <v>0</v>
      </c>
      <c r="BN17" s="185">
        <v>0</v>
      </c>
      <c r="BO17" s="185"/>
      <c r="BP17" s="185">
        <v>0</v>
      </c>
      <c r="BQ17" s="185"/>
      <c r="BR17" s="194"/>
      <c r="BS17" s="185">
        <v>0</v>
      </c>
      <c r="BT17" s="185">
        <v>1.7153</v>
      </c>
      <c r="BU17" s="185">
        <v>0.22656999999999999</v>
      </c>
      <c r="BV17" s="185">
        <v>0</v>
      </c>
      <c r="BW17" s="185">
        <v>-0.23516999999999999</v>
      </c>
      <c r="BX17" s="185">
        <v>-8.6099999999999996E-3</v>
      </c>
      <c r="BY17" s="185">
        <v>0</v>
      </c>
      <c r="BZ17" s="185">
        <v>0</v>
      </c>
      <c r="CA17" s="185">
        <v>0</v>
      </c>
      <c r="CB17" s="185"/>
      <c r="CC17" s="185">
        <v>0</v>
      </c>
      <c r="CD17" s="185"/>
      <c r="CE17" s="194"/>
      <c r="CF17" s="185">
        <v>15.8185</v>
      </c>
      <c r="CG17" s="185">
        <v>14.44881</v>
      </c>
      <c r="CH17" s="185">
        <v>15.301729999999999</v>
      </c>
      <c r="CI17" s="185">
        <v>19.03219</v>
      </c>
      <c r="CJ17" s="185">
        <v>19.728159999999999</v>
      </c>
      <c r="CK17" s="185">
        <v>20.50938</v>
      </c>
      <c r="CL17" s="185">
        <v>20.217639999999999</v>
      </c>
      <c r="CM17" s="185">
        <v>19.31223</v>
      </c>
      <c r="CN17" s="185">
        <v>19.912859999999998</v>
      </c>
      <c r="CO17" s="185"/>
      <c r="CP17" s="185">
        <v>20.1386</v>
      </c>
      <c r="CQ17" s="185"/>
      <c r="CR17" s="194"/>
      <c r="CS17" s="185">
        <v>14.41888</v>
      </c>
      <c r="CT17" s="185">
        <v>15.12215</v>
      </c>
      <c r="CU17" s="185">
        <v>14.245229999999999</v>
      </c>
      <c r="CV17" s="185">
        <v>17.487629999999999</v>
      </c>
      <c r="CW17" s="185">
        <v>17.83437</v>
      </c>
      <c r="CX17" s="185">
        <v>18.69576</v>
      </c>
      <c r="CY17" s="185">
        <v>18.239809999999999</v>
      </c>
      <c r="CZ17" s="185">
        <v>17.398289999999999</v>
      </c>
      <c r="DA17" s="185">
        <v>18.054929999999999</v>
      </c>
      <c r="DB17" s="185"/>
      <c r="DC17" s="185">
        <v>18.281189999999999</v>
      </c>
      <c r="DD17" s="185"/>
      <c r="DE17" s="194"/>
      <c r="DF17" s="187">
        <v>9.4700000000000006E-2</v>
      </c>
      <c r="DG17" s="187">
        <v>0.1031</v>
      </c>
      <c r="DH17" s="187">
        <v>0.1103</v>
      </c>
      <c r="DI17" s="187">
        <v>0.10199999999999999</v>
      </c>
      <c r="DJ17" s="187">
        <v>9.4799999999999995E-2</v>
      </c>
      <c r="DK17" s="187">
        <v>0.1089</v>
      </c>
      <c r="DL17" s="187">
        <v>0.1167</v>
      </c>
      <c r="DM17" s="187">
        <v>0.128</v>
      </c>
      <c r="DN17" s="187">
        <v>0.12909999999999999</v>
      </c>
      <c r="DO17" s="187"/>
      <c r="DP17" s="187">
        <v>0.17230000000000001</v>
      </c>
      <c r="DQ17" s="187"/>
      <c r="DR17" s="195"/>
      <c r="DS17" s="185">
        <v>0</v>
      </c>
      <c r="DT17" s="185">
        <v>0</v>
      </c>
      <c r="DU17" s="185">
        <v>0</v>
      </c>
      <c r="DV17" s="185">
        <v>0</v>
      </c>
      <c r="DW17" s="185">
        <v>0</v>
      </c>
      <c r="DX17" s="185">
        <v>0</v>
      </c>
      <c r="DY17" s="185">
        <v>0</v>
      </c>
      <c r="DZ17" s="185">
        <v>0</v>
      </c>
      <c r="EA17" s="185">
        <v>0</v>
      </c>
      <c r="EB17" s="185"/>
      <c r="EC17" s="185">
        <v>0</v>
      </c>
      <c r="ED17" s="185"/>
      <c r="EE17" s="194"/>
      <c r="EF17" s="185">
        <v>0</v>
      </c>
      <c r="EG17" s="185">
        <v>0</v>
      </c>
      <c r="EH17" s="185">
        <v>0</v>
      </c>
      <c r="EI17" s="185">
        <v>0</v>
      </c>
      <c r="EJ17" s="185">
        <v>0</v>
      </c>
      <c r="EK17" s="185">
        <v>0</v>
      </c>
      <c r="EL17" s="185">
        <v>0</v>
      </c>
      <c r="EM17" s="185">
        <v>0</v>
      </c>
      <c r="EN17" s="185">
        <v>0</v>
      </c>
      <c r="EO17" s="185"/>
      <c r="EP17" s="185">
        <v>0</v>
      </c>
      <c r="EQ17" s="185"/>
      <c r="ER17" s="194"/>
      <c r="ES17" s="185">
        <v>94559</v>
      </c>
      <c r="ET17" s="185">
        <v>75669</v>
      </c>
      <c r="EU17" s="185">
        <v>82286</v>
      </c>
      <c r="EV17" s="185">
        <v>90166</v>
      </c>
      <c r="EW17" s="185">
        <v>94750</v>
      </c>
      <c r="EX17" s="185">
        <v>96798</v>
      </c>
      <c r="EY17" s="185">
        <v>98009</v>
      </c>
      <c r="EZ17" s="185">
        <v>93371.252779999995</v>
      </c>
      <c r="FA17" s="185">
        <v>102485.04244</v>
      </c>
      <c r="FB17" s="185"/>
      <c r="FC17" s="185">
        <v>103525.28496999999</v>
      </c>
      <c r="FD17" s="185"/>
      <c r="FE17" s="194"/>
      <c r="FF17" s="185"/>
      <c r="FG17" s="185"/>
      <c r="FH17" s="185"/>
      <c r="FI17" s="185"/>
      <c r="FJ17" s="185"/>
      <c r="FK17" s="185"/>
      <c r="FL17" s="185"/>
      <c r="FM17" s="185"/>
      <c r="FN17" s="185"/>
      <c r="FO17" s="185"/>
      <c r="FP17" s="185"/>
      <c r="FQ17" s="185"/>
      <c r="FR17" s="194"/>
    </row>
    <row r="18" spans="5:174" s="4" customFormat="1" x14ac:dyDescent="0.25">
      <c r="E18" s="2" t="s">
        <v>161</v>
      </c>
      <c r="F18" s="184">
        <v>0.30360999999999999</v>
      </c>
      <c r="G18" s="185">
        <v>0.29298999999999997</v>
      </c>
      <c r="H18" s="185">
        <v>0.34472999999999998</v>
      </c>
      <c r="I18" s="185">
        <v>0.38506000000000001</v>
      </c>
      <c r="J18" s="185">
        <v>0.47138000000000002</v>
      </c>
      <c r="K18" s="185">
        <v>0.54452999999999996</v>
      </c>
      <c r="L18" s="185">
        <v>0.67127000000000003</v>
      </c>
      <c r="M18" s="185">
        <v>0.65600000000000003</v>
      </c>
      <c r="N18" s="185">
        <v>0.62131999999999998</v>
      </c>
      <c r="O18" s="185"/>
      <c r="P18" s="185">
        <v>0.65007000000000004</v>
      </c>
      <c r="Q18" s="185"/>
      <c r="R18" s="194"/>
      <c r="S18" s="185">
        <v>6.9634200000000002</v>
      </c>
      <c r="T18" s="185">
        <v>6.0218800000000003</v>
      </c>
      <c r="U18" s="185">
        <v>6.7089100000000004</v>
      </c>
      <c r="V18" s="185">
        <v>7.63307</v>
      </c>
      <c r="W18" s="185">
        <v>8.0503499999999999</v>
      </c>
      <c r="X18" s="185">
        <v>8.5807699999999993</v>
      </c>
      <c r="Y18" s="185">
        <v>8.6362500000000004</v>
      </c>
      <c r="Z18" s="185">
        <v>9.3195800000000002</v>
      </c>
      <c r="AA18" s="185">
        <v>7.50406</v>
      </c>
      <c r="AB18" s="185"/>
      <c r="AC18" s="185">
        <v>7.0062100000000003</v>
      </c>
      <c r="AD18" s="185"/>
      <c r="AE18" s="194"/>
      <c r="AF18" s="185">
        <v>0.56406000000000001</v>
      </c>
      <c r="AG18" s="185">
        <v>0.64180000000000004</v>
      </c>
      <c r="AH18" s="185">
        <v>0.70891000000000004</v>
      </c>
      <c r="AI18" s="185">
        <v>0.70498000000000005</v>
      </c>
      <c r="AJ18" s="185">
        <v>0.69676000000000005</v>
      </c>
      <c r="AK18" s="185">
        <v>0.88617000000000001</v>
      </c>
      <c r="AL18" s="185">
        <v>0.96797999999999995</v>
      </c>
      <c r="AM18" s="185">
        <v>0.99511000000000005</v>
      </c>
      <c r="AN18" s="185">
        <v>1.03616</v>
      </c>
      <c r="AO18" s="185"/>
      <c r="AP18" s="185">
        <v>1.40944</v>
      </c>
      <c r="AQ18" s="185"/>
      <c r="AR18" s="194"/>
      <c r="AS18" s="185">
        <v>0</v>
      </c>
      <c r="AT18" s="185">
        <v>0</v>
      </c>
      <c r="AU18" s="185">
        <v>0</v>
      </c>
      <c r="AV18" s="185">
        <v>0</v>
      </c>
      <c r="AW18" s="185">
        <v>0</v>
      </c>
      <c r="AX18" s="185">
        <v>0</v>
      </c>
      <c r="AY18" s="185">
        <v>0</v>
      </c>
      <c r="AZ18" s="185">
        <v>0</v>
      </c>
      <c r="BA18" s="185">
        <v>0</v>
      </c>
      <c r="BB18" s="185"/>
      <c r="BC18" s="185">
        <v>0</v>
      </c>
      <c r="BD18" s="185"/>
      <c r="BE18" s="194"/>
      <c r="BF18" s="185">
        <v>7.1999999999999998E-3</v>
      </c>
      <c r="BG18" s="185">
        <v>7.92E-3</v>
      </c>
      <c r="BH18" s="185">
        <v>0</v>
      </c>
      <c r="BI18" s="185">
        <v>0</v>
      </c>
      <c r="BJ18" s="185">
        <v>0</v>
      </c>
      <c r="BK18" s="185">
        <v>0</v>
      </c>
      <c r="BL18" s="185">
        <v>0</v>
      </c>
      <c r="BM18" s="185">
        <v>0</v>
      </c>
      <c r="BN18" s="185">
        <v>0</v>
      </c>
      <c r="BO18" s="185"/>
      <c r="BP18" s="185">
        <v>0</v>
      </c>
      <c r="BQ18" s="185"/>
      <c r="BR18" s="194"/>
      <c r="BS18" s="185">
        <v>0</v>
      </c>
      <c r="BT18" s="185">
        <v>0.88049999999999995</v>
      </c>
      <c r="BU18" s="185">
        <v>6.8309999999999996E-2</v>
      </c>
      <c r="BV18" s="185">
        <v>0</v>
      </c>
      <c r="BW18" s="185">
        <v>-0.10600999999999999</v>
      </c>
      <c r="BX18" s="185">
        <v>-3.8800000000000002E-3</v>
      </c>
      <c r="BY18" s="185">
        <v>0</v>
      </c>
      <c r="BZ18" s="185">
        <v>0</v>
      </c>
      <c r="CA18" s="185">
        <v>0</v>
      </c>
      <c r="CB18" s="185"/>
      <c r="CC18" s="185">
        <v>0</v>
      </c>
      <c r="CD18" s="185"/>
      <c r="CE18" s="194"/>
      <c r="CF18" s="185">
        <v>7.5346799999999998</v>
      </c>
      <c r="CG18" s="185">
        <v>6.6715999999999998</v>
      </c>
      <c r="CH18" s="185">
        <v>7.4178199999999999</v>
      </c>
      <c r="CI18" s="185">
        <v>8.3380500000000008</v>
      </c>
      <c r="CJ18" s="185">
        <v>8.7471200000000007</v>
      </c>
      <c r="CK18" s="185">
        <v>9.4669399999999992</v>
      </c>
      <c r="CL18" s="185">
        <v>9.6042400000000008</v>
      </c>
      <c r="CM18" s="185">
        <v>10.314690000000001</v>
      </c>
      <c r="CN18" s="185">
        <v>8.5402199999999997</v>
      </c>
      <c r="CO18" s="185"/>
      <c r="CP18" s="185">
        <v>8.4156499999999994</v>
      </c>
      <c r="CQ18" s="185"/>
      <c r="CR18" s="194"/>
      <c r="CS18" s="185">
        <v>7.2310699999999999</v>
      </c>
      <c r="CT18" s="185">
        <v>7.2591099999999997</v>
      </c>
      <c r="CU18" s="185">
        <v>7.1414</v>
      </c>
      <c r="CV18" s="185">
        <v>7.9529899999999998</v>
      </c>
      <c r="CW18" s="185">
        <v>8.1697199999999999</v>
      </c>
      <c r="CX18" s="185">
        <v>8.9185300000000005</v>
      </c>
      <c r="CY18" s="185">
        <v>8.9329699999999992</v>
      </c>
      <c r="CZ18" s="185">
        <v>9.6586999999999996</v>
      </c>
      <c r="DA18" s="185">
        <v>7.9188999999999998</v>
      </c>
      <c r="DB18" s="185"/>
      <c r="DC18" s="185">
        <v>7.7655799999999999</v>
      </c>
      <c r="DD18" s="185"/>
      <c r="DE18" s="194"/>
      <c r="DF18" s="187">
        <v>7.4899999999999994E-2</v>
      </c>
      <c r="DG18" s="187">
        <v>9.6199999999999994E-2</v>
      </c>
      <c r="DH18" s="187">
        <v>9.5600000000000004E-2</v>
      </c>
      <c r="DI18" s="187">
        <v>8.4500000000000006E-2</v>
      </c>
      <c r="DJ18" s="187">
        <v>7.9699999999999993E-2</v>
      </c>
      <c r="DK18" s="187">
        <v>9.3600000000000003E-2</v>
      </c>
      <c r="DL18" s="187">
        <v>0.1008</v>
      </c>
      <c r="DM18" s="187">
        <v>9.6500000000000002E-2</v>
      </c>
      <c r="DN18" s="187">
        <v>0.12130000000000001</v>
      </c>
      <c r="DO18" s="187"/>
      <c r="DP18" s="187">
        <v>0.16750000000000001</v>
      </c>
      <c r="DQ18" s="187"/>
      <c r="DR18" s="195"/>
      <c r="DS18" s="185">
        <v>0</v>
      </c>
      <c r="DT18" s="185">
        <v>0</v>
      </c>
      <c r="DU18" s="185">
        <v>0</v>
      </c>
      <c r="DV18" s="185">
        <v>0</v>
      </c>
      <c r="DW18" s="185">
        <v>0</v>
      </c>
      <c r="DX18" s="185">
        <v>0</v>
      </c>
      <c r="DY18" s="185">
        <v>0</v>
      </c>
      <c r="DZ18" s="185">
        <v>0</v>
      </c>
      <c r="EA18" s="185">
        <v>0</v>
      </c>
      <c r="EB18" s="185"/>
      <c r="EC18" s="185">
        <v>0</v>
      </c>
      <c r="ED18" s="185"/>
      <c r="EE18" s="194"/>
      <c r="EF18" s="185">
        <v>0</v>
      </c>
      <c r="EG18" s="185">
        <v>0</v>
      </c>
      <c r="EH18" s="185">
        <v>0</v>
      </c>
      <c r="EI18" s="185">
        <v>0</v>
      </c>
      <c r="EJ18" s="185">
        <v>0</v>
      </c>
      <c r="EK18" s="185">
        <v>0</v>
      </c>
      <c r="EL18" s="185">
        <v>0</v>
      </c>
      <c r="EM18" s="185">
        <v>0</v>
      </c>
      <c r="EN18" s="185">
        <v>0</v>
      </c>
      <c r="EO18" s="185"/>
      <c r="EP18" s="185">
        <v>0</v>
      </c>
      <c r="EQ18" s="185"/>
      <c r="ER18" s="194"/>
      <c r="ES18" s="185">
        <v>58114</v>
      </c>
      <c r="ET18" s="185">
        <v>54934</v>
      </c>
      <c r="EU18" s="185">
        <v>57007</v>
      </c>
      <c r="EV18" s="185">
        <v>59238</v>
      </c>
      <c r="EW18" s="185">
        <v>60472</v>
      </c>
      <c r="EX18" s="185">
        <v>60190</v>
      </c>
      <c r="EY18" s="185">
        <v>56593</v>
      </c>
      <c r="EZ18" s="185">
        <v>57072.818039999998</v>
      </c>
      <c r="FA18" s="185">
        <v>54007.398450000001</v>
      </c>
      <c r="FB18" s="185"/>
      <c r="FC18" s="185">
        <v>53960.917359999999</v>
      </c>
      <c r="FD18" s="185"/>
      <c r="FE18" s="194"/>
      <c r="FF18" s="185"/>
      <c r="FG18" s="185"/>
      <c r="FH18" s="185"/>
      <c r="FI18" s="185"/>
      <c r="FJ18" s="185"/>
      <c r="FK18" s="185"/>
      <c r="FL18" s="185"/>
      <c r="FM18" s="185"/>
      <c r="FN18" s="185"/>
      <c r="FO18" s="185"/>
      <c r="FP18" s="185"/>
      <c r="FQ18" s="185"/>
      <c r="FR18" s="194"/>
    </row>
    <row r="19" spans="5:174" s="4" customFormat="1" x14ac:dyDescent="0.25">
      <c r="E19" s="2" t="s">
        <v>162</v>
      </c>
      <c r="F19" s="184">
        <v>0.55374000000000001</v>
      </c>
      <c r="G19" s="185">
        <v>0.46625</v>
      </c>
      <c r="H19" s="185">
        <v>0.50905</v>
      </c>
      <c r="I19" s="185">
        <v>0.59508000000000005</v>
      </c>
      <c r="J19" s="185">
        <v>0.63614000000000004</v>
      </c>
      <c r="K19" s="185">
        <v>0.67410000000000003</v>
      </c>
      <c r="L19" s="185">
        <v>0.78100000000000003</v>
      </c>
      <c r="M19" s="185">
        <v>0.78051000000000004</v>
      </c>
      <c r="N19" s="185">
        <v>0.75512000000000001</v>
      </c>
      <c r="O19" s="185"/>
      <c r="P19" s="185">
        <v>0.76114999999999999</v>
      </c>
      <c r="Q19" s="185"/>
      <c r="R19" s="194"/>
      <c r="S19" s="185">
        <v>5.8174599999999996</v>
      </c>
      <c r="T19" s="185">
        <v>5.2661499999999997</v>
      </c>
      <c r="U19" s="185">
        <v>5.4367299999999998</v>
      </c>
      <c r="V19" s="185">
        <v>6.6953399999999998</v>
      </c>
      <c r="W19" s="185">
        <v>7.2371800000000004</v>
      </c>
      <c r="X19" s="185">
        <v>6.61029</v>
      </c>
      <c r="Y19" s="185">
        <v>6.1565200000000004</v>
      </c>
      <c r="Z19" s="185">
        <v>11.27712</v>
      </c>
      <c r="AA19" s="185">
        <v>10.082890000000001</v>
      </c>
      <c r="AB19" s="185"/>
      <c r="AC19" s="185">
        <v>8.7999600000000004</v>
      </c>
      <c r="AD19" s="185"/>
      <c r="AE19" s="194"/>
      <c r="AF19" s="185">
        <v>0.47748000000000002</v>
      </c>
      <c r="AG19" s="185">
        <v>0.53759999999999997</v>
      </c>
      <c r="AH19" s="185">
        <v>0.56705000000000005</v>
      </c>
      <c r="AI19" s="185">
        <v>0.66976000000000002</v>
      </c>
      <c r="AJ19" s="185">
        <v>0.63539999999999996</v>
      </c>
      <c r="AK19" s="185">
        <v>0.70891999999999999</v>
      </c>
      <c r="AL19" s="185">
        <v>0.74972000000000005</v>
      </c>
      <c r="AM19" s="185">
        <v>1.11087</v>
      </c>
      <c r="AN19" s="185">
        <v>1.1653899999999999</v>
      </c>
      <c r="AO19" s="185"/>
      <c r="AP19" s="185">
        <v>1.5882400000000001</v>
      </c>
      <c r="AQ19" s="185"/>
      <c r="AR19" s="194"/>
      <c r="AS19" s="185">
        <v>0</v>
      </c>
      <c r="AT19" s="185">
        <v>0</v>
      </c>
      <c r="AU19" s="185">
        <v>0</v>
      </c>
      <c r="AV19" s="185">
        <v>0</v>
      </c>
      <c r="AW19" s="185">
        <v>0</v>
      </c>
      <c r="AX19" s="185">
        <v>0</v>
      </c>
      <c r="AY19" s="185">
        <v>0</v>
      </c>
      <c r="AZ19" s="185">
        <v>0</v>
      </c>
      <c r="BA19" s="185">
        <v>0</v>
      </c>
      <c r="BB19" s="185"/>
      <c r="BC19" s="185">
        <v>0</v>
      </c>
      <c r="BD19" s="185"/>
      <c r="BE19" s="194"/>
      <c r="BF19" s="185">
        <v>4.96E-3</v>
      </c>
      <c r="BG19" s="185">
        <v>5.7499999999999999E-3</v>
      </c>
      <c r="BH19" s="185">
        <v>0</v>
      </c>
      <c r="BI19" s="185">
        <v>0</v>
      </c>
      <c r="BJ19" s="185">
        <v>0</v>
      </c>
      <c r="BK19" s="185">
        <v>0</v>
      </c>
      <c r="BL19" s="185">
        <v>0</v>
      </c>
      <c r="BM19" s="185">
        <v>0</v>
      </c>
      <c r="BN19" s="185">
        <v>0</v>
      </c>
      <c r="BO19" s="185"/>
      <c r="BP19" s="185">
        <v>0</v>
      </c>
      <c r="BQ19" s="185"/>
      <c r="BR19" s="194"/>
      <c r="BS19" s="185">
        <v>0</v>
      </c>
      <c r="BT19" s="185">
        <v>0.60104000000000002</v>
      </c>
      <c r="BU19" s="185">
        <v>0.26243</v>
      </c>
      <c r="BV19" s="185">
        <v>0</v>
      </c>
      <c r="BW19" s="185">
        <v>-9.5310000000000006E-2</v>
      </c>
      <c r="BX19" s="185">
        <v>-3.49E-3</v>
      </c>
      <c r="BY19" s="185">
        <v>0</v>
      </c>
      <c r="BZ19" s="185">
        <v>0</v>
      </c>
      <c r="CA19" s="185">
        <v>0</v>
      </c>
      <c r="CB19" s="185"/>
      <c r="CC19" s="185">
        <v>0</v>
      </c>
      <c r="CD19" s="185"/>
      <c r="CE19" s="194"/>
      <c r="CF19" s="185">
        <v>6.2999000000000001</v>
      </c>
      <c r="CG19" s="185">
        <v>5.8094999999999999</v>
      </c>
      <c r="CH19" s="185">
        <v>6.0037799999999999</v>
      </c>
      <c r="CI19" s="185">
        <v>7.3651</v>
      </c>
      <c r="CJ19" s="185">
        <v>7.8725800000000001</v>
      </c>
      <c r="CK19" s="185">
        <v>7.31921</v>
      </c>
      <c r="CL19" s="185">
        <v>6.9062299999999999</v>
      </c>
      <c r="CM19" s="185">
        <v>12.38799</v>
      </c>
      <c r="CN19" s="185">
        <v>11.248279999999999</v>
      </c>
      <c r="CO19" s="185"/>
      <c r="CP19" s="185">
        <v>10.388199999999999</v>
      </c>
      <c r="CQ19" s="185"/>
      <c r="CR19" s="194"/>
      <c r="CS19" s="185">
        <v>5.7461599999999997</v>
      </c>
      <c r="CT19" s="185">
        <v>5.9442899999999996</v>
      </c>
      <c r="CU19" s="185">
        <v>5.7571599999999998</v>
      </c>
      <c r="CV19" s="185">
        <v>6.7700199999999997</v>
      </c>
      <c r="CW19" s="185">
        <v>7.1411300000000004</v>
      </c>
      <c r="CX19" s="185">
        <v>6.64161</v>
      </c>
      <c r="CY19" s="185">
        <v>6.1252300000000002</v>
      </c>
      <c r="CZ19" s="185">
        <v>11.607480000000001</v>
      </c>
      <c r="DA19" s="185">
        <v>10.49316</v>
      </c>
      <c r="DB19" s="185"/>
      <c r="DC19" s="185">
        <v>9.6270500000000006</v>
      </c>
      <c r="DD19" s="185"/>
      <c r="DE19" s="194"/>
      <c r="DF19" s="187">
        <v>7.5800000000000006E-2</v>
      </c>
      <c r="DG19" s="187">
        <v>9.2499999999999999E-2</v>
      </c>
      <c r="DH19" s="187">
        <v>9.4399999999999998E-2</v>
      </c>
      <c r="DI19" s="187">
        <v>9.0899999999999995E-2</v>
      </c>
      <c r="DJ19" s="187">
        <v>8.0699999999999994E-2</v>
      </c>
      <c r="DK19" s="187">
        <v>9.69E-2</v>
      </c>
      <c r="DL19" s="187">
        <v>0.1086</v>
      </c>
      <c r="DM19" s="187">
        <v>8.9700000000000002E-2</v>
      </c>
      <c r="DN19" s="187">
        <v>0.1036</v>
      </c>
      <c r="DO19" s="187"/>
      <c r="DP19" s="187">
        <v>0.15290000000000001</v>
      </c>
      <c r="DQ19" s="187"/>
      <c r="DR19" s="195"/>
      <c r="DS19" s="185">
        <v>0</v>
      </c>
      <c r="DT19" s="185">
        <v>0</v>
      </c>
      <c r="DU19" s="185">
        <v>0</v>
      </c>
      <c r="DV19" s="185">
        <v>0</v>
      </c>
      <c r="DW19" s="185">
        <v>0</v>
      </c>
      <c r="DX19" s="185">
        <v>0</v>
      </c>
      <c r="DY19" s="185">
        <v>0</v>
      </c>
      <c r="DZ19" s="185">
        <v>0</v>
      </c>
      <c r="EA19" s="185">
        <v>0</v>
      </c>
      <c r="EB19" s="185"/>
      <c r="EC19" s="185">
        <v>0</v>
      </c>
      <c r="ED19" s="185"/>
      <c r="EE19" s="194"/>
      <c r="EF19" s="185">
        <v>0</v>
      </c>
      <c r="EG19" s="185">
        <v>0</v>
      </c>
      <c r="EH19" s="185">
        <v>0</v>
      </c>
      <c r="EI19" s="185">
        <v>0</v>
      </c>
      <c r="EJ19" s="185">
        <v>0</v>
      </c>
      <c r="EK19" s="185">
        <v>0</v>
      </c>
      <c r="EL19" s="185">
        <v>0</v>
      </c>
      <c r="EM19" s="185">
        <v>0</v>
      </c>
      <c r="EN19" s="185">
        <v>0</v>
      </c>
      <c r="EO19" s="185"/>
      <c r="EP19" s="185">
        <v>0</v>
      </c>
      <c r="EQ19" s="185"/>
      <c r="ER19" s="194"/>
      <c r="ES19" s="185">
        <v>37043</v>
      </c>
      <c r="ET19" s="185">
        <v>33157</v>
      </c>
      <c r="EU19" s="185">
        <v>31511</v>
      </c>
      <c r="EV19" s="185">
        <v>35149</v>
      </c>
      <c r="EW19" s="185">
        <v>37335</v>
      </c>
      <c r="EX19" s="185">
        <v>34511</v>
      </c>
      <c r="EY19" s="185">
        <v>33174</v>
      </c>
      <c r="EZ19" s="185">
        <v>57516.531110000004</v>
      </c>
      <c r="FA19" s="185">
        <v>67351.408030000006</v>
      </c>
      <c r="FB19" s="185"/>
      <c r="FC19" s="185">
        <v>67725.028290000002</v>
      </c>
      <c r="FD19" s="185"/>
      <c r="FE19" s="194"/>
      <c r="FF19" s="185"/>
      <c r="FG19" s="185"/>
      <c r="FH19" s="185"/>
      <c r="FI19" s="185"/>
      <c r="FJ19" s="185"/>
      <c r="FK19" s="185"/>
      <c r="FL19" s="185"/>
      <c r="FM19" s="185"/>
      <c r="FN19" s="185"/>
      <c r="FO19" s="185"/>
      <c r="FP19" s="185"/>
      <c r="FQ19" s="185"/>
      <c r="FR19" s="194"/>
    </row>
    <row r="20" spans="5:174" s="4" customFormat="1" x14ac:dyDescent="0.25">
      <c r="E20" s="2" t="s">
        <v>163</v>
      </c>
      <c r="F20" s="184">
        <v>1.0059499999999999</v>
      </c>
      <c r="G20" s="185">
        <v>0.84491000000000005</v>
      </c>
      <c r="H20" s="185">
        <v>0.94565999999999995</v>
      </c>
      <c r="I20" s="185">
        <v>1.02911</v>
      </c>
      <c r="J20" s="185">
        <v>1.09456</v>
      </c>
      <c r="K20" s="185">
        <v>1.20607</v>
      </c>
      <c r="L20" s="185">
        <v>1.3265100000000001</v>
      </c>
      <c r="M20" s="185">
        <v>1.4757800000000001</v>
      </c>
      <c r="N20" s="185">
        <v>1.24238</v>
      </c>
      <c r="O20" s="185"/>
      <c r="P20" s="185">
        <v>1.2191799999999999</v>
      </c>
      <c r="Q20" s="185"/>
      <c r="R20" s="194"/>
      <c r="S20" s="185">
        <v>13.74156</v>
      </c>
      <c r="T20" s="185">
        <v>12.305210000000001</v>
      </c>
      <c r="U20" s="185">
        <v>12.381360000000001</v>
      </c>
      <c r="V20" s="185">
        <v>13.26553</v>
      </c>
      <c r="W20" s="185">
        <v>13.737640000000001</v>
      </c>
      <c r="X20" s="185">
        <v>13.554959999999999</v>
      </c>
      <c r="Y20" s="185">
        <v>14.2804</v>
      </c>
      <c r="Z20" s="185">
        <v>13.9338</v>
      </c>
      <c r="AA20" s="185">
        <v>16.092369999999999</v>
      </c>
      <c r="AB20" s="185"/>
      <c r="AC20" s="185">
        <v>16.406310000000001</v>
      </c>
      <c r="AD20" s="185"/>
      <c r="AE20" s="194"/>
      <c r="AF20" s="185">
        <v>1.30233</v>
      </c>
      <c r="AG20" s="185">
        <v>1.3903700000000001</v>
      </c>
      <c r="AH20" s="185">
        <v>1.4866200000000001</v>
      </c>
      <c r="AI20" s="185">
        <v>1.49603</v>
      </c>
      <c r="AJ20" s="185">
        <v>1.38297</v>
      </c>
      <c r="AK20" s="185">
        <v>1.59117</v>
      </c>
      <c r="AL20" s="185">
        <v>1.6756599999999999</v>
      </c>
      <c r="AM20" s="185">
        <v>1.75485</v>
      </c>
      <c r="AN20" s="185">
        <v>1.8395900000000001</v>
      </c>
      <c r="AO20" s="185"/>
      <c r="AP20" s="185">
        <v>2.5242900000000001</v>
      </c>
      <c r="AQ20" s="185"/>
      <c r="AR20" s="194"/>
      <c r="AS20" s="185">
        <v>0</v>
      </c>
      <c r="AT20" s="185">
        <v>0</v>
      </c>
      <c r="AU20" s="185">
        <v>0</v>
      </c>
      <c r="AV20" s="185">
        <v>0</v>
      </c>
      <c r="AW20" s="185">
        <v>0</v>
      </c>
      <c r="AX20" s="185">
        <v>0</v>
      </c>
      <c r="AY20" s="185">
        <v>0</v>
      </c>
      <c r="AZ20" s="185">
        <v>0</v>
      </c>
      <c r="BA20" s="185">
        <v>0</v>
      </c>
      <c r="BB20" s="185"/>
      <c r="BC20" s="185">
        <v>0</v>
      </c>
      <c r="BD20" s="185"/>
      <c r="BE20" s="194"/>
      <c r="BF20" s="185">
        <v>1.498E-2</v>
      </c>
      <c r="BG20" s="185">
        <v>1.5900000000000001E-2</v>
      </c>
      <c r="BH20" s="185">
        <v>0</v>
      </c>
      <c r="BI20" s="185">
        <v>0</v>
      </c>
      <c r="BJ20" s="185">
        <v>0</v>
      </c>
      <c r="BK20" s="185">
        <v>0</v>
      </c>
      <c r="BL20" s="185">
        <v>0</v>
      </c>
      <c r="BM20" s="185">
        <v>0</v>
      </c>
      <c r="BN20" s="185">
        <v>0</v>
      </c>
      <c r="BO20" s="185"/>
      <c r="BP20" s="185">
        <v>0</v>
      </c>
      <c r="BQ20" s="185"/>
      <c r="BR20" s="194"/>
      <c r="BS20" s="185">
        <v>0</v>
      </c>
      <c r="BT20" s="185">
        <v>1.5609299999999999</v>
      </c>
      <c r="BU20" s="185">
        <v>0.17471</v>
      </c>
      <c r="BV20" s="185">
        <v>0</v>
      </c>
      <c r="BW20" s="185">
        <v>-0.18090999999999999</v>
      </c>
      <c r="BX20" s="185">
        <v>-6.6299999999999996E-3</v>
      </c>
      <c r="BY20" s="185">
        <v>0</v>
      </c>
      <c r="BZ20" s="185">
        <v>0</v>
      </c>
      <c r="CA20" s="185">
        <v>0</v>
      </c>
      <c r="CB20" s="185"/>
      <c r="CC20" s="185">
        <v>0</v>
      </c>
      <c r="CD20" s="185"/>
      <c r="CE20" s="194"/>
      <c r="CF20" s="185">
        <v>15.05888</v>
      </c>
      <c r="CG20" s="185">
        <v>13.71148</v>
      </c>
      <c r="CH20" s="185">
        <v>13.867979999999999</v>
      </c>
      <c r="CI20" s="185">
        <v>14.761559999999999</v>
      </c>
      <c r="CJ20" s="185">
        <v>15.1206</v>
      </c>
      <c r="CK20" s="185">
        <v>15.146140000000001</v>
      </c>
      <c r="CL20" s="185">
        <v>15.956060000000001</v>
      </c>
      <c r="CM20" s="185">
        <v>15.688639999999999</v>
      </c>
      <c r="CN20" s="185">
        <v>17.931950000000001</v>
      </c>
      <c r="CO20" s="185"/>
      <c r="CP20" s="185">
        <v>18.930599999999998</v>
      </c>
      <c r="CQ20" s="185"/>
      <c r="CR20" s="194"/>
      <c r="CS20" s="185">
        <v>14.05293</v>
      </c>
      <c r="CT20" s="185">
        <v>14.42751</v>
      </c>
      <c r="CU20" s="185">
        <v>13.09703</v>
      </c>
      <c r="CV20" s="185">
        <v>13.73244</v>
      </c>
      <c r="CW20" s="185">
        <v>13.845140000000001</v>
      </c>
      <c r="CX20" s="185">
        <v>13.933439999999999</v>
      </c>
      <c r="CY20" s="185">
        <v>14.62955</v>
      </c>
      <c r="CZ20" s="185">
        <v>14.212870000000001</v>
      </c>
      <c r="DA20" s="185">
        <v>16.68957</v>
      </c>
      <c r="DB20" s="185"/>
      <c r="DC20" s="185">
        <v>17.71142</v>
      </c>
      <c r="DD20" s="185"/>
      <c r="DE20" s="194"/>
      <c r="DF20" s="187">
        <v>8.6499999999999994E-2</v>
      </c>
      <c r="DG20" s="187">
        <v>0.1014</v>
      </c>
      <c r="DH20" s="187">
        <v>0.1072</v>
      </c>
      <c r="DI20" s="187">
        <v>0.1013</v>
      </c>
      <c r="DJ20" s="187">
        <v>9.1499999999999998E-2</v>
      </c>
      <c r="DK20" s="187">
        <v>0.1051</v>
      </c>
      <c r="DL20" s="187">
        <v>0.105</v>
      </c>
      <c r="DM20" s="187">
        <v>0.1119</v>
      </c>
      <c r="DN20" s="187">
        <v>0.1026</v>
      </c>
      <c r="DO20" s="187"/>
      <c r="DP20" s="187">
        <v>0.1333</v>
      </c>
      <c r="DQ20" s="187"/>
      <c r="DR20" s="195"/>
      <c r="DS20" s="185">
        <v>0</v>
      </c>
      <c r="DT20" s="185">
        <v>0</v>
      </c>
      <c r="DU20" s="185">
        <v>0</v>
      </c>
      <c r="DV20" s="185">
        <v>0</v>
      </c>
      <c r="DW20" s="185">
        <v>0</v>
      </c>
      <c r="DX20" s="185">
        <v>0</v>
      </c>
      <c r="DY20" s="185">
        <v>0</v>
      </c>
      <c r="DZ20" s="185">
        <v>0</v>
      </c>
      <c r="EA20" s="185">
        <v>0</v>
      </c>
      <c r="EB20" s="185"/>
      <c r="EC20" s="185">
        <v>0</v>
      </c>
      <c r="ED20" s="185"/>
      <c r="EE20" s="194"/>
      <c r="EF20" s="185">
        <v>0</v>
      </c>
      <c r="EG20" s="185">
        <v>0</v>
      </c>
      <c r="EH20" s="185">
        <v>0</v>
      </c>
      <c r="EI20" s="185">
        <v>0</v>
      </c>
      <c r="EJ20" s="185">
        <v>0</v>
      </c>
      <c r="EK20" s="185">
        <v>0</v>
      </c>
      <c r="EL20" s="185">
        <v>0</v>
      </c>
      <c r="EM20" s="185">
        <v>0</v>
      </c>
      <c r="EN20" s="185">
        <v>0</v>
      </c>
      <c r="EO20" s="185"/>
      <c r="EP20" s="185">
        <v>0</v>
      </c>
      <c r="EQ20" s="185"/>
      <c r="ER20" s="194"/>
      <c r="ES20" s="185">
        <v>111084</v>
      </c>
      <c r="ET20" s="185">
        <v>96492</v>
      </c>
      <c r="EU20" s="185">
        <v>90429</v>
      </c>
      <c r="EV20" s="185">
        <v>93319</v>
      </c>
      <c r="EW20" s="185">
        <v>96020</v>
      </c>
      <c r="EX20" s="185">
        <v>92802</v>
      </c>
      <c r="EY20" s="185">
        <v>92399</v>
      </c>
      <c r="EZ20" s="185">
        <v>86632.559819999995</v>
      </c>
      <c r="FA20" s="185">
        <v>101988.76412000001</v>
      </c>
      <c r="FB20" s="185"/>
      <c r="FC20" s="185">
        <v>102695.64618</v>
      </c>
      <c r="FD20" s="185"/>
      <c r="FE20" s="194"/>
      <c r="FF20" s="185"/>
      <c r="FG20" s="185"/>
      <c r="FH20" s="185"/>
      <c r="FI20" s="185"/>
      <c r="FJ20" s="185"/>
      <c r="FK20" s="185"/>
      <c r="FL20" s="185"/>
      <c r="FM20" s="185"/>
      <c r="FN20" s="185"/>
      <c r="FO20" s="185"/>
      <c r="FP20" s="185"/>
      <c r="FQ20" s="185"/>
      <c r="FR20" s="194"/>
    </row>
    <row r="21" spans="5:174" s="4" customFormat="1" x14ac:dyDescent="0.25">
      <c r="E21" s="2" t="s">
        <v>164</v>
      </c>
      <c r="F21" s="184">
        <v>1.1509799999999999</v>
      </c>
      <c r="G21" s="185">
        <v>0.88637999999999995</v>
      </c>
      <c r="H21" s="185">
        <v>1.0078199999999999</v>
      </c>
      <c r="I21" s="185">
        <v>1.21746</v>
      </c>
      <c r="J21" s="185">
        <v>1.35188</v>
      </c>
      <c r="K21" s="185">
        <v>1.4941500000000001</v>
      </c>
      <c r="L21" s="185">
        <v>1.76162</v>
      </c>
      <c r="M21" s="185">
        <v>1.8055600000000001</v>
      </c>
      <c r="N21" s="185">
        <v>1.6536299999999999</v>
      </c>
      <c r="O21" s="185"/>
      <c r="P21" s="185">
        <v>1.6509199999999999</v>
      </c>
      <c r="Q21" s="185"/>
      <c r="R21" s="194"/>
      <c r="S21" s="185">
        <v>9.5276399999999999</v>
      </c>
      <c r="T21" s="185">
        <v>8.8834199999999992</v>
      </c>
      <c r="U21" s="185">
        <v>10.128780000000001</v>
      </c>
      <c r="V21" s="185">
        <v>12.14542</v>
      </c>
      <c r="W21" s="185">
        <v>12.849170000000001</v>
      </c>
      <c r="X21" s="185">
        <v>13.142939999999999</v>
      </c>
      <c r="Y21" s="185">
        <v>12.815020000000001</v>
      </c>
      <c r="Z21" s="185">
        <v>12.88134</v>
      </c>
      <c r="AA21" s="185">
        <v>12.44031</v>
      </c>
      <c r="AB21" s="185"/>
      <c r="AC21" s="185">
        <v>12.63045</v>
      </c>
      <c r="AD21" s="185"/>
      <c r="AE21" s="194"/>
      <c r="AF21" s="185">
        <v>0.96706000000000003</v>
      </c>
      <c r="AG21" s="185">
        <v>0.95157000000000003</v>
      </c>
      <c r="AH21" s="185">
        <v>1.0713699999999999</v>
      </c>
      <c r="AI21" s="185">
        <v>1.2232700000000001</v>
      </c>
      <c r="AJ21" s="185">
        <v>1.2043600000000001</v>
      </c>
      <c r="AK21" s="185">
        <v>1.4028400000000001</v>
      </c>
      <c r="AL21" s="185">
        <v>1.6526700000000001</v>
      </c>
      <c r="AM21" s="185">
        <v>1.7942899999999999</v>
      </c>
      <c r="AN21" s="185">
        <v>1.78905</v>
      </c>
      <c r="AO21" s="185"/>
      <c r="AP21" s="185">
        <v>2.3720400000000001</v>
      </c>
      <c r="AQ21" s="185"/>
      <c r="AR21" s="194"/>
      <c r="AS21" s="185">
        <v>0</v>
      </c>
      <c r="AT21" s="185">
        <v>0</v>
      </c>
      <c r="AU21" s="185">
        <v>0</v>
      </c>
      <c r="AV21" s="185">
        <v>0</v>
      </c>
      <c r="AW21" s="185">
        <v>0</v>
      </c>
      <c r="AX21" s="185">
        <v>0</v>
      </c>
      <c r="AY21" s="185">
        <v>0</v>
      </c>
      <c r="AZ21" s="185">
        <v>0</v>
      </c>
      <c r="BA21" s="185">
        <v>0</v>
      </c>
      <c r="BB21" s="185"/>
      <c r="BC21" s="185">
        <v>0</v>
      </c>
      <c r="BD21" s="185"/>
      <c r="BE21" s="194"/>
      <c r="BF21" s="185">
        <v>1.1690000000000001E-2</v>
      </c>
      <c r="BG21" s="185">
        <v>1.1690000000000001E-2</v>
      </c>
      <c r="BH21" s="185">
        <v>0</v>
      </c>
      <c r="BI21" s="185">
        <v>0</v>
      </c>
      <c r="BJ21" s="185">
        <v>0</v>
      </c>
      <c r="BK21" s="185">
        <v>0</v>
      </c>
      <c r="BL21" s="185">
        <v>0</v>
      </c>
      <c r="BM21" s="185">
        <v>0</v>
      </c>
      <c r="BN21" s="185">
        <v>0</v>
      </c>
      <c r="BO21" s="185"/>
      <c r="BP21" s="185">
        <v>0</v>
      </c>
      <c r="BQ21" s="185"/>
      <c r="BR21" s="194"/>
      <c r="BS21" s="185">
        <v>0</v>
      </c>
      <c r="BT21" s="185">
        <v>1.3685400000000001</v>
      </c>
      <c r="BU21" s="185">
        <v>0.46394000000000002</v>
      </c>
      <c r="BV21" s="185">
        <v>0</v>
      </c>
      <c r="BW21" s="185">
        <v>-0.16921</v>
      </c>
      <c r="BX21" s="185">
        <v>-6.1999999999999998E-3</v>
      </c>
      <c r="BY21" s="185">
        <v>0</v>
      </c>
      <c r="BZ21" s="185">
        <v>0</v>
      </c>
      <c r="CA21" s="185">
        <v>0</v>
      </c>
      <c r="CB21" s="185"/>
      <c r="CC21" s="185">
        <v>0</v>
      </c>
      <c r="CD21" s="185"/>
      <c r="CE21" s="194"/>
      <c r="CF21" s="185">
        <v>10.50639</v>
      </c>
      <c r="CG21" s="185">
        <v>9.8466799999999992</v>
      </c>
      <c r="CH21" s="185">
        <v>11.200150000000001</v>
      </c>
      <c r="CI21" s="185">
        <v>13.368690000000001</v>
      </c>
      <c r="CJ21" s="185">
        <v>14.05353</v>
      </c>
      <c r="CK21" s="185">
        <v>14.545780000000001</v>
      </c>
      <c r="CL21" s="185">
        <v>14.467689999999999</v>
      </c>
      <c r="CM21" s="185">
        <v>14.67563</v>
      </c>
      <c r="CN21" s="185">
        <v>14.22936</v>
      </c>
      <c r="CO21" s="185"/>
      <c r="CP21" s="185">
        <v>15.00249</v>
      </c>
      <c r="CQ21" s="185"/>
      <c r="CR21" s="194"/>
      <c r="CS21" s="185">
        <v>9.3554099999999991</v>
      </c>
      <c r="CT21" s="185">
        <v>10.32884</v>
      </c>
      <c r="CU21" s="185">
        <v>10.656269999999999</v>
      </c>
      <c r="CV21" s="185">
        <v>12.15124</v>
      </c>
      <c r="CW21" s="185">
        <v>12.532439999999999</v>
      </c>
      <c r="CX21" s="185">
        <v>13.04543</v>
      </c>
      <c r="CY21" s="185">
        <v>12.70607</v>
      </c>
      <c r="CZ21" s="185">
        <v>12.87008</v>
      </c>
      <c r="DA21" s="185">
        <v>12.57573</v>
      </c>
      <c r="DB21" s="185"/>
      <c r="DC21" s="185">
        <v>13.351570000000001</v>
      </c>
      <c r="DD21" s="185"/>
      <c r="DE21" s="194"/>
      <c r="DF21" s="187">
        <v>9.1999999999999998E-2</v>
      </c>
      <c r="DG21" s="187">
        <v>9.6600000000000005E-2</v>
      </c>
      <c r="DH21" s="187">
        <v>9.5699999999999993E-2</v>
      </c>
      <c r="DI21" s="187">
        <v>9.1499999999999998E-2</v>
      </c>
      <c r="DJ21" s="187">
        <v>8.5699999999999998E-2</v>
      </c>
      <c r="DK21" s="187">
        <v>9.64E-2</v>
      </c>
      <c r="DL21" s="187">
        <v>0.1142</v>
      </c>
      <c r="DM21" s="187">
        <v>0.12230000000000001</v>
      </c>
      <c r="DN21" s="187">
        <v>0.12570000000000001</v>
      </c>
      <c r="DO21" s="187"/>
      <c r="DP21" s="187">
        <v>0.15809999999999999</v>
      </c>
      <c r="DQ21" s="187"/>
      <c r="DR21" s="195"/>
      <c r="DS21" s="185">
        <v>0</v>
      </c>
      <c r="DT21" s="185">
        <v>0</v>
      </c>
      <c r="DU21" s="185">
        <v>0</v>
      </c>
      <c r="DV21" s="185">
        <v>0</v>
      </c>
      <c r="DW21" s="185">
        <v>0</v>
      </c>
      <c r="DX21" s="185">
        <v>0</v>
      </c>
      <c r="DY21" s="185">
        <v>0</v>
      </c>
      <c r="DZ21" s="185">
        <v>0</v>
      </c>
      <c r="EA21" s="185">
        <v>0</v>
      </c>
      <c r="EB21" s="185"/>
      <c r="EC21" s="185">
        <v>0</v>
      </c>
      <c r="ED21" s="185"/>
      <c r="EE21" s="194"/>
      <c r="EF21" s="185">
        <v>0</v>
      </c>
      <c r="EG21" s="185">
        <v>0</v>
      </c>
      <c r="EH21" s="185">
        <v>0</v>
      </c>
      <c r="EI21" s="185">
        <v>0</v>
      </c>
      <c r="EJ21" s="185">
        <v>0</v>
      </c>
      <c r="EK21" s="185">
        <v>0</v>
      </c>
      <c r="EL21" s="185">
        <v>0</v>
      </c>
      <c r="EM21" s="185">
        <v>0</v>
      </c>
      <c r="EN21" s="185">
        <v>0</v>
      </c>
      <c r="EO21" s="185"/>
      <c r="EP21" s="185">
        <v>0</v>
      </c>
      <c r="EQ21" s="185"/>
      <c r="ER21" s="194"/>
      <c r="ES21" s="185">
        <v>52231</v>
      </c>
      <c r="ET21" s="185">
        <v>45122</v>
      </c>
      <c r="EU21" s="185">
        <v>48347</v>
      </c>
      <c r="EV21" s="185">
        <v>52004</v>
      </c>
      <c r="EW21" s="185">
        <v>53462</v>
      </c>
      <c r="EX21" s="185">
        <v>53184</v>
      </c>
      <c r="EY21" s="185">
        <v>53916</v>
      </c>
      <c r="EZ21" s="185">
        <v>53325.556420000001</v>
      </c>
      <c r="FA21" s="185">
        <v>53837.85426</v>
      </c>
      <c r="FB21" s="185"/>
      <c r="FC21" s="185">
        <v>53459.194770000002</v>
      </c>
      <c r="FD21" s="185"/>
      <c r="FE21" s="194"/>
      <c r="FF21" s="185"/>
      <c r="FG21" s="185"/>
      <c r="FH21" s="185"/>
      <c r="FI21" s="185"/>
      <c r="FJ21" s="185"/>
      <c r="FK21" s="185"/>
      <c r="FL21" s="185"/>
      <c r="FM21" s="185"/>
      <c r="FN21" s="185"/>
      <c r="FO21" s="185"/>
      <c r="FP21" s="185"/>
      <c r="FQ21" s="185"/>
      <c r="FR21" s="194"/>
    </row>
    <row r="22" spans="5:174" s="4" customFormat="1" x14ac:dyDescent="0.25">
      <c r="E22" s="2" t="s">
        <v>165</v>
      </c>
      <c r="F22" s="184">
        <v>0.45367000000000002</v>
      </c>
      <c r="G22" s="185">
        <v>0.36984</v>
      </c>
      <c r="H22" s="185">
        <v>0.45279999999999998</v>
      </c>
      <c r="I22" s="185">
        <v>0.51859999999999995</v>
      </c>
      <c r="J22" s="185">
        <v>0.53976999999999997</v>
      </c>
      <c r="K22" s="185">
        <v>0.59414999999999996</v>
      </c>
      <c r="L22" s="185">
        <v>0.66603000000000001</v>
      </c>
      <c r="M22" s="185">
        <v>0.64468999999999999</v>
      </c>
      <c r="N22" s="185">
        <v>0.70186999999999999</v>
      </c>
      <c r="O22" s="185"/>
      <c r="P22" s="185">
        <v>0.75568999999999997</v>
      </c>
      <c r="Q22" s="185"/>
      <c r="R22" s="194"/>
      <c r="S22" s="185">
        <v>5.5557100000000004</v>
      </c>
      <c r="T22" s="185">
        <v>5.0426799999999998</v>
      </c>
      <c r="U22" s="185">
        <v>5.2925399999999998</v>
      </c>
      <c r="V22" s="185">
        <v>5.8586</v>
      </c>
      <c r="W22" s="185">
        <v>5.8923500000000004</v>
      </c>
      <c r="X22" s="185">
        <v>5.9116299999999997</v>
      </c>
      <c r="Y22" s="185">
        <v>5.4299799999999996</v>
      </c>
      <c r="Z22" s="185">
        <v>5.0625999999999998</v>
      </c>
      <c r="AA22" s="185">
        <v>6.1970400000000003</v>
      </c>
      <c r="AB22" s="185"/>
      <c r="AC22" s="185">
        <v>6.2465099999999998</v>
      </c>
      <c r="AD22" s="185"/>
      <c r="AE22" s="194"/>
      <c r="AF22" s="185">
        <v>0.37236999999999998</v>
      </c>
      <c r="AG22" s="185">
        <v>0.42381999999999997</v>
      </c>
      <c r="AH22" s="185">
        <v>0.50183999999999995</v>
      </c>
      <c r="AI22" s="185">
        <v>0.50478999999999996</v>
      </c>
      <c r="AJ22" s="185">
        <v>0.47044999999999998</v>
      </c>
      <c r="AK22" s="185">
        <v>0.55876999999999999</v>
      </c>
      <c r="AL22" s="185">
        <v>0.59514999999999996</v>
      </c>
      <c r="AM22" s="185">
        <v>0.62890999999999997</v>
      </c>
      <c r="AN22" s="185">
        <v>0.64324000000000003</v>
      </c>
      <c r="AO22" s="185"/>
      <c r="AP22" s="185">
        <v>0.86112</v>
      </c>
      <c r="AQ22" s="185"/>
      <c r="AR22" s="194"/>
      <c r="AS22" s="185">
        <v>0</v>
      </c>
      <c r="AT22" s="185">
        <v>0</v>
      </c>
      <c r="AU22" s="185">
        <v>0</v>
      </c>
      <c r="AV22" s="185">
        <v>0</v>
      </c>
      <c r="AW22" s="185">
        <v>0</v>
      </c>
      <c r="AX22" s="185">
        <v>0</v>
      </c>
      <c r="AY22" s="185">
        <v>0</v>
      </c>
      <c r="AZ22" s="185">
        <v>0</v>
      </c>
      <c r="BA22" s="185">
        <v>0</v>
      </c>
      <c r="BB22" s="185"/>
      <c r="BC22" s="185">
        <v>0</v>
      </c>
      <c r="BD22" s="185"/>
      <c r="BE22" s="194"/>
      <c r="BF22" s="185">
        <v>4.13E-3</v>
      </c>
      <c r="BG22" s="185">
        <v>4.8300000000000001E-3</v>
      </c>
      <c r="BH22" s="185">
        <v>0</v>
      </c>
      <c r="BI22" s="185">
        <v>0</v>
      </c>
      <c r="BJ22" s="185">
        <v>0</v>
      </c>
      <c r="BK22" s="185">
        <v>0</v>
      </c>
      <c r="BL22" s="185">
        <v>0</v>
      </c>
      <c r="BM22" s="185">
        <v>0</v>
      </c>
      <c r="BN22" s="185">
        <v>0</v>
      </c>
      <c r="BO22" s="185"/>
      <c r="BP22" s="185">
        <v>0</v>
      </c>
      <c r="BQ22" s="185"/>
      <c r="BR22" s="194"/>
      <c r="BS22" s="185">
        <v>0</v>
      </c>
      <c r="BT22" s="185">
        <v>0.48715000000000003</v>
      </c>
      <c r="BU22" s="185">
        <v>-0.16277</v>
      </c>
      <c r="BV22" s="185">
        <v>0</v>
      </c>
      <c r="BW22" s="185">
        <v>-7.7600000000000002E-2</v>
      </c>
      <c r="BX22" s="185">
        <v>-2.8400000000000001E-3</v>
      </c>
      <c r="BY22" s="185">
        <v>0</v>
      </c>
      <c r="BZ22" s="185">
        <v>0</v>
      </c>
      <c r="CA22" s="185">
        <v>0</v>
      </c>
      <c r="CB22" s="185"/>
      <c r="CC22" s="185">
        <v>0</v>
      </c>
      <c r="CD22" s="185"/>
      <c r="CE22" s="194"/>
      <c r="CF22" s="185">
        <v>5.9321999999999999</v>
      </c>
      <c r="CG22" s="185">
        <v>5.47133</v>
      </c>
      <c r="CH22" s="185">
        <v>5.7943800000000003</v>
      </c>
      <c r="CI22" s="185">
        <v>6.3633899999999999</v>
      </c>
      <c r="CJ22" s="185">
        <v>6.3628</v>
      </c>
      <c r="CK22" s="185">
        <v>6.4703999999999997</v>
      </c>
      <c r="CL22" s="185">
        <v>6.0251299999999999</v>
      </c>
      <c r="CM22" s="185">
        <v>5.6915100000000001</v>
      </c>
      <c r="CN22" s="185">
        <v>6.8402700000000003</v>
      </c>
      <c r="CO22" s="185"/>
      <c r="CP22" s="185">
        <v>7.1076300000000003</v>
      </c>
      <c r="CQ22" s="185"/>
      <c r="CR22" s="194"/>
      <c r="CS22" s="185">
        <v>5.4785399999999997</v>
      </c>
      <c r="CT22" s="185">
        <v>5.5886300000000002</v>
      </c>
      <c r="CU22" s="185">
        <v>5.1787999999999998</v>
      </c>
      <c r="CV22" s="185">
        <v>5.8447899999999997</v>
      </c>
      <c r="CW22" s="185">
        <v>5.7454400000000003</v>
      </c>
      <c r="CX22" s="185">
        <v>5.8734099999999998</v>
      </c>
      <c r="CY22" s="185">
        <v>5.3590999999999998</v>
      </c>
      <c r="CZ22" s="185">
        <v>5.0468200000000003</v>
      </c>
      <c r="DA22" s="185">
        <v>6.1384100000000004</v>
      </c>
      <c r="DB22" s="185"/>
      <c r="DC22" s="185">
        <v>6.3519399999999999</v>
      </c>
      <c r="DD22" s="185"/>
      <c r="DE22" s="194"/>
      <c r="DF22" s="187">
        <v>6.2799999999999995E-2</v>
      </c>
      <c r="DG22" s="187">
        <v>7.7499999999999999E-2</v>
      </c>
      <c r="DH22" s="187">
        <v>8.6599999999999996E-2</v>
      </c>
      <c r="DI22" s="187">
        <v>7.9299999999999995E-2</v>
      </c>
      <c r="DJ22" s="187">
        <v>7.3899999999999993E-2</v>
      </c>
      <c r="DK22" s="187">
        <v>8.6400000000000005E-2</v>
      </c>
      <c r="DL22" s="187">
        <v>9.8799999999999999E-2</v>
      </c>
      <c r="DM22" s="187">
        <v>0.1105</v>
      </c>
      <c r="DN22" s="187">
        <v>9.4E-2</v>
      </c>
      <c r="DO22" s="187"/>
      <c r="DP22" s="187">
        <v>0.1212</v>
      </c>
      <c r="DQ22" s="187"/>
      <c r="DR22" s="195"/>
      <c r="DS22" s="185">
        <v>0</v>
      </c>
      <c r="DT22" s="185">
        <v>0</v>
      </c>
      <c r="DU22" s="185">
        <v>0</v>
      </c>
      <c r="DV22" s="185">
        <v>0</v>
      </c>
      <c r="DW22" s="185">
        <v>0</v>
      </c>
      <c r="DX22" s="185">
        <v>0</v>
      </c>
      <c r="DY22" s="185">
        <v>0</v>
      </c>
      <c r="DZ22" s="185">
        <v>0</v>
      </c>
      <c r="EA22" s="185">
        <v>0</v>
      </c>
      <c r="EB22" s="185"/>
      <c r="EC22" s="185">
        <v>0</v>
      </c>
      <c r="ED22" s="185"/>
      <c r="EE22" s="194"/>
      <c r="EF22" s="185">
        <v>0</v>
      </c>
      <c r="EG22" s="185">
        <v>0</v>
      </c>
      <c r="EH22" s="185">
        <v>0</v>
      </c>
      <c r="EI22" s="185">
        <v>0</v>
      </c>
      <c r="EJ22" s="185">
        <v>0</v>
      </c>
      <c r="EK22" s="185">
        <v>0</v>
      </c>
      <c r="EL22" s="185">
        <v>0</v>
      </c>
      <c r="EM22" s="185">
        <v>0</v>
      </c>
      <c r="EN22" s="185">
        <v>0</v>
      </c>
      <c r="EO22" s="185"/>
      <c r="EP22" s="185">
        <v>0</v>
      </c>
      <c r="EQ22" s="185"/>
      <c r="ER22" s="194"/>
      <c r="ES22" s="185">
        <v>30997</v>
      </c>
      <c r="ET22" s="185">
        <v>27036</v>
      </c>
      <c r="EU22" s="185">
        <v>27905</v>
      </c>
      <c r="EV22" s="185">
        <v>28568</v>
      </c>
      <c r="EW22" s="185">
        <v>27571</v>
      </c>
      <c r="EX22" s="185">
        <v>26820</v>
      </c>
      <c r="EY22" s="185">
        <v>24825</v>
      </c>
      <c r="EZ22" s="185">
        <v>24446.421549999999</v>
      </c>
      <c r="FA22" s="185">
        <v>24913.81421</v>
      </c>
      <c r="FB22" s="185"/>
      <c r="FC22" s="185">
        <v>24473.047139999999</v>
      </c>
      <c r="FD22" s="185"/>
      <c r="FE22" s="194"/>
      <c r="FF22" s="185"/>
      <c r="FG22" s="185"/>
      <c r="FH22" s="185"/>
      <c r="FI22" s="185"/>
      <c r="FJ22" s="185"/>
      <c r="FK22" s="185"/>
      <c r="FL22" s="185"/>
      <c r="FM22" s="185"/>
      <c r="FN22" s="185"/>
      <c r="FO22" s="185"/>
      <c r="FP22" s="185"/>
      <c r="FQ22" s="185"/>
      <c r="FR22" s="194"/>
    </row>
    <row r="23" spans="5:174" s="4" customFormat="1" x14ac:dyDescent="0.25">
      <c r="E23" s="2" t="s">
        <v>166</v>
      </c>
      <c r="F23" s="184">
        <v>0.73507999999999996</v>
      </c>
      <c r="G23" s="185">
        <v>0.54957999999999996</v>
      </c>
      <c r="H23" s="185">
        <v>0.63209000000000004</v>
      </c>
      <c r="I23" s="185">
        <v>0.81984000000000001</v>
      </c>
      <c r="J23" s="185">
        <v>0.98402999999999996</v>
      </c>
      <c r="K23" s="185">
        <v>1.0909599999999999</v>
      </c>
      <c r="L23" s="185">
        <v>1.2522800000000001</v>
      </c>
      <c r="M23" s="185">
        <v>1.22661</v>
      </c>
      <c r="N23" s="185">
        <v>1.30857</v>
      </c>
      <c r="O23" s="185"/>
      <c r="P23" s="185">
        <v>1.31813</v>
      </c>
      <c r="Q23" s="185"/>
      <c r="R23" s="194"/>
      <c r="S23" s="185">
        <v>16.513380000000002</v>
      </c>
      <c r="T23" s="185">
        <v>15.38382</v>
      </c>
      <c r="U23" s="185">
        <v>15.63621</v>
      </c>
      <c r="V23" s="185">
        <v>17.046479999999999</v>
      </c>
      <c r="W23" s="185">
        <v>18.597169999999998</v>
      </c>
      <c r="X23" s="185">
        <v>17.42061</v>
      </c>
      <c r="Y23" s="185">
        <v>16.271519999999999</v>
      </c>
      <c r="Z23" s="185">
        <v>17.247610000000002</v>
      </c>
      <c r="AA23" s="185">
        <v>20.31757</v>
      </c>
      <c r="AB23" s="185"/>
      <c r="AC23" s="185">
        <v>20.50685</v>
      </c>
      <c r="AD23" s="185"/>
      <c r="AE23" s="194"/>
      <c r="AF23" s="185">
        <v>0.75099000000000005</v>
      </c>
      <c r="AG23" s="185">
        <v>0.74509000000000003</v>
      </c>
      <c r="AH23" s="185">
        <v>0.82021999999999995</v>
      </c>
      <c r="AI23" s="185">
        <v>0.93230999999999997</v>
      </c>
      <c r="AJ23" s="185">
        <v>0.96436999999999995</v>
      </c>
      <c r="AK23" s="185">
        <v>1.10057</v>
      </c>
      <c r="AL23" s="185">
        <v>1.3042800000000001</v>
      </c>
      <c r="AM23" s="185">
        <v>1.8479399999999999</v>
      </c>
      <c r="AN23" s="185">
        <v>1.89029</v>
      </c>
      <c r="AO23" s="185"/>
      <c r="AP23" s="185">
        <v>2.5638700000000001</v>
      </c>
      <c r="AQ23" s="185"/>
      <c r="AR23" s="194"/>
      <c r="AS23" s="185">
        <v>0</v>
      </c>
      <c r="AT23" s="185">
        <v>0</v>
      </c>
      <c r="AU23" s="185">
        <v>0</v>
      </c>
      <c r="AV23" s="185">
        <v>0</v>
      </c>
      <c r="AW23" s="185">
        <v>0</v>
      </c>
      <c r="AX23" s="185">
        <v>0</v>
      </c>
      <c r="AY23" s="185">
        <v>0</v>
      </c>
      <c r="AZ23" s="185">
        <v>0</v>
      </c>
      <c r="BA23" s="185">
        <v>0</v>
      </c>
      <c r="BB23" s="185"/>
      <c r="BC23" s="185">
        <v>0</v>
      </c>
      <c r="BD23" s="185"/>
      <c r="BE23" s="194"/>
      <c r="BF23" s="185">
        <v>6.96E-3</v>
      </c>
      <c r="BG23" s="185">
        <v>7.5599999999999999E-3</v>
      </c>
      <c r="BH23" s="185">
        <v>0</v>
      </c>
      <c r="BI23" s="185">
        <v>0</v>
      </c>
      <c r="BJ23" s="185">
        <v>0</v>
      </c>
      <c r="BK23" s="185">
        <v>0</v>
      </c>
      <c r="BL23" s="185">
        <v>0</v>
      </c>
      <c r="BM23" s="185">
        <v>0</v>
      </c>
      <c r="BN23" s="185">
        <v>0</v>
      </c>
      <c r="BO23" s="185"/>
      <c r="BP23" s="185">
        <v>0</v>
      </c>
      <c r="BQ23" s="185"/>
      <c r="BR23" s="194"/>
      <c r="BS23" s="185">
        <v>0</v>
      </c>
      <c r="BT23" s="185">
        <v>1.07877</v>
      </c>
      <c r="BU23" s="185">
        <v>0.17845</v>
      </c>
      <c r="BV23" s="185">
        <v>0</v>
      </c>
      <c r="BW23" s="185">
        <v>-0.24490000000000001</v>
      </c>
      <c r="BX23" s="185">
        <v>-8.9700000000000005E-3</v>
      </c>
      <c r="BY23" s="185">
        <v>0</v>
      </c>
      <c r="BZ23" s="185">
        <v>0</v>
      </c>
      <c r="CA23" s="185">
        <v>0</v>
      </c>
      <c r="CB23" s="185"/>
      <c r="CC23" s="185">
        <v>0</v>
      </c>
      <c r="CD23" s="185"/>
      <c r="CE23" s="194"/>
      <c r="CF23" s="185">
        <v>17.271329999999999</v>
      </c>
      <c r="CG23" s="185">
        <v>16.136479999999999</v>
      </c>
      <c r="CH23" s="185">
        <v>16.456430000000001</v>
      </c>
      <c r="CI23" s="185">
        <v>17.97879</v>
      </c>
      <c r="CJ23" s="185">
        <v>19.561540000000001</v>
      </c>
      <c r="CK23" s="185">
        <v>18.521180000000001</v>
      </c>
      <c r="CL23" s="185">
        <v>17.575800000000001</v>
      </c>
      <c r="CM23" s="185">
        <v>19.09554</v>
      </c>
      <c r="CN23" s="185">
        <v>22.20786</v>
      </c>
      <c r="CO23" s="185"/>
      <c r="CP23" s="185">
        <v>23.070720000000001</v>
      </c>
      <c r="CQ23" s="185"/>
      <c r="CR23" s="194"/>
      <c r="CS23" s="185">
        <v>16.536249999999999</v>
      </c>
      <c r="CT23" s="185">
        <v>16.665669999999999</v>
      </c>
      <c r="CU23" s="185">
        <v>16.002790000000001</v>
      </c>
      <c r="CV23" s="185">
        <v>17.158950000000001</v>
      </c>
      <c r="CW23" s="185">
        <v>18.332609999999999</v>
      </c>
      <c r="CX23" s="185">
        <v>17.421240000000001</v>
      </c>
      <c r="CY23" s="185">
        <v>16.323519999999998</v>
      </c>
      <c r="CZ23" s="185">
        <v>17.868929999999999</v>
      </c>
      <c r="DA23" s="185">
        <v>20.899290000000001</v>
      </c>
      <c r="DB23" s="185"/>
      <c r="DC23" s="185">
        <v>21.752579999999998</v>
      </c>
      <c r="DD23" s="185"/>
      <c r="DE23" s="194"/>
      <c r="DF23" s="187">
        <v>4.3499999999999997E-2</v>
      </c>
      <c r="DG23" s="187">
        <v>4.6199999999999998E-2</v>
      </c>
      <c r="DH23" s="187">
        <v>4.9799999999999997E-2</v>
      </c>
      <c r="DI23" s="187">
        <v>5.1900000000000002E-2</v>
      </c>
      <c r="DJ23" s="187">
        <v>4.9299999999999997E-2</v>
      </c>
      <c r="DK23" s="187">
        <v>5.9400000000000001E-2</v>
      </c>
      <c r="DL23" s="187">
        <v>7.4200000000000002E-2</v>
      </c>
      <c r="DM23" s="187">
        <v>9.6799999999999997E-2</v>
      </c>
      <c r="DN23" s="187">
        <v>8.5099999999999995E-2</v>
      </c>
      <c r="DO23" s="187"/>
      <c r="DP23" s="187">
        <v>0.1111</v>
      </c>
      <c r="DQ23" s="187"/>
      <c r="DR23" s="195"/>
      <c r="DS23" s="185">
        <v>0</v>
      </c>
      <c r="DT23" s="185">
        <v>0</v>
      </c>
      <c r="DU23" s="185">
        <v>0</v>
      </c>
      <c r="DV23" s="185">
        <v>0</v>
      </c>
      <c r="DW23" s="185">
        <v>0</v>
      </c>
      <c r="DX23" s="185">
        <v>0</v>
      </c>
      <c r="DY23" s="185">
        <v>0</v>
      </c>
      <c r="DZ23" s="185">
        <v>0</v>
      </c>
      <c r="EA23" s="185">
        <v>0</v>
      </c>
      <c r="EB23" s="185"/>
      <c r="EC23" s="185">
        <v>0</v>
      </c>
      <c r="ED23" s="185"/>
      <c r="EE23" s="194"/>
      <c r="EF23" s="185">
        <v>0</v>
      </c>
      <c r="EG23" s="185">
        <v>0</v>
      </c>
      <c r="EH23" s="185">
        <v>0</v>
      </c>
      <c r="EI23" s="185">
        <v>0</v>
      </c>
      <c r="EJ23" s="185">
        <v>0</v>
      </c>
      <c r="EK23" s="185">
        <v>0</v>
      </c>
      <c r="EL23" s="185">
        <v>0</v>
      </c>
      <c r="EM23" s="185">
        <v>0</v>
      </c>
      <c r="EN23" s="185">
        <v>0</v>
      </c>
      <c r="EO23" s="185"/>
      <c r="EP23" s="185">
        <v>0</v>
      </c>
      <c r="EQ23" s="185"/>
      <c r="ER23" s="194"/>
      <c r="ES23" s="185">
        <v>111707</v>
      </c>
      <c r="ET23" s="185">
        <v>95769</v>
      </c>
      <c r="EU23" s="185">
        <v>95035</v>
      </c>
      <c r="EV23" s="185">
        <v>112300</v>
      </c>
      <c r="EW23" s="185">
        <v>108081</v>
      </c>
      <c r="EX23" s="185">
        <v>104847</v>
      </c>
      <c r="EY23" s="185">
        <v>111521</v>
      </c>
      <c r="EZ23" s="185">
        <v>116118.75463</v>
      </c>
      <c r="FA23" s="185">
        <v>119762.39766</v>
      </c>
      <c r="FB23" s="185"/>
      <c r="FC23" s="185">
        <v>122716.66134000001</v>
      </c>
      <c r="FD23" s="185"/>
      <c r="FE23" s="194"/>
      <c r="FF23" s="185"/>
      <c r="FG23" s="185"/>
      <c r="FH23" s="185"/>
      <c r="FI23" s="185"/>
      <c r="FJ23" s="185"/>
      <c r="FK23" s="185"/>
      <c r="FL23" s="185"/>
      <c r="FM23" s="185"/>
      <c r="FN23" s="185"/>
      <c r="FO23" s="185"/>
      <c r="FP23" s="185"/>
      <c r="FQ23" s="185"/>
      <c r="FR23" s="194"/>
    </row>
    <row r="24" spans="5:174" s="4" customFormat="1" x14ac:dyDescent="0.25">
      <c r="E24" s="2" t="s">
        <v>167</v>
      </c>
      <c r="F24" s="184">
        <v>1.0505</v>
      </c>
      <c r="G24" s="185">
        <v>0.76863000000000004</v>
      </c>
      <c r="H24" s="185">
        <v>0.96079999999999999</v>
      </c>
      <c r="I24" s="185">
        <v>1.10795</v>
      </c>
      <c r="J24" s="185">
        <v>1.2230700000000001</v>
      </c>
      <c r="K24" s="185">
        <v>1.3629800000000001</v>
      </c>
      <c r="L24" s="185">
        <v>1.5262899999999999</v>
      </c>
      <c r="M24" s="185">
        <v>1.52322</v>
      </c>
      <c r="N24" s="185">
        <v>1.48691</v>
      </c>
      <c r="O24" s="185"/>
      <c r="P24" s="185">
        <v>1.50484</v>
      </c>
      <c r="Q24" s="185"/>
      <c r="R24" s="194"/>
      <c r="S24" s="185">
        <v>6.9532400000000001</v>
      </c>
      <c r="T24" s="185">
        <v>6.0354700000000001</v>
      </c>
      <c r="U24" s="185">
        <v>7.5150499999999996</v>
      </c>
      <c r="V24" s="185">
        <v>8.5342199999999995</v>
      </c>
      <c r="W24" s="185">
        <v>8.0436300000000003</v>
      </c>
      <c r="X24" s="185">
        <v>7.9484899999999996</v>
      </c>
      <c r="Y24" s="185">
        <v>8.3500599999999991</v>
      </c>
      <c r="Z24" s="185">
        <v>8.1504700000000003</v>
      </c>
      <c r="AA24" s="185">
        <v>8.8170599999999997</v>
      </c>
      <c r="AB24" s="185"/>
      <c r="AC24" s="185">
        <v>9.1230700000000002</v>
      </c>
      <c r="AD24" s="185"/>
      <c r="AE24" s="194"/>
      <c r="AF24" s="185">
        <v>0.85199000000000003</v>
      </c>
      <c r="AG24" s="185">
        <v>0.85280999999999996</v>
      </c>
      <c r="AH24" s="185">
        <v>1.0142</v>
      </c>
      <c r="AI24" s="185">
        <v>1.1530899999999999</v>
      </c>
      <c r="AJ24" s="185">
        <v>1.07161</v>
      </c>
      <c r="AK24" s="185">
        <v>1.2536700000000001</v>
      </c>
      <c r="AL24" s="185">
        <v>1.37469</v>
      </c>
      <c r="AM24" s="185">
        <v>1.4133500000000001</v>
      </c>
      <c r="AN24" s="185">
        <v>1.46305</v>
      </c>
      <c r="AO24" s="185"/>
      <c r="AP24" s="185">
        <v>1.96153</v>
      </c>
      <c r="AQ24" s="185"/>
      <c r="AR24" s="194"/>
      <c r="AS24" s="185">
        <v>0</v>
      </c>
      <c r="AT24" s="185">
        <v>0</v>
      </c>
      <c r="AU24" s="185">
        <v>0</v>
      </c>
      <c r="AV24" s="185">
        <v>0</v>
      </c>
      <c r="AW24" s="185">
        <v>0</v>
      </c>
      <c r="AX24" s="185">
        <v>0</v>
      </c>
      <c r="AY24" s="185">
        <v>0</v>
      </c>
      <c r="AZ24" s="185">
        <v>0</v>
      </c>
      <c r="BA24" s="185">
        <v>0</v>
      </c>
      <c r="BB24" s="185"/>
      <c r="BC24" s="185">
        <v>0</v>
      </c>
      <c r="BD24" s="185"/>
      <c r="BE24" s="194"/>
      <c r="BF24" s="185">
        <v>1.0449999999999999E-2</v>
      </c>
      <c r="BG24" s="185">
        <v>1.085E-2</v>
      </c>
      <c r="BH24" s="185">
        <v>0</v>
      </c>
      <c r="BI24" s="185">
        <v>0</v>
      </c>
      <c r="BJ24" s="185">
        <v>0</v>
      </c>
      <c r="BK24" s="185">
        <v>0</v>
      </c>
      <c r="BL24" s="185">
        <v>0</v>
      </c>
      <c r="BM24" s="185">
        <v>0</v>
      </c>
      <c r="BN24" s="185">
        <v>0</v>
      </c>
      <c r="BO24" s="185"/>
      <c r="BP24" s="185">
        <v>0</v>
      </c>
      <c r="BQ24" s="185"/>
      <c r="BR24" s="194"/>
      <c r="BS24" s="185">
        <v>0</v>
      </c>
      <c r="BT24" s="185">
        <v>0.65546000000000004</v>
      </c>
      <c r="BU24" s="185">
        <v>5.808E-2</v>
      </c>
      <c r="BV24" s="185">
        <v>0</v>
      </c>
      <c r="BW24" s="185">
        <v>-0.10593</v>
      </c>
      <c r="BX24" s="185">
        <v>-3.8800000000000002E-3</v>
      </c>
      <c r="BY24" s="185">
        <v>0</v>
      </c>
      <c r="BZ24" s="185">
        <v>0</v>
      </c>
      <c r="CA24" s="185">
        <v>0</v>
      </c>
      <c r="CB24" s="185"/>
      <c r="CC24" s="185">
        <v>0</v>
      </c>
      <c r="CD24" s="185"/>
      <c r="CE24" s="194"/>
      <c r="CF24" s="185">
        <v>7.8156800000000004</v>
      </c>
      <c r="CG24" s="185">
        <v>6.8991400000000001</v>
      </c>
      <c r="CH24" s="185">
        <v>8.5292499999999993</v>
      </c>
      <c r="CI24" s="185">
        <v>9.6873100000000001</v>
      </c>
      <c r="CJ24" s="185">
        <v>9.11524</v>
      </c>
      <c r="CK24" s="185">
        <v>9.2021599999999992</v>
      </c>
      <c r="CL24" s="185">
        <v>9.7247400000000006</v>
      </c>
      <c r="CM24" s="185">
        <v>9.5638100000000001</v>
      </c>
      <c r="CN24" s="185">
        <v>10.280110000000001</v>
      </c>
      <c r="CO24" s="185"/>
      <c r="CP24" s="185">
        <v>11.0846</v>
      </c>
      <c r="CQ24" s="185"/>
      <c r="CR24" s="194"/>
      <c r="CS24" s="185">
        <v>6.76518</v>
      </c>
      <c r="CT24" s="185">
        <v>6.7859800000000003</v>
      </c>
      <c r="CU24" s="185">
        <v>7.6265299999999998</v>
      </c>
      <c r="CV24" s="185">
        <v>8.5793599999999994</v>
      </c>
      <c r="CW24" s="185">
        <v>7.7862499999999999</v>
      </c>
      <c r="CX24" s="185">
        <v>7.8352899999999996</v>
      </c>
      <c r="CY24" s="185">
        <v>8.1984499999999993</v>
      </c>
      <c r="CZ24" s="185">
        <v>8.0405899999999999</v>
      </c>
      <c r="DA24" s="185">
        <v>8.7931899999999992</v>
      </c>
      <c r="DB24" s="185"/>
      <c r="DC24" s="185">
        <v>9.5797600000000003</v>
      </c>
      <c r="DD24" s="185"/>
      <c r="DE24" s="194"/>
      <c r="DF24" s="187">
        <v>0.109</v>
      </c>
      <c r="DG24" s="187">
        <v>0.1236</v>
      </c>
      <c r="DH24" s="187">
        <v>0.11890000000000001</v>
      </c>
      <c r="DI24" s="187">
        <v>0.11899999999999999</v>
      </c>
      <c r="DJ24" s="187">
        <v>0.1176</v>
      </c>
      <c r="DK24" s="187">
        <v>0.13619999999999999</v>
      </c>
      <c r="DL24" s="187">
        <v>0.1414</v>
      </c>
      <c r="DM24" s="187">
        <v>0.14779999999999999</v>
      </c>
      <c r="DN24" s="187">
        <v>0.14230000000000001</v>
      </c>
      <c r="DO24" s="187"/>
      <c r="DP24" s="187">
        <v>0.17699999999999999</v>
      </c>
      <c r="DQ24" s="187"/>
      <c r="DR24" s="195"/>
      <c r="DS24" s="185">
        <v>0</v>
      </c>
      <c r="DT24" s="185">
        <v>0</v>
      </c>
      <c r="DU24" s="185">
        <v>0</v>
      </c>
      <c r="DV24" s="185">
        <v>0</v>
      </c>
      <c r="DW24" s="185">
        <v>0</v>
      </c>
      <c r="DX24" s="185">
        <v>0</v>
      </c>
      <c r="DY24" s="185">
        <v>0</v>
      </c>
      <c r="DZ24" s="185">
        <v>0</v>
      </c>
      <c r="EA24" s="185">
        <v>0</v>
      </c>
      <c r="EB24" s="185"/>
      <c r="EC24" s="185">
        <v>0</v>
      </c>
      <c r="ED24" s="185"/>
      <c r="EE24" s="194"/>
      <c r="EF24" s="185">
        <v>0</v>
      </c>
      <c r="EG24" s="185">
        <v>0</v>
      </c>
      <c r="EH24" s="185">
        <v>0</v>
      </c>
      <c r="EI24" s="185">
        <v>0</v>
      </c>
      <c r="EJ24" s="185">
        <v>0</v>
      </c>
      <c r="EK24" s="185">
        <v>0</v>
      </c>
      <c r="EL24" s="185">
        <v>0</v>
      </c>
      <c r="EM24" s="185">
        <v>0</v>
      </c>
      <c r="EN24" s="185">
        <v>0</v>
      </c>
      <c r="EO24" s="185"/>
      <c r="EP24" s="185">
        <v>0</v>
      </c>
      <c r="EQ24" s="185"/>
      <c r="ER24" s="194"/>
      <c r="ES24" s="185">
        <v>40394</v>
      </c>
      <c r="ET24" s="185">
        <v>33750</v>
      </c>
      <c r="EU24" s="185">
        <v>39019</v>
      </c>
      <c r="EV24" s="185">
        <v>42469</v>
      </c>
      <c r="EW24" s="185">
        <v>39718</v>
      </c>
      <c r="EX24" s="185">
        <v>38880</v>
      </c>
      <c r="EY24" s="185">
        <v>40215</v>
      </c>
      <c r="EZ24" s="185">
        <v>38965.744010000002</v>
      </c>
      <c r="FA24" s="185">
        <v>39785.241199999997</v>
      </c>
      <c r="FB24" s="185"/>
      <c r="FC24" s="185">
        <v>40639.927000000003</v>
      </c>
      <c r="FD24" s="185"/>
      <c r="FE24" s="194"/>
      <c r="FF24" s="185"/>
      <c r="FG24" s="185"/>
      <c r="FH24" s="185"/>
      <c r="FI24" s="185"/>
      <c r="FJ24" s="185"/>
      <c r="FK24" s="185"/>
      <c r="FL24" s="185"/>
      <c r="FM24" s="185"/>
      <c r="FN24" s="185"/>
      <c r="FO24" s="185"/>
      <c r="FP24" s="185"/>
      <c r="FQ24" s="185"/>
      <c r="FR24" s="194"/>
    </row>
    <row r="25" spans="5:174" s="4" customFormat="1" x14ac:dyDescent="0.25">
      <c r="E25" s="2" t="s">
        <v>168</v>
      </c>
      <c r="F25" s="184">
        <v>0.81157000000000001</v>
      </c>
      <c r="G25" s="185">
        <v>0.62409999999999999</v>
      </c>
      <c r="H25" s="185">
        <v>0.73351999999999995</v>
      </c>
      <c r="I25" s="185">
        <v>0.84445000000000003</v>
      </c>
      <c r="J25" s="185">
        <v>0.89415999999999995</v>
      </c>
      <c r="K25" s="185">
        <v>1.00546</v>
      </c>
      <c r="L25" s="185">
        <v>1.1234</v>
      </c>
      <c r="M25" s="185">
        <v>1.25783</v>
      </c>
      <c r="N25" s="185">
        <v>1.05216</v>
      </c>
      <c r="O25" s="185"/>
      <c r="P25" s="185">
        <v>1.03627</v>
      </c>
      <c r="Q25" s="185"/>
      <c r="R25" s="194"/>
      <c r="S25" s="185">
        <v>9.1515199999999997</v>
      </c>
      <c r="T25" s="185">
        <v>8.6233699999999995</v>
      </c>
      <c r="U25" s="185">
        <v>8.5595400000000001</v>
      </c>
      <c r="V25" s="185">
        <v>9.4223199999999991</v>
      </c>
      <c r="W25" s="185">
        <v>10.18186</v>
      </c>
      <c r="X25" s="185">
        <v>10.30997</v>
      </c>
      <c r="Y25" s="185">
        <v>9.7708399999999997</v>
      </c>
      <c r="Z25" s="185">
        <v>9.8224800000000005</v>
      </c>
      <c r="AA25" s="185">
        <v>9.7256599999999995</v>
      </c>
      <c r="AB25" s="185"/>
      <c r="AC25" s="185">
        <v>10.016780000000001</v>
      </c>
      <c r="AD25" s="185"/>
      <c r="AE25" s="194"/>
      <c r="AF25" s="185">
        <v>0.77061000000000002</v>
      </c>
      <c r="AG25" s="185">
        <v>0.79213999999999996</v>
      </c>
      <c r="AH25" s="185">
        <v>0.91002000000000005</v>
      </c>
      <c r="AI25" s="185">
        <v>0.94950999999999997</v>
      </c>
      <c r="AJ25" s="185">
        <v>0.94584000000000001</v>
      </c>
      <c r="AK25" s="185">
        <v>1.13249</v>
      </c>
      <c r="AL25" s="185">
        <v>1.19228</v>
      </c>
      <c r="AM25" s="185">
        <v>1.22584</v>
      </c>
      <c r="AN25" s="185">
        <v>1.2824500000000001</v>
      </c>
      <c r="AO25" s="185"/>
      <c r="AP25" s="185">
        <v>1.7518199999999999</v>
      </c>
      <c r="AQ25" s="185"/>
      <c r="AR25" s="194"/>
      <c r="AS25" s="185">
        <v>0</v>
      </c>
      <c r="AT25" s="185">
        <v>0</v>
      </c>
      <c r="AU25" s="185">
        <v>0</v>
      </c>
      <c r="AV25" s="185">
        <v>0</v>
      </c>
      <c r="AW25" s="185">
        <v>0</v>
      </c>
      <c r="AX25" s="185">
        <v>0</v>
      </c>
      <c r="AY25" s="185">
        <v>0</v>
      </c>
      <c r="AZ25" s="185">
        <v>0</v>
      </c>
      <c r="BA25" s="185">
        <v>0</v>
      </c>
      <c r="BB25" s="185"/>
      <c r="BC25" s="185">
        <v>0</v>
      </c>
      <c r="BD25" s="185"/>
      <c r="BE25" s="194"/>
      <c r="BF25" s="185">
        <v>7.9699999999999997E-3</v>
      </c>
      <c r="BG25" s="185">
        <v>8.2699999999999996E-3</v>
      </c>
      <c r="BH25" s="185">
        <v>0</v>
      </c>
      <c r="BI25" s="185">
        <v>0</v>
      </c>
      <c r="BJ25" s="185">
        <v>0</v>
      </c>
      <c r="BK25" s="185">
        <v>0</v>
      </c>
      <c r="BL25" s="185">
        <v>0</v>
      </c>
      <c r="BM25" s="185">
        <v>0</v>
      </c>
      <c r="BN25" s="185">
        <v>0</v>
      </c>
      <c r="BO25" s="185"/>
      <c r="BP25" s="185">
        <v>0</v>
      </c>
      <c r="BQ25" s="185"/>
      <c r="BR25" s="194"/>
      <c r="BS25" s="185">
        <v>0</v>
      </c>
      <c r="BT25" s="185">
        <v>0.74482999999999999</v>
      </c>
      <c r="BU25" s="185">
        <v>-0.34555999999999998</v>
      </c>
      <c r="BV25" s="185">
        <v>0</v>
      </c>
      <c r="BW25" s="185">
        <v>-0.13408</v>
      </c>
      <c r="BX25" s="185">
        <v>-4.9100000000000003E-3</v>
      </c>
      <c r="BY25" s="185">
        <v>0</v>
      </c>
      <c r="BZ25" s="185">
        <v>0</v>
      </c>
      <c r="CA25" s="185">
        <v>0</v>
      </c>
      <c r="CB25" s="185"/>
      <c r="CC25" s="185">
        <v>0</v>
      </c>
      <c r="CD25" s="185"/>
      <c r="CE25" s="194"/>
      <c r="CF25" s="185">
        <v>9.9301100000000009</v>
      </c>
      <c r="CG25" s="185">
        <v>9.4237800000000007</v>
      </c>
      <c r="CH25" s="185">
        <v>9.4695599999999995</v>
      </c>
      <c r="CI25" s="185">
        <v>10.371829999999999</v>
      </c>
      <c r="CJ25" s="185">
        <v>11.127700000000001</v>
      </c>
      <c r="CK25" s="185">
        <v>11.442460000000001</v>
      </c>
      <c r="CL25" s="185">
        <v>10.96312</v>
      </c>
      <c r="CM25" s="185">
        <v>11.04832</v>
      </c>
      <c r="CN25" s="185">
        <v>11.00812</v>
      </c>
      <c r="CO25" s="185"/>
      <c r="CP25" s="185">
        <v>11.768599999999999</v>
      </c>
      <c r="CQ25" s="185"/>
      <c r="CR25" s="194"/>
      <c r="CS25" s="185">
        <v>9.1185399999999994</v>
      </c>
      <c r="CT25" s="185">
        <v>9.5445100000000007</v>
      </c>
      <c r="CU25" s="185">
        <v>8.3904800000000002</v>
      </c>
      <c r="CV25" s="185">
        <v>9.5273800000000008</v>
      </c>
      <c r="CW25" s="185">
        <v>10.099460000000001</v>
      </c>
      <c r="CX25" s="185">
        <v>10.432090000000001</v>
      </c>
      <c r="CY25" s="185">
        <v>9.8397199999999998</v>
      </c>
      <c r="CZ25" s="185">
        <v>9.7904999999999998</v>
      </c>
      <c r="DA25" s="185">
        <v>9.9559599999999993</v>
      </c>
      <c r="DB25" s="185"/>
      <c r="DC25" s="185">
        <v>10.732329999999999</v>
      </c>
      <c r="DD25" s="185"/>
      <c r="DE25" s="194"/>
      <c r="DF25" s="187">
        <v>7.7600000000000002E-2</v>
      </c>
      <c r="DG25" s="187">
        <v>8.4099999999999994E-2</v>
      </c>
      <c r="DH25" s="187">
        <v>9.6100000000000005E-2</v>
      </c>
      <c r="DI25" s="187">
        <v>9.1499999999999998E-2</v>
      </c>
      <c r="DJ25" s="187">
        <v>8.5000000000000006E-2</v>
      </c>
      <c r="DK25" s="187">
        <v>9.9000000000000005E-2</v>
      </c>
      <c r="DL25" s="187">
        <v>0.10879999999999999</v>
      </c>
      <c r="DM25" s="187">
        <v>0.111</v>
      </c>
      <c r="DN25" s="187">
        <v>0.11650000000000001</v>
      </c>
      <c r="DO25" s="187"/>
      <c r="DP25" s="187">
        <v>0.1489</v>
      </c>
      <c r="DQ25" s="187"/>
      <c r="DR25" s="195"/>
      <c r="DS25" s="185">
        <v>0</v>
      </c>
      <c r="DT25" s="185">
        <v>0</v>
      </c>
      <c r="DU25" s="185">
        <v>0</v>
      </c>
      <c r="DV25" s="185">
        <v>0</v>
      </c>
      <c r="DW25" s="185">
        <v>0</v>
      </c>
      <c r="DX25" s="185">
        <v>0</v>
      </c>
      <c r="DY25" s="185">
        <v>0</v>
      </c>
      <c r="DZ25" s="185">
        <v>0</v>
      </c>
      <c r="EA25" s="185">
        <v>0</v>
      </c>
      <c r="EB25" s="185"/>
      <c r="EC25" s="185">
        <v>0</v>
      </c>
      <c r="ED25" s="185"/>
      <c r="EE25" s="194"/>
      <c r="EF25" s="185">
        <v>0</v>
      </c>
      <c r="EG25" s="185">
        <v>0</v>
      </c>
      <c r="EH25" s="185">
        <v>0</v>
      </c>
      <c r="EI25" s="185">
        <v>0</v>
      </c>
      <c r="EJ25" s="185">
        <v>0</v>
      </c>
      <c r="EK25" s="185">
        <v>0</v>
      </c>
      <c r="EL25" s="185">
        <v>0</v>
      </c>
      <c r="EM25" s="185">
        <v>0</v>
      </c>
      <c r="EN25" s="185">
        <v>0</v>
      </c>
      <c r="EO25" s="185"/>
      <c r="EP25" s="185">
        <v>0</v>
      </c>
      <c r="EQ25" s="185"/>
      <c r="ER25" s="194"/>
      <c r="ES25" s="185">
        <v>59176</v>
      </c>
      <c r="ET25" s="185">
        <v>50989</v>
      </c>
      <c r="EU25" s="185">
        <v>53332</v>
      </c>
      <c r="EV25" s="185">
        <v>53940</v>
      </c>
      <c r="EW25" s="185">
        <v>54331</v>
      </c>
      <c r="EX25" s="185">
        <v>56338</v>
      </c>
      <c r="EY25" s="185">
        <v>55860</v>
      </c>
      <c r="EZ25" s="185">
        <v>56354.980369999997</v>
      </c>
      <c r="FA25" s="185">
        <v>55249.749190000002</v>
      </c>
      <c r="FB25" s="185"/>
      <c r="FC25" s="185">
        <v>55122.734040000003</v>
      </c>
      <c r="FD25" s="185"/>
      <c r="FE25" s="194"/>
      <c r="FF25" s="185"/>
      <c r="FG25" s="185"/>
      <c r="FH25" s="185"/>
      <c r="FI25" s="185"/>
      <c r="FJ25" s="185"/>
      <c r="FK25" s="185"/>
      <c r="FL25" s="185"/>
      <c r="FM25" s="185"/>
      <c r="FN25" s="185"/>
      <c r="FO25" s="185"/>
      <c r="FP25" s="185"/>
      <c r="FQ25" s="185"/>
      <c r="FR25" s="194"/>
    </row>
    <row r="26" spans="5:174" s="4" customFormat="1" x14ac:dyDescent="0.25">
      <c r="E26" s="2" t="s">
        <v>169</v>
      </c>
      <c r="F26" s="184">
        <v>1.2555099999999999</v>
      </c>
      <c r="G26" s="185">
        <v>0.96952000000000005</v>
      </c>
      <c r="H26" s="185">
        <v>1.2122200000000001</v>
      </c>
      <c r="I26" s="185">
        <v>1.37721</v>
      </c>
      <c r="J26" s="185">
        <v>1.5542</v>
      </c>
      <c r="K26" s="185">
        <v>1.7384200000000001</v>
      </c>
      <c r="L26" s="185">
        <v>1.9033500000000001</v>
      </c>
      <c r="M26" s="185">
        <v>1.91475</v>
      </c>
      <c r="N26" s="185">
        <v>1.87226</v>
      </c>
      <c r="O26" s="185"/>
      <c r="P26" s="185">
        <v>1.8739300000000001</v>
      </c>
      <c r="Q26" s="185"/>
      <c r="R26" s="194"/>
      <c r="S26" s="185">
        <v>10.329610000000001</v>
      </c>
      <c r="T26" s="185">
        <v>9.0178899999999995</v>
      </c>
      <c r="U26" s="185">
        <v>9.9202600000000007</v>
      </c>
      <c r="V26" s="185">
        <v>11.68032</v>
      </c>
      <c r="W26" s="185">
        <v>12.36576</v>
      </c>
      <c r="X26" s="185">
        <v>12.012359999999999</v>
      </c>
      <c r="Y26" s="185">
        <v>11.2456</v>
      </c>
      <c r="Z26" s="185">
        <v>11.65071</v>
      </c>
      <c r="AA26" s="185">
        <v>11.35595</v>
      </c>
      <c r="AB26" s="185"/>
      <c r="AC26" s="185">
        <v>10.18103</v>
      </c>
      <c r="AD26" s="185"/>
      <c r="AE26" s="194"/>
      <c r="AF26" s="185">
        <v>1.0077700000000001</v>
      </c>
      <c r="AG26" s="185">
        <v>1.02972</v>
      </c>
      <c r="AH26" s="185">
        <v>1.2398800000000001</v>
      </c>
      <c r="AI26" s="185">
        <v>1.3347800000000001</v>
      </c>
      <c r="AJ26" s="185">
        <v>1.2812600000000001</v>
      </c>
      <c r="AK26" s="185">
        <v>1.56596</v>
      </c>
      <c r="AL26" s="185">
        <v>1.6554899999999999</v>
      </c>
      <c r="AM26" s="185">
        <v>1.80596</v>
      </c>
      <c r="AN26" s="185">
        <v>1.76539</v>
      </c>
      <c r="AO26" s="185"/>
      <c r="AP26" s="185">
        <v>2.31576</v>
      </c>
      <c r="AQ26" s="185"/>
      <c r="AR26" s="194"/>
      <c r="AS26" s="185">
        <v>0</v>
      </c>
      <c r="AT26" s="185">
        <v>0</v>
      </c>
      <c r="AU26" s="185">
        <v>0</v>
      </c>
      <c r="AV26" s="185">
        <v>0</v>
      </c>
      <c r="AW26" s="185">
        <v>0</v>
      </c>
      <c r="AX26" s="185">
        <v>0</v>
      </c>
      <c r="AY26" s="185">
        <v>0</v>
      </c>
      <c r="AZ26" s="185">
        <v>0</v>
      </c>
      <c r="BA26" s="185">
        <v>0</v>
      </c>
      <c r="BB26" s="185"/>
      <c r="BC26" s="185">
        <v>0</v>
      </c>
      <c r="BD26" s="185"/>
      <c r="BE26" s="194"/>
      <c r="BF26" s="185">
        <v>1.2189999999999999E-2</v>
      </c>
      <c r="BG26" s="185">
        <v>1.3390000000000001E-2</v>
      </c>
      <c r="BH26" s="185">
        <v>0</v>
      </c>
      <c r="BI26" s="185">
        <v>0</v>
      </c>
      <c r="BJ26" s="185">
        <v>0</v>
      </c>
      <c r="BK26" s="185">
        <v>0</v>
      </c>
      <c r="BL26" s="185">
        <v>0</v>
      </c>
      <c r="BM26" s="185">
        <v>0</v>
      </c>
      <c r="BN26" s="185">
        <v>0</v>
      </c>
      <c r="BO26" s="185"/>
      <c r="BP26" s="185">
        <v>0</v>
      </c>
      <c r="BQ26" s="185"/>
      <c r="BR26" s="194"/>
      <c r="BS26" s="185">
        <v>0</v>
      </c>
      <c r="BT26" s="185">
        <v>1.2976300000000001</v>
      </c>
      <c r="BU26" s="185">
        <v>-0.16187000000000001</v>
      </c>
      <c r="BV26" s="185">
        <v>0</v>
      </c>
      <c r="BW26" s="185">
        <v>-0.16284000000000001</v>
      </c>
      <c r="BX26" s="185">
        <v>-5.9699999999999996E-3</v>
      </c>
      <c r="BY26" s="185">
        <v>0</v>
      </c>
      <c r="BZ26" s="185">
        <v>0</v>
      </c>
      <c r="CA26" s="185">
        <v>0</v>
      </c>
      <c r="CB26" s="185"/>
      <c r="CC26" s="185">
        <v>0</v>
      </c>
      <c r="CD26" s="185"/>
      <c r="CE26" s="194"/>
      <c r="CF26" s="185">
        <v>11.34957</v>
      </c>
      <c r="CG26" s="185">
        <v>10.06099</v>
      </c>
      <c r="CH26" s="185">
        <v>11.16014</v>
      </c>
      <c r="CI26" s="185">
        <v>13.0151</v>
      </c>
      <c r="CJ26" s="185">
        <v>13.647019999999999</v>
      </c>
      <c r="CK26" s="185">
        <v>13.57832</v>
      </c>
      <c r="CL26" s="185">
        <v>12.90109</v>
      </c>
      <c r="CM26" s="185">
        <v>13.456659999999999</v>
      </c>
      <c r="CN26" s="185">
        <v>13.12133</v>
      </c>
      <c r="CO26" s="185"/>
      <c r="CP26" s="185">
        <v>12.496790000000001</v>
      </c>
      <c r="CQ26" s="185"/>
      <c r="CR26" s="194"/>
      <c r="CS26" s="185">
        <v>10.094060000000001</v>
      </c>
      <c r="CT26" s="185">
        <v>10.389099999999999</v>
      </c>
      <c r="CU26" s="185">
        <v>9.7860499999999995</v>
      </c>
      <c r="CV26" s="185">
        <v>11.6379</v>
      </c>
      <c r="CW26" s="185">
        <v>11.92998</v>
      </c>
      <c r="CX26" s="185">
        <v>11.83394</v>
      </c>
      <c r="CY26" s="185">
        <v>10.99774</v>
      </c>
      <c r="CZ26" s="185">
        <v>11.54191</v>
      </c>
      <c r="DA26" s="185">
        <v>11.24907</v>
      </c>
      <c r="DB26" s="185"/>
      <c r="DC26" s="185">
        <v>10.622859999999999</v>
      </c>
      <c r="DD26" s="185"/>
      <c r="DE26" s="194"/>
      <c r="DF26" s="187">
        <v>8.8800000000000004E-2</v>
      </c>
      <c r="DG26" s="187">
        <v>0.1023</v>
      </c>
      <c r="DH26" s="187">
        <v>0.1111</v>
      </c>
      <c r="DI26" s="187">
        <v>0.1026</v>
      </c>
      <c r="DJ26" s="187">
        <v>9.3899999999999997E-2</v>
      </c>
      <c r="DK26" s="187">
        <v>0.1153</v>
      </c>
      <c r="DL26" s="187">
        <v>0.1283</v>
      </c>
      <c r="DM26" s="187">
        <v>0.13420000000000001</v>
      </c>
      <c r="DN26" s="187">
        <v>0.13450000000000001</v>
      </c>
      <c r="DO26" s="187"/>
      <c r="DP26" s="187">
        <v>0.18529999999999999</v>
      </c>
      <c r="DQ26" s="187"/>
      <c r="DR26" s="195"/>
      <c r="DS26" s="185">
        <v>0</v>
      </c>
      <c r="DT26" s="185">
        <v>0</v>
      </c>
      <c r="DU26" s="185">
        <v>0</v>
      </c>
      <c r="DV26" s="185">
        <v>0</v>
      </c>
      <c r="DW26" s="185">
        <v>0</v>
      </c>
      <c r="DX26" s="185">
        <v>0</v>
      </c>
      <c r="DY26" s="185">
        <v>0</v>
      </c>
      <c r="DZ26" s="185">
        <v>0</v>
      </c>
      <c r="EA26" s="185">
        <v>0</v>
      </c>
      <c r="EB26" s="185"/>
      <c r="EC26" s="185">
        <v>0</v>
      </c>
      <c r="ED26" s="185"/>
      <c r="EE26" s="194"/>
      <c r="EF26" s="185">
        <v>0</v>
      </c>
      <c r="EG26" s="185">
        <v>0</v>
      </c>
      <c r="EH26" s="185">
        <v>0</v>
      </c>
      <c r="EI26" s="185">
        <v>0</v>
      </c>
      <c r="EJ26" s="185">
        <v>0</v>
      </c>
      <c r="EK26" s="185">
        <v>0</v>
      </c>
      <c r="EL26" s="185">
        <v>0</v>
      </c>
      <c r="EM26" s="185">
        <v>0</v>
      </c>
      <c r="EN26" s="185">
        <v>0</v>
      </c>
      <c r="EO26" s="185"/>
      <c r="EP26" s="185">
        <v>0</v>
      </c>
      <c r="EQ26" s="185"/>
      <c r="ER26" s="194"/>
      <c r="ES26" s="185">
        <v>59093</v>
      </c>
      <c r="ET26" s="185">
        <v>48283</v>
      </c>
      <c r="EU26" s="185">
        <v>52948</v>
      </c>
      <c r="EV26" s="185">
        <v>55648</v>
      </c>
      <c r="EW26" s="185">
        <v>57036</v>
      </c>
      <c r="EX26" s="185">
        <v>56504</v>
      </c>
      <c r="EY26" s="185">
        <v>55279</v>
      </c>
      <c r="EZ26" s="185">
        <v>56118.472560000002</v>
      </c>
      <c r="FA26" s="185">
        <v>56480.96716</v>
      </c>
      <c r="FB26" s="185"/>
      <c r="FC26" s="185">
        <v>55512.190280000003</v>
      </c>
      <c r="FD26" s="185"/>
      <c r="FE26" s="194"/>
      <c r="FF26" s="185"/>
      <c r="FG26" s="185"/>
      <c r="FH26" s="185"/>
      <c r="FI26" s="185"/>
      <c r="FJ26" s="185"/>
      <c r="FK26" s="185"/>
      <c r="FL26" s="185"/>
      <c r="FM26" s="185"/>
      <c r="FN26" s="185"/>
      <c r="FO26" s="185"/>
      <c r="FP26" s="185"/>
      <c r="FQ26" s="185"/>
      <c r="FR26" s="194"/>
    </row>
    <row r="27" spans="5:174" s="4" customFormat="1" x14ac:dyDescent="0.25">
      <c r="E27" s="2" t="s">
        <v>170</v>
      </c>
      <c r="F27" s="184">
        <v>0.75148000000000004</v>
      </c>
      <c r="G27" s="185">
        <v>0.62253999999999998</v>
      </c>
      <c r="H27" s="185">
        <v>0.69772000000000001</v>
      </c>
      <c r="I27" s="185">
        <v>0.78363000000000005</v>
      </c>
      <c r="J27" s="185">
        <v>0.79257999999999995</v>
      </c>
      <c r="K27" s="185">
        <v>0.88246999999999998</v>
      </c>
      <c r="L27" s="185">
        <v>0.96992</v>
      </c>
      <c r="M27" s="185">
        <v>0.98007999999999995</v>
      </c>
      <c r="N27" s="185">
        <v>0.93976000000000004</v>
      </c>
      <c r="O27" s="185"/>
      <c r="P27" s="185">
        <v>0.93952999999999998</v>
      </c>
      <c r="Q27" s="185"/>
      <c r="R27" s="194"/>
      <c r="S27" s="185">
        <v>7.3773900000000001</v>
      </c>
      <c r="T27" s="185">
        <v>6.6198699999999997</v>
      </c>
      <c r="U27" s="185">
        <v>6.9622799999999998</v>
      </c>
      <c r="V27" s="185">
        <v>8.1837199999999992</v>
      </c>
      <c r="W27" s="185">
        <v>8.3381100000000004</v>
      </c>
      <c r="X27" s="185">
        <v>9.0780499999999993</v>
      </c>
      <c r="Y27" s="185">
        <v>8.8938299999999995</v>
      </c>
      <c r="Z27" s="185">
        <v>8.9617199999999997</v>
      </c>
      <c r="AA27" s="185">
        <v>9.2205300000000001</v>
      </c>
      <c r="AB27" s="185"/>
      <c r="AC27" s="185">
        <v>9.18614</v>
      </c>
      <c r="AD27" s="185"/>
      <c r="AE27" s="194"/>
      <c r="AF27" s="185">
        <v>0.65529000000000004</v>
      </c>
      <c r="AG27" s="185">
        <v>0.71801999999999999</v>
      </c>
      <c r="AH27" s="185">
        <v>0.78137999999999996</v>
      </c>
      <c r="AI27" s="185">
        <v>0.82215000000000005</v>
      </c>
      <c r="AJ27" s="185">
        <v>0.76297000000000004</v>
      </c>
      <c r="AK27" s="185">
        <v>0.89061999999999997</v>
      </c>
      <c r="AL27" s="185">
        <v>0.93922000000000005</v>
      </c>
      <c r="AM27" s="185">
        <v>0.97245999999999999</v>
      </c>
      <c r="AN27" s="185">
        <v>1.0359499999999999</v>
      </c>
      <c r="AO27" s="185"/>
      <c r="AP27" s="185">
        <v>1.42222</v>
      </c>
      <c r="AQ27" s="185"/>
      <c r="AR27" s="194"/>
      <c r="AS27" s="185">
        <v>0</v>
      </c>
      <c r="AT27" s="185">
        <v>0</v>
      </c>
      <c r="AU27" s="185">
        <v>0</v>
      </c>
      <c r="AV27" s="185">
        <v>0</v>
      </c>
      <c r="AW27" s="185">
        <v>0</v>
      </c>
      <c r="AX27" s="185">
        <v>0</v>
      </c>
      <c r="AY27" s="185">
        <v>0</v>
      </c>
      <c r="AZ27" s="185">
        <v>0</v>
      </c>
      <c r="BA27" s="185">
        <v>0</v>
      </c>
      <c r="BB27" s="185"/>
      <c r="BC27" s="185">
        <v>0</v>
      </c>
      <c r="BD27" s="185"/>
      <c r="BE27" s="194"/>
      <c r="BF27" s="185">
        <v>6.8999999999999999E-3</v>
      </c>
      <c r="BG27" s="185">
        <v>7.7499999999999999E-3</v>
      </c>
      <c r="BH27" s="185">
        <v>0</v>
      </c>
      <c r="BI27" s="185">
        <v>0</v>
      </c>
      <c r="BJ27" s="185">
        <v>0</v>
      </c>
      <c r="BK27" s="185">
        <v>0</v>
      </c>
      <c r="BL27" s="185">
        <v>0</v>
      </c>
      <c r="BM27" s="185">
        <v>0</v>
      </c>
      <c r="BN27" s="185">
        <v>0</v>
      </c>
      <c r="BO27" s="185"/>
      <c r="BP27" s="185">
        <v>0</v>
      </c>
      <c r="BQ27" s="185"/>
      <c r="BR27" s="194"/>
      <c r="BS27" s="185">
        <v>0</v>
      </c>
      <c r="BT27" s="185">
        <v>0.63754</v>
      </c>
      <c r="BU27" s="185">
        <v>2.0889999999999999E-2</v>
      </c>
      <c r="BV27" s="185">
        <v>0</v>
      </c>
      <c r="BW27" s="185">
        <v>-0.10979999999999999</v>
      </c>
      <c r="BX27" s="185">
        <v>-4.0200000000000001E-3</v>
      </c>
      <c r="BY27" s="185">
        <v>0</v>
      </c>
      <c r="BZ27" s="185">
        <v>0</v>
      </c>
      <c r="CA27" s="185">
        <v>0</v>
      </c>
      <c r="CB27" s="185"/>
      <c r="CC27" s="185">
        <v>0</v>
      </c>
      <c r="CD27" s="185"/>
      <c r="CE27" s="194"/>
      <c r="CF27" s="185">
        <v>8.0395800000000008</v>
      </c>
      <c r="CG27" s="185">
        <v>7.3456299999999999</v>
      </c>
      <c r="CH27" s="185">
        <v>7.7436499999999997</v>
      </c>
      <c r="CI27" s="185">
        <v>9.0058699999999998</v>
      </c>
      <c r="CJ27" s="185">
        <v>9.1010799999999996</v>
      </c>
      <c r="CK27" s="185">
        <v>9.9686699999999995</v>
      </c>
      <c r="CL27" s="185">
        <v>9.8330500000000001</v>
      </c>
      <c r="CM27" s="185">
        <v>9.9341799999999996</v>
      </c>
      <c r="CN27" s="185">
        <v>10.256489999999999</v>
      </c>
      <c r="CO27" s="185"/>
      <c r="CP27" s="185">
        <v>10.608359999999999</v>
      </c>
      <c r="CQ27" s="185"/>
      <c r="CR27" s="194"/>
      <c r="CS27" s="185">
        <v>7.2881</v>
      </c>
      <c r="CT27" s="185">
        <v>7.3606400000000001</v>
      </c>
      <c r="CU27" s="185">
        <v>7.0668199999999999</v>
      </c>
      <c r="CV27" s="185">
        <v>8.2222299999999997</v>
      </c>
      <c r="CW27" s="185">
        <v>8.1987000000000005</v>
      </c>
      <c r="CX27" s="185">
        <v>9.0821799999999993</v>
      </c>
      <c r="CY27" s="185">
        <v>8.86313</v>
      </c>
      <c r="CZ27" s="185">
        <v>8.9540900000000008</v>
      </c>
      <c r="DA27" s="185">
        <v>9.3167299999999997</v>
      </c>
      <c r="DB27" s="185"/>
      <c r="DC27" s="185">
        <v>9.6688299999999998</v>
      </c>
      <c r="DD27" s="185"/>
      <c r="DE27" s="194"/>
      <c r="DF27" s="187">
        <v>8.1500000000000003E-2</v>
      </c>
      <c r="DG27" s="187">
        <v>9.7699999999999995E-2</v>
      </c>
      <c r="DH27" s="187">
        <v>0.1009</v>
      </c>
      <c r="DI27" s="187">
        <v>9.1300000000000006E-2</v>
      </c>
      <c r="DJ27" s="187">
        <v>8.3799999999999999E-2</v>
      </c>
      <c r="DK27" s="187">
        <v>8.9300000000000004E-2</v>
      </c>
      <c r="DL27" s="187">
        <v>9.5500000000000002E-2</v>
      </c>
      <c r="DM27" s="187">
        <v>9.7900000000000001E-2</v>
      </c>
      <c r="DN27" s="187">
        <v>0.10100000000000001</v>
      </c>
      <c r="DO27" s="187"/>
      <c r="DP27" s="187">
        <v>0.1341</v>
      </c>
      <c r="DQ27" s="187"/>
      <c r="DR27" s="195"/>
      <c r="DS27" s="185">
        <v>0</v>
      </c>
      <c r="DT27" s="185">
        <v>0</v>
      </c>
      <c r="DU27" s="185">
        <v>0</v>
      </c>
      <c r="DV27" s="185">
        <v>0</v>
      </c>
      <c r="DW27" s="185">
        <v>0</v>
      </c>
      <c r="DX27" s="185">
        <v>0</v>
      </c>
      <c r="DY27" s="185">
        <v>0</v>
      </c>
      <c r="DZ27" s="185">
        <v>0</v>
      </c>
      <c r="EA27" s="185">
        <v>0</v>
      </c>
      <c r="EB27" s="185"/>
      <c r="EC27" s="185">
        <v>0</v>
      </c>
      <c r="ED27" s="185"/>
      <c r="EE27" s="194"/>
      <c r="EF27" s="185">
        <v>0</v>
      </c>
      <c r="EG27" s="185">
        <v>0</v>
      </c>
      <c r="EH27" s="185">
        <v>0</v>
      </c>
      <c r="EI27" s="185">
        <v>0</v>
      </c>
      <c r="EJ27" s="185">
        <v>0</v>
      </c>
      <c r="EK27" s="185">
        <v>0</v>
      </c>
      <c r="EL27" s="185">
        <v>0</v>
      </c>
      <c r="EM27" s="185">
        <v>0</v>
      </c>
      <c r="EN27" s="185">
        <v>0</v>
      </c>
      <c r="EO27" s="185"/>
      <c r="EP27" s="185">
        <v>0</v>
      </c>
      <c r="EQ27" s="185"/>
      <c r="ER27" s="194"/>
      <c r="ES27" s="185">
        <v>38352</v>
      </c>
      <c r="ET27" s="185">
        <v>32545</v>
      </c>
      <c r="EU27" s="185">
        <v>33689</v>
      </c>
      <c r="EV27" s="185">
        <v>34994</v>
      </c>
      <c r="EW27" s="185">
        <v>36937</v>
      </c>
      <c r="EX27" s="185">
        <v>46932</v>
      </c>
      <c r="EY27" s="185">
        <v>49131</v>
      </c>
      <c r="EZ27" s="185">
        <v>48093.55257</v>
      </c>
      <c r="FA27" s="185">
        <v>50622.023939999999</v>
      </c>
      <c r="FB27" s="185"/>
      <c r="FC27" s="185">
        <v>50591.286319999999</v>
      </c>
      <c r="FD27" s="185"/>
      <c r="FE27" s="194"/>
      <c r="FF27" s="185"/>
      <c r="FG27" s="185"/>
      <c r="FH27" s="185"/>
      <c r="FI27" s="185"/>
      <c r="FJ27" s="185"/>
      <c r="FK27" s="185"/>
      <c r="FL27" s="185"/>
      <c r="FM27" s="185"/>
      <c r="FN27" s="185"/>
      <c r="FO27" s="185"/>
      <c r="FP27" s="185"/>
      <c r="FQ27" s="185"/>
      <c r="FR27" s="194"/>
    </row>
    <row r="28" spans="5:174" s="4" customFormat="1" x14ac:dyDescent="0.25">
      <c r="E28" s="2" t="s">
        <v>171</v>
      </c>
      <c r="F28" s="184">
        <v>0.16844000000000001</v>
      </c>
      <c r="G28" s="185">
        <v>0.13178999999999999</v>
      </c>
      <c r="H28" s="185">
        <v>0.15231</v>
      </c>
      <c r="I28" s="185">
        <v>0.18096999999999999</v>
      </c>
      <c r="J28" s="185">
        <v>0.20411000000000001</v>
      </c>
      <c r="K28" s="185">
        <v>0.29060000000000002</v>
      </c>
      <c r="L28" s="185">
        <v>0.36562</v>
      </c>
      <c r="M28" s="185">
        <v>0.36237999999999998</v>
      </c>
      <c r="N28" s="185">
        <v>0.31031999999999998</v>
      </c>
      <c r="O28" s="185"/>
      <c r="P28" s="185">
        <v>0.31092999999999998</v>
      </c>
      <c r="Q28" s="185"/>
      <c r="R28" s="194"/>
      <c r="S28" s="185">
        <v>1.56932</v>
      </c>
      <c r="T28" s="185">
        <v>1.55453</v>
      </c>
      <c r="U28" s="185">
        <v>1.72706</v>
      </c>
      <c r="V28" s="185">
        <v>2.1326999999999998</v>
      </c>
      <c r="W28" s="185">
        <v>1.9996700000000001</v>
      </c>
      <c r="X28" s="185">
        <v>2.4761600000000001</v>
      </c>
      <c r="Y28" s="185">
        <v>3.6452900000000001</v>
      </c>
      <c r="Z28" s="185">
        <v>9.9506899999999998</v>
      </c>
      <c r="AA28" s="185">
        <v>8.6885300000000001</v>
      </c>
      <c r="AB28" s="185"/>
      <c r="AC28" s="185">
        <v>7.6816399999999998</v>
      </c>
      <c r="AD28" s="185"/>
      <c r="AE28" s="194"/>
      <c r="AF28" s="185">
        <v>0.13980999999999999</v>
      </c>
      <c r="AG28" s="185">
        <v>0.15075</v>
      </c>
      <c r="AH28" s="185">
        <v>0.15332000000000001</v>
      </c>
      <c r="AI28" s="185">
        <v>0.18415000000000001</v>
      </c>
      <c r="AJ28" s="185">
        <v>0.19289999999999999</v>
      </c>
      <c r="AK28" s="185">
        <v>0.28761999999999999</v>
      </c>
      <c r="AL28" s="185">
        <v>0.48298999999999997</v>
      </c>
      <c r="AM28" s="185">
        <v>0.91042000000000001</v>
      </c>
      <c r="AN28" s="185">
        <v>0.83518999999999999</v>
      </c>
      <c r="AO28" s="185"/>
      <c r="AP28" s="185">
        <v>1.1110800000000001</v>
      </c>
      <c r="AQ28" s="185"/>
      <c r="AR28" s="194"/>
      <c r="AS28" s="185">
        <v>0</v>
      </c>
      <c r="AT28" s="185">
        <v>0</v>
      </c>
      <c r="AU28" s="185">
        <v>0</v>
      </c>
      <c r="AV28" s="185">
        <v>0</v>
      </c>
      <c r="AW28" s="185">
        <v>0</v>
      </c>
      <c r="AX28" s="185">
        <v>0</v>
      </c>
      <c r="AY28" s="185">
        <v>0</v>
      </c>
      <c r="AZ28" s="185">
        <v>0</v>
      </c>
      <c r="BA28" s="185">
        <v>0</v>
      </c>
      <c r="BB28" s="185"/>
      <c r="BC28" s="185">
        <v>0</v>
      </c>
      <c r="BD28" s="185"/>
      <c r="BE28" s="194"/>
      <c r="BF28" s="185">
        <v>1.57E-3</v>
      </c>
      <c r="BG28" s="185">
        <v>1.75E-3</v>
      </c>
      <c r="BH28" s="185">
        <v>0</v>
      </c>
      <c r="BI28" s="185">
        <v>0</v>
      </c>
      <c r="BJ28" s="185">
        <v>0</v>
      </c>
      <c r="BK28" s="185">
        <v>0</v>
      </c>
      <c r="BL28" s="185">
        <v>0</v>
      </c>
      <c r="BM28" s="185">
        <v>0</v>
      </c>
      <c r="BN28" s="185">
        <v>0</v>
      </c>
      <c r="BO28" s="185"/>
      <c r="BP28" s="185">
        <v>0</v>
      </c>
      <c r="BQ28" s="185"/>
      <c r="BR28" s="194"/>
      <c r="BS28" s="185">
        <v>0</v>
      </c>
      <c r="BT28" s="185">
        <v>5.049E-2</v>
      </c>
      <c r="BU28" s="185">
        <v>7.1169999999999997E-2</v>
      </c>
      <c r="BV28" s="185">
        <v>0</v>
      </c>
      <c r="BW28" s="185">
        <v>-2.6329999999999999E-2</v>
      </c>
      <c r="BX28" s="185">
        <v>-9.6000000000000002E-4</v>
      </c>
      <c r="BY28" s="185">
        <v>0</v>
      </c>
      <c r="BZ28" s="185">
        <v>0</v>
      </c>
      <c r="CA28" s="185">
        <v>0</v>
      </c>
      <c r="CB28" s="185"/>
      <c r="CC28" s="185">
        <v>0</v>
      </c>
      <c r="CD28" s="185"/>
      <c r="CE28" s="194"/>
      <c r="CF28" s="185">
        <v>1.7107000000000001</v>
      </c>
      <c r="CG28" s="185">
        <v>1.70703</v>
      </c>
      <c r="CH28" s="185">
        <v>1.88039</v>
      </c>
      <c r="CI28" s="185">
        <v>2.3168500000000001</v>
      </c>
      <c r="CJ28" s="185">
        <v>2.1925699999999999</v>
      </c>
      <c r="CK28" s="185">
        <v>2.7637700000000001</v>
      </c>
      <c r="CL28" s="185">
        <v>4.1282899999999998</v>
      </c>
      <c r="CM28" s="185">
        <v>10.86111</v>
      </c>
      <c r="CN28" s="185">
        <v>9.5237200000000009</v>
      </c>
      <c r="CO28" s="185"/>
      <c r="CP28" s="185">
        <v>8.7927300000000006</v>
      </c>
      <c r="CQ28" s="185"/>
      <c r="CR28" s="194"/>
      <c r="CS28" s="185">
        <v>1.54226</v>
      </c>
      <c r="CT28" s="185">
        <v>1.6257299999999999</v>
      </c>
      <c r="CU28" s="185">
        <v>1.79925</v>
      </c>
      <c r="CV28" s="185">
        <v>2.1358799999999998</v>
      </c>
      <c r="CW28" s="185">
        <v>1.9621299999999999</v>
      </c>
      <c r="CX28" s="185">
        <v>2.4722</v>
      </c>
      <c r="CY28" s="185">
        <v>3.7626599999999999</v>
      </c>
      <c r="CZ28" s="185">
        <v>10.49873</v>
      </c>
      <c r="DA28" s="185">
        <v>9.2134</v>
      </c>
      <c r="DB28" s="185"/>
      <c r="DC28" s="185">
        <v>8.4817900000000002</v>
      </c>
      <c r="DD28" s="185"/>
      <c r="DE28" s="194"/>
      <c r="DF28" s="187">
        <v>8.1699999999999995E-2</v>
      </c>
      <c r="DG28" s="187">
        <v>8.8300000000000003E-2</v>
      </c>
      <c r="DH28" s="187">
        <v>8.1500000000000003E-2</v>
      </c>
      <c r="DI28" s="187">
        <v>7.9500000000000001E-2</v>
      </c>
      <c r="DJ28" s="187">
        <v>8.7999999999999995E-2</v>
      </c>
      <c r="DK28" s="187">
        <v>0.1041</v>
      </c>
      <c r="DL28" s="187">
        <v>0.11700000000000001</v>
      </c>
      <c r="DM28" s="187">
        <v>8.3799999999999999E-2</v>
      </c>
      <c r="DN28" s="187">
        <v>8.77E-2</v>
      </c>
      <c r="DO28" s="187"/>
      <c r="DP28" s="187">
        <v>0.12640000000000001</v>
      </c>
      <c r="DQ28" s="187"/>
      <c r="DR28" s="195"/>
      <c r="DS28" s="185">
        <v>0</v>
      </c>
      <c r="DT28" s="185">
        <v>0</v>
      </c>
      <c r="DU28" s="185">
        <v>0</v>
      </c>
      <c r="DV28" s="185">
        <v>0</v>
      </c>
      <c r="DW28" s="185">
        <v>0</v>
      </c>
      <c r="DX28" s="185">
        <v>0</v>
      </c>
      <c r="DY28" s="185">
        <v>0</v>
      </c>
      <c r="DZ28" s="185">
        <v>0</v>
      </c>
      <c r="EA28" s="185">
        <v>0</v>
      </c>
      <c r="EB28" s="185"/>
      <c r="EC28" s="185">
        <v>0</v>
      </c>
      <c r="ED28" s="185"/>
      <c r="EE28" s="194"/>
      <c r="EF28" s="185">
        <v>0</v>
      </c>
      <c r="EG28" s="185">
        <v>0</v>
      </c>
      <c r="EH28" s="185">
        <v>0</v>
      </c>
      <c r="EI28" s="185">
        <v>0</v>
      </c>
      <c r="EJ28" s="185">
        <v>0</v>
      </c>
      <c r="EK28" s="185">
        <v>0</v>
      </c>
      <c r="EL28" s="185">
        <v>0</v>
      </c>
      <c r="EM28" s="185">
        <v>0</v>
      </c>
      <c r="EN28" s="185">
        <v>0</v>
      </c>
      <c r="EO28" s="185"/>
      <c r="EP28" s="185">
        <v>0</v>
      </c>
      <c r="EQ28" s="185"/>
      <c r="ER28" s="194"/>
      <c r="ES28" s="185">
        <v>9803</v>
      </c>
      <c r="ET28" s="185">
        <v>8945</v>
      </c>
      <c r="EU28" s="185">
        <v>9430</v>
      </c>
      <c r="EV28" s="185">
        <v>10695</v>
      </c>
      <c r="EW28" s="185">
        <v>10507</v>
      </c>
      <c r="EX28" s="185">
        <v>12151</v>
      </c>
      <c r="EY28" s="185">
        <v>17810</v>
      </c>
      <c r="EZ28" s="185">
        <v>46194.76298</v>
      </c>
      <c r="FA28" s="185">
        <v>42802.683449999997</v>
      </c>
      <c r="FB28" s="185"/>
      <c r="FC28" s="185">
        <v>43145.525170000001</v>
      </c>
      <c r="FD28" s="185"/>
      <c r="FE28" s="194"/>
      <c r="FF28" s="185"/>
      <c r="FG28" s="185"/>
      <c r="FH28" s="185"/>
      <c r="FI28" s="185"/>
      <c r="FJ28" s="185"/>
      <c r="FK28" s="185"/>
      <c r="FL28" s="185"/>
      <c r="FM28" s="185"/>
      <c r="FN28" s="185"/>
      <c r="FO28" s="185"/>
      <c r="FP28" s="185"/>
      <c r="FQ28" s="185"/>
      <c r="FR28" s="194"/>
    </row>
    <row r="29" spans="5:174" s="4" customFormat="1" x14ac:dyDescent="0.25">
      <c r="E29" s="2" t="s">
        <v>172</v>
      </c>
      <c r="F29" s="184">
        <v>1.0182899999999999</v>
      </c>
      <c r="G29" s="185">
        <v>0.74336000000000002</v>
      </c>
      <c r="H29" s="185">
        <v>0.91917000000000004</v>
      </c>
      <c r="I29" s="185">
        <v>1.04989</v>
      </c>
      <c r="J29" s="185">
        <v>1.1157600000000001</v>
      </c>
      <c r="K29" s="185">
        <v>1.35318</v>
      </c>
      <c r="L29" s="185">
        <v>1.4923999999999999</v>
      </c>
      <c r="M29" s="185">
        <v>1.39693</v>
      </c>
      <c r="N29" s="185">
        <v>1.39825</v>
      </c>
      <c r="O29" s="185"/>
      <c r="P29" s="185">
        <v>1.329</v>
      </c>
      <c r="Q29" s="185"/>
      <c r="R29" s="194"/>
      <c r="S29" s="185">
        <v>8.4410500000000006</v>
      </c>
      <c r="T29" s="185">
        <v>7.5944000000000003</v>
      </c>
      <c r="U29" s="185">
        <v>8.7187300000000008</v>
      </c>
      <c r="V29" s="185">
        <v>10.66212</v>
      </c>
      <c r="W29" s="185">
        <v>10.495900000000001</v>
      </c>
      <c r="X29" s="185">
        <v>9.9705300000000001</v>
      </c>
      <c r="Y29" s="185">
        <v>9.2281200000000005</v>
      </c>
      <c r="Z29" s="185">
        <v>21.86938</v>
      </c>
      <c r="AA29" s="185">
        <v>16.959309999999999</v>
      </c>
      <c r="AB29" s="185"/>
      <c r="AC29" s="185">
        <v>16.52741</v>
      </c>
      <c r="AD29" s="185"/>
      <c r="AE29" s="194"/>
      <c r="AF29" s="185">
        <v>0.85113000000000005</v>
      </c>
      <c r="AG29" s="185">
        <v>0.79813000000000001</v>
      </c>
      <c r="AH29" s="185">
        <v>0.94425999999999999</v>
      </c>
      <c r="AI29" s="185">
        <v>1.0404199999999999</v>
      </c>
      <c r="AJ29" s="185">
        <v>0.93162</v>
      </c>
      <c r="AK29" s="185">
        <v>1.1436900000000001</v>
      </c>
      <c r="AL29" s="185">
        <v>1.2285900000000001</v>
      </c>
      <c r="AM29" s="185">
        <v>1.78783</v>
      </c>
      <c r="AN29" s="185">
        <v>1.6746099999999999</v>
      </c>
      <c r="AO29" s="185"/>
      <c r="AP29" s="185">
        <v>2.1026500000000001</v>
      </c>
      <c r="AQ29" s="185"/>
      <c r="AR29" s="194"/>
      <c r="AS29" s="185">
        <v>0</v>
      </c>
      <c r="AT29" s="185">
        <v>0</v>
      </c>
      <c r="AU29" s="185">
        <v>0</v>
      </c>
      <c r="AV29" s="185">
        <v>0</v>
      </c>
      <c r="AW29" s="185">
        <v>0</v>
      </c>
      <c r="AX29" s="185">
        <v>0</v>
      </c>
      <c r="AY29" s="185">
        <v>0</v>
      </c>
      <c r="AZ29" s="185">
        <v>0</v>
      </c>
      <c r="BA29" s="185">
        <v>0</v>
      </c>
      <c r="BB29" s="185"/>
      <c r="BC29" s="185">
        <v>0</v>
      </c>
      <c r="BD29" s="185"/>
      <c r="BE29" s="194"/>
      <c r="BF29" s="185">
        <v>1.034E-2</v>
      </c>
      <c r="BG29" s="185">
        <v>1.0200000000000001E-2</v>
      </c>
      <c r="BH29" s="185">
        <v>0</v>
      </c>
      <c r="BI29" s="185">
        <v>0</v>
      </c>
      <c r="BJ29" s="185">
        <v>0</v>
      </c>
      <c r="BK29" s="185">
        <v>0</v>
      </c>
      <c r="BL29" s="185">
        <v>0</v>
      </c>
      <c r="BM29" s="185">
        <v>0</v>
      </c>
      <c r="BN29" s="185">
        <v>0</v>
      </c>
      <c r="BO29" s="185"/>
      <c r="BP29" s="185">
        <v>0</v>
      </c>
      <c r="BQ29" s="185"/>
      <c r="BR29" s="194"/>
      <c r="BS29" s="185">
        <v>0</v>
      </c>
      <c r="BT29" s="185">
        <v>1.40628</v>
      </c>
      <c r="BU29" s="185">
        <v>0.31664999999999999</v>
      </c>
      <c r="BV29" s="185">
        <v>0</v>
      </c>
      <c r="BW29" s="185">
        <v>-0.13822000000000001</v>
      </c>
      <c r="BX29" s="185">
        <v>-5.0600000000000003E-3</v>
      </c>
      <c r="BY29" s="185">
        <v>0</v>
      </c>
      <c r="BZ29" s="185">
        <v>0</v>
      </c>
      <c r="CA29" s="185">
        <v>0</v>
      </c>
      <c r="CB29" s="185"/>
      <c r="CC29" s="185">
        <v>0</v>
      </c>
      <c r="CD29" s="185"/>
      <c r="CE29" s="194"/>
      <c r="CF29" s="185">
        <v>9.3025199999999995</v>
      </c>
      <c r="CG29" s="185">
        <v>8.40273</v>
      </c>
      <c r="CH29" s="185">
        <v>9.6629799999999992</v>
      </c>
      <c r="CI29" s="185">
        <v>11.702540000000001</v>
      </c>
      <c r="CJ29" s="185">
        <v>11.427519999999999</v>
      </c>
      <c r="CK29" s="185">
        <v>11.11422</v>
      </c>
      <c r="CL29" s="185">
        <v>10.456709999999999</v>
      </c>
      <c r="CM29" s="185">
        <v>23.6572</v>
      </c>
      <c r="CN29" s="185">
        <v>18.633929999999999</v>
      </c>
      <c r="CO29" s="185"/>
      <c r="CP29" s="185">
        <v>18.63006</v>
      </c>
      <c r="CQ29" s="185"/>
      <c r="CR29" s="194"/>
      <c r="CS29" s="185">
        <v>8.2842300000000009</v>
      </c>
      <c r="CT29" s="185">
        <v>9.0656499999999998</v>
      </c>
      <c r="CU29" s="185">
        <v>9.0604600000000008</v>
      </c>
      <c r="CV29" s="185">
        <v>10.65265</v>
      </c>
      <c r="CW29" s="185">
        <v>10.173539999999999</v>
      </c>
      <c r="CX29" s="185">
        <v>9.7559799999999992</v>
      </c>
      <c r="CY29" s="185">
        <v>8.9643200000000007</v>
      </c>
      <c r="CZ29" s="185">
        <v>22.260280000000002</v>
      </c>
      <c r="DA29" s="185">
        <v>17.235679999999999</v>
      </c>
      <c r="DB29" s="185"/>
      <c r="DC29" s="185">
        <v>17.30106</v>
      </c>
      <c r="DD29" s="185"/>
      <c r="DE29" s="194"/>
      <c r="DF29" s="187">
        <v>9.1499999999999998E-2</v>
      </c>
      <c r="DG29" s="187">
        <v>9.5000000000000001E-2</v>
      </c>
      <c r="DH29" s="187">
        <v>9.7699999999999995E-2</v>
      </c>
      <c r="DI29" s="187">
        <v>8.8900000000000007E-2</v>
      </c>
      <c r="DJ29" s="187">
        <v>8.1500000000000003E-2</v>
      </c>
      <c r="DK29" s="187">
        <v>0.10290000000000001</v>
      </c>
      <c r="DL29" s="187">
        <v>0.11749999999999999</v>
      </c>
      <c r="DM29" s="187">
        <v>7.5600000000000001E-2</v>
      </c>
      <c r="DN29" s="187">
        <v>8.9899999999999994E-2</v>
      </c>
      <c r="DO29" s="187"/>
      <c r="DP29" s="187">
        <v>0.1129</v>
      </c>
      <c r="DQ29" s="187"/>
      <c r="DR29" s="195"/>
      <c r="DS29" s="185">
        <v>0</v>
      </c>
      <c r="DT29" s="185">
        <v>0</v>
      </c>
      <c r="DU29" s="185">
        <v>0</v>
      </c>
      <c r="DV29" s="185">
        <v>0</v>
      </c>
      <c r="DW29" s="185">
        <v>0</v>
      </c>
      <c r="DX29" s="185">
        <v>0</v>
      </c>
      <c r="DY29" s="185">
        <v>0</v>
      </c>
      <c r="DZ29" s="185">
        <v>0</v>
      </c>
      <c r="EA29" s="185">
        <v>0</v>
      </c>
      <c r="EB29" s="185"/>
      <c r="EC29" s="185">
        <v>0</v>
      </c>
      <c r="ED29" s="185"/>
      <c r="EE29" s="194"/>
      <c r="EF29" s="185">
        <v>0</v>
      </c>
      <c r="EG29" s="185">
        <v>0</v>
      </c>
      <c r="EH29" s="185">
        <v>0</v>
      </c>
      <c r="EI29" s="185">
        <v>0</v>
      </c>
      <c r="EJ29" s="185">
        <v>0</v>
      </c>
      <c r="EK29" s="185">
        <v>0</v>
      </c>
      <c r="EL29" s="185">
        <v>0</v>
      </c>
      <c r="EM29" s="185">
        <v>0</v>
      </c>
      <c r="EN29" s="185">
        <v>0</v>
      </c>
      <c r="EO29" s="185"/>
      <c r="EP29" s="185">
        <v>0</v>
      </c>
      <c r="EQ29" s="185"/>
      <c r="ER29" s="194"/>
      <c r="ES29" s="185">
        <v>48956</v>
      </c>
      <c r="ET29" s="185">
        <v>41698</v>
      </c>
      <c r="EU29" s="185">
        <v>46723</v>
      </c>
      <c r="EV29" s="185">
        <v>50674</v>
      </c>
      <c r="EW29" s="185">
        <v>48822</v>
      </c>
      <c r="EX29" s="185">
        <v>47489</v>
      </c>
      <c r="EY29" s="185">
        <v>43807</v>
      </c>
      <c r="EZ29" s="185">
        <v>98844.476769999994</v>
      </c>
      <c r="FA29" s="185">
        <v>99498.516329999999</v>
      </c>
      <c r="FB29" s="185"/>
      <c r="FC29" s="185">
        <v>96629.972139999998</v>
      </c>
      <c r="FD29" s="185"/>
      <c r="FE29" s="194"/>
      <c r="FF29" s="185"/>
      <c r="FG29" s="185"/>
      <c r="FH29" s="185"/>
      <c r="FI29" s="185"/>
      <c r="FJ29" s="185"/>
      <c r="FK29" s="185"/>
      <c r="FL29" s="185"/>
      <c r="FM29" s="185"/>
      <c r="FN29" s="185"/>
      <c r="FO29" s="185"/>
      <c r="FP29" s="185"/>
      <c r="FQ29" s="185"/>
      <c r="FR29" s="194"/>
    </row>
    <row r="30" spans="5:174" s="4" customFormat="1" x14ac:dyDescent="0.25">
      <c r="E30" s="2" t="s">
        <v>173</v>
      </c>
      <c r="F30" s="184">
        <v>0.43414999999999998</v>
      </c>
      <c r="G30" s="185">
        <v>0.34966999999999998</v>
      </c>
      <c r="H30" s="185">
        <v>0.42009000000000002</v>
      </c>
      <c r="I30" s="185">
        <v>0.51856999999999998</v>
      </c>
      <c r="J30" s="185">
        <v>0.59987000000000001</v>
      </c>
      <c r="K30" s="185">
        <v>0.65825999999999996</v>
      </c>
      <c r="L30" s="185">
        <v>0.73329</v>
      </c>
      <c r="M30" s="185">
        <v>0.72158</v>
      </c>
      <c r="N30" s="185">
        <v>0.70825000000000005</v>
      </c>
      <c r="O30" s="185"/>
      <c r="P30" s="185">
        <v>0.71825000000000006</v>
      </c>
      <c r="Q30" s="185"/>
      <c r="R30" s="194"/>
      <c r="S30" s="185">
        <v>8.0278399999999994</v>
      </c>
      <c r="T30" s="185">
        <v>7.1287599999999998</v>
      </c>
      <c r="U30" s="185">
        <v>7.8387500000000001</v>
      </c>
      <c r="V30" s="185">
        <v>9.6765299999999996</v>
      </c>
      <c r="W30" s="185">
        <v>10.092269999999999</v>
      </c>
      <c r="X30" s="185">
        <v>8.9575200000000006</v>
      </c>
      <c r="Y30" s="185">
        <v>8.6011500000000005</v>
      </c>
      <c r="Z30" s="185">
        <v>8.8976100000000002</v>
      </c>
      <c r="AA30" s="185">
        <v>9.0649999999999995</v>
      </c>
      <c r="AB30" s="185"/>
      <c r="AC30" s="185">
        <v>9.2218900000000001</v>
      </c>
      <c r="AD30" s="185"/>
      <c r="AE30" s="194"/>
      <c r="AF30" s="185">
        <v>0.45021</v>
      </c>
      <c r="AG30" s="185">
        <v>0.49560999999999999</v>
      </c>
      <c r="AH30" s="185">
        <v>0.54298000000000002</v>
      </c>
      <c r="AI30" s="185">
        <v>0.65430999999999995</v>
      </c>
      <c r="AJ30" s="185">
        <v>0.60106000000000004</v>
      </c>
      <c r="AK30" s="185">
        <v>0.75927999999999995</v>
      </c>
      <c r="AL30" s="185">
        <v>0.84413000000000005</v>
      </c>
      <c r="AM30" s="185">
        <v>0.90381</v>
      </c>
      <c r="AN30" s="185">
        <v>0.93994999999999995</v>
      </c>
      <c r="AO30" s="185"/>
      <c r="AP30" s="185">
        <v>1.26677</v>
      </c>
      <c r="AQ30" s="185"/>
      <c r="AR30" s="194"/>
      <c r="AS30" s="185">
        <v>0</v>
      </c>
      <c r="AT30" s="185">
        <v>0</v>
      </c>
      <c r="AU30" s="185">
        <v>0</v>
      </c>
      <c r="AV30" s="185">
        <v>0</v>
      </c>
      <c r="AW30" s="185">
        <v>0</v>
      </c>
      <c r="AX30" s="185">
        <v>0</v>
      </c>
      <c r="AY30" s="185">
        <v>0</v>
      </c>
      <c r="AZ30" s="185">
        <v>0</v>
      </c>
      <c r="BA30" s="185">
        <v>0</v>
      </c>
      <c r="BB30" s="185"/>
      <c r="BC30" s="185">
        <v>0</v>
      </c>
      <c r="BD30" s="185"/>
      <c r="BE30" s="194"/>
      <c r="BF30" s="185">
        <v>5.4200000000000003E-3</v>
      </c>
      <c r="BG30" s="185">
        <v>6.3400000000000001E-3</v>
      </c>
      <c r="BH30" s="185">
        <v>0</v>
      </c>
      <c r="BI30" s="185">
        <v>0</v>
      </c>
      <c r="BJ30" s="185">
        <v>0</v>
      </c>
      <c r="BK30" s="185">
        <v>0</v>
      </c>
      <c r="BL30" s="185">
        <v>0</v>
      </c>
      <c r="BM30" s="185">
        <v>0</v>
      </c>
      <c r="BN30" s="185">
        <v>0</v>
      </c>
      <c r="BO30" s="185"/>
      <c r="BP30" s="185">
        <v>0</v>
      </c>
      <c r="BQ30" s="185"/>
      <c r="BR30" s="194"/>
      <c r="BS30" s="185">
        <v>0</v>
      </c>
      <c r="BT30" s="185">
        <v>0.77851000000000004</v>
      </c>
      <c r="BU30" s="185">
        <v>7.5749999999999998E-2</v>
      </c>
      <c r="BV30" s="185">
        <v>0</v>
      </c>
      <c r="BW30" s="185">
        <v>-0.13289999999999999</v>
      </c>
      <c r="BX30" s="185">
        <v>-4.8700000000000002E-3</v>
      </c>
      <c r="BY30" s="185">
        <v>0</v>
      </c>
      <c r="BZ30" s="185">
        <v>0</v>
      </c>
      <c r="CA30" s="185">
        <v>0</v>
      </c>
      <c r="CB30" s="185"/>
      <c r="CC30" s="185">
        <v>0</v>
      </c>
      <c r="CD30" s="185"/>
      <c r="CE30" s="194"/>
      <c r="CF30" s="185">
        <v>8.4834700000000005</v>
      </c>
      <c r="CG30" s="185">
        <v>7.6307099999999997</v>
      </c>
      <c r="CH30" s="185">
        <v>8.3817299999999992</v>
      </c>
      <c r="CI30" s="185">
        <v>10.33084</v>
      </c>
      <c r="CJ30" s="185">
        <v>10.69333</v>
      </c>
      <c r="CK30" s="185">
        <v>9.7167999999999992</v>
      </c>
      <c r="CL30" s="185">
        <v>9.4452800000000003</v>
      </c>
      <c r="CM30" s="185">
        <v>9.8014299999999999</v>
      </c>
      <c r="CN30" s="185">
        <v>10.004949999999999</v>
      </c>
      <c r="CO30" s="185"/>
      <c r="CP30" s="185">
        <v>10.488659999999999</v>
      </c>
      <c r="CQ30" s="185"/>
      <c r="CR30" s="194"/>
      <c r="CS30" s="185">
        <v>8.0493199999999998</v>
      </c>
      <c r="CT30" s="185">
        <v>8.0595499999999998</v>
      </c>
      <c r="CU30" s="185">
        <v>8.0373800000000006</v>
      </c>
      <c r="CV30" s="185">
        <v>9.8122699999999998</v>
      </c>
      <c r="CW30" s="185">
        <v>9.9605499999999996</v>
      </c>
      <c r="CX30" s="185">
        <v>9.0536700000000003</v>
      </c>
      <c r="CY30" s="185">
        <v>8.7119900000000001</v>
      </c>
      <c r="CZ30" s="185">
        <v>9.0798500000000004</v>
      </c>
      <c r="DA30" s="185">
        <v>9.2966999999999995</v>
      </c>
      <c r="DB30" s="185"/>
      <c r="DC30" s="185">
        <v>9.77041</v>
      </c>
      <c r="DD30" s="185"/>
      <c r="DE30" s="194"/>
      <c r="DF30" s="187">
        <v>5.3100000000000001E-2</v>
      </c>
      <c r="DG30" s="187">
        <v>6.4899999999999999E-2</v>
      </c>
      <c r="DH30" s="187">
        <v>6.4799999999999996E-2</v>
      </c>
      <c r="DI30" s="187">
        <v>6.3299999999999995E-2</v>
      </c>
      <c r="DJ30" s="187">
        <v>5.62E-2</v>
      </c>
      <c r="DK30" s="187">
        <v>7.8100000000000003E-2</v>
      </c>
      <c r="DL30" s="187">
        <v>8.9399999999999993E-2</v>
      </c>
      <c r="DM30" s="187">
        <v>9.2200000000000004E-2</v>
      </c>
      <c r="DN30" s="187">
        <v>9.3899999999999997E-2</v>
      </c>
      <c r="DO30" s="187"/>
      <c r="DP30" s="187">
        <v>0.1208</v>
      </c>
      <c r="DQ30" s="187"/>
      <c r="DR30" s="195"/>
      <c r="DS30" s="185">
        <v>0</v>
      </c>
      <c r="DT30" s="185">
        <v>0</v>
      </c>
      <c r="DU30" s="185">
        <v>0</v>
      </c>
      <c r="DV30" s="185">
        <v>0</v>
      </c>
      <c r="DW30" s="185">
        <v>0</v>
      </c>
      <c r="DX30" s="185">
        <v>0</v>
      </c>
      <c r="DY30" s="185">
        <v>0</v>
      </c>
      <c r="DZ30" s="185">
        <v>0</v>
      </c>
      <c r="EA30" s="185">
        <v>0</v>
      </c>
      <c r="EB30" s="185"/>
      <c r="EC30" s="185">
        <v>0</v>
      </c>
      <c r="ED30" s="185"/>
      <c r="EE30" s="194"/>
      <c r="EF30" s="185">
        <v>0</v>
      </c>
      <c r="EG30" s="185">
        <v>0</v>
      </c>
      <c r="EH30" s="185">
        <v>0</v>
      </c>
      <c r="EI30" s="185">
        <v>0</v>
      </c>
      <c r="EJ30" s="185">
        <v>0</v>
      </c>
      <c r="EK30" s="185">
        <v>0</v>
      </c>
      <c r="EL30" s="185">
        <v>0</v>
      </c>
      <c r="EM30" s="185">
        <v>0</v>
      </c>
      <c r="EN30" s="185">
        <v>0</v>
      </c>
      <c r="EO30" s="185"/>
      <c r="EP30" s="185">
        <v>0</v>
      </c>
      <c r="EQ30" s="185"/>
      <c r="ER30" s="194"/>
      <c r="ES30" s="185">
        <v>44300</v>
      </c>
      <c r="ET30" s="185">
        <v>40197</v>
      </c>
      <c r="EU30" s="185">
        <v>42313</v>
      </c>
      <c r="EV30" s="185">
        <v>47645</v>
      </c>
      <c r="EW30" s="185">
        <v>46988</v>
      </c>
      <c r="EX30" s="185">
        <v>45356</v>
      </c>
      <c r="EY30" s="185">
        <v>46191</v>
      </c>
      <c r="EZ30" s="185">
        <v>46055.305910000003</v>
      </c>
      <c r="FA30" s="185">
        <v>48252.95635</v>
      </c>
      <c r="FB30" s="185"/>
      <c r="FC30" s="185">
        <v>48553.26283</v>
      </c>
      <c r="FD30" s="185"/>
      <c r="FE30" s="194"/>
      <c r="FF30" s="185"/>
      <c r="FG30" s="185"/>
      <c r="FH30" s="185"/>
      <c r="FI30" s="185"/>
      <c r="FJ30" s="185"/>
      <c r="FK30" s="185"/>
      <c r="FL30" s="185"/>
      <c r="FM30" s="185"/>
      <c r="FN30" s="185"/>
      <c r="FO30" s="185"/>
      <c r="FP30" s="185"/>
      <c r="FQ30" s="185"/>
      <c r="FR30" s="194"/>
    </row>
    <row r="31" spans="5:174" x14ac:dyDescent="0.25">
      <c r="E31" s="2" t="s">
        <v>174</v>
      </c>
      <c r="F31" s="184">
        <v>1.1412599999999999</v>
      </c>
      <c r="G31" s="185">
        <v>0.89551000000000003</v>
      </c>
      <c r="H31" s="185">
        <v>1.0576399999999999</v>
      </c>
      <c r="I31" s="185">
        <v>1.20913</v>
      </c>
      <c r="J31" s="185">
        <v>1.3670599999999999</v>
      </c>
      <c r="K31" s="185">
        <v>1.4897899999999999</v>
      </c>
      <c r="L31" s="185">
        <v>1.5845800000000001</v>
      </c>
      <c r="M31" s="185">
        <v>1.6410899999999999</v>
      </c>
      <c r="N31" s="185">
        <v>1.4808399999999999</v>
      </c>
      <c r="O31" s="185"/>
      <c r="P31" s="185">
        <v>1.5084900000000001</v>
      </c>
      <c r="Q31" s="185"/>
      <c r="R31" s="194"/>
      <c r="S31" s="185">
        <v>18.794119999999999</v>
      </c>
      <c r="T31" s="185">
        <v>16.018329999999999</v>
      </c>
      <c r="U31" s="185">
        <v>16.992249999999999</v>
      </c>
      <c r="V31" s="185">
        <v>20.04102</v>
      </c>
      <c r="W31" s="185">
        <v>21.128419999999998</v>
      </c>
      <c r="X31" s="185">
        <v>21.807169999999999</v>
      </c>
      <c r="Y31" s="185">
        <v>20.953469999999999</v>
      </c>
      <c r="Z31" s="185">
        <v>20.905080000000002</v>
      </c>
      <c r="AA31" s="185">
        <v>21.617329999999999</v>
      </c>
      <c r="AB31" s="185"/>
      <c r="AC31" s="185">
        <v>21.575859999999999</v>
      </c>
      <c r="AD31" s="185"/>
      <c r="AE31" s="194"/>
      <c r="AF31" s="185">
        <v>1.2016199999999999</v>
      </c>
      <c r="AG31" s="185">
        <v>1.28528</v>
      </c>
      <c r="AH31" s="185">
        <v>1.5284500000000001</v>
      </c>
      <c r="AI31" s="185">
        <v>1.5766100000000001</v>
      </c>
      <c r="AJ31" s="185">
        <v>1.43895</v>
      </c>
      <c r="AK31" s="185">
        <v>1.6475200000000001</v>
      </c>
      <c r="AL31" s="185">
        <v>1.58989</v>
      </c>
      <c r="AM31" s="185">
        <v>1.7562500000000001</v>
      </c>
      <c r="AN31" s="185">
        <v>1.6719200000000001</v>
      </c>
      <c r="AO31" s="185"/>
      <c r="AP31" s="185">
        <v>2.3050600000000001</v>
      </c>
      <c r="AQ31" s="185"/>
      <c r="AR31" s="194"/>
      <c r="AS31" s="185">
        <v>0</v>
      </c>
      <c r="AT31" s="185">
        <v>0</v>
      </c>
      <c r="AU31" s="185">
        <v>0</v>
      </c>
      <c r="AV31" s="185">
        <v>0</v>
      </c>
      <c r="AW31" s="185">
        <v>0</v>
      </c>
      <c r="AX31" s="185">
        <v>0</v>
      </c>
      <c r="AY31" s="185">
        <v>0</v>
      </c>
      <c r="AZ31" s="185">
        <v>0</v>
      </c>
      <c r="BA31" s="185">
        <v>0</v>
      </c>
      <c r="BB31" s="185"/>
      <c r="BC31" s="185">
        <v>0</v>
      </c>
      <c r="BD31" s="185"/>
      <c r="BE31" s="194"/>
      <c r="BF31" s="185">
        <v>1.4149999999999999E-2</v>
      </c>
      <c r="BG31" s="185">
        <v>1.687E-2</v>
      </c>
      <c r="BH31" s="185">
        <v>0</v>
      </c>
      <c r="BI31" s="185">
        <v>0</v>
      </c>
      <c r="BJ31" s="185">
        <v>0</v>
      </c>
      <c r="BK31" s="185">
        <v>0</v>
      </c>
      <c r="BL31" s="185">
        <v>0</v>
      </c>
      <c r="BM31" s="185">
        <v>0</v>
      </c>
      <c r="BN31" s="185">
        <v>0</v>
      </c>
      <c r="BO31" s="185"/>
      <c r="BP31" s="185">
        <v>0</v>
      </c>
      <c r="BQ31" s="185"/>
      <c r="BR31" s="194"/>
      <c r="BS31" s="185">
        <v>0</v>
      </c>
      <c r="BT31" s="185">
        <v>1.22742</v>
      </c>
      <c r="BU31" s="185">
        <v>-0.23244999999999999</v>
      </c>
      <c r="BV31" s="185">
        <v>0</v>
      </c>
      <c r="BW31" s="185">
        <v>-0.27823999999999999</v>
      </c>
      <c r="BX31" s="185">
        <v>-1.0189999999999999E-2</v>
      </c>
      <c r="BY31" s="185">
        <v>0</v>
      </c>
      <c r="BZ31" s="185">
        <v>0</v>
      </c>
      <c r="CA31" s="185">
        <v>0</v>
      </c>
      <c r="CB31" s="185"/>
      <c r="CC31" s="185">
        <v>0</v>
      </c>
      <c r="CD31" s="185"/>
      <c r="CE31" s="194"/>
      <c r="CF31" s="185">
        <v>20.009879999999999</v>
      </c>
      <c r="CG31" s="185">
        <v>17.32048</v>
      </c>
      <c r="CH31" s="185">
        <v>18.520710000000001</v>
      </c>
      <c r="CI31" s="185">
        <v>21.617619999999999</v>
      </c>
      <c r="CJ31" s="185">
        <v>22.567360000000001</v>
      </c>
      <c r="CK31" s="185">
        <v>23.454699999999999</v>
      </c>
      <c r="CL31" s="185">
        <v>22.543369999999999</v>
      </c>
      <c r="CM31" s="185">
        <v>22.66132</v>
      </c>
      <c r="CN31" s="185">
        <v>23.289259999999999</v>
      </c>
      <c r="CO31" s="185"/>
      <c r="CP31" s="185">
        <v>23.88092</v>
      </c>
      <c r="CQ31" s="185"/>
      <c r="CR31" s="194"/>
      <c r="CS31" s="185">
        <v>18.86862</v>
      </c>
      <c r="CT31" s="185">
        <v>17.65239</v>
      </c>
      <c r="CU31" s="185">
        <v>17.230609999999999</v>
      </c>
      <c r="CV31" s="185">
        <v>20.40849</v>
      </c>
      <c r="CW31" s="185">
        <v>20.922059999999998</v>
      </c>
      <c r="CX31" s="185">
        <v>21.954719999999998</v>
      </c>
      <c r="CY31" s="185">
        <v>20.95879</v>
      </c>
      <c r="CZ31" s="185">
        <v>21.020230000000002</v>
      </c>
      <c r="DA31" s="185">
        <v>21.808409999999999</v>
      </c>
      <c r="DB31" s="185"/>
      <c r="DC31" s="185">
        <v>22.372430000000001</v>
      </c>
      <c r="DD31" s="185"/>
      <c r="DE31" s="194"/>
      <c r="DF31" s="187">
        <v>6.0100000000000001E-2</v>
      </c>
      <c r="DG31" s="187">
        <v>7.4200000000000002E-2</v>
      </c>
      <c r="DH31" s="187">
        <v>8.2500000000000004E-2</v>
      </c>
      <c r="DI31" s="187">
        <v>7.2900000000000006E-2</v>
      </c>
      <c r="DJ31" s="187">
        <v>6.3799999999999996E-2</v>
      </c>
      <c r="DK31" s="187">
        <v>7.0199999999999999E-2</v>
      </c>
      <c r="DL31" s="187">
        <v>7.0499999999999993E-2</v>
      </c>
      <c r="DM31" s="187">
        <v>7.7499999999999999E-2</v>
      </c>
      <c r="DN31" s="187">
        <v>7.1800000000000003E-2</v>
      </c>
      <c r="DO31" s="187"/>
      <c r="DP31" s="187">
        <v>9.6500000000000002E-2</v>
      </c>
      <c r="DQ31" s="187"/>
      <c r="DR31" s="195"/>
      <c r="DS31" s="185">
        <v>0</v>
      </c>
      <c r="DT31" s="185">
        <v>0</v>
      </c>
      <c r="DU31" s="185">
        <v>0</v>
      </c>
      <c r="DV31" s="185">
        <v>0</v>
      </c>
      <c r="DW31" s="185">
        <v>0</v>
      </c>
      <c r="DX31" s="185">
        <v>0</v>
      </c>
      <c r="DY31" s="185">
        <v>0</v>
      </c>
      <c r="DZ31" s="185">
        <v>0</v>
      </c>
      <c r="EA31" s="185">
        <v>0</v>
      </c>
      <c r="EB31" s="185"/>
      <c r="EC31" s="185">
        <v>0</v>
      </c>
      <c r="ED31" s="185"/>
      <c r="EE31" s="194"/>
      <c r="EF31" s="185">
        <v>0</v>
      </c>
      <c r="EG31" s="185">
        <v>0</v>
      </c>
      <c r="EH31" s="185">
        <v>0</v>
      </c>
      <c r="EI31" s="185">
        <v>0</v>
      </c>
      <c r="EJ31" s="185">
        <v>0</v>
      </c>
      <c r="EK31" s="185">
        <v>0</v>
      </c>
      <c r="EL31" s="185">
        <v>0</v>
      </c>
      <c r="EM31" s="185">
        <v>0</v>
      </c>
      <c r="EN31" s="185">
        <v>0</v>
      </c>
      <c r="EO31" s="185"/>
      <c r="EP31" s="185">
        <v>0</v>
      </c>
      <c r="EQ31" s="185"/>
      <c r="ER31" s="194"/>
      <c r="ES31" s="185">
        <v>113343</v>
      </c>
      <c r="ET31" s="185">
        <v>98529</v>
      </c>
      <c r="EU31" s="185">
        <v>109227</v>
      </c>
      <c r="EV31" s="185">
        <v>118526</v>
      </c>
      <c r="EW31" s="185">
        <v>120259</v>
      </c>
      <c r="EX31" s="185">
        <v>125835</v>
      </c>
      <c r="EY31" s="185">
        <v>122829</v>
      </c>
      <c r="EZ31" s="185">
        <v>121201.65822</v>
      </c>
      <c r="FA31" s="185">
        <v>127144.54321</v>
      </c>
      <c r="FB31" s="185"/>
      <c r="FC31" s="185">
        <v>125721.75782</v>
      </c>
      <c r="FD31" s="185"/>
      <c r="FE31" s="194"/>
      <c r="FF31" s="185"/>
      <c r="FG31" s="185"/>
      <c r="FH31" s="185"/>
      <c r="FI31" s="185"/>
      <c r="FJ31" s="185"/>
      <c r="FK31" s="185"/>
      <c r="FL31" s="185"/>
      <c r="FM31" s="185"/>
      <c r="FN31" s="185"/>
      <c r="FO31" s="185"/>
      <c r="FP31" s="185"/>
      <c r="FQ31" s="185"/>
      <c r="FR31" s="194"/>
    </row>
    <row r="32" spans="5:174" x14ac:dyDescent="0.25">
      <c r="E32" s="2" t="s">
        <v>175</v>
      </c>
      <c r="F32" s="184">
        <v>1.1430199999999999</v>
      </c>
      <c r="G32" s="185">
        <v>0.78013999999999994</v>
      </c>
      <c r="H32" s="185">
        <v>0.97199000000000002</v>
      </c>
      <c r="I32" s="185">
        <v>1.07626</v>
      </c>
      <c r="J32" s="185">
        <v>1.16594</v>
      </c>
      <c r="K32" s="185">
        <v>1.26597</v>
      </c>
      <c r="L32" s="185">
        <v>1.3789100000000001</v>
      </c>
      <c r="M32" s="185">
        <v>1.3889899999999999</v>
      </c>
      <c r="N32" s="185">
        <v>1.39178</v>
      </c>
      <c r="O32" s="185"/>
      <c r="P32" s="185">
        <v>1.41553</v>
      </c>
      <c r="Q32" s="185"/>
      <c r="R32" s="194"/>
      <c r="S32" s="185">
        <v>20.832049999999999</v>
      </c>
      <c r="T32" s="185">
        <v>19.305990000000001</v>
      </c>
      <c r="U32" s="185">
        <v>20.614159999999998</v>
      </c>
      <c r="V32" s="185">
        <v>24.029699999999998</v>
      </c>
      <c r="W32" s="185">
        <v>26.040420000000001</v>
      </c>
      <c r="X32" s="185">
        <v>24.954619999999998</v>
      </c>
      <c r="Y32" s="185">
        <v>22.20026</v>
      </c>
      <c r="Z32" s="185">
        <v>22.72316</v>
      </c>
      <c r="AA32" s="185">
        <v>23.7486</v>
      </c>
      <c r="AB32" s="185"/>
      <c r="AC32" s="185">
        <v>24.120989999999999</v>
      </c>
      <c r="AD32" s="185"/>
      <c r="AE32" s="194"/>
      <c r="AF32" s="185">
        <v>1.0849800000000001</v>
      </c>
      <c r="AG32" s="185">
        <v>1.07416</v>
      </c>
      <c r="AH32" s="185">
        <v>1.19509</v>
      </c>
      <c r="AI32" s="185">
        <v>1.2969299999999999</v>
      </c>
      <c r="AJ32" s="185">
        <v>1.24396</v>
      </c>
      <c r="AK32" s="185">
        <v>1.47478</v>
      </c>
      <c r="AL32" s="185">
        <v>1.5145599999999999</v>
      </c>
      <c r="AM32" s="185">
        <v>1.5889</v>
      </c>
      <c r="AN32" s="185">
        <v>1.7263599999999999</v>
      </c>
      <c r="AO32" s="185"/>
      <c r="AP32" s="185">
        <v>2.38259</v>
      </c>
      <c r="AQ32" s="185"/>
      <c r="AR32" s="194"/>
      <c r="AS32" s="185">
        <v>0</v>
      </c>
      <c r="AT32" s="185">
        <v>0</v>
      </c>
      <c r="AU32" s="185">
        <v>0</v>
      </c>
      <c r="AV32" s="185">
        <v>0</v>
      </c>
      <c r="AW32" s="185">
        <v>0</v>
      </c>
      <c r="AX32" s="185">
        <v>0</v>
      </c>
      <c r="AY32" s="185">
        <v>0</v>
      </c>
      <c r="AZ32" s="185">
        <v>0</v>
      </c>
      <c r="BA32" s="185">
        <v>0</v>
      </c>
      <c r="BB32" s="185"/>
      <c r="BC32" s="185">
        <v>0</v>
      </c>
      <c r="BD32" s="185"/>
      <c r="BE32" s="194"/>
      <c r="BF32" s="185">
        <v>1.17E-2</v>
      </c>
      <c r="BG32" s="185">
        <v>1.261E-2</v>
      </c>
      <c r="BH32" s="185">
        <v>0</v>
      </c>
      <c r="BI32" s="185">
        <v>0</v>
      </c>
      <c r="BJ32" s="185">
        <v>0</v>
      </c>
      <c r="BK32" s="185">
        <v>0</v>
      </c>
      <c r="BL32" s="185">
        <v>0</v>
      </c>
      <c r="BM32" s="185">
        <v>0</v>
      </c>
      <c r="BN32" s="185">
        <v>0</v>
      </c>
      <c r="BO32" s="185"/>
      <c r="BP32" s="185">
        <v>0</v>
      </c>
      <c r="BQ32" s="185"/>
      <c r="BR32" s="194"/>
      <c r="BS32" s="185">
        <v>0</v>
      </c>
      <c r="BT32" s="185">
        <v>2.2192099999999999</v>
      </c>
      <c r="BU32" s="185">
        <v>0.91869000000000001</v>
      </c>
      <c r="BV32" s="185">
        <v>0</v>
      </c>
      <c r="BW32" s="185">
        <v>-0.34292</v>
      </c>
      <c r="BX32" s="185">
        <v>-1.256E-2</v>
      </c>
      <c r="BY32" s="185">
        <v>0</v>
      </c>
      <c r="BZ32" s="185">
        <v>0</v>
      </c>
      <c r="CA32" s="185">
        <v>0</v>
      </c>
      <c r="CB32" s="185"/>
      <c r="CC32" s="185">
        <v>0</v>
      </c>
      <c r="CD32" s="185"/>
      <c r="CE32" s="194"/>
      <c r="CF32" s="185">
        <v>21.928730000000002</v>
      </c>
      <c r="CG32" s="185">
        <v>20.392749999999999</v>
      </c>
      <c r="CH32" s="185">
        <v>21.809249999999999</v>
      </c>
      <c r="CI32" s="185">
        <v>25.326619999999998</v>
      </c>
      <c r="CJ32" s="185">
        <v>27.284379999999999</v>
      </c>
      <c r="CK32" s="185">
        <v>26.429400000000001</v>
      </c>
      <c r="CL32" s="185">
        <v>23.714829999999999</v>
      </c>
      <c r="CM32" s="185">
        <v>24.312059999999999</v>
      </c>
      <c r="CN32" s="185">
        <v>25.47495</v>
      </c>
      <c r="CO32" s="185"/>
      <c r="CP32" s="185">
        <v>26.503579999999999</v>
      </c>
      <c r="CQ32" s="185"/>
      <c r="CR32" s="194"/>
      <c r="CS32" s="185">
        <v>20.785710000000002</v>
      </c>
      <c r="CT32" s="185">
        <v>21.83182</v>
      </c>
      <c r="CU32" s="185">
        <v>21.755949999999999</v>
      </c>
      <c r="CV32" s="185">
        <v>24.250360000000001</v>
      </c>
      <c r="CW32" s="185">
        <v>25.775510000000001</v>
      </c>
      <c r="CX32" s="185">
        <v>25.150870000000001</v>
      </c>
      <c r="CY32" s="185">
        <v>22.335920000000002</v>
      </c>
      <c r="CZ32" s="185">
        <v>22.923079999999999</v>
      </c>
      <c r="DA32" s="185">
        <v>24.083179999999999</v>
      </c>
      <c r="DB32" s="185"/>
      <c r="DC32" s="185">
        <v>25.088039999999999</v>
      </c>
      <c r="DD32" s="185"/>
      <c r="DE32" s="194"/>
      <c r="DF32" s="187">
        <v>4.9500000000000002E-2</v>
      </c>
      <c r="DG32" s="187">
        <v>5.2699999999999997E-2</v>
      </c>
      <c r="DH32" s="187">
        <v>5.4800000000000001E-2</v>
      </c>
      <c r="DI32" s="187">
        <v>5.1200000000000002E-2</v>
      </c>
      <c r="DJ32" s="187">
        <v>4.5600000000000002E-2</v>
      </c>
      <c r="DK32" s="187">
        <v>5.5800000000000002E-2</v>
      </c>
      <c r="DL32" s="187">
        <v>6.3899999999999998E-2</v>
      </c>
      <c r="DM32" s="187">
        <v>6.54E-2</v>
      </c>
      <c r="DN32" s="187">
        <v>6.7799999999999999E-2</v>
      </c>
      <c r="DO32" s="187"/>
      <c r="DP32" s="187">
        <v>8.9899999999999994E-2</v>
      </c>
      <c r="DQ32" s="187"/>
      <c r="DR32" s="195"/>
      <c r="DS32" s="185">
        <v>0</v>
      </c>
      <c r="DT32" s="185">
        <v>0</v>
      </c>
      <c r="DU32" s="185">
        <v>0</v>
      </c>
      <c r="DV32" s="185">
        <v>0</v>
      </c>
      <c r="DW32" s="185">
        <v>0</v>
      </c>
      <c r="DX32" s="185">
        <v>0</v>
      </c>
      <c r="DY32" s="185">
        <v>0</v>
      </c>
      <c r="DZ32" s="185">
        <v>0</v>
      </c>
      <c r="EA32" s="185">
        <v>0</v>
      </c>
      <c r="EB32" s="185"/>
      <c r="EC32" s="185">
        <v>0</v>
      </c>
      <c r="ED32" s="185"/>
      <c r="EE32" s="194"/>
      <c r="EF32" s="185">
        <v>0</v>
      </c>
      <c r="EG32" s="185">
        <v>0</v>
      </c>
      <c r="EH32" s="185">
        <v>0</v>
      </c>
      <c r="EI32" s="185">
        <v>0</v>
      </c>
      <c r="EJ32" s="185">
        <v>0</v>
      </c>
      <c r="EK32" s="185">
        <v>0</v>
      </c>
      <c r="EL32" s="185">
        <v>0</v>
      </c>
      <c r="EM32" s="185">
        <v>0</v>
      </c>
      <c r="EN32" s="185">
        <v>0</v>
      </c>
      <c r="EO32" s="185"/>
      <c r="EP32" s="185">
        <v>0</v>
      </c>
      <c r="EQ32" s="185"/>
      <c r="ER32" s="194"/>
      <c r="ES32" s="185">
        <v>118300</v>
      </c>
      <c r="ET32" s="185">
        <v>116631</v>
      </c>
      <c r="EU32" s="185">
        <v>128910</v>
      </c>
      <c r="EV32" s="185">
        <v>146044</v>
      </c>
      <c r="EW32" s="185">
        <v>147899</v>
      </c>
      <c r="EX32" s="185">
        <v>149779</v>
      </c>
      <c r="EY32" s="185">
        <v>144859</v>
      </c>
      <c r="EZ32" s="185">
        <v>146613.37617999999</v>
      </c>
      <c r="FA32" s="185">
        <v>151350.61293</v>
      </c>
      <c r="FB32" s="185"/>
      <c r="FC32" s="185">
        <v>152185.84237999999</v>
      </c>
      <c r="FD32" s="185"/>
      <c r="FE32" s="194"/>
      <c r="FF32" s="185"/>
      <c r="FG32" s="185"/>
      <c r="FH32" s="185"/>
      <c r="FI32" s="185"/>
      <c r="FJ32" s="185"/>
      <c r="FK32" s="185"/>
      <c r="FL32" s="185"/>
      <c r="FM32" s="185"/>
      <c r="FN32" s="185"/>
      <c r="FO32" s="185"/>
      <c r="FP32" s="185"/>
      <c r="FQ32" s="185"/>
      <c r="FR32" s="194"/>
    </row>
    <row r="33" spans="5:174" x14ac:dyDescent="0.25">
      <c r="E33" s="2" t="s">
        <v>176</v>
      </c>
      <c r="F33" s="184">
        <v>0.74322999999999995</v>
      </c>
      <c r="G33" s="185">
        <v>0.5151</v>
      </c>
      <c r="H33" s="185">
        <v>0.57630000000000003</v>
      </c>
      <c r="I33" s="185">
        <v>0.66998000000000002</v>
      </c>
      <c r="J33" s="185">
        <v>0.72553999999999996</v>
      </c>
      <c r="K33" s="185">
        <v>0.75814000000000004</v>
      </c>
      <c r="L33" s="185">
        <v>0.77185000000000004</v>
      </c>
      <c r="M33" s="185">
        <v>0.82057999999999998</v>
      </c>
      <c r="N33" s="185">
        <v>0.77580000000000005</v>
      </c>
      <c r="O33" s="185"/>
      <c r="P33" s="185">
        <v>0.80945</v>
      </c>
      <c r="Q33" s="185"/>
      <c r="R33" s="194"/>
      <c r="S33" s="185">
        <v>9.4431399999999996</v>
      </c>
      <c r="T33" s="185">
        <v>9.7407800000000009</v>
      </c>
      <c r="U33" s="185">
        <v>10.146940000000001</v>
      </c>
      <c r="V33" s="185">
        <v>11.726039999999999</v>
      </c>
      <c r="W33" s="185">
        <v>12.32559</v>
      </c>
      <c r="X33" s="185">
        <v>12.712680000000001</v>
      </c>
      <c r="Y33" s="185">
        <v>11.78637</v>
      </c>
      <c r="Z33" s="185">
        <v>12.18186</v>
      </c>
      <c r="AA33" s="185">
        <v>13.87242</v>
      </c>
      <c r="AB33" s="185"/>
      <c r="AC33" s="185">
        <v>12.637869999999999</v>
      </c>
      <c r="AD33" s="185"/>
      <c r="AE33" s="194"/>
      <c r="AF33" s="185">
        <v>0.59321999999999997</v>
      </c>
      <c r="AG33" s="185">
        <v>0.61551</v>
      </c>
      <c r="AH33" s="185">
        <v>0.65003999999999995</v>
      </c>
      <c r="AI33" s="185">
        <v>0.68406</v>
      </c>
      <c r="AJ33" s="185">
        <v>0.66173999999999999</v>
      </c>
      <c r="AK33" s="185">
        <v>0.74348000000000003</v>
      </c>
      <c r="AL33" s="185">
        <v>0.73324</v>
      </c>
      <c r="AM33" s="185">
        <v>0.80832999999999999</v>
      </c>
      <c r="AN33" s="185">
        <v>0.96445000000000003</v>
      </c>
      <c r="AO33" s="185"/>
      <c r="AP33" s="185">
        <v>1.2966599999999999</v>
      </c>
      <c r="AQ33" s="185"/>
      <c r="AR33" s="194"/>
      <c r="AS33" s="185">
        <v>0</v>
      </c>
      <c r="AT33" s="185">
        <v>0</v>
      </c>
      <c r="AU33" s="185">
        <v>0</v>
      </c>
      <c r="AV33" s="185">
        <v>0</v>
      </c>
      <c r="AW33" s="185">
        <v>0</v>
      </c>
      <c r="AX33" s="185">
        <v>0</v>
      </c>
      <c r="AY33" s="185">
        <v>0</v>
      </c>
      <c r="AZ33" s="185">
        <v>0</v>
      </c>
      <c r="BA33" s="185">
        <v>0</v>
      </c>
      <c r="BB33" s="185"/>
      <c r="BC33" s="185">
        <v>0</v>
      </c>
      <c r="BD33" s="185"/>
      <c r="BE33" s="194"/>
      <c r="BF33" s="185">
        <v>6.9499999999999996E-3</v>
      </c>
      <c r="BG33" s="185">
        <v>7.2100000000000003E-3</v>
      </c>
      <c r="BH33" s="185">
        <v>0</v>
      </c>
      <c r="BI33" s="185">
        <v>0</v>
      </c>
      <c r="BJ33" s="185">
        <v>0</v>
      </c>
      <c r="BK33" s="185">
        <v>0</v>
      </c>
      <c r="BL33" s="185">
        <v>0</v>
      </c>
      <c r="BM33" s="185">
        <v>0</v>
      </c>
      <c r="BN33" s="185">
        <v>0</v>
      </c>
      <c r="BO33" s="185"/>
      <c r="BP33" s="185">
        <v>0</v>
      </c>
      <c r="BQ33" s="185"/>
      <c r="BR33" s="194"/>
      <c r="BS33" s="185">
        <v>0</v>
      </c>
      <c r="BT33" s="185">
        <v>1.81839</v>
      </c>
      <c r="BU33" s="185">
        <v>0.73075999999999997</v>
      </c>
      <c r="BV33" s="185">
        <v>0</v>
      </c>
      <c r="BW33" s="185">
        <v>-0.16231000000000001</v>
      </c>
      <c r="BX33" s="185">
        <v>-5.9500000000000004E-3</v>
      </c>
      <c r="BY33" s="185">
        <v>0</v>
      </c>
      <c r="BZ33" s="185">
        <v>0</v>
      </c>
      <c r="CA33" s="185">
        <v>0</v>
      </c>
      <c r="CB33" s="185"/>
      <c r="CC33" s="185">
        <v>0</v>
      </c>
      <c r="CD33" s="185"/>
      <c r="CE33" s="194"/>
      <c r="CF33" s="185">
        <v>10.04331</v>
      </c>
      <c r="CG33" s="185">
        <v>10.3635</v>
      </c>
      <c r="CH33" s="185">
        <v>10.79698</v>
      </c>
      <c r="CI33" s="185">
        <v>12.4101</v>
      </c>
      <c r="CJ33" s="185">
        <v>12.98733</v>
      </c>
      <c r="CK33" s="185">
        <v>13.456160000000001</v>
      </c>
      <c r="CL33" s="185">
        <v>12.51961</v>
      </c>
      <c r="CM33" s="185">
        <v>12.99019</v>
      </c>
      <c r="CN33" s="185">
        <v>14.836869999999999</v>
      </c>
      <c r="CO33" s="185"/>
      <c r="CP33" s="185">
        <v>13.934519999999999</v>
      </c>
      <c r="CQ33" s="185"/>
      <c r="CR33" s="194"/>
      <c r="CS33" s="185">
        <v>9.3000799999999995</v>
      </c>
      <c r="CT33" s="185">
        <v>11.666790000000001</v>
      </c>
      <c r="CU33" s="185">
        <v>10.95143</v>
      </c>
      <c r="CV33" s="185">
        <v>11.740119999999999</v>
      </c>
      <c r="CW33" s="185">
        <v>12.09948</v>
      </c>
      <c r="CX33" s="185">
        <v>12.692080000000001</v>
      </c>
      <c r="CY33" s="185">
        <v>11.74775</v>
      </c>
      <c r="CZ33" s="185">
        <v>12.16962</v>
      </c>
      <c r="DA33" s="185">
        <v>14.061059999999999</v>
      </c>
      <c r="DB33" s="185"/>
      <c r="DC33" s="185">
        <v>13.125080000000001</v>
      </c>
      <c r="DD33" s="185"/>
      <c r="DE33" s="194"/>
      <c r="DF33" s="187">
        <v>5.91E-2</v>
      </c>
      <c r="DG33" s="187">
        <v>5.9400000000000001E-2</v>
      </c>
      <c r="DH33" s="187">
        <v>6.0199999999999997E-2</v>
      </c>
      <c r="DI33" s="187">
        <v>5.5100000000000003E-2</v>
      </c>
      <c r="DJ33" s="187">
        <v>5.0999999999999997E-2</v>
      </c>
      <c r="DK33" s="187">
        <v>5.5300000000000002E-2</v>
      </c>
      <c r="DL33" s="187">
        <v>5.8599999999999999E-2</v>
      </c>
      <c r="DM33" s="187">
        <v>6.2199999999999998E-2</v>
      </c>
      <c r="DN33" s="187">
        <v>6.5000000000000002E-2</v>
      </c>
      <c r="DO33" s="187"/>
      <c r="DP33" s="187">
        <v>9.3100000000000002E-2</v>
      </c>
      <c r="DQ33" s="187"/>
      <c r="DR33" s="195"/>
      <c r="DS33" s="185">
        <v>0</v>
      </c>
      <c r="DT33" s="185">
        <v>0</v>
      </c>
      <c r="DU33" s="185">
        <v>0</v>
      </c>
      <c r="DV33" s="185">
        <v>0</v>
      </c>
      <c r="DW33" s="185">
        <v>0</v>
      </c>
      <c r="DX33" s="185">
        <v>0</v>
      </c>
      <c r="DY33" s="185">
        <v>0</v>
      </c>
      <c r="DZ33" s="185">
        <v>0</v>
      </c>
      <c r="EA33" s="185">
        <v>0</v>
      </c>
      <c r="EB33" s="185"/>
      <c r="EC33" s="185">
        <v>0</v>
      </c>
      <c r="ED33" s="185"/>
      <c r="EE33" s="194"/>
      <c r="EF33" s="185">
        <v>0</v>
      </c>
      <c r="EG33" s="185">
        <v>0</v>
      </c>
      <c r="EH33" s="185">
        <v>0</v>
      </c>
      <c r="EI33" s="185">
        <v>0</v>
      </c>
      <c r="EJ33" s="185">
        <v>0</v>
      </c>
      <c r="EK33" s="185">
        <v>0</v>
      </c>
      <c r="EL33" s="185">
        <v>0</v>
      </c>
      <c r="EM33" s="185">
        <v>0</v>
      </c>
      <c r="EN33" s="185">
        <v>0</v>
      </c>
      <c r="EO33" s="185"/>
      <c r="EP33" s="185">
        <v>0</v>
      </c>
      <c r="EQ33" s="185"/>
      <c r="ER33" s="194"/>
      <c r="ES33" s="185">
        <v>50747</v>
      </c>
      <c r="ET33" s="185">
        <v>56879</v>
      </c>
      <c r="EU33" s="185">
        <v>60547</v>
      </c>
      <c r="EV33" s="185">
        <v>61126</v>
      </c>
      <c r="EW33" s="185">
        <v>56411</v>
      </c>
      <c r="EX33" s="185">
        <v>54720</v>
      </c>
      <c r="EY33" s="185">
        <v>51378</v>
      </c>
      <c r="EZ33" s="185">
        <v>54831.134050000001</v>
      </c>
      <c r="FA33" s="185">
        <v>59686.835200000001</v>
      </c>
      <c r="FB33" s="185"/>
      <c r="FC33" s="185">
        <v>59485.252800000002</v>
      </c>
      <c r="FD33" s="185"/>
      <c r="FE33" s="194"/>
      <c r="FF33" s="185"/>
      <c r="FG33" s="185"/>
      <c r="FH33" s="185"/>
      <c r="FI33" s="185"/>
      <c r="FJ33" s="185"/>
      <c r="FK33" s="185"/>
      <c r="FL33" s="185"/>
      <c r="FM33" s="185"/>
      <c r="FN33" s="185"/>
      <c r="FO33" s="185"/>
      <c r="FP33" s="185"/>
      <c r="FQ33" s="185"/>
      <c r="FR33" s="194"/>
    </row>
    <row r="34" spans="5:174" x14ac:dyDescent="0.25">
      <c r="E34" s="2" t="s">
        <v>177</v>
      </c>
      <c r="F34" s="184">
        <v>1.04836</v>
      </c>
      <c r="G34" s="185">
        <v>0.77605999999999997</v>
      </c>
      <c r="H34" s="185">
        <v>0.88954999999999995</v>
      </c>
      <c r="I34" s="185">
        <v>1.0257400000000001</v>
      </c>
      <c r="J34" s="185">
        <v>1.1620999999999999</v>
      </c>
      <c r="K34" s="185">
        <v>1.3748499999999999</v>
      </c>
      <c r="L34" s="185">
        <v>1.52424</v>
      </c>
      <c r="M34" s="185">
        <v>1.5621</v>
      </c>
      <c r="N34" s="185">
        <v>1.47668</v>
      </c>
      <c r="O34" s="185"/>
      <c r="P34" s="185">
        <v>1.50891</v>
      </c>
      <c r="Q34" s="185"/>
      <c r="R34" s="194"/>
      <c r="S34" s="185">
        <v>13.422779999999999</v>
      </c>
      <c r="T34" s="185">
        <v>11.30128</v>
      </c>
      <c r="U34" s="185">
        <v>12.468439999999999</v>
      </c>
      <c r="V34" s="185">
        <v>15.25999</v>
      </c>
      <c r="W34" s="185">
        <v>16.890270000000001</v>
      </c>
      <c r="X34" s="185">
        <v>16.292490000000001</v>
      </c>
      <c r="Y34" s="185">
        <v>15.863960000000001</v>
      </c>
      <c r="Z34" s="185">
        <v>15.454560000000001</v>
      </c>
      <c r="AA34" s="185">
        <v>18.212199999999999</v>
      </c>
      <c r="AB34" s="185"/>
      <c r="AC34" s="185">
        <v>18.135840000000002</v>
      </c>
      <c r="AD34" s="185"/>
      <c r="AE34" s="194"/>
      <c r="AF34" s="185">
        <v>1.3766</v>
      </c>
      <c r="AG34" s="185">
        <v>1.40126</v>
      </c>
      <c r="AH34" s="185">
        <v>1.5108900000000001</v>
      </c>
      <c r="AI34" s="185">
        <v>1.5360199999999999</v>
      </c>
      <c r="AJ34" s="185">
        <v>1.4893400000000001</v>
      </c>
      <c r="AK34" s="185">
        <v>2.0099999999999998</v>
      </c>
      <c r="AL34" s="185">
        <v>2.1146799999999999</v>
      </c>
      <c r="AM34" s="185">
        <v>2.2459199999999999</v>
      </c>
      <c r="AN34" s="185">
        <v>2.3682699999999999</v>
      </c>
      <c r="AO34" s="185"/>
      <c r="AP34" s="185">
        <v>2.9857399999999998</v>
      </c>
      <c r="AQ34" s="185"/>
      <c r="AR34" s="194"/>
      <c r="AS34" s="185">
        <v>0</v>
      </c>
      <c r="AT34" s="185">
        <v>0</v>
      </c>
      <c r="AU34" s="185">
        <v>0</v>
      </c>
      <c r="AV34" s="185">
        <v>0</v>
      </c>
      <c r="AW34" s="185">
        <v>0</v>
      </c>
      <c r="AX34" s="185">
        <v>0</v>
      </c>
      <c r="AY34" s="185">
        <v>0</v>
      </c>
      <c r="AZ34" s="185">
        <v>0</v>
      </c>
      <c r="BA34" s="185">
        <v>0</v>
      </c>
      <c r="BB34" s="185"/>
      <c r="BC34" s="185">
        <v>0</v>
      </c>
      <c r="BD34" s="185"/>
      <c r="BE34" s="194"/>
      <c r="BF34" s="185">
        <v>2.137E-2</v>
      </c>
      <c r="BG34" s="185">
        <v>2.222E-2</v>
      </c>
      <c r="BH34" s="185">
        <v>0</v>
      </c>
      <c r="BI34" s="185">
        <v>0</v>
      </c>
      <c r="BJ34" s="185">
        <v>0</v>
      </c>
      <c r="BK34" s="185">
        <v>0</v>
      </c>
      <c r="BL34" s="185">
        <v>0</v>
      </c>
      <c r="BM34" s="185">
        <v>0</v>
      </c>
      <c r="BN34" s="185">
        <v>0</v>
      </c>
      <c r="BO34" s="185"/>
      <c r="BP34" s="185">
        <v>0</v>
      </c>
      <c r="BQ34" s="185"/>
      <c r="BR34" s="194"/>
      <c r="BS34" s="185">
        <v>0</v>
      </c>
      <c r="BT34" s="185">
        <v>4.0550100000000002</v>
      </c>
      <c r="BU34" s="185">
        <v>0.67823</v>
      </c>
      <c r="BV34" s="185">
        <v>0</v>
      </c>
      <c r="BW34" s="185">
        <v>-0.22242999999999999</v>
      </c>
      <c r="BX34" s="185">
        <v>-8.1499999999999993E-3</v>
      </c>
      <c r="BY34" s="185">
        <v>0</v>
      </c>
      <c r="BZ34" s="185">
        <v>0</v>
      </c>
      <c r="CA34" s="185">
        <v>0</v>
      </c>
      <c r="CB34" s="185"/>
      <c r="CC34" s="185">
        <v>0</v>
      </c>
      <c r="CD34" s="185"/>
      <c r="CE34" s="194"/>
      <c r="CF34" s="185">
        <v>14.820740000000001</v>
      </c>
      <c r="CG34" s="185">
        <v>12.72476</v>
      </c>
      <c r="CH34" s="185">
        <v>13.979329999999999</v>
      </c>
      <c r="CI34" s="185">
        <v>16.795999999999999</v>
      </c>
      <c r="CJ34" s="185">
        <v>18.37961</v>
      </c>
      <c r="CK34" s="185">
        <v>18.302479999999999</v>
      </c>
      <c r="CL34" s="185">
        <v>17.978639999999999</v>
      </c>
      <c r="CM34" s="185">
        <v>17.700479999999999</v>
      </c>
      <c r="CN34" s="185">
        <v>20.580469999999998</v>
      </c>
      <c r="CO34" s="185"/>
      <c r="CP34" s="185">
        <v>21.121569999999998</v>
      </c>
      <c r="CQ34" s="185"/>
      <c r="CR34" s="194"/>
      <c r="CS34" s="185">
        <v>13.77238</v>
      </c>
      <c r="CT34" s="185">
        <v>16.003710000000002</v>
      </c>
      <c r="CU34" s="185">
        <v>13.76801</v>
      </c>
      <c r="CV34" s="185">
        <v>15.77026</v>
      </c>
      <c r="CW34" s="185">
        <v>16.995090000000001</v>
      </c>
      <c r="CX34" s="185">
        <v>16.91949</v>
      </c>
      <c r="CY34" s="185">
        <v>16.4544</v>
      </c>
      <c r="CZ34" s="185">
        <v>16.138380000000002</v>
      </c>
      <c r="DA34" s="185">
        <v>19.10379</v>
      </c>
      <c r="DB34" s="185"/>
      <c r="DC34" s="185">
        <v>19.612670000000001</v>
      </c>
      <c r="DD34" s="185"/>
      <c r="DE34" s="194"/>
      <c r="DF34" s="187">
        <v>9.2899999999999996E-2</v>
      </c>
      <c r="DG34" s="187">
        <v>0.1101</v>
      </c>
      <c r="DH34" s="187">
        <v>0.1081</v>
      </c>
      <c r="DI34" s="187">
        <v>9.1499999999999998E-2</v>
      </c>
      <c r="DJ34" s="187">
        <v>8.1000000000000003E-2</v>
      </c>
      <c r="DK34" s="187">
        <v>0.10979999999999999</v>
      </c>
      <c r="DL34" s="187">
        <v>0.1176</v>
      </c>
      <c r="DM34" s="187">
        <v>0.12690000000000001</v>
      </c>
      <c r="DN34" s="187">
        <v>0.11509999999999999</v>
      </c>
      <c r="DO34" s="187"/>
      <c r="DP34" s="187">
        <v>0.1414</v>
      </c>
      <c r="DQ34" s="187"/>
      <c r="DR34" s="195"/>
      <c r="DS34" s="185">
        <v>0</v>
      </c>
      <c r="DT34" s="185">
        <v>0</v>
      </c>
      <c r="DU34" s="185">
        <v>0</v>
      </c>
      <c r="DV34" s="185">
        <v>0</v>
      </c>
      <c r="DW34" s="185">
        <v>0</v>
      </c>
      <c r="DX34" s="185">
        <v>0</v>
      </c>
      <c r="DY34" s="185">
        <v>0</v>
      </c>
      <c r="DZ34" s="185">
        <v>0</v>
      </c>
      <c r="EA34" s="185">
        <v>0</v>
      </c>
      <c r="EB34" s="185"/>
      <c r="EC34" s="185">
        <v>0</v>
      </c>
      <c r="ED34" s="185"/>
      <c r="EE34" s="194"/>
      <c r="EF34" s="185">
        <v>0</v>
      </c>
      <c r="EG34" s="185">
        <v>0</v>
      </c>
      <c r="EH34" s="185">
        <v>0</v>
      </c>
      <c r="EI34" s="185">
        <v>0</v>
      </c>
      <c r="EJ34" s="185">
        <v>0</v>
      </c>
      <c r="EK34" s="185">
        <v>0</v>
      </c>
      <c r="EL34" s="185">
        <v>0</v>
      </c>
      <c r="EM34" s="185">
        <v>0</v>
      </c>
      <c r="EN34" s="185">
        <v>0</v>
      </c>
      <c r="EO34" s="185"/>
      <c r="EP34" s="185">
        <v>0</v>
      </c>
      <c r="EQ34" s="185"/>
      <c r="ER34" s="194"/>
      <c r="ES34" s="185">
        <v>71298</v>
      </c>
      <c r="ET34" s="185">
        <v>58939</v>
      </c>
      <c r="EU34" s="185">
        <v>63699</v>
      </c>
      <c r="EV34" s="185">
        <v>64877</v>
      </c>
      <c r="EW34" s="185">
        <v>70661</v>
      </c>
      <c r="EX34" s="185">
        <v>70394</v>
      </c>
      <c r="EY34" s="185">
        <v>67619</v>
      </c>
      <c r="EZ34" s="185">
        <v>67365.511809999996</v>
      </c>
      <c r="FA34" s="185">
        <v>71189.292759999997</v>
      </c>
      <c r="FB34" s="185"/>
      <c r="FC34" s="185">
        <v>70003.726790000001</v>
      </c>
      <c r="FD34" s="185"/>
      <c r="FE34" s="194"/>
      <c r="FF34" s="185"/>
      <c r="FG34" s="185"/>
      <c r="FH34" s="185"/>
      <c r="FI34" s="185"/>
      <c r="FJ34" s="185"/>
      <c r="FK34" s="185"/>
      <c r="FL34" s="185"/>
      <c r="FM34" s="185"/>
      <c r="FN34" s="185"/>
      <c r="FO34" s="185"/>
      <c r="FP34" s="185"/>
      <c r="FQ34" s="185"/>
      <c r="FR34" s="194"/>
    </row>
    <row r="35" spans="5:174" x14ac:dyDescent="0.25">
      <c r="E35" s="2" t="s">
        <v>178</v>
      </c>
      <c r="F35" s="184">
        <v>1.7068000000000001</v>
      </c>
      <c r="G35" s="185">
        <v>1.16395</v>
      </c>
      <c r="H35" s="185">
        <v>1.2924800000000001</v>
      </c>
      <c r="I35" s="185">
        <v>1.44868</v>
      </c>
      <c r="J35" s="185">
        <v>1.5923099999999999</v>
      </c>
      <c r="K35" s="185">
        <v>1.83117</v>
      </c>
      <c r="L35" s="185">
        <v>1.9390000000000001</v>
      </c>
      <c r="M35" s="185">
        <v>1.8892199999999999</v>
      </c>
      <c r="N35" s="185">
        <v>1.86677</v>
      </c>
      <c r="O35" s="185"/>
      <c r="P35" s="185">
        <v>1.9123399999999999</v>
      </c>
      <c r="Q35" s="185"/>
      <c r="R35" s="194"/>
      <c r="S35" s="185">
        <v>17.07958</v>
      </c>
      <c r="T35" s="185">
        <v>16.660129999999999</v>
      </c>
      <c r="U35" s="185">
        <v>23.081499999999998</v>
      </c>
      <c r="V35" s="185">
        <v>26.776509999999998</v>
      </c>
      <c r="W35" s="185">
        <v>28.78436</v>
      </c>
      <c r="X35" s="185">
        <v>31.801929999999999</v>
      </c>
      <c r="Y35" s="185">
        <v>28.00798</v>
      </c>
      <c r="Z35" s="185">
        <v>25.277719999999999</v>
      </c>
      <c r="AA35" s="185">
        <v>30.058399999999999</v>
      </c>
      <c r="AB35" s="185"/>
      <c r="AC35" s="185">
        <v>33.571840000000002</v>
      </c>
      <c r="AD35" s="185"/>
      <c r="AE35" s="194"/>
      <c r="AF35" s="185">
        <v>1.42482</v>
      </c>
      <c r="AG35" s="185">
        <v>1.34256</v>
      </c>
      <c r="AH35" s="185">
        <v>1.6272</v>
      </c>
      <c r="AI35" s="185">
        <v>1.6980900000000001</v>
      </c>
      <c r="AJ35" s="185">
        <v>1.6054999999999999</v>
      </c>
      <c r="AK35" s="185">
        <v>1.82002</v>
      </c>
      <c r="AL35" s="185">
        <v>1.9429799999999999</v>
      </c>
      <c r="AM35" s="185">
        <v>2.3122199999999999</v>
      </c>
      <c r="AN35" s="185">
        <v>2.3542299999999998</v>
      </c>
      <c r="AO35" s="185"/>
      <c r="AP35" s="185">
        <v>3.1515599999999999</v>
      </c>
      <c r="AQ35" s="185"/>
      <c r="AR35" s="194"/>
      <c r="AS35" s="185">
        <v>0</v>
      </c>
      <c r="AT35" s="185">
        <v>0</v>
      </c>
      <c r="AU35" s="185">
        <v>0</v>
      </c>
      <c r="AV35" s="185">
        <v>0</v>
      </c>
      <c r="AW35" s="185">
        <v>0</v>
      </c>
      <c r="AX35" s="185">
        <v>0</v>
      </c>
      <c r="AY35" s="185">
        <v>0</v>
      </c>
      <c r="AZ35" s="185">
        <v>0</v>
      </c>
      <c r="BA35" s="185">
        <v>0</v>
      </c>
      <c r="BB35" s="185"/>
      <c r="BC35" s="185">
        <v>0</v>
      </c>
      <c r="BD35" s="185"/>
      <c r="BE35" s="194"/>
      <c r="BF35" s="185">
        <v>1.7059999999999999E-2</v>
      </c>
      <c r="BG35" s="185">
        <v>1.6809999999999999E-2</v>
      </c>
      <c r="BH35" s="185">
        <v>0</v>
      </c>
      <c r="BI35" s="185">
        <v>0</v>
      </c>
      <c r="BJ35" s="185">
        <v>0</v>
      </c>
      <c r="BK35" s="185">
        <v>0</v>
      </c>
      <c r="BL35" s="185">
        <v>0</v>
      </c>
      <c r="BM35" s="185">
        <v>0</v>
      </c>
      <c r="BN35" s="185">
        <v>0</v>
      </c>
      <c r="BO35" s="185"/>
      <c r="BP35" s="185">
        <v>0</v>
      </c>
      <c r="BQ35" s="185"/>
      <c r="BR35" s="194"/>
      <c r="BS35" s="185">
        <v>0</v>
      </c>
      <c r="BT35" s="185">
        <v>2.2748900000000001</v>
      </c>
      <c r="BU35" s="185">
        <v>-1.0968800000000001</v>
      </c>
      <c r="BV35" s="185">
        <v>0</v>
      </c>
      <c r="BW35" s="185">
        <v>-0.37906000000000001</v>
      </c>
      <c r="BX35" s="185">
        <v>-1.389E-2</v>
      </c>
      <c r="BY35" s="185">
        <v>0</v>
      </c>
      <c r="BZ35" s="185">
        <v>0</v>
      </c>
      <c r="CA35" s="185">
        <v>0</v>
      </c>
      <c r="CB35" s="185"/>
      <c r="CC35" s="185">
        <v>0</v>
      </c>
      <c r="CD35" s="185"/>
      <c r="CE35" s="194"/>
      <c r="CF35" s="185">
        <v>18.521470000000001</v>
      </c>
      <c r="CG35" s="185">
        <v>18.019500000000001</v>
      </c>
      <c r="CH35" s="185">
        <v>24.7087</v>
      </c>
      <c r="CI35" s="185">
        <v>28.474599999999999</v>
      </c>
      <c r="CJ35" s="185">
        <v>30.389859999999999</v>
      </c>
      <c r="CK35" s="185">
        <v>33.621940000000002</v>
      </c>
      <c r="CL35" s="185">
        <v>29.950959999999998</v>
      </c>
      <c r="CM35" s="185">
        <v>27.589939999999999</v>
      </c>
      <c r="CN35" s="185">
        <v>32.412640000000003</v>
      </c>
      <c r="CO35" s="185"/>
      <c r="CP35" s="185">
        <v>36.723399999999998</v>
      </c>
      <c r="CQ35" s="185"/>
      <c r="CR35" s="194"/>
      <c r="CS35" s="185">
        <v>16.81467</v>
      </c>
      <c r="CT35" s="185">
        <v>19.13044</v>
      </c>
      <c r="CU35" s="185">
        <v>22.31934</v>
      </c>
      <c r="CV35" s="185">
        <v>27.025919999999999</v>
      </c>
      <c r="CW35" s="185">
        <v>28.418489999999998</v>
      </c>
      <c r="CX35" s="185">
        <v>31.776890000000002</v>
      </c>
      <c r="CY35" s="185">
        <v>28.011959999999998</v>
      </c>
      <c r="CZ35" s="185">
        <v>25.70072</v>
      </c>
      <c r="DA35" s="185">
        <v>30.545870000000001</v>
      </c>
      <c r="DB35" s="185"/>
      <c r="DC35" s="185">
        <v>34.811059999999998</v>
      </c>
      <c r="DD35" s="185"/>
      <c r="DE35" s="194"/>
      <c r="DF35" s="187">
        <v>7.6899999999999996E-2</v>
      </c>
      <c r="DG35" s="187">
        <v>7.4499999999999997E-2</v>
      </c>
      <c r="DH35" s="187">
        <v>6.59E-2</v>
      </c>
      <c r="DI35" s="187">
        <v>5.96E-2</v>
      </c>
      <c r="DJ35" s="187">
        <v>5.28E-2</v>
      </c>
      <c r="DK35" s="187">
        <v>5.4100000000000002E-2</v>
      </c>
      <c r="DL35" s="187">
        <v>6.4899999999999999E-2</v>
      </c>
      <c r="DM35" s="187">
        <v>8.3799999999999999E-2</v>
      </c>
      <c r="DN35" s="187">
        <v>7.2599999999999998E-2</v>
      </c>
      <c r="DO35" s="187"/>
      <c r="DP35" s="187">
        <v>8.5800000000000001E-2</v>
      </c>
      <c r="DQ35" s="187"/>
      <c r="DR35" s="195"/>
      <c r="DS35" s="185">
        <v>0</v>
      </c>
      <c r="DT35" s="185">
        <v>0</v>
      </c>
      <c r="DU35" s="185">
        <v>0</v>
      </c>
      <c r="DV35" s="185">
        <v>0</v>
      </c>
      <c r="DW35" s="185">
        <v>0</v>
      </c>
      <c r="DX35" s="185">
        <v>0</v>
      </c>
      <c r="DY35" s="185">
        <v>0</v>
      </c>
      <c r="DZ35" s="185">
        <v>0</v>
      </c>
      <c r="EA35" s="185">
        <v>0</v>
      </c>
      <c r="EB35" s="185"/>
      <c r="EC35" s="185">
        <v>0</v>
      </c>
      <c r="ED35" s="185"/>
      <c r="EE35" s="194"/>
      <c r="EF35" s="185">
        <v>0</v>
      </c>
      <c r="EG35" s="185">
        <v>0</v>
      </c>
      <c r="EH35" s="185">
        <v>0</v>
      </c>
      <c r="EI35" s="185">
        <v>0</v>
      </c>
      <c r="EJ35" s="185">
        <v>0</v>
      </c>
      <c r="EK35" s="185">
        <v>0</v>
      </c>
      <c r="EL35" s="185">
        <v>0</v>
      </c>
      <c r="EM35" s="185">
        <v>0</v>
      </c>
      <c r="EN35" s="185">
        <v>0</v>
      </c>
      <c r="EO35" s="185"/>
      <c r="EP35" s="185">
        <v>0</v>
      </c>
      <c r="EQ35" s="185"/>
      <c r="ER35" s="194"/>
      <c r="ES35" s="185">
        <v>100981</v>
      </c>
      <c r="ET35" s="185">
        <v>102375</v>
      </c>
      <c r="EU35" s="185">
        <v>157087</v>
      </c>
      <c r="EV35" s="185">
        <v>164484</v>
      </c>
      <c r="EW35" s="185">
        <v>168976</v>
      </c>
      <c r="EX35" s="185">
        <v>167266</v>
      </c>
      <c r="EY35" s="185">
        <v>153731</v>
      </c>
      <c r="EZ35" s="185">
        <v>146169.25</v>
      </c>
      <c r="FA35" s="185">
        <v>155145.26681999999</v>
      </c>
      <c r="FB35" s="185"/>
      <c r="FC35" s="185">
        <v>145500.61431</v>
      </c>
      <c r="FD35" s="185"/>
      <c r="FE35" s="194"/>
      <c r="FF35" s="185"/>
      <c r="FG35" s="185"/>
      <c r="FH35" s="185"/>
      <c r="FI35" s="185"/>
      <c r="FJ35" s="185"/>
      <c r="FK35" s="185"/>
      <c r="FL35" s="185"/>
      <c r="FM35" s="185"/>
      <c r="FN35" s="185"/>
      <c r="FO35" s="185"/>
      <c r="FP35" s="185"/>
      <c r="FQ35" s="185"/>
      <c r="FR35" s="194"/>
    </row>
    <row r="36" spans="5:174" x14ac:dyDescent="0.25">
      <c r="E36" s="2" t="s">
        <v>179</v>
      </c>
      <c r="F36" s="184">
        <v>0.69737000000000005</v>
      </c>
      <c r="G36" s="185">
        <v>0.66139000000000003</v>
      </c>
      <c r="H36" s="185">
        <v>0.88844000000000001</v>
      </c>
      <c r="I36" s="185">
        <v>1.0113700000000001</v>
      </c>
      <c r="J36" s="185">
        <v>1.14741</v>
      </c>
      <c r="K36" s="185">
        <v>1.4356</v>
      </c>
      <c r="L36" s="185">
        <v>1.6920999999999999</v>
      </c>
      <c r="M36" s="185">
        <v>1.75017</v>
      </c>
      <c r="N36" s="185">
        <v>1.7462899999999999</v>
      </c>
      <c r="O36" s="185"/>
      <c r="P36" s="185">
        <v>1.79125</v>
      </c>
      <c r="Q36" s="185"/>
      <c r="R36" s="194"/>
      <c r="S36" s="185">
        <v>18.714310000000001</v>
      </c>
      <c r="T36" s="185">
        <v>18.380179999999999</v>
      </c>
      <c r="U36" s="185">
        <v>20.272790000000001</v>
      </c>
      <c r="V36" s="185">
        <v>24.112380000000002</v>
      </c>
      <c r="W36" s="185">
        <v>26.042919999999999</v>
      </c>
      <c r="X36" s="185">
        <v>28.03894</v>
      </c>
      <c r="Y36" s="185">
        <v>27.530629999999999</v>
      </c>
      <c r="Z36" s="185">
        <v>27.84253</v>
      </c>
      <c r="AA36" s="185">
        <v>29.914490000000001</v>
      </c>
      <c r="AB36" s="185"/>
      <c r="AC36" s="185">
        <v>30.57282</v>
      </c>
      <c r="AD36" s="185"/>
      <c r="AE36" s="194"/>
      <c r="AF36" s="185">
        <v>1.0752299999999999</v>
      </c>
      <c r="AG36" s="185">
        <v>1.24753</v>
      </c>
      <c r="AH36" s="185">
        <v>1.4395800000000001</v>
      </c>
      <c r="AI36" s="185">
        <v>1.49472</v>
      </c>
      <c r="AJ36" s="185">
        <v>1.43367</v>
      </c>
      <c r="AK36" s="185">
        <v>1.96089</v>
      </c>
      <c r="AL36" s="185">
        <v>2.2894600000000001</v>
      </c>
      <c r="AM36" s="185">
        <v>2.5687199999999999</v>
      </c>
      <c r="AN36" s="185">
        <v>2.55837</v>
      </c>
      <c r="AO36" s="185"/>
      <c r="AP36" s="185">
        <v>3.4886300000000001</v>
      </c>
      <c r="AQ36" s="185"/>
      <c r="AR36" s="194"/>
      <c r="AS36" s="185">
        <v>0</v>
      </c>
      <c r="AT36" s="185">
        <v>0</v>
      </c>
      <c r="AU36" s="185">
        <v>0</v>
      </c>
      <c r="AV36" s="185">
        <v>0</v>
      </c>
      <c r="AW36" s="185">
        <v>0</v>
      </c>
      <c r="AX36" s="185">
        <v>0</v>
      </c>
      <c r="AY36" s="185">
        <v>0</v>
      </c>
      <c r="AZ36" s="185">
        <v>0</v>
      </c>
      <c r="BA36" s="185">
        <v>0</v>
      </c>
      <c r="BB36" s="185"/>
      <c r="BC36" s="185">
        <v>0</v>
      </c>
      <c r="BD36" s="185"/>
      <c r="BE36" s="194"/>
      <c r="BF36" s="185">
        <v>1.306E-2</v>
      </c>
      <c r="BG36" s="185">
        <v>1.5939999999999999E-2</v>
      </c>
      <c r="BH36" s="185">
        <v>0</v>
      </c>
      <c r="BI36" s="185">
        <v>0</v>
      </c>
      <c r="BJ36" s="185">
        <v>0</v>
      </c>
      <c r="BK36" s="185">
        <v>0</v>
      </c>
      <c r="BL36" s="185">
        <v>0</v>
      </c>
      <c r="BM36" s="185">
        <v>0</v>
      </c>
      <c r="BN36" s="185">
        <v>0</v>
      </c>
      <c r="BO36" s="185"/>
      <c r="BP36" s="185">
        <v>0</v>
      </c>
      <c r="BQ36" s="185"/>
      <c r="BR36" s="194"/>
      <c r="BS36" s="185">
        <v>0</v>
      </c>
      <c r="BT36" s="185">
        <v>2.0176799999999999</v>
      </c>
      <c r="BU36" s="185">
        <v>0.70045000000000002</v>
      </c>
      <c r="BV36" s="185">
        <v>0</v>
      </c>
      <c r="BW36" s="185">
        <v>-0.34295999999999999</v>
      </c>
      <c r="BX36" s="185">
        <v>-1.256E-2</v>
      </c>
      <c r="BY36" s="185">
        <v>0</v>
      </c>
      <c r="BZ36" s="185">
        <v>0</v>
      </c>
      <c r="CA36" s="185">
        <v>0</v>
      </c>
      <c r="CB36" s="185"/>
      <c r="CC36" s="185">
        <v>0</v>
      </c>
      <c r="CD36" s="185"/>
      <c r="CE36" s="194"/>
      <c r="CF36" s="185">
        <v>19.802600000000002</v>
      </c>
      <c r="CG36" s="185">
        <v>19.643650000000001</v>
      </c>
      <c r="CH36" s="185">
        <v>21.71238</v>
      </c>
      <c r="CI36" s="185">
        <v>25.607099999999999</v>
      </c>
      <c r="CJ36" s="185">
        <v>27.476600000000001</v>
      </c>
      <c r="CK36" s="185">
        <v>29.99982</v>
      </c>
      <c r="CL36" s="185">
        <v>29.82009</v>
      </c>
      <c r="CM36" s="185">
        <v>30.411249999999999</v>
      </c>
      <c r="CN36" s="185">
        <v>32.472859999999997</v>
      </c>
      <c r="CO36" s="185"/>
      <c r="CP36" s="185">
        <v>34.061450000000001</v>
      </c>
      <c r="CQ36" s="185"/>
      <c r="CR36" s="194"/>
      <c r="CS36" s="185">
        <v>19.105219999999999</v>
      </c>
      <c r="CT36" s="185">
        <v>20.999949999999998</v>
      </c>
      <c r="CU36" s="185">
        <v>21.524380000000001</v>
      </c>
      <c r="CV36" s="185">
        <v>24.59573</v>
      </c>
      <c r="CW36" s="185">
        <v>25.986229999999999</v>
      </c>
      <c r="CX36" s="185">
        <v>28.551670000000001</v>
      </c>
      <c r="CY36" s="185">
        <v>28.12799</v>
      </c>
      <c r="CZ36" s="185">
        <v>28.661090000000002</v>
      </c>
      <c r="DA36" s="185">
        <v>30.726569999999999</v>
      </c>
      <c r="DB36" s="185"/>
      <c r="DC36" s="185">
        <v>32.270209999999999</v>
      </c>
      <c r="DD36" s="185"/>
      <c r="DE36" s="194"/>
      <c r="DF36" s="187">
        <v>5.4300000000000001E-2</v>
      </c>
      <c r="DG36" s="187">
        <v>6.3500000000000001E-2</v>
      </c>
      <c r="DH36" s="187">
        <v>6.6299999999999998E-2</v>
      </c>
      <c r="DI36" s="187">
        <v>5.8400000000000001E-2</v>
      </c>
      <c r="DJ36" s="187">
        <v>5.2200000000000003E-2</v>
      </c>
      <c r="DK36" s="187">
        <v>6.54E-2</v>
      </c>
      <c r="DL36" s="187">
        <v>7.6799999999999993E-2</v>
      </c>
      <c r="DM36" s="187">
        <v>8.4500000000000006E-2</v>
      </c>
      <c r="DN36" s="187">
        <v>7.8799999999999995E-2</v>
      </c>
      <c r="DO36" s="187"/>
      <c r="DP36" s="187">
        <v>0.1024</v>
      </c>
      <c r="DQ36" s="187"/>
      <c r="DR36" s="195"/>
      <c r="DS36" s="185">
        <v>0</v>
      </c>
      <c r="DT36" s="185">
        <v>0</v>
      </c>
      <c r="DU36" s="185">
        <v>0</v>
      </c>
      <c r="DV36" s="185">
        <v>0</v>
      </c>
      <c r="DW36" s="185">
        <v>0</v>
      </c>
      <c r="DX36" s="185">
        <v>0</v>
      </c>
      <c r="DY36" s="185">
        <v>0</v>
      </c>
      <c r="DZ36" s="185">
        <v>0</v>
      </c>
      <c r="EA36" s="185">
        <v>0</v>
      </c>
      <c r="EB36" s="185"/>
      <c r="EC36" s="185">
        <v>0</v>
      </c>
      <c r="ED36" s="185"/>
      <c r="EE36" s="194"/>
      <c r="EF36" s="185">
        <v>0</v>
      </c>
      <c r="EG36" s="185">
        <v>0</v>
      </c>
      <c r="EH36" s="185">
        <v>0</v>
      </c>
      <c r="EI36" s="185">
        <v>0</v>
      </c>
      <c r="EJ36" s="185">
        <v>0</v>
      </c>
      <c r="EK36" s="185">
        <v>0</v>
      </c>
      <c r="EL36" s="185">
        <v>0</v>
      </c>
      <c r="EM36" s="185">
        <v>0</v>
      </c>
      <c r="EN36" s="185">
        <v>0</v>
      </c>
      <c r="EO36" s="185"/>
      <c r="EP36" s="185">
        <v>0</v>
      </c>
      <c r="EQ36" s="185"/>
      <c r="ER36" s="194"/>
      <c r="ES36" s="185">
        <v>123252</v>
      </c>
      <c r="ET36" s="185">
        <v>117413</v>
      </c>
      <c r="EU36" s="185">
        <v>121881</v>
      </c>
      <c r="EV36" s="185">
        <v>129033</v>
      </c>
      <c r="EW36" s="185">
        <v>131057</v>
      </c>
      <c r="EX36" s="185">
        <v>138800</v>
      </c>
      <c r="EY36" s="185">
        <v>146266</v>
      </c>
      <c r="EZ36" s="185">
        <v>150033.26939</v>
      </c>
      <c r="FA36" s="185">
        <v>157917.23168</v>
      </c>
      <c r="FB36" s="185"/>
      <c r="FC36" s="185">
        <v>160249.74546999999</v>
      </c>
      <c r="FD36" s="185"/>
      <c r="FE36" s="194"/>
      <c r="FF36" s="185"/>
      <c r="FG36" s="185"/>
      <c r="FH36" s="185"/>
      <c r="FI36" s="185"/>
      <c r="FJ36" s="185"/>
      <c r="FK36" s="185"/>
      <c r="FL36" s="185"/>
      <c r="FM36" s="185"/>
      <c r="FN36" s="185"/>
      <c r="FO36" s="185"/>
      <c r="FP36" s="185"/>
      <c r="FQ36" s="185"/>
      <c r="FR36" s="194"/>
    </row>
    <row r="37" spans="5:174" x14ac:dyDescent="0.25">
      <c r="E37" s="2" t="s">
        <v>180</v>
      </c>
      <c r="F37" s="184">
        <v>0.70021</v>
      </c>
      <c r="G37" s="185">
        <v>0.54247000000000001</v>
      </c>
      <c r="H37" s="185">
        <v>0.63968000000000003</v>
      </c>
      <c r="I37" s="185">
        <v>0.70440000000000003</v>
      </c>
      <c r="J37" s="185">
        <v>0.75470000000000004</v>
      </c>
      <c r="K37" s="185">
        <v>0.86036000000000001</v>
      </c>
      <c r="L37" s="185">
        <v>0.96247000000000005</v>
      </c>
      <c r="M37" s="185">
        <v>1.00614</v>
      </c>
      <c r="N37" s="185">
        <v>0.89646999999999999</v>
      </c>
      <c r="O37" s="185"/>
      <c r="P37" s="185">
        <v>0.89603999999999995</v>
      </c>
      <c r="Q37" s="185"/>
      <c r="R37" s="194"/>
      <c r="S37" s="185">
        <v>6.5004</v>
      </c>
      <c r="T37" s="185">
        <v>5.5627899999999997</v>
      </c>
      <c r="U37" s="185">
        <v>5.96631</v>
      </c>
      <c r="V37" s="185">
        <v>6.4187700000000003</v>
      </c>
      <c r="W37" s="185">
        <v>6.5393499999999998</v>
      </c>
      <c r="X37" s="185">
        <v>6.86876</v>
      </c>
      <c r="Y37" s="185">
        <v>6.4545300000000001</v>
      </c>
      <c r="Z37" s="185">
        <v>6.4112099999999996</v>
      </c>
      <c r="AA37" s="185">
        <v>6.7240500000000001</v>
      </c>
      <c r="AB37" s="185"/>
      <c r="AC37" s="185">
        <v>6.9638600000000004</v>
      </c>
      <c r="AD37" s="185"/>
      <c r="AE37" s="194"/>
      <c r="AF37" s="185">
        <v>0.61341999999999997</v>
      </c>
      <c r="AG37" s="185">
        <v>0.64471999999999996</v>
      </c>
      <c r="AH37" s="185">
        <v>0.74416000000000004</v>
      </c>
      <c r="AI37" s="185">
        <v>0.75383999999999995</v>
      </c>
      <c r="AJ37" s="185">
        <v>0.69389000000000001</v>
      </c>
      <c r="AK37" s="185">
        <v>0.86099999999999999</v>
      </c>
      <c r="AL37" s="185">
        <v>0.93691999999999998</v>
      </c>
      <c r="AM37" s="185">
        <v>0.97104000000000001</v>
      </c>
      <c r="AN37" s="185">
        <v>1.03592</v>
      </c>
      <c r="AO37" s="185"/>
      <c r="AP37" s="185">
        <v>1.391</v>
      </c>
      <c r="AQ37" s="185"/>
      <c r="AR37" s="194"/>
      <c r="AS37" s="185">
        <v>0</v>
      </c>
      <c r="AT37" s="185">
        <v>0</v>
      </c>
      <c r="AU37" s="185">
        <v>0</v>
      </c>
      <c r="AV37" s="185">
        <v>0</v>
      </c>
      <c r="AW37" s="185">
        <v>0</v>
      </c>
      <c r="AX37" s="185">
        <v>0</v>
      </c>
      <c r="AY37" s="185">
        <v>0</v>
      </c>
      <c r="AZ37" s="185">
        <v>0</v>
      </c>
      <c r="BA37" s="185">
        <v>0</v>
      </c>
      <c r="BB37" s="185"/>
      <c r="BC37" s="185">
        <v>0</v>
      </c>
      <c r="BD37" s="185"/>
      <c r="BE37" s="194"/>
      <c r="BF37" s="185">
        <v>7.0299999999999998E-3</v>
      </c>
      <c r="BG37" s="185">
        <v>7.9100000000000004E-3</v>
      </c>
      <c r="BH37" s="185">
        <v>0</v>
      </c>
      <c r="BI37" s="185">
        <v>0</v>
      </c>
      <c r="BJ37" s="185">
        <v>0</v>
      </c>
      <c r="BK37" s="185">
        <v>0</v>
      </c>
      <c r="BL37" s="185">
        <v>0</v>
      </c>
      <c r="BM37" s="185">
        <v>0</v>
      </c>
      <c r="BN37" s="185">
        <v>0</v>
      </c>
      <c r="BO37" s="185"/>
      <c r="BP37" s="185">
        <v>0</v>
      </c>
      <c r="BQ37" s="185"/>
      <c r="BR37" s="194"/>
      <c r="BS37" s="185">
        <v>0</v>
      </c>
      <c r="BT37" s="185">
        <v>0.76471999999999996</v>
      </c>
      <c r="BU37" s="185">
        <v>-8.0140000000000003E-2</v>
      </c>
      <c r="BV37" s="185">
        <v>0</v>
      </c>
      <c r="BW37" s="185">
        <v>-8.6120000000000002E-2</v>
      </c>
      <c r="BX37" s="185">
        <v>-3.15E-3</v>
      </c>
      <c r="BY37" s="185">
        <v>0</v>
      </c>
      <c r="BZ37" s="185">
        <v>0</v>
      </c>
      <c r="CA37" s="185">
        <v>0</v>
      </c>
      <c r="CB37" s="185"/>
      <c r="CC37" s="185">
        <v>0</v>
      </c>
      <c r="CD37" s="185"/>
      <c r="CE37" s="194"/>
      <c r="CF37" s="185">
        <v>7.1208400000000003</v>
      </c>
      <c r="CG37" s="185">
        <v>6.2154199999999999</v>
      </c>
      <c r="CH37" s="185">
        <v>6.7104799999999996</v>
      </c>
      <c r="CI37" s="185">
        <v>7.1726099999999997</v>
      </c>
      <c r="CJ37" s="185">
        <v>7.2332400000000003</v>
      </c>
      <c r="CK37" s="185">
        <v>7.7297599999999997</v>
      </c>
      <c r="CL37" s="185">
        <v>7.3914499999999999</v>
      </c>
      <c r="CM37" s="185">
        <v>7.38225</v>
      </c>
      <c r="CN37" s="185">
        <v>7.75997</v>
      </c>
      <c r="CO37" s="185"/>
      <c r="CP37" s="185">
        <v>8.3548600000000004</v>
      </c>
      <c r="CQ37" s="185"/>
      <c r="CR37" s="194"/>
      <c r="CS37" s="185">
        <v>6.4206300000000001</v>
      </c>
      <c r="CT37" s="185">
        <v>6.4376699999999998</v>
      </c>
      <c r="CU37" s="185">
        <v>5.9906600000000001</v>
      </c>
      <c r="CV37" s="185">
        <v>6.46821</v>
      </c>
      <c r="CW37" s="185">
        <v>6.3924300000000001</v>
      </c>
      <c r="CX37" s="185">
        <v>6.86625</v>
      </c>
      <c r="CY37" s="185">
        <v>6.4289800000000001</v>
      </c>
      <c r="CZ37" s="185">
        <v>6.3761099999999997</v>
      </c>
      <c r="DA37" s="185">
        <v>6.8635099999999998</v>
      </c>
      <c r="DB37" s="185"/>
      <c r="DC37" s="185">
        <v>7.4588200000000002</v>
      </c>
      <c r="DD37" s="185"/>
      <c r="DE37" s="194"/>
      <c r="DF37" s="187">
        <v>8.6099999999999996E-2</v>
      </c>
      <c r="DG37" s="187">
        <v>0.1037</v>
      </c>
      <c r="DH37" s="187">
        <v>0.1109</v>
      </c>
      <c r="DI37" s="187">
        <v>0.1051</v>
      </c>
      <c r="DJ37" s="187">
        <v>9.5899999999999999E-2</v>
      </c>
      <c r="DK37" s="187">
        <v>0.1114</v>
      </c>
      <c r="DL37" s="187">
        <v>0.1268</v>
      </c>
      <c r="DM37" s="187">
        <v>0.13150000000000001</v>
      </c>
      <c r="DN37" s="187">
        <v>0.13350000000000001</v>
      </c>
      <c r="DO37" s="187"/>
      <c r="DP37" s="187">
        <v>0.16650000000000001</v>
      </c>
      <c r="DQ37" s="187"/>
      <c r="DR37" s="195"/>
      <c r="DS37" s="185">
        <v>0</v>
      </c>
      <c r="DT37" s="185">
        <v>0</v>
      </c>
      <c r="DU37" s="185">
        <v>0</v>
      </c>
      <c r="DV37" s="185">
        <v>0</v>
      </c>
      <c r="DW37" s="185">
        <v>0</v>
      </c>
      <c r="DX37" s="185">
        <v>0</v>
      </c>
      <c r="DY37" s="185">
        <v>0</v>
      </c>
      <c r="DZ37" s="185">
        <v>0</v>
      </c>
      <c r="EA37" s="185">
        <v>0</v>
      </c>
      <c r="EB37" s="185"/>
      <c r="EC37" s="185">
        <v>0</v>
      </c>
      <c r="ED37" s="185"/>
      <c r="EE37" s="194"/>
      <c r="EF37" s="185">
        <v>0</v>
      </c>
      <c r="EG37" s="185">
        <v>0</v>
      </c>
      <c r="EH37" s="185">
        <v>0</v>
      </c>
      <c r="EI37" s="185">
        <v>0</v>
      </c>
      <c r="EJ37" s="185">
        <v>0</v>
      </c>
      <c r="EK37" s="185">
        <v>0</v>
      </c>
      <c r="EL37" s="185">
        <v>0</v>
      </c>
      <c r="EM37" s="185">
        <v>0</v>
      </c>
      <c r="EN37" s="185">
        <v>0</v>
      </c>
      <c r="EO37" s="185"/>
      <c r="EP37" s="185">
        <v>0</v>
      </c>
      <c r="EQ37" s="185"/>
      <c r="ER37" s="194"/>
      <c r="ES37" s="185">
        <v>42230</v>
      </c>
      <c r="ET37" s="185">
        <v>36950</v>
      </c>
      <c r="EU37" s="185">
        <v>39525</v>
      </c>
      <c r="EV37" s="185">
        <v>38418</v>
      </c>
      <c r="EW37" s="185">
        <v>37949</v>
      </c>
      <c r="EX37" s="185">
        <v>35370</v>
      </c>
      <c r="EY37" s="185">
        <v>35734</v>
      </c>
      <c r="EZ37" s="185">
        <v>34851.602290000003</v>
      </c>
      <c r="FA37" s="185">
        <v>37530.909800000001</v>
      </c>
      <c r="FB37" s="185"/>
      <c r="FC37" s="185">
        <v>37752.01238</v>
      </c>
      <c r="FD37" s="185"/>
      <c r="FE37" s="194"/>
      <c r="FF37" s="185"/>
      <c r="FG37" s="185"/>
      <c r="FH37" s="185"/>
      <c r="FI37" s="185"/>
      <c r="FJ37" s="185"/>
      <c r="FK37" s="185"/>
      <c r="FL37" s="185"/>
      <c r="FM37" s="185"/>
      <c r="FN37" s="185"/>
      <c r="FO37" s="185"/>
      <c r="FP37" s="185"/>
      <c r="FQ37" s="185"/>
      <c r="FR37" s="194"/>
    </row>
    <row r="38" spans="5:174" x14ac:dyDescent="0.25">
      <c r="E38" s="2" t="s">
        <v>181</v>
      </c>
      <c r="F38" s="184">
        <v>0</v>
      </c>
      <c r="G38" s="185">
        <v>0</v>
      </c>
      <c r="H38" s="185">
        <v>0</v>
      </c>
      <c r="I38" s="185">
        <v>0</v>
      </c>
      <c r="J38" s="185">
        <v>0</v>
      </c>
      <c r="K38" s="185">
        <v>0</v>
      </c>
      <c r="L38" s="185">
        <v>0</v>
      </c>
      <c r="M38" s="185">
        <v>0</v>
      </c>
      <c r="N38" s="185">
        <v>0</v>
      </c>
      <c r="O38" s="185"/>
      <c r="P38" s="185">
        <v>0</v>
      </c>
      <c r="Q38" s="185"/>
      <c r="R38" s="194"/>
      <c r="S38" s="185">
        <v>0</v>
      </c>
      <c r="T38" s="185">
        <v>0</v>
      </c>
      <c r="U38" s="185">
        <v>0</v>
      </c>
      <c r="V38" s="185">
        <v>0</v>
      </c>
      <c r="W38" s="185">
        <v>0</v>
      </c>
      <c r="X38" s="185">
        <v>0</v>
      </c>
      <c r="Y38" s="185">
        <v>0</v>
      </c>
      <c r="Z38" s="185">
        <v>0</v>
      </c>
      <c r="AA38" s="185">
        <v>0</v>
      </c>
      <c r="AB38" s="185"/>
      <c r="AC38" s="185">
        <v>0</v>
      </c>
      <c r="AD38" s="185"/>
      <c r="AE38" s="194"/>
      <c r="AF38" s="185">
        <v>0</v>
      </c>
      <c r="AG38" s="185">
        <v>0</v>
      </c>
      <c r="AH38" s="185">
        <v>0</v>
      </c>
      <c r="AI38" s="185">
        <v>0</v>
      </c>
      <c r="AJ38" s="185">
        <v>0</v>
      </c>
      <c r="AK38" s="185">
        <v>0</v>
      </c>
      <c r="AL38" s="185">
        <v>0</v>
      </c>
      <c r="AM38" s="185">
        <v>0</v>
      </c>
      <c r="AN38" s="185">
        <v>0</v>
      </c>
      <c r="AO38" s="185"/>
      <c r="AP38" s="185">
        <v>0</v>
      </c>
      <c r="AQ38" s="185"/>
      <c r="AR38" s="194"/>
      <c r="AS38" s="185">
        <v>0</v>
      </c>
      <c r="AT38" s="185">
        <v>0</v>
      </c>
      <c r="AU38" s="185">
        <v>0</v>
      </c>
      <c r="AV38" s="185">
        <v>0</v>
      </c>
      <c r="AW38" s="185">
        <v>0</v>
      </c>
      <c r="AX38" s="185">
        <v>0</v>
      </c>
      <c r="AY38" s="185">
        <v>0</v>
      </c>
      <c r="AZ38" s="185">
        <v>0</v>
      </c>
      <c r="BA38" s="185">
        <v>0</v>
      </c>
      <c r="BB38" s="185"/>
      <c r="BC38" s="185">
        <v>0</v>
      </c>
      <c r="BD38" s="185"/>
      <c r="BE38" s="194"/>
      <c r="BF38" s="185">
        <v>0</v>
      </c>
      <c r="BG38" s="185">
        <v>0</v>
      </c>
      <c r="BH38" s="185">
        <v>0</v>
      </c>
      <c r="BI38" s="185">
        <v>0</v>
      </c>
      <c r="BJ38" s="185">
        <v>0</v>
      </c>
      <c r="BK38" s="185">
        <v>0</v>
      </c>
      <c r="BL38" s="185">
        <v>0</v>
      </c>
      <c r="BM38" s="185">
        <v>0</v>
      </c>
      <c r="BN38" s="185">
        <v>0</v>
      </c>
      <c r="BO38" s="185"/>
      <c r="BP38" s="185">
        <v>0</v>
      </c>
      <c r="BQ38" s="185"/>
      <c r="BR38" s="194"/>
      <c r="BS38" s="185">
        <v>0</v>
      </c>
      <c r="BT38" s="185">
        <v>0</v>
      </c>
      <c r="BU38" s="185">
        <v>0</v>
      </c>
      <c r="BV38" s="185">
        <v>0</v>
      </c>
      <c r="BW38" s="185">
        <v>0</v>
      </c>
      <c r="BX38" s="185">
        <v>0</v>
      </c>
      <c r="BY38" s="185">
        <v>0</v>
      </c>
      <c r="BZ38" s="185">
        <v>0</v>
      </c>
      <c r="CA38" s="185">
        <v>0</v>
      </c>
      <c r="CB38" s="185"/>
      <c r="CC38" s="185">
        <v>0</v>
      </c>
      <c r="CD38" s="185"/>
      <c r="CE38" s="194"/>
      <c r="CF38" s="185">
        <v>0</v>
      </c>
      <c r="CG38" s="185">
        <v>0</v>
      </c>
      <c r="CH38" s="185">
        <v>0</v>
      </c>
      <c r="CI38" s="185">
        <v>0</v>
      </c>
      <c r="CJ38" s="185">
        <v>0</v>
      </c>
      <c r="CK38" s="185">
        <v>0</v>
      </c>
      <c r="CL38" s="185">
        <v>0</v>
      </c>
      <c r="CM38" s="185">
        <v>0</v>
      </c>
      <c r="CN38" s="185">
        <v>0</v>
      </c>
      <c r="CO38" s="185"/>
      <c r="CP38" s="185">
        <v>0</v>
      </c>
      <c r="CQ38" s="185"/>
      <c r="CR38" s="194"/>
      <c r="CS38" s="185">
        <v>0</v>
      </c>
      <c r="CT38" s="185">
        <v>0</v>
      </c>
      <c r="CU38" s="185">
        <v>0</v>
      </c>
      <c r="CV38" s="185">
        <v>0</v>
      </c>
      <c r="CW38" s="185">
        <v>0</v>
      </c>
      <c r="CX38" s="185">
        <v>0</v>
      </c>
      <c r="CY38" s="185">
        <v>0</v>
      </c>
      <c r="CZ38" s="185">
        <v>0</v>
      </c>
      <c r="DA38" s="185">
        <v>0</v>
      </c>
      <c r="DB38" s="185"/>
      <c r="DC38" s="185">
        <v>0</v>
      </c>
      <c r="DD38" s="185"/>
      <c r="DE38" s="194"/>
      <c r="DF38" s="187">
        <v>0</v>
      </c>
      <c r="DG38" s="187">
        <v>0</v>
      </c>
      <c r="DH38" s="187">
        <v>0</v>
      </c>
      <c r="DI38" s="187">
        <v>0</v>
      </c>
      <c r="DJ38" s="187">
        <v>0</v>
      </c>
      <c r="DK38" s="187">
        <v>0</v>
      </c>
      <c r="DL38" s="187">
        <v>0</v>
      </c>
      <c r="DM38" s="187">
        <v>0</v>
      </c>
      <c r="DN38" s="187">
        <v>0</v>
      </c>
      <c r="DO38" s="187"/>
      <c r="DP38" s="187">
        <v>0</v>
      </c>
      <c r="DQ38" s="187"/>
      <c r="DR38" s="195"/>
      <c r="DS38" s="185">
        <v>0</v>
      </c>
      <c r="DT38" s="185">
        <v>0</v>
      </c>
      <c r="DU38" s="185">
        <v>0</v>
      </c>
      <c r="DV38" s="185">
        <v>0</v>
      </c>
      <c r="DW38" s="185">
        <v>0</v>
      </c>
      <c r="DX38" s="185">
        <v>0</v>
      </c>
      <c r="DY38" s="185">
        <v>0</v>
      </c>
      <c r="DZ38" s="185">
        <v>0</v>
      </c>
      <c r="EA38" s="185">
        <v>0</v>
      </c>
      <c r="EB38" s="185"/>
      <c r="EC38" s="185">
        <v>0</v>
      </c>
      <c r="ED38" s="185"/>
      <c r="EE38" s="194"/>
      <c r="EF38" s="185">
        <v>0</v>
      </c>
      <c r="EG38" s="185">
        <v>0</v>
      </c>
      <c r="EH38" s="185">
        <v>0</v>
      </c>
      <c r="EI38" s="185">
        <v>0</v>
      </c>
      <c r="EJ38" s="185">
        <v>0</v>
      </c>
      <c r="EK38" s="185">
        <v>0</v>
      </c>
      <c r="EL38" s="185">
        <v>0</v>
      </c>
      <c r="EM38" s="185">
        <v>0</v>
      </c>
      <c r="EN38" s="185">
        <v>0</v>
      </c>
      <c r="EO38" s="185"/>
      <c r="EP38" s="185">
        <v>0</v>
      </c>
      <c r="EQ38" s="185"/>
      <c r="ER38" s="194"/>
      <c r="ES38" s="185">
        <v>0</v>
      </c>
      <c r="ET38" s="185">
        <v>0</v>
      </c>
      <c r="EU38" s="185">
        <v>0</v>
      </c>
      <c r="EV38" s="185">
        <v>0</v>
      </c>
      <c r="EW38" s="185">
        <v>0</v>
      </c>
      <c r="EX38" s="185">
        <v>0</v>
      </c>
      <c r="EY38" s="185">
        <v>0</v>
      </c>
      <c r="EZ38" s="185">
        <v>0</v>
      </c>
      <c r="FA38" s="185">
        <v>0</v>
      </c>
      <c r="FB38" s="185"/>
      <c r="FC38" s="185">
        <v>0</v>
      </c>
      <c r="FD38" s="185"/>
      <c r="FE38" s="194"/>
      <c r="FF38" s="185"/>
      <c r="FG38" s="185"/>
      <c r="FH38" s="185"/>
      <c r="FI38" s="185"/>
      <c r="FJ38" s="185"/>
      <c r="FK38" s="185"/>
      <c r="FL38" s="185"/>
      <c r="FM38" s="185"/>
      <c r="FN38" s="185"/>
      <c r="FO38" s="185"/>
      <c r="FP38" s="185"/>
      <c r="FQ38" s="185"/>
      <c r="FR38" s="194"/>
    </row>
    <row r="39" spans="5:174" x14ac:dyDescent="0.25">
      <c r="E39" s="2" t="s">
        <v>182</v>
      </c>
      <c r="F39" s="184">
        <v>0</v>
      </c>
      <c r="G39" s="185">
        <v>0</v>
      </c>
      <c r="H39" s="185">
        <v>0</v>
      </c>
      <c r="I39" s="185">
        <v>0</v>
      </c>
      <c r="J39" s="185">
        <v>0</v>
      </c>
      <c r="K39" s="185">
        <v>0</v>
      </c>
      <c r="L39" s="185">
        <v>0</v>
      </c>
      <c r="M39" s="185">
        <v>0</v>
      </c>
      <c r="N39" s="185">
        <v>0</v>
      </c>
      <c r="O39" s="185"/>
      <c r="P39" s="185">
        <v>0</v>
      </c>
      <c r="Q39" s="185"/>
      <c r="R39" s="194"/>
      <c r="S39" s="185">
        <v>24.442830000000001</v>
      </c>
      <c r="T39" s="185">
        <v>25.657620000000001</v>
      </c>
      <c r="U39" s="185">
        <v>24.033049999999999</v>
      </c>
      <c r="V39" s="185">
        <v>30.848790000000001</v>
      </c>
      <c r="W39" s="185">
        <v>29.624849999999999</v>
      </c>
      <c r="X39" s="185">
        <v>28.94567</v>
      </c>
      <c r="Y39" s="185">
        <v>21.683630000000001</v>
      </c>
      <c r="Z39" s="185">
        <v>0</v>
      </c>
      <c r="AA39" s="185">
        <v>0</v>
      </c>
      <c r="AB39" s="185"/>
      <c r="AC39" s="185">
        <v>0</v>
      </c>
      <c r="AD39" s="185"/>
      <c r="AE39" s="194"/>
      <c r="AF39" s="185">
        <v>3.5854699999999999</v>
      </c>
      <c r="AG39" s="185">
        <v>4.6012300000000002</v>
      </c>
      <c r="AH39" s="185">
        <v>4.4206099999999999</v>
      </c>
      <c r="AI39" s="185">
        <v>4.23081</v>
      </c>
      <c r="AJ39" s="185">
        <v>3.4580299999999999</v>
      </c>
      <c r="AK39" s="185">
        <v>4.6670800000000003</v>
      </c>
      <c r="AL39" s="185">
        <v>3.60751</v>
      </c>
      <c r="AM39" s="185">
        <v>0</v>
      </c>
      <c r="AN39" s="185">
        <v>0</v>
      </c>
      <c r="AO39" s="185"/>
      <c r="AP39" s="185">
        <v>1.0000000000000001E-5</v>
      </c>
      <c r="AQ39" s="185"/>
      <c r="AR39" s="194"/>
      <c r="AS39" s="185">
        <v>0</v>
      </c>
      <c r="AT39" s="185">
        <v>0</v>
      </c>
      <c r="AU39" s="185">
        <v>0</v>
      </c>
      <c r="AV39" s="185">
        <v>0</v>
      </c>
      <c r="AW39" s="185">
        <v>0</v>
      </c>
      <c r="AX39" s="185">
        <v>0</v>
      </c>
      <c r="AY39" s="185">
        <v>0</v>
      </c>
      <c r="AZ39" s="185">
        <v>0</v>
      </c>
      <c r="BA39" s="185">
        <v>0</v>
      </c>
      <c r="BB39" s="185"/>
      <c r="BC39" s="185">
        <v>0</v>
      </c>
      <c r="BD39" s="185"/>
      <c r="BE39" s="194"/>
      <c r="BF39" s="185">
        <v>7.0300000000000001E-2</v>
      </c>
      <c r="BG39" s="185">
        <v>8.9840000000000003E-2</v>
      </c>
      <c r="BH39" s="185">
        <v>0</v>
      </c>
      <c r="BI39" s="185">
        <v>0</v>
      </c>
      <c r="BJ39" s="185">
        <v>0</v>
      </c>
      <c r="BK39" s="185">
        <v>0</v>
      </c>
      <c r="BL39" s="185">
        <v>0</v>
      </c>
      <c r="BM39" s="185">
        <v>0</v>
      </c>
      <c r="BN39" s="185">
        <v>0</v>
      </c>
      <c r="BO39" s="185"/>
      <c r="BP39" s="185">
        <v>0</v>
      </c>
      <c r="BQ39" s="185"/>
      <c r="BR39" s="194"/>
      <c r="BS39" s="185">
        <v>0</v>
      </c>
      <c r="BT39" s="185">
        <v>1.8305800000000001</v>
      </c>
      <c r="BU39" s="185">
        <v>2.3826000000000001</v>
      </c>
      <c r="BV39" s="185">
        <v>0</v>
      </c>
      <c r="BW39" s="185">
        <v>-0.39012999999999998</v>
      </c>
      <c r="BX39" s="185">
        <v>-1.4290000000000001E-2</v>
      </c>
      <c r="BY39" s="185">
        <v>0</v>
      </c>
      <c r="BZ39" s="185">
        <v>0</v>
      </c>
      <c r="CA39" s="185">
        <v>0</v>
      </c>
      <c r="CB39" s="185"/>
      <c r="CC39" s="185">
        <v>0</v>
      </c>
      <c r="CD39" s="185"/>
      <c r="CE39" s="194"/>
      <c r="CF39" s="185">
        <v>28.098600000000001</v>
      </c>
      <c r="CG39" s="185">
        <v>30.348700000000001</v>
      </c>
      <c r="CH39" s="185">
        <v>28.453659999999999</v>
      </c>
      <c r="CI39" s="185">
        <v>35.079599999999999</v>
      </c>
      <c r="CJ39" s="185">
        <v>33.082880000000003</v>
      </c>
      <c r="CK39" s="185">
        <v>33.612749999999998</v>
      </c>
      <c r="CL39" s="185">
        <v>25.291139999999999</v>
      </c>
      <c r="CM39" s="185">
        <v>0</v>
      </c>
      <c r="CN39" s="185">
        <v>0</v>
      </c>
      <c r="CO39" s="185"/>
      <c r="CP39" s="185">
        <v>1.0000000000000001E-5</v>
      </c>
      <c r="CQ39" s="185"/>
      <c r="CR39" s="194"/>
      <c r="CS39" s="185">
        <v>28.098600000000001</v>
      </c>
      <c r="CT39" s="185">
        <v>32.179279999999999</v>
      </c>
      <c r="CU39" s="185">
        <v>30.836259999999999</v>
      </c>
      <c r="CV39" s="185">
        <v>35.079599999999999</v>
      </c>
      <c r="CW39" s="185">
        <v>32.69276</v>
      </c>
      <c r="CX39" s="185">
        <v>33.598460000000003</v>
      </c>
      <c r="CY39" s="185">
        <v>25.291139999999999</v>
      </c>
      <c r="CZ39" s="185">
        <v>0</v>
      </c>
      <c r="DA39" s="185">
        <v>0</v>
      </c>
      <c r="DB39" s="185"/>
      <c r="DC39" s="185">
        <v>1.0000000000000001E-5</v>
      </c>
      <c r="DD39" s="185"/>
      <c r="DE39" s="194"/>
      <c r="DF39" s="187">
        <v>0.12759999999999999</v>
      </c>
      <c r="DG39" s="187">
        <v>0.15160000000000001</v>
      </c>
      <c r="DH39" s="187">
        <v>0.15540000000000001</v>
      </c>
      <c r="DI39" s="187">
        <v>0.1206</v>
      </c>
      <c r="DJ39" s="187">
        <v>0.1045</v>
      </c>
      <c r="DK39" s="187">
        <v>0.13880000000000001</v>
      </c>
      <c r="DL39" s="187">
        <v>0.1426</v>
      </c>
      <c r="DM39" s="187">
        <v>0.14510000000000001</v>
      </c>
      <c r="DN39" s="187">
        <v>0</v>
      </c>
      <c r="DO39" s="187"/>
      <c r="DP39" s="187">
        <v>0</v>
      </c>
      <c r="DQ39" s="187"/>
      <c r="DR39" s="195"/>
      <c r="DS39" s="185">
        <v>0</v>
      </c>
      <c r="DT39" s="185">
        <v>0</v>
      </c>
      <c r="DU39" s="185">
        <v>0</v>
      </c>
      <c r="DV39" s="185">
        <v>0</v>
      </c>
      <c r="DW39" s="185">
        <v>0</v>
      </c>
      <c r="DX39" s="185">
        <v>0</v>
      </c>
      <c r="DY39" s="185">
        <v>0</v>
      </c>
      <c r="DZ39" s="185">
        <v>0</v>
      </c>
      <c r="EA39" s="185">
        <v>0</v>
      </c>
      <c r="EB39" s="185"/>
      <c r="EC39" s="185">
        <v>0</v>
      </c>
      <c r="ED39" s="185"/>
      <c r="EE39" s="194"/>
      <c r="EF39" s="185">
        <v>0</v>
      </c>
      <c r="EG39" s="185">
        <v>0</v>
      </c>
      <c r="EH39" s="185">
        <v>0</v>
      </c>
      <c r="EI39" s="185">
        <v>0</v>
      </c>
      <c r="EJ39" s="185">
        <v>0</v>
      </c>
      <c r="EK39" s="185">
        <v>0</v>
      </c>
      <c r="EL39" s="185">
        <v>0</v>
      </c>
      <c r="EM39" s="185">
        <v>0</v>
      </c>
      <c r="EN39" s="185">
        <v>0</v>
      </c>
      <c r="EO39" s="185"/>
      <c r="EP39" s="185">
        <v>0</v>
      </c>
      <c r="EQ39" s="185"/>
      <c r="ER39" s="194"/>
      <c r="ES39" s="185">
        <v>148427</v>
      </c>
      <c r="ET39" s="185">
        <v>121676</v>
      </c>
      <c r="EU39" s="185">
        <v>125070</v>
      </c>
      <c r="EV39" s="185">
        <v>126898</v>
      </c>
      <c r="EW39" s="185">
        <v>126697</v>
      </c>
      <c r="EX39" s="185">
        <v>131461</v>
      </c>
      <c r="EY39" s="185">
        <v>97940</v>
      </c>
      <c r="EZ39" s="185">
        <v>0.01</v>
      </c>
      <c r="FA39" s="185">
        <v>0.08</v>
      </c>
      <c r="FB39" s="185"/>
      <c r="FC39" s="185">
        <v>0.12</v>
      </c>
      <c r="FD39" s="185"/>
      <c r="FE39" s="194"/>
      <c r="FF39" s="185"/>
      <c r="FG39" s="185"/>
      <c r="FH39" s="185"/>
      <c r="FI39" s="185"/>
      <c r="FJ39" s="185"/>
      <c r="FK39" s="185"/>
      <c r="FL39" s="185"/>
      <c r="FM39" s="185"/>
      <c r="FN39" s="185"/>
      <c r="FO39" s="185"/>
      <c r="FP39" s="185"/>
      <c r="FQ39" s="185"/>
      <c r="FR39" s="194"/>
    </row>
    <row r="40" spans="5:174" x14ac:dyDescent="0.25">
      <c r="E40" s="2" t="s">
        <v>183</v>
      </c>
      <c r="F40" s="184">
        <v>0</v>
      </c>
      <c r="G40" s="185">
        <v>0</v>
      </c>
      <c r="H40" s="185">
        <v>0</v>
      </c>
      <c r="I40" s="185">
        <v>0</v>
      </c>
      <c r="J40" s="185">
        <v>0</v>
      </c>
      <c r="K40" s="185">
        <v>0</v>
      </c>
      <c r="L40" s="185">
        <v>0</v>
      </c>
      <c r="M40" s="185">
        <v>0</v>
      </c>
      <c r="N40" s="185">
        <v>0</v>
      </c>
      <c r="O40" s="185"/>
      <c r="P40" s="185">
        <v>0</v>
      </c>
      <c r="Q40" s="185"/>
      <c r="R40" s="194"/>
      <c r="S40" s="185">
        <v>130.28916000000001</v>
      </c>
      <c r="T40" s="185">
        <v>135.16356999999999</v>
      </c>
      <c r="U40" s="185">
        <v>135.48092</v>
      </c>
      <c r="V40" s="185">
        <v>169.15553</v>
      </c>
      <c r="W40" s="185">
        <v>152.21283</v>
      </c>
      <c r="X40" s="185">
        <v>142.35441</v>
      </c>
      <c r="Y40" s="185">
        <v>139.95267999999999</v>
      </c>
      <c r="Z40" s="185">
        <v>146.06712999999999</v>
      </c>
      <c r="AA40" s="185">
        <v>166.52355</v>
      </c>
      <c r="AB40" s="185"/>
      <c r="AC40" s="185">
        <v>168.96</v>
      </c>
      <c r="AD40" s="185"/>
      <c r="AE40" s="194"/>
      <c r="AF40" s="185">
        <v>11.71321</v>
      </c>
      <c r="AG40" s="185">
        <v>15.887729999999999</v>
      </c>
      <c r="AH40" s="185">
        <v>14.95467</v>
      </c>
      <c r="AI40" s="185">
        <v>13.993370000000001</v>
      </c>
      <c r="AJ40" s="185">
        <v>11.201739999999999</v>
      </c>
      <c r="AK40" s="185">
        <v>14.50015</v>
      </c>
      <c r="AL40" s="185">
        <v>14.503970000000001</v>
      </c>
      <c r="AM40" s="185">
        <v>15.747669999999999</v>
      </c>
      <c r="AN40" s="185">
        <v>15.44374</v>
      </c>
      <c r="AO40" s="185"/>
      <c r="AP40" s="185">
        <v>18.989350000000002</v>
      </c>
      <c r="AQ40" s="185"/>
      <c r="AR40" s="194"/>
      <c r="AS40" s="185">
        <v>0</v>
      </c>
      <c r="AT40" s="185">
        <v>0</v>
      </c>
      <c r="AU40" s="185">
        <v>0</v>
      </c>
      <c r="AV40" s="185">
        <v>0</v>
      </c>
      <c r="AW40" s="185">
        <v>0</v>
      </c>
      <c r="AX40" s="185">
        <v>0</v>
      </c>
      <c r="AY40" s="185">
        <v>0</v>
      </c>
      <c r="AZ40" s="185">
        <v>0</v>
      </c>
      <c r="BA40" s="185">
        <v>0</v>
      </c>
      <c r="BB40" s="185"/>
      <c r="BC40" s="185">
        <v>0</v>
      </c>
      <c r="BD40" s="185"/>
      <c r="BE40" s="194"/>
      <c r="BF40" s="185">
        <v>0.22619</v>
      </c>
      <c r="BG40" s="185">
        <v>0.30753000000000003</v>
      </c>
      <c r="BH40" s="185">
        <v>0</v>
      </c>
      <c r="BI40" s="185">
        <v>0</v>
      </c>
      <c r="BJ40" s="185">
        <v>0</v>
      </c>
      <c r="BK40" s="185">
        <v>0</v>
      </c>
      <c r="BL40" s="185">
        <v>0</v>
      </c>
      <c r="BM40" s="185">
        <v>0</v>
      </c>
      <c r="BN40" s="185">
        <v>0</v>
      </c>
      <c r="BO40" s="185"/>
      <c r="BP40" s="185">
        <v>0</v>
      </c>
      <c r="BQ40" s="185"/>
      <c r="BR40" s="194"/>
      <c r="BS40" s="185">
        <v>0</v>
      </c>
      <c r="BT40" s="185">
        <v>4.2555800000000001</v>
      </c>
      <c r="BU40" s="185">
        <v>4.1068899999999999</v>
      </c>
      <c r="BV40" s="185">
        <v>0</v>
      </c>
      <c r="BW40" s="185">
        <v>-2.00447</v>
      </c>
      <c r="BX40" s="185">
        <v>-7.3429999999999995E-2</v>
      </c>
      <c r="BY40" s="185">
        <v>0</v>
      </c>
      <c r="BZ40" s="185">
        <v>0</v>
      </c>
      <c r="CA40" s="185">
        <v>0</v>
      </c>
      <c r="CB40" s="185"/>
      <c r="CC40" s="185">
        <v>0</v>
      </c>
      <c r="CD40" s="185"/>
      <c r="CE40" s="194"/>
      <c r="CF40" s="185">
        <v>142.22855999999999</v>
      </c>
      <c r="CG40" s="185">
        <v>151.35883000000001</v>
      </c>
      <c r="CH40" s="185">
        <v>150.43558999999999</v>
      </c>
      <c r="CI40" s="185">
        <v>183.1489</v>
      </c>
      <c r="CJ40" s="185">
        <v>163.41457</v>
      </c>
      <c r="CK40" s="185">
        <v>156.85457</v>
      </c>
      <c r="CL40" s="185">
        <v>154.45665</v>
      </c>
      <c r="CM40" s="185">
        <v>161.81479999999999</v>
      </c>
      <c r="CN40" s="185">
        <v>181.96727999999999</v>
      </c>
      <c r="CO40" s="185"/>
      <c r="CP40" s="185">
        <v>187.94935000000001</v>
      </c>
      <c r="CQ40" s="185"/>
      <c r="CR40" s="194"/>
      <c r="CS40" s="185">
        <v>142.22855999999999</v>
      </c>
      <c r="CT40" s="185">
        <v>155.61440999999999</v>
      </c>
      <c r="CU40" s="185">
        <v>154.54247000000001</v>
      </c>
      <c r="CV40" s="185">
        <v>183.1489</v>
      </c>
      <c r="CW40" s="185">
        <v>161.4101</v>
      </c>
      <c r="CX40" s="185">
        <v>156.78113999999999</v>
      </c>
      <c r="CY40" s="185">
        <v>154.45665</v>
      </c>
      <c r="CZ40" s="185">
        <v>161.81479999999999</v>
      </c>
      <c r="DA40" s="185">
        <v>181.96727999999999</v>
      </c>
      <c r="DB40" s="185"/>
      <c r="DC40" s="185">
        <v>187.94935000000001</v>
      </c>
      <c r="DD40" s="185"/>
      <c r="DE40" s="194"/>
      <c r="DF40" s="187">
        <v>8.2400000000000001E-2</v>
      </c>
      <c r="DG40" s="187">
        <v>0.105</v>
      </c>
      <c r="DH40" s="187">
        <v>9.9400000000000002E-2</v>
      </c>
      <c r="DI40" s="187">
        <v>7.6399999999999996E-2</v>
      </c>
      <c r="DJ40" s="187">
        <v>6.8500000000000005E-2</v>
      </c>
      <c r="DK40" s="187">
        <v>9.2399999999999996E-2</v>
      </c>
      <c r="DL40" s="187">
        <v>9.3899999999999997E-2</v>
      </c>
      <c r="DM40" s="187">
        <v>9.7299999999999998E-2</v>
      </c>
      <c r="DN40" s="187">
        <v>8.4900000000000003E-2</v>
      </c>
      <c r="DO40" s="187"/>
      <c r="DP40" s="187">
        <v>0.10100000000000001</v>
      </c>
      <c r="DQ40" s="187"/>
      <c r="DR40" s="195"/>
      <c r="DS40" s="185">
        <v>0</v>
      </c>
      <c r="DT40" s="185">
        <v>0</v>
      </c>
      <c r="DU40" s="185">
        <v>0</v>
      </c>
      <c r="DV40" s="185">
        <v>0</v>
      </c>
      <c r="DW40" s="185">
        <v>0</v>
      </c>
      <c r="DX40" s="185">
        <v>0</v>
      </c>
      <c r="DY40" s="185">
        <v>0</v>
      </c>
      <c r="DZ40" s="185">
        <v>0</v>
      </c>
      <c r="EA40" s="185">
        <v>0</v>
      </c>
      <c r="EB40" s="185"/>
      <c r="EC40" s="185">
        <v>0</v>
      </c>
      <c r="ED40" s="185"/>
      <c r="EE40" s="194"/>
      <c r="EF40" s="185">
        <v>0</v>
      </c>
      <c r="EG40" s="185">
        <v>0</v>
      </c>
      <c r="EH40" s="185">
        <v>0</v>
      </c>
      <c r="EI40" s="185">
        <v>0</v>
      </c>
      <c r="EJ40" s="185">
        <v>0</v>
      </c>
      <c r="EK40" s="185">
        <v>0</v>
      </c>
      <c r="EL40" s="185">
        <v>0</v>
      </c>
      <c r="EM40" s="185">
        <v>0</v>
      </c>
      <c r="EN40" s="185">
        <v>0</v>
      </c>
      <c r="EO40" s="185"/>
      <c r="EP40" s="185">
        <v>0</v>
      </c>
      <c r="EQ40" s="185"/>
      <c r="ER40" s="194"/>
      <c r="ES40" s="185">
        <v>504566</v>
      </c>
      <c r="ET40" s="185">
        <v>430792</v>
      </c>
      <c r="EU40" s="185">
        <v>432201</v>
      </c>
      <c r="EV40" s="185">
        <v>432772</v>
      </c>
      <c r="EW40" s="185">
        <v>423587</v>
      </c>
      <c r="EX40" s="185">
        <v>421546</v>
      </c>
      <c r="EY40" s="185">
        <v>405049</v>
      </c>
      <c r="EZ40" s="185">
        <v>414000</v>
      </c>
      <c r="FA40" s="185">
        <v>405221</v>
      </c>
      <c r="FB40" s="185"/>
      <c r="FC40" s="185">
        <v>402000</v>
      </c>
      <c r="FD40" s="185"/>
      <c r="FE40" s="194"/>
      <c r="FF40" s="185"/>
      <c r="FG40" s="185"/>
      <c r="FH40" s="185"/>
      <c r="FI40" s="185"/>
      <c r="FJ40" s="185"/>
      <c r="FK40" s="185"/>
      <c r="FL40" s="185"/>
      <c r="FM40" s="185"/>
      <c r="FN40" s="185"/>
      <c r="FO40" s="185"/>
      <c r="FP40" s="185"/>
      <c r="FQ40" s="185"/>
      <c r="FR40" s="194"/>
    </row>
    <row r="41" spans="5:174" x14ac:dyDescent="0.25">
      <c r="E41" s="2" t="s">
        <v>184</v>
      </c>
      <c r="F41" s="184">
        <v>0.87234</v>
      </c>
      <c r="G41" s="185">
        <v>0.66971999999999998</v>
      </c>
      <c r="H41" s="185">
        <v>0.7681</v>
      </c>
      <c r="I41" s="185">
        <v>0.83596999999999999</v>
      </c>
      <c r="J41" s="185">
        <v>0.93406</v>
      </c>
      <c r="K41" s="185">
        <v>1.10761</v>
      </c>
      <c r="L41" s="185">
        <v>1.18299</v>
      </c>
      <c r="M41" s="185">
        <v>1.22098</v>
      </c>
      <c r="N41" s="185">
        <v>1.1561699999999999</v>
      </c>
      <c r="O41" s="185"/>
      <c r="P41" s="185">
        <v>1.17296</v>
      </c>
      <c r="Q41" s="185"/>
      <c r="R41" s="194"/>
      <c r="S41" s="185">
        <v>5.2215699999999998</v>
      </c>
      <c r="T41" s="185">
        <v>4.1428500000000001</v>
      </c>
      <c r="U41" s="185">
        <v>5.1113099999999996</v>
      </c>
      <c r="V41" s="185">
        <v>6.3651799999999996</v>
      </c>
      <c r="W41" s="185">
        <v>7.2255900000000004</v>
      </c>
      <c r="X41" s="185">
        <v>6.5606900000000001</v>
      </c>
      <c r="Y41" s="185">
        <v>6.0169300000000003</v>
      </c>
      <c r="Z41" s="185">
        <v>6.1558700000000002</v>
      </c>
      <c r="AA41" s="185">
        <v>6.9164399999999997</v>
      </c>
      <c r="AB41" s="185"/>
      <c r="AC41" s="185">
        <v>7.0440800000000001</v>
      </c>
      <c r="AD41" s="185"/>
      <c r="AE41" s="194"/>
      <c r="AF41" s="185">
        <v>0.73887000000000003</v>
      </c>
      <c r="AG41" s="185">
        <v>0.76646999999999998</v>
      </c>
      <c r="AH41" s="185">
        <v>0.86033000000000004</v>
      </c>
      <c r="AI41" s="185">
        <v>0.91425999999999996</v>
      </c>
      <c r="AJ41" s="185">
        <v>0.85072000000000003</v>
      </c>
      <c r="AK41" s="185">
        <v>1.0129600000000001</v>
      </c>
      <c r="AL41" s="185">
        <v>1.0396399999999999</v>
      </c>
      <c r="AM41" s="185">
        <v>1.1355200000000001</v>
      </c>
      <c r="AN41" s="185">
        <v>1.13534</v>
      </c>
      <c r="AO41" s="185"/>
      <c r="AP41" s="185">
        <v>1.45499</v>
      </c>
      <c r="AQ41" s="185"/>
      <c r="AR41" s="194"/>
      <c r="AS41" s="185">
        <v>0</v>
      </c>
      <c r="AT41" s="185">
        <v>0</v>
      </c>
      <c r="AU41" s="185">
        <v>0</v>
      </c>
      <c r="AV41" s="185">
        <v>0</v>
      </c>
      <c r="AW41" s="185">
        <v>0</v>
      </c>
      <c r="AX41" s="185">
        <v>0</v>
      </c>
      <c r="AY41" s="185">
        <v>0</v>
      </c>
      <c r="AZ41" s="185">
        <v>0</v>
      </c>
      <c r="BA41" s="185">
        <v>0</v>
      </c>
      <c r="BB41" s="185"/>
      <c r="BC41" s="185">
        <v>0</v>
      </c>
      <c r="BD41" s="185"/>
      <c r="BE41" s="194"/>
      <c r="BF41" s="185">
        <v>1.1039999999999999E-2</v>
      </c>
      <c r="BG41" s="185">
        <v>1.213E-2</v>
      </c>
      <c r="BH41" s="185">
        <v>0</v>
      </c>
      <c r="BI41" s="185">
        <v>0</v>
      </c>
      <c r="BJ41" s="185">
        <v>0</v>
      </c>
      <c r="BK41" s="185">
        <v>0</v>
      </c>
      <c r="BL41" s="185">
        <v>0</v>
      </c>
      <c r="BM41" s="185">
        <v>0</v>
      </c>
      <c r="BN41" s="185">
        <v>0</v>
      </c>
      <c r="BO41" s="185"/>
      <c r="BP41" s="185">
        <v>0</v>
      </c>
      <c r="BQ41" s="185"/>
      <c r="BR41" s="194"/>
      <c r="BS41" s="185">
        <v>0</v>
      </c>
      <c r="BT41" s="185">
        <v>1.4374499999999999</v>
      </c>
      <c r="BU41" s="185">
        <v>0.55327999999999999</v>
      </c>
      <c r="BV41" s="185">
        <v>0</v>
      </c>
      <c r="BW41" s="185">
        <v>-9.5149999999999998E-2</v>
      </c>
      <c r="BX41" s="185">
        <v>-3.49E-3</v>
      </c>
      <c r="BY41" s="185">
        <v>0</v>
      </c>
      <c r="BZ41" s="185">
        <v>0</v>
      </c>
      <c r="CA41" s="185">
        <v>0</v>
      </c>
      <c r="CB41" s="185"/>
      <c r="CC41" s="185">
        <v>0</v>
      </c>
      <c r="CD41" s="185"/>
      <c r="CE41" s="194"/>
      <c r="CF41" s="185">
        <v>5.9714799999999997</v>
      </c>
      <c r="CG41" s="185">
        <v>4.9214500000000001</v>
      </c>
      <c r="CH41" s="185">
        <v>5.9716399999999998</v>
      </c>
      <c r="CI41" s="185">
        <v>7.2794499999999998</v>
      </c>
      <c r="CJ41" s="185">
        <v>8.0763200000000008</v>
      </c>
      <c r="CK41" s="185">
        <v>7.5736499999999998</v>
      </c>
      <c r="CL41" s="185">
        <v>7.0565699999999998</v>
      </c>
      <c r="CM41" s="185">
        <v>7.2913899999999998</v>
      </c>
      <c r="CN41" s="185">
        <v>8.0517800000000008</v>
      </c>
      <c r="CO41" s="185"/>
      <c r="CP41" s="185">
        <v>8.4990699999999997</v>
      </c>
      <c r="CQ41" s="185"/>
      <c r="CR41" s="194"/>
      <c r="CS41" s="185">
        <v>5.0991400000000002</v>
      </c>
      <c r="CT41" s="185">
        <v>5.68919</v>
      </c>
      <c r="CU41" s="185">
        <v>5.7568200000000003</v>
      </c>
      <c r="CV41" s="185">
        <v>6.4434699999999996</v>
      </c>
      <c r="CW41" s="185">
        <v>7.0471000000000004</v>
      </c>
      <c r="CX41" s="185">
        <v>6.4625500000000002</v>
      </c>
      <c r="CY41" s="185">
        <v>5.8735799999999996</v>
      </c>
      <c r="CZ41" s="185">
        <v>6.0704000000000002</v>
      </c>
      <c r="DA41" s="185">
        <v>6.8956099999999996</v>
      </c>
      <c r="DB41" s="185"/>
      <c r="DC41" s="185">
        <v>7.3261099999999999</v>
      </c>
      <c r="DD41" s="185"/>
      <c r="DE41" s="194"/>
      <c r="DF41" s="187">
        <v>0.1237</v>
      </c>
      <c r="DG41" s="187">
        <v>0.15570000000000001</v>
      </c>
      <c r="DH41" s="187">
        <v>0.14410000000000001</v>
      </c>
      <c r="DI41" s="187">
        <v>0.12559999999999999</v>
      </c>
      <c r="DJ41" s="187">
        <v>0.1053</v>
      </c>
      <c r="DK41" s="187">
        <v>0.13370000000000001</v>
      </c>
      <c r="DL41" s="187">
        <v>0.14729999999999999</v>
      </c>
      <c r="DM41" s="187">
        <v>0.15570000000000001</v>
      </c>
      <c r="DN41" s="187">
        <v>0.14099999999999999</v>
      </c>
      <c r="DO41" s="187"/>
      <c r="DP41" s="187">
        <v>0.17119999999999999</v>
      </c>
      <c r="DQ41" s="187"/>
      <c r="DR41" s="195"/>
      <c r="DS41" s="185">
        <v>0</v>
      </c>
      <c r="DT41" s="185">
        <v>0</v>
      </c>
      <c r="DU41" s="185">
        <v>0</v>
      </c>
      <c r="DV41" s="185">
        <v>0</v>
      </c>
      <c r="DW41" s="185">
        <v>0</v>
      </c>
      <c r="DX41" s="185">
        <v>0</v>
      </c>
      <c r="DY41" s="185">
        <v>0</v>
      </c>
      <c r="DZ41" s="185">
        <v>0</v>
      </c>
      <c r="EA41" s="185">
        <v>0</v>
      </c>
      <c r="EB41" s="185"/>
      <c r="EC41" s="185">
        <v>0</v>
      </c>
      <c r="ED41" s="185"/>
      <c r="EE41" s="194"/>
      <c r="EF41" s="185">
        <v>0</v>
      </c>
      <c r="EG41" s="185">
        <v>0</v>
      </c>
      <c r="EH41" s="185">
        <v>0</v>
      </c>
      <c r="EI41" s="185">
        <v>0</v>
      </c>
      <c r="EJ41" s="185">
        <v>0</v>
      </c>
      <c r="EK41" s="185">
        <v>0</v>
      </c>
      <c r="EL41" s="185">
        <v>0</v>
      </c>
      <c r="EM41" s="185">
        <v>0</v>
      </c>
      <c r="EN41" s="185">
        <v>0</v>
      </c>
      <c r="EO41" s="185"/>
      <c r="EP41" s="185">
        <v>0</v>
      </c>
      <c r="EQ41" s="185"/>
      <c r="ER41" s="194"/>
      <c r="ES41" s="185">
        <v>26211</v>
      </c>
      <c r="ET41" s="185">
        <v>18467</v>
      </c>
      <c r="EU41" s="185">
        <v>23157</v>
      </c>
      <c r="EV41" s="185">
        <v>25561</v>
      </c>
      <c r="EW41" s="185">
        <v>26868</v>
      </c>
      <c r="EX41" s="185">
        <v>25327</v>
      </c>
      <c r="EY41" s="185">
        <v>24627</v>
      </c>
      <c r="EZ41" s="185">
        <v>25319.21702</v>
      </c>
      <c r="FA41" s="185">
        <v>25339.193950000001</v>
      </c>
      <c r="FB41" s="185"/>
      <c r="FC41" s="185">
        <v>25260.752670000002</v>
      </c>
      <c r="FD41" s="185"/>
      <c r="FE41" s="194"/>
      <c r="FF41" s="185"/>
      <c r="FG41" s="185"/>
      <c r="FH41" s="185"/>
      <c r="FI41" s="185"/>
      <c r="FJ41" s="185"/>
      <c r="FK41" s="185"/>
      <c r="FL41" s="185"/>
      <c r="FM41" s="185"/>
      <c r="FN41" s="185"/>
      <c r="FO41" s="185"/>
      <c r="FP41" s="185"/>
      <c r="FQ41" s="185"/>
      <c r="FR41" s="194"/>
    </row>
    <row r="42" spans="5:174" x14ac:dyDescent="0.25">
      <c r="E42" s="2" t="s">
        <v>185</v>
      </c>
      <c r="F42" s="184">
        <v>0.76744999999999997</v>
      </c>
      <c r="G42" s="185">
        <v>0.68225999999999998</v>
      </c>
      <c r="H42" s="185">
        <v>0.82155999999999996</v>
      </c>
      <c r="I42" s="185">
        <v>0.97058</v>
      </c>
      <c r="J42" s="185">
        <v>1.03833</v>
      </c>
      <c r="K42" s="185">
        <v>1.3247899999999999</v>
      </c>
      <c r="L42" s="185">
        <v>1.6361600000000001</v>
      </c>
      <c r="M42" s="185">
        <v>1.6220399999999999</v>
      </c>
      <c r="N42" s="185">
        <v>1.4718100000000001</v>
      </c>
      <c r="O42" s="185"/>
      <c r="P42" s="185">
        <v>1.50796</v>
      </c>
      <c r="Q42" s="185"/>
      <c r="R42" s="194"/>
      <c r="S42" s="185">
        <v>4.0531100000000002</v>
      </c>
      <c r="T42" s="185">
        <v>3.9381699999999999</v>
      </c>
      <c r="U42" s="185">
        <v>4.4523999999999999</v>
      </c>
      <c r="V42" s="185">
        <v>6.1271599999999999</v>
      </c>
      <c r="W42" s="185">
        <v>6.0757399999999997</v>
      </c>
      <c r="X42" s="185">
        <v>6.5735799999999998</v>
      </c>
      <c r="Y42" s="185">
        <v>6.9307299999999996</v>
      </c>
      <c r="Z42" s="185">
        <v>7.0793999999999997</v>
      </c>
      <c r="AA42" s="185">
        <v>6.8122199999999999</v>
      </c>
      <c r="AB42" s="185"/>
      <c r="AC42" s="185">
        <v>7.26241</v>
      </c>
      <c r="AD42" s="185"/>
      <c r="AE42" s="194"/>
      <c r="AF42" s="185">
        <v>0.56601999999999997</v>
      </c>
      <c r="AG42" s="185">
        <v>0.75590000000000002</v>
      </c>
      <c r="AH42" s="185">
        <v>0.88138000000000005</v>
      </c>
      <c r="AI42" s="185">
        <v>0.92132000000000003</v>
      </c>
      <c r="AJ42" s="185">
        <v>0.84592000000000001</v>
      </c>
      <c r="AK42" s="185">
        <v>1.18306</v>
      </c>
      <c r="AL42" s="185">
        <v>1.3946499999999999</v>
      </c>
      <c r="AM42" s="185">
        <v>1.48007</v>
      </c>
      <c r="AN42" s="185">
        <v>1.4913700000000001</v>
      </c>
      <c r="AO42" s="185"/>
      <c r="AP42" s="185">
        <v>2.0640499999999999</v>
      </c>
      <c r="AQ42" s="185"/>
      <c r="AR42" s="194"/>
      <c r="AS42" s="185">
        <v>0</v>
      </c>
      <c r="AT42" s="185">
        <v>0</v>
      </c>
      <c r="AU42" s="185">
        <v>0</v>
      </c>
      <c r="AV42" s="185">
        <v>0</v>
      </c>
      <c r="AW42" s="185">
        <v>0</v>
      </c>
      <c r="AX42" s="185">
        <v>0</v>
      </c>
      <c r="AY42" s="185">
        <v>0</v>
      </c>
      <c r="AZ42" s="185">
        <v>0</v>
      </c>
      <c r="BA42" s="185">
        <v>0</v>
      </c>
      <c r="BB42" s="185"/>
      <c r="BC42" s="185">
        <v>0</v>
      </c>
      <c r="BD42" s="185"/>
      <c r="BE42" s="194"/>
      <c r="BF42" s="185">
        <v>6.4700000000000001E-3</v>
      </c>
      <c r="BG42" s="185">
        <v>8.6199999999999992E-3</v>
      </c>
      <c r="BH42" s="185">
        <v>0</v>
      </c>
      <c r="BI42" s="185">
        <v>0</v>
      </c>
      <c r="BJ42" s="185">
        <v>0</v>
      </c>
      <c r="BK42" s="185">
        <v>0</v>
      </c>
      <c r="BL42" s="185">
        <v>0</v>
      </c>
      <c r="BM42" s="185">
        <v>0</v>
      </c>
      <c r="BN42" s="185">
        <v>0</v>
      </c>
      <c r="BO42" s="185"/>
      <c r="BP42" s="185">
        <v>0</v>
      </c>
      <c r="BQ42" s="185"/>
      <c r="BR42" s="194"/>
      <c r="BS42" s="185">
        <v>0</v>
      </c>
      <c r="BT42" s="185">
        <v>0.69918999999999998</v>
      </c>
      <c r="BU42" s="185">
        <v>-0.34231</v>
      </c>
      <c r="BV42" s="185">
        <v>0</v>
      </c>
      <c r="BW42" s="185">
        <v>-8.0009999999999998E-2</v>
      </c>
      <c r="BX42" s="185">
        <v>-2.9299999999999999E-3</v>
      </c>
      <c r="BY42" s="185">
        <v>0</v>
      </c>
      <c r="BZ42" s="185">
        <v>0</v>
      </c>
      <c r="CA42" s="185">
        <v>0</v>
      </c>
      <c r="CB42" s="185"/>
      <c r="CC42" s="185">
        <v>0</v>
      </c>
      <c r="CD42" s="185"/>
      <c r="CE42" s="194"/>
      <c r="CF42" s="185">
        <v>4.62561</v>
      </c>
      <c r="CG42" s="185">
        <v>4.7026899999999996</v>
      </c>
      <c r="CH42" s="185">
        <v>5.33378</v>
      </c>
      <c r="CI42" s="185">
        <v>7.0484799999999996</v>
      </c>
      <c r="CJ42" s="185">
        <v>6.9216499999999996</v>
      </c>
      <c r="CK42" s="185">
        <v>7.75664</v>
      </c>
      <c r="CL42" s="185">
        <v>8.3253799999999991</v>
      </c>
      <c r="CM42" s="185">
        <v>8.5594599999999996</v>
      </c>
      <c r="CN42" s="185">
        <v>8.3035899999999998</v>
      </c>
      <c r="CO42" s="185"/>
      <c r="CP42" s="185">
        <v>9.3264600000000009</v>
      </c>
      <c r="CQ42" s="185"/>
      <c r="CR42" s="194"/>
      <c r="CS42" s="185">
        <v>3.8581599999999998</v>
      </c>
      <c r="CT42" s="185">
        <v>4.7196199999999999</v>
      </c>
      <c r="CU42" s="185">
        <v>4.1699200000000003</v>
      </c>
      <c r="CV42" s="185">
        <v>6.0778999999999996</v>
      </c>
      <c r="CW42" s="185">
        <v>5.8033200000000003</v>
      </c>
      <c r="CX42" s="185">
        <v>6.4289300000000003</v>
      </c>
      <c r="CY42" s="185">
        <v>6.6892199999999997</v>
      </c>
      <c r="CZ42" s="185">
        <v>6.9374200000000004</v>
      </c>
      <c r="DA42" s="185">
        <v>6.8317800000000002</v>
      </c>
      <c r="DB42" s="185"/>
      <c r="DC42" s="185">
        <v>7.8185000000000002</v>
      </c>
      <c r="DD42" s="185"/>
      <c r="DE42" s="194"/>
      <c r="DF42" s="187">
        <v>0.12239999999999999</v>
      </c>
      <c r="DG42" s="187">
        <v>0.16070000000000001</v>
      </c>
      <c r="DH42" s="187">
        <v>0.16520000000000001</v>
      </c>
      <c r="DI42" s="187">
        <v>0.13070000000000001</v>
      </c>
      <c r="DJ42" s="187">
        <v>0.1222</v>
      </c>
      <c r="DK42" s="187">
        <v>0.1525</v>
      </c>
      <c r="DL42" s="187">
        <v>0.16750000000000001</v>
      </c>
      <c r="DM42" s="187">
        <v>0.1729</v>
      </c>
      <c r="DN42" s="187">
        <v>0.17960000000000001</v>
      </c>
      <c r="DO42" s="187"/>
      <c r="DP42" s="187">
        <v>0.2213</v>
      </c>
      <c r="DQ42" s="187"/>
      <c r="DR42" s="195"/>
      <c r="DS42" s="185">
        <v>0</v>
      </c>
      <c r="DT42" s="185">
        <v>0</v>
      </c>
      <c r="DU42" s="185">
        <v>0</v>
      </c>
      <c r="DV42" s="185">
        <v>0</v>
      </c>
      <c r="DW42" s="185">
        <v>0</v>
      </c>
      <c r="DX42" s="185">
        <v>0</v>
      </c>
      <c r="DY42" s="185">
        <v>0</v>
      </c>
      <c r="DZ42" s="185">
        <v>0</v>
      </c>
      <c r="EA42" s="185">
        <v>0</v>
      </c>
      <c r="EB42" s="185"/>
      <c r="EC42" s="185">
        <v>0</v>
      </c>
      <c r="ED42" s="185"/>
      <c r="EE42" s="194"/>
      <c r="EF42" s="185">
        <v>0</v>
      </c>
      <c r="EG42" s="185">
        <v>0</v>
      </c>
      <c r="EH42" s="185">
        <v>0</v>
      </c>
      <c r="EI42" s="185">
        <v>0</v>
      </c>
      <c r="EJ42" s="185">
        <v>0</v>
      </c>
      <c r="EK42" s="185">
        <v>0</v>
      </c>
      <c r="EL42" s="185">
        <v>0</v>
      </c>
      <c r="EM42" s="185">
        <v>0</v>
      </c>
      <c r="EN42" s="185">
        <v>0</v>
      </c>
      <c r="EO42" s="185"/>
      <c r="EP42" s="185">
        <v>0</v>
      </c>
      <c r="EQ42" s="185"/>
      <c r="ER42" s="194"/>
      <c r="ES42" s="185">
        <v>21199</v>
      </c>
      <c r="ET42" s="185">
        <v>18710</v>
      </c>
      <c r="EU42" s="185">
        <v>22363</v>
      </c>
      <c r="EV42" s="185">
        <v>25464</v>
      </c>
      <c r="EW42" s="185">
        <v>24612</v>
      </c>
      <c r="EX42" s="185">
        <v>27775</v>
      </c>
      <c r="EY42" s="185">
        <v>28942</v>
      </c>
      <c r="EZ42" s="185">
        <v>30000</v>
      </c>
      <c r="FA42" s="185">
        <v>28239.610250000002</v>
      </c>
      <c r="FB42" s="185"/>
      <c r="FC42" s="185">
        <v>29324.654180000001</v>
      </c>
      <c r="FD42" s="185"/>
      <c r="FE42" s="194"/>
      <c r="FF42" s="185"/>
      <c r="FG42" s="185"/>
      <c r="FH42" s="185"/>
      <c r="FI42" s="185"/>
      <c r="FJ42" s="185"/>
      <c r="FK42" s="185"/>
      <c r="FL42" s="185"/>
      <c r="FM42" s="185"/>
      <c r="FN42" s="185"/>
      <c r="FO42" s="185"/>
      <c r="FP42" s="185"/>
      <c r="FQ42" s="185"/>
      <c r="FR42" s="194"/>
    </row>
    <row r="43" spans="5:174" x14ac:dyDescent="0.25">
      <c r="E43" s="2" t="s">
        <v>186</v>
      </c>
      <c r="F43" s="184">
        <v>1.60616</v>
      </c>
      <c r="G43" s="185">
        <v>1.2133700000000001</v>
      </c>
      <c r="H43" s="185">
        <v>1.4147400000000001</v>
      </c>
      <c r="I43" s="185">
        <v>1.68119</v>
      </c>
      <c r="J43" s="185">
        <v>1.8111999999999999</v>
      </c>
      <c r="K43" s="185">
        <v>1.9999400000000001</v>
      </c>
      <c r="L43" s="185">
        <v>2.1673800000000001</v>
      </c>
      <c r="M43" s="185">
        <v>2.2148099999999999</v>
      </c>
      <c r="N43" s="185">
        <v>1.99211</v>
      </c>
      <c r="O43" s="185"/>
      <c r="P43" s="185">
        <v>2.0066999999999999</v>
      </c>
      <c r="Q43" s="185"/>
      <c r="R43" s="194"/>
      <c r="S43" s="185">
        <v>8.1317299999999992</v>
      </c>
      <c r="T43" s="185">
        <v>6.7620300000000002</v>
      </c>
      <c r="U43" s="185">
        <v>7.9225099999999999</v>
      </c>
      <c r="V43" s="185">
        <v>9.8622899999999998</v>
      </c>
      <c r="W43" s="185">
        <v>10.491960000000001</v>
      </c>
      <c r="X43" s="185">
        <v>10.78023</v>
      </c>
      <c r="Y43" s="185">
        <v>11.702070000000001</v>
      </c>
      <c r="Z43" s="185">
        <v>10.88083</v>
      </c>
      <c r="AA43" s="185">
        <v>12.110329999999999</v>
      </c>
      <c r="AB43" s="185"/>
      <c r="AC43" s="185">
        <v>12.618029999999999</v>
      </c>
      <c r="AD43" s="185"/>
      <c r="AE43" s="194"/>
      <c r="AF43" s="185">
        <v>1.25088</v>
      </c>
      <c r="AG43" s="185">
        <v>1.22661</v>
      </c>
      <c r="AH43" s="185">
        <v>1.3427500000000001</v>
      </c>
      <c r="AI43" s="185">
        <v>1.4763999999999999</v>
      </c>
      <c r="AJ43" s="185">
        <v>1.4235599999999999</v>
      </c>
      <c r="AK43" s="185">
        <v>1.70163</v>
      </c>
      <c r="AL43" s="185">
        <v>1.7016100000000001</v>
      </c>
      <c r="AM43" s="185">
        <v>1.77006</v>
      </c>
      <c r="AN43" s="185">
        <v>1.75105</v>
      </c>
      <c r="AO43" s="185"/>
      <c r="AP43" s="185">
        <v>2.3350200000000001</v>
      </c>
      <c r="AQ43" s="185"/>
      <c r="AR43" s="194"/>
      <c r="AS43" s="185">
        <v>0</v>
      </c>
      <c r="AT43" s="185">
        <v>0</v>
      </c>
      <c r="AU43" s="185">
        <v>0</v>
      </c>
      <c r="AV43" s="185">
        <v>0</v>
      </c>
      <c r="AW43" s="185">
        <v>0</v>
      </c>
      <c r="AX43" s="185">
        <v>0</v>
      </c>
      <c r="AY43" s="185">
        <v>0</v>
      </c>
      <c r="AZ43" s="185">
        <v>0</v>
      </c>
      <c r="BA43" s="185">
        <v>0</v>
      </c>
      <c r="BB43" s="185"/>
      <c r="BC43" s="185">
        <v>0</v>
      </c>
      <c r="BD43" s="185"/>
      <c r="BE43" s="194"/>
      <c r="BF43" s="185">
        <v>1.6369999999999999E-2</v>
      </c>
      <c r="BG43" s="185">
        <v>1.6670000000000001E-2</v>
      </c>
      <c r="BH43" s="185">
        <v>0</v>
      </c>
      <c r="BI43" s="185">
        <v>0</v>
      </c>
      <c r="BJ43" s="185">
        <v>0</v>
      </c>
      <c r="BK43" s="185">
        <v>0</v>
      </c>
      <c r="BL43" s="185">
        <v>0</v>
      </c>
      <c r="BM43" s="185">
        <v>0</v>
      </c>
      <c r="BN43" s="185">
        <v>0</v>
      </c>
      <c r="BO43" s="185"/>
      <c r="BP43" s="185">
        <v>0</v>
      </c>
      <c r="BQ43" s="185"/>
      <c r="BR43" s="194"/>
      <c r="BS43" s="185">
        <v>0</v>
      </c>
      <c r="BT43" s="185">
        <v>1.52369</v>
      </c>
      <c r="BU43" s="185">
        <v>0.54827000000000004</v>
      </c>
      <c r="BV43" s="185">
        <v>0</v>
      </c>
      <c r="BW43" s="185">
        <v>-0.13816999999999999</v>
      </c>
      <c r="BX43" s="185">
        <v>-5.0600000000000003E-3</v>
      </c>
      <c r="BY43" s="185">
        <v>0</v>
      </c>
      <c r="BZ43" s="185">
        <v>0</v>
      </c>
      <c r="CA43" s="185">
        <v>0</v>
      </c>
      <c r="CB43" s="185"/>
      <c r="CC43" s="185">
        <v>0</v>
      </c>
      <c r="CD43" s="185"/>
      <c r="CE43" s="194"/>
      <c r="CF43" s="185">
        <v>9.3989799999999999</v>
      </c>
      <c r="CG43" s="185">
        <v>8.0053199999999993</v>
      </c>
      <c r="CH43" s="185">
        <v>9.2652599999999996</v>
      </c>
      <c r="CI43" s="185">
        <v>11.33869</v>
      </c>
      <c r="CJ43" s="185">
        <v>11.915520000000001</v>
      </c>
      <c r="CK43" s="185">
        <v>12.481859999999999</v>
      </c>
      <c r="CL43" s="185">
        <v>13.40368</v>
      </c>
      <c r="CM43" s="185">
        <v>12.65089</v>
      </c>
      <c r="CN43" s="185">
        <v>13.86138</v>
      </c>
      <c r="CO43" s="185"/>
      <c r="CP43" s="185">
        <v>14.953049999999999</v>
      </c>
      <c r="CQ43" s="185"/>
      <c r="CR43" s="194"/>
      <c r="CS43" s="185">
        <v>7.7928199999999999</v>
      </c>
      <c r="CT43" s="185">
        <v>8.3156400000000001</v>
      </c>
      <c r="CU43" s="185">
        <v>8.39879</v>
      </c>
      <c r="CV43" s="185">
        <v>9.6575000000000006</v>
      </c>
      <c r="CW43" s="185">
        <v>9.9661600000000004</v>
      </c>
      <c r="CX43" s="185">
        <v>10.47686</v>
      </c>
      <c r="CY43" s="185">
        <v>11.23631</v>
      </c>
      <c r="CZ43" s="185">
        <v>10.43609</v>
      </c>
      <c r="DA43" s="185">
        <v>11.86927</v>
      </c>
      <c r="DB43" s="185"/>
      <c r="DC43" s="185">
        <v>12.946339999999999</v>
      </c>
      <c r="DD43" s="185"/>
      <c r="DE43" s="194"/>
      <c r="DF43" s="187">
        <v>0.1331</v>
      </c>
      <c r="DG43" s="187">
        <v>0.1532</v>
      </c>
      <c r="DH43" s="187">
        <v>0.1449</v>
      </c>
      <c r="DI43" s="187">
        <v>0.13020000000000001</v>
      </c>
      <c r="DJ43" s="187">
        <v>0.1195</v>
      </c>
      <c r="DK43" s="187">
        <v>0.1363</v>
      </c>
      <c r="DL43" s="187">
        <v>0.127</v>
      </c>
      <c r="DM43" s="187">
        <v>0.1399</v>
      </c>
      <c r="DN43" s="187">
        <v>0.1263</v>
      </c>
      <c r="DO43" s="187"/>
      <c r="DP43" s="187">
        <v>0.15620000000000001</v>
      </c>
      <c r="DQ43" s="187"/>
      <c r="DR43" s="195"/>
      <c r="DS43" s="185">
        <v>0</v>
      </c>
      <c r="DT43" s="185">
        <v>0</v>
      </c>
      <c r="DU43" s="185">
        <v>0</v>
      </c>
      <c r="DV43" s="185">
        <v>0</v>
      </c>
      <c r="DW43" s="185">
        <v>0</v>
      </c>
      <c r="DX43" s="185">
        <v>0</v>
      </c>
      <c r="DY43" s="185">
        <v>0</v>
      </c>
      <c r="DZ43" s="185">
        <v>0</v>
      </c>
      <c r="EA43" s="185">
        <v>0</v>
      </c>
      <c r="EB43" s="185"/>
      <c r="EC43" s="185">
        <v>0</v>
      </c>
      <c r="ED43" s="185"/>
      <c r="EE43" s="194"/>
      <c r="EF43" s="185">
        <v>0</v>
      </c>
      <c r="EG43" s="185">
        <v>0</v>
      </c>
      <c r="EH43" s="185">
        <v>0</v>
      </c>
      <c r="EI43" s="185">
        <v>0</v>
      </c>
      <c r="EJ43" s="185">
        <v>0</v>
      </c>
      <c r="EK43" s="185">
        <v>0</v>
      </c>
      <c r="EL43" s="185">
        <v>0</v>
      </c>
      <c r="EM43" s="185">
        <v>0</v>
      </c>
      <c r="EN43" s="185">
        <v>0</v>
      </c>
      <c r="EO43" s="185"/>
      <c r="EP43" s="185">
        <v>0</v>
      </c>
      <c r="EQ43" s="185"/>
      <c r="ER43" s="194"/>
      <c r="ES43" s="185">
        <v>44590</v>
      </c>
      <c r="ET43" s="185">
        <v>31271</v>
      </c>
      <c r="EU43" s="185">
        <v>35814</v>
      </c>
      <c r="EV43" s="185">
        <v>38517</v>
      </c>
      <c r="EW43" s="185">
        <v>42079</v>
      </c>
      <c r="EX43" s="185">
        <v>42091</v>
      </c>
      <c r="EY43" s="185">
        <v>40930</v>
      </c>
      <c r="EZ43" s="185">
        <v>40818.018730000003</v>
      </c>
      <c r="FA43" s="185">
        <v>38946.07561</v>
      </c>
      <c r="FB43" s="185"/>
      <c r="FC43" s="185">
        <v>39666.469870000001</v>
      </c>
      <c r="FD43" s="185"/>
      <c r="FE43" s="194"/>
      <c r="FF43" s="185"/>
      <c r="FG43" s="185"/>
      <c r="FH43" s="185"/>
      <c r="FI43" s="185"/>
      <c r="FJ43" s="185"/>
      <c r="FK43" s="185"/>
      <c r="FL43" s="185"/>
      <c r="FM43" s="185"/>
      <c r="FN43" s="185"/>
      <c r="FO43" s="185"/>
      <c r="FP43" s="185"/>
      <c r="FQ43" s="185"/>
      <c r="FR43" s="194"/>
    </row>
    <row r="44" spans="5:174" x14ac:dyDescent="0.25">
      <c r="E44" s="2" t="s">
        <v>187</v>
      </c>
      <c r="F44" s="184">
        <v>2.5209999999999999</v>
      </c>
      <c r="G44" s="185">
        <v>1.79328</v>
      </c>
      <c r="H44" s="185">
        <v>2.2141799999999998</v>
      </c>
      <c r="I44" s="185">
        <v>2.5890200000000001</v>
      </c>
      <c r="J44" s="185">
        <v>2.8563000000000001</v>
      </c>
      <c r="K44" s="185">
        <v>3.2610999999999999</v>
      </c>
      <c r="L44" s="185">
        <v>3.3174600000000001</v>
      </c>
      <c r="M44" s="185">
        <v>3.9748100000000002</v>
      </c>
      <c r="N44" s="185">
        <v>3.14723</v>
      </c>
      <c r="O44" s="185"/>
      <c r="P44" s="185">
        <v>3.22031</v>
      </c>
      <c r="Q44" s="185"/>
      <c r="R44" s="194"/>
      <c r="S44" s="185">
        <v>10.043760000000001</v>
      </c>
      <c r="T44" s="185">
        <v>7.4657299999999998</v>
      </c>
      <c r="U44" s="185">
        <v>8.7882099999999994</v>
      </c>
      <c r="V44" s="185">
        <v>11.8941</v>
      </c>
      <c r="W44" s="185">
        <v>12.685589999999999</v>
      </c>
      <c r="X44" s="185">
        <v>11.150510000000001</v>
      </c>
      <c r="Y44" s="185">
        <v>9.8792500000000008</v>
      </c>
      <c r="Z44" s="185">
        <v>10.287839999999999</v>
      </c>
      <c r="AA44" s="185">
        <v>11.157909999999999</v>
      </c>
      <c r="AB44" s="185"/>
      <c r="AC44" s="185">
        <v>11.18477</v>
      </c>
      <c r="AD44" s="185"/>
      <c r="AE44" s="194"/>
      <c r="AF44" s="185">
        <v>2.2177699999999998</v>
      </c>
      <c r="AG44" s="185">
        <v>2.0707399999999998</v>
      </c>
      <c r="AH44" s="185">
        <v>2.3226200000000001</v>
      </c>
      <c r="AI44" s="185">
        <v>2.5857700000000001</v>
      </c>
      <c r="AJ44" s="185">
        <v>2.32497</v>
      </c>
      <c r="AK44" s="185">
        <v>2.5107200000000001</v>
      </c>
      <c r="AL44" s="185">
        <v>2.5230700000000001</v>
      </c>
      <c r="AM44" s="185">
        <v>3.0061300000000002</v>
      </c>
      <c r="AN44" s="185">
        <v>2.6939099999999998</v>
      </c>
      <c r="AO44" s="185"/>
      <c r="AP44" s="185">
        <v>3.5668799999999998</v>
      </c>
      <c r="AQ44" s="185"/>
      <c r="AR44" s="194"/>
      <c r="AS44" s="185">
        <v>0</v>
      </c>
      <c r="AT44" s="185">
        <v>0</v>
      </c>
      <c r="AU44" s="185">
        <v>0</v>
      </c>
      <c r="AV44" s="185">
        <v>0</v>
      </c>
      <c r="AW44" s="185">
        <v>0</v>
      </c>
      <c r="AX44" s="185">
        <v>0</v>
      </c>
      <c r="AY44" s="185">
        <v>0</v>
      </c>
      <c r="AZ44" s="185">
        <v>0</v>
      </c>
      <c r="BA44" s="185">
        <v>0</v>
      </c>
      <c r="BB44" s="185"/>
      <c r="BC44" s="185">
        <v>0</v>
      </c>
      <c r="BD44" s="185"/>
      <c r="BE44" s="194"/>
      <c r="BF44" s="185">
        <v>2.8420000000000001E-2</v>
      </c>
      <c r="BG44" s="185">
        <v>2.8930000000000001E-2</v>
      </c>
      <c r="BH44" s="185">
        <v>0</v>
      </c>
      <c r="BI44" s="185">
        <v>0</v>
      </c>
      <c r="BJ44" s="185">
        <v>0</v>
      </c>
      <c r="BK44" s="185">
        <v>0</v>
      </c>
      <c r="BL44" s="185">
        <v>0</v>
      </c>
      <c r="BM44" s="185">
        <v>0</v>
      </c>
      <c r="BN44" s="185">
        <v>0</v>
      </c>
      <c r="BO44" s="185"/>
      <c r="BP44" s="185">
        <v>0</v>
      </c>
      <c r="BQ44" s="185"/>
      <c r="BR44" s="194"/>
      <c r="BS44" s="185">
        <v>0</v>
      </c>
      <c r="BT44" s="185">
        <v>2.2853400000000001</v>
      </c>
      <c r="BU44" s="185">
        <v>0.82884999999999998</v>
      </c>
      <c r="BV44" s="185">
        <v>0</v>
      </c>
      <c r="BW44" s="185">
        <v>-0.16705</v>
      </c>
      <c r="BX44" s="185">
        <v>-6.1199999999999996E-3</v>
      </c>
      <c r="BY44" s="185">
        <v>0</v>
      </c>
      <c r="BZ44" s="185">
        <v>0</v>
      </c>
      <c r="CA44" s="185">
        <v>0</v>
      </c>
      <c r="CB44" s="185"/>
      <c r="CC44" s="185">
        <v>0</v>
      </c>
      <c r="CD44" s="185"/>
      <c r="CE44" s="194"/>
      <c r="CF44" s="185">
        <v>12.289949999999999</v>
      </c>
      <c r="CG44" s="185">
        <v>9.5654000000000003</v>
      </c>
      <c r="CH44" s="185">
        <v>11.11084</v>
      </c>
      <c r="CI44" s="185">
        <v>14.47987</v>
      </c>
      <c r="CJ44" s="185">
        <v>15.01056</v>
      </c>
      <c r="CK44" s="185">
        <v>13.66123</v>
      </c>
      <c r="CL44" s="185">
        <v>12.40232</v>
      </c>
      <c r="CM44" s="185">
        <v>13.293979999999999</v>
      </c>
      <c r="CN44" s="185">
        <v>13.85183</v>
      </c>
      <c r="CO44" s="185"/>
      <c r="CP44" s="185">
        <v>14.75165</v>
      </c>
      <c r="CQ44" s="185"/>
      <c r="CR44" s="194"/>
      <c r="CS44" s="185">
        <v>9.7689500000000002</v>
      </c>
      <c r="CT44" s="185">
        <v>10.05747</v>
      </c>
      <c r="CU44" s="185">
        <v>9.7255099999999999</v>
      </c>
      <c r="CV44" s="185">
        <v>11.89085</v>
      </c>
      <c r="CW44" s="185">
        <v>11.987209999999999</v>
      </c>
      <c r="CX44" s="185">
        <v>10.394</v>
      </c>
      <c r="CY44" s="185">
        <v>9.0848600000000008</v>
      </c>
      <c r="CZ44" s="185">
        <v>9.3191699999999997</v>
      </c>
      <c r="DA44" s="185">
        <v>10.70459</v>
      </c>
      <c r="DB44" s="185"/>
      <c r="DC44" s="185">
        <v>11.53134</v>
      </c>
      <c r="DD44" s="185"/>
      <c r="DE44" s="194"/>
      <c r="DF44" s="187">
        <v>0.18049999999999999</v>
      </c>
      <c r="DG44" s="187">
        <v>0.2165</v>
      </c>
      <c r="DH44" s="187">
        <v>0.20899999999999999</v>
      </c>
      <c r="DI44" s="187">
        <v>0.17860000000000001</v>
      </c>
      <c r="DJ44" s="187">
        <v>0.15490000000000001</v>
      </c>
      <c r="DK44" s="187">
        <v>0.18379999999999999</v>
      </c>
      <c r="DL44" s="187">
        <v>0.2034</v>
      </c>
      <c r="DM44" s="187">
        <v>0.2261</v>
      </c>
      <c r="DN44" s="187">
        <v>0.19450000000000001</v>
      </c>
      <c r="DO44" s="187"/>
      <c r="DP44" s="187">
        <v>0.24179999999999999</v>
      </c>
      <c r="DQ44" s="187"/>
      <c r="DR44" s="195"/>
      <c r="DS44" s="185">
        <v>0</v>
      </c>
      <c r="DT44" s="185">
        <v>0</v>
      </c>
      <c r="DU44" s="185">
        <v>0</v>
      </c>
      <c r="DV44" s="185">
        <v>0</v>
      </c>
      <c r="DW44" s="185">
        <v>0</v>
      </c>
      <c r="DX44" s="185">
        <v>0</v>
      </c>
      <c r="DY44" s="185">
        <v>0</v>
      </c>
      <c r="DZ44" s="185">
        <v>0</v>
      </c>
      <c r="EA44" s="185">
        <v>0</v>
      </c>
      <c r="EB44" s="185"/>
      <c r="EC44" s="185">
        <v>0</v>
      </c>
      <c r="ED44" s="185"/>
      <c r="EE44" s="194"/>
      <c r="EF44" s="185">
        <v>0</v>
      </c>
      <c r="EG44" s="185">
        <v>0</v>
      </c>
      <c r="EH44" s="185">
        <v>0</v>
      </c>
      <c r="EI44" s="185">
        <v>0</v>
      </c>
      <c r="EJ44" s="185">
        <v>0</v>
      </c>
      <c r="EK44" s="185">
        <v>0</v>
      </c>
      <c r="EL44" s="185">
        <v>0</v>
      </c>
      <c r="EM44" s="185">
        <v>0</v>
      </c>
      <c r="EN44" s="185">
        <v>0</v>
      </c>
      <c r="EO44" s="185"/>
      <c r="EP44" s="185">
        <v>0</v>
      </c>
      <c r="EQ44" s="185"/>
      <c r="ER44" s="194"/>
      <c r="ES44" s="185">
        <v>65197</v>
      </c>
      <c r="ET44" s="185">
        <v>42854</v>
      </c>
      <c r="EU44" s="185">
        <v>50603</v>
      </c>
      <c r="EV44" s="185">
        <v>57202</v>
      </c>
      <c r="EW44" s="185">
        <v>58175</v>
      </c>
      <c r="EX44" s="185">
        <v>51284</v>
      </c>
      <c r="EY44" s="185">
        <v>47922</v>
      </c>
      <c r="EZ44" s="185">
        <v>53468.238680000002</v>
      </c>
      <c r="FA44" s="185">
        <v>48234.892</v>
      </c>
      <c r="FB44" s="185"/>
      <c r="FC44" s="185">
        <v>48577.146050000003</v>
      </c>
      <c r="FD44" s="185"/>
      <c r="FE44" s="194"/>
      <c r="FF44" s="185"/>
      <c r="FG44" s="185"/>
      <c r="FH44" s="185"/>
      <c r="FI44" s="185"/>
      <c r="FJ44" s="185"/>
      <c r="FK44" s="185"/>
      <c r="FL44" s="185"/>
      <c r="FM44" s="185"/>
      <c r="FN44" s="185"/>
      <c r="FO44" s="185"/>
      <c r="FP44" s="185"/>
      <c r="FQ44" s="185"/>
      <c r="FR44" s="194"/>
    </row>
    <row r="45" spans="5:174" x14ac:dyDescent="0.25">
      <c r="E45" s="2" t="s">
        <v>188</v>
      </c>
      <c r="F45" s="184">
        <v>0.37628</v>
      </c>
      <c r="G45" s="185">
        <v>0.27399000000000001</v>
      </c>
      <c r="H45" s="185">
        <v>0.36507000000000001</v>
      </c>
      <c r="I45" s="185">
        <v>0.40492</v>
      </c>
      <c r="J45" s="185">
        <v>0.43759999999999999</v>
      </c>
      <c r="K45" s="185">
        <v>0.53003</v>
      </c>
      <c r="L45" s="185">
        <v>0.61373</v>
      </c>
      <c r="M45" s="185">
        <v>0.60091000000000006</v>
      </c>
      <c r="N45" s="185">
        <v>0.54395000000000004</v>
      </c>
      <c r="O45" s="185"/>
      <c r="P45" s="185">
        <v>0.54622000000000004</v>
      </c>
      <c r="Q45" s="185"/>
      <c r="R45" s="194"/>
      <c r="S45" s="185">
        <v>1.49203</v>
      </c>
      <c r="T45" s="185">
        <v>1.1136299999999999</v>
      </c>
      <c r="U45" s="185">
        <v>1.41733</v>
      </c>
      <c r="V45" s="185">
        <v>1.8189</v>
      </c>
      <c r="W45" s="185">
        <v>2.1361500000000002</v>
      </c>
      <c r="X45" s="185">
        <v>2.3389000000000002</v>
      </c>
      <c r="Y45" s="185">
        <v>2.91154</v>
      </c>
      <c r="Z45" s="185">
        <v>2.9204500000000002</v>
      </c>
      <c r="AA45" s="185">
        <v>3.1123599999999998</v>
      </c>
      <c r="AB45" s="185"/>
      <c r="AC45" s="185">
        <v>3.3032499999999998</v>
      </c>
      <c r="AD45" s="185"/>
      <c r="AE45" s="194"/>
      <c r="AF45" s="185">
        <v>0.32038</v>
      </c>
      <c r="AG45" s="185">
        <v>0.32707000000000003</v>
      </c>
      <c r="AH45" s="185">
        <v>0.37091000000000002</v>
      </c>
      <c r="AI45" s="185">
        <v>0.40569</v>
      </c>
      <c r="AJ45" s="185">
        <v>0.38707999999999998</v>
      </c>
      <c r="AK45" s="185">
        <v>0.45795000000000002</v>
      </c>
      <c r="AL45" s="185">
        <v>0.52103999999999995</v>
      </c>
      <c r="AM45" s="185">
        <v>0.55108999999999997</v>
      </c>
      <c r="AN45" s="185">
        <v>0.53674999999999995</v>
      </c>
      <c r="AO45" s="185"/>
      <c r="AP45" s="185">
        <v>0.70820000000000005</v>
      </c>
      <c r="AQ45" s="185"/>
      <c r="AR45" s="194"/>
      <c r="AS45" s="185">
        <v>0</v>
      </c>
      <c r="AT45" s="185">
        <v>0</v>
      </c>
      <c r="AU45" s="185">
        <v>0</v>
      </c>
      <c r="AV45" s="185">
        <v>0</v>
      </c>
      <c r="AW45" s="185">
        <v>0</v>
      </c>
      <c r="AX45" s="185">
        <v>0</v>
      </c>
      <c r="AY45" s="185">
        <v>0</v>
      </c>
      <c r="AZ45" s="185">
        <v>0</v>
      </c>
      <c r="BA45" s="185">
        <v>0</v>
      </c>
      <c r="BB45" s="185"/>
      <c r="BC45" s="185">
        <v>0</v>
      </c>
      <c r="BD45" s="185"/>
      <c r="BE45" s="194"/>
      <c r="BF45" s="185">
        <v>4.2700000000000004E-3</v>
      </c>
      <c r="BG45" s="185">
        <v>4.6100000000000004E-3</v>
      </c>
      <c r="BH45" s="185">
        <v>0</v>
      </c>
      <c r="BI45" s="185">
        <v>0</v>
      </c>
      <c r="BJ45" s="185">
        <v>0</v>
      </c>
      <c r="BK45" s="185">
        <v>0</v>
      </c>
      <c r="BL45" s="185">
        <v>0</v>
      </c>
      <c r="BM45" s="185">
        <v>0</v>
      </c>
      <c r="BN45" s="185">
        <v>0</v>
      </c>
      <c r="BO45" s="185"/>
      <c r="BP45" s="185">
        <v>0</v>
      </c>
      <c r="BQ45" s="185"/>
      <c r="BR45" s="194"/>
      <c r="BS45" s="185">
        <v>0</v>
      </c>
      <c r="BT45" s="185">
        <v>0.34732000000000002</v>
      </c>
      <c r="BU45" s="185">
        <v>1.102E-2</v>
      </c>
      <c r="BV45" s="185">
        <v>0</v>
      </c>
      <c r="BW45" s="185">
        <v>-2.8129999999999999E-2</v>
      </c>
      <c r="BX45" s="185">
        <v>-1.0300000000000001E-3</v>
      </c>
      <c r="BY45" s="185">
        <v>0</v>
      </c>
      <c r="BZ45" s="185">
        <v>0</v>
      </c>
      <c r="CA45" s="185">
        <v>0</v>
      </c>
      <c r="CB45" s="185"/>
      <c r="CC45" s="185">
        <v>0</v>
      </c>
      <c r="CD45" s="185"/>
      <c r="CE45" s="194"/>
      <c r="CF45" s="185">
        <v>1.8166800000000001</v>
      </c>
      <c r="CG45" s="185">
        <v>1.4453100000000001</v>
      </c>
      <c r="CH45" s="185">
        <v>1.7882400000000001</v>
      </c>
      <c r="CI45" s="185">
        <v>2.2245900000000001</v>
      </c>
      <c r="CJ45" s="185">
        <v>2.5232199999999998</v>
      </c>
      <c r="CK45" s="185">
        <v>2.7968500000000001</v>
      </c>
      <c r="CL45" s="185">
        <v>3.4325800000000002</v>
      </c>
      <c r="CM45" s="185">
        <v>3.4715400000000001</v>
      </c>
      <c r="CN45" s="185">
        <v>3.6491099999999999</v>
      </c>
      <c r="CO45" s="185"/>
      <c r="CP45" s="185">
        <v>4.01145</v>
      </c>
      <c r="CQ45" s="185"/>
      <c r="CR45" s="194"/>
      <c r="CS45" s="185">
        <v>1.4403900000000001</v>
      </c>
      <c r="CT45" s="185">
        <v>1.51864</v>
      </c>
      <c r="CU45" s="185">
        <v>1.43418</v>
      </c>
      <c r="CV45" s="185">
        <v>1.8196699999999999</v>
      </c>
      <c r="CW45" s="185">
        <v>2.0575000000000001</v>
      </c>
      <c r="CX45" s="185">
        <v>2.26579</v>
      </c>
      <c r="CY45" s="185">
        <v>2.8188499999999999</v>
      </c>
      <c r="CZ45" s="185">
        <v>2.8706299999999998</v>
      </c>
      <c r="DA45" s="185">
        <v>3.1051600000000001</v>
      </c>
      <c r="DB45" s="185"/>
      <c r="DC45" s="185">
        <v>3.46522</v>
      </c>
      <c r="DD45" s="185"/>
      <c r="DE45" s="194"/>
      <c r="DF45" s="187">
        <v>0.1764</v>
      </c>
      <c r="DG45" s="187">
        <v>0.2263</v>
      </c>
      <c r="DH45" s="187">
        <v>0.2074</v>
      </c>
      <c r="DI45" s="187">
        <v>0.18240000000000001</v>
      </c>
      <c r="DJ45" s="187">
        <v>0.15340000000000001</v>
      </c>
      <c r="DK45" s="187">
        <v>0.16370000000000001</v>
      </c>
      <c r="DL45" s="187">
        <v>0.15179999999999999</v>
      </c>
      <c r="DM45" s="187">
        <v>0.15870000000000001</v>
      </c>
      <c r="DN45" s="187">
        <v>0.14710000000000001</v>
      </c>
      <c r="DO45" s="187"/>
      <c r="DP45" s="187">
        <v>0.17649999999999999</v>
      </c>
      <c r="DQ45" s="187"/>
      <c r="DR45" s="195"/>
      <c r="DS45" s="185">
        <v>0</v>
      </c>
      <c r="DT45" s="185">
        <v>0</v>
      </c>
      <c r="DU45" s="185">
        <v>0</v>
      </c>
      <c r="DV45" s="185">
        <v>0</v>
      </c>
      <c r="DW45" s="185">
        <v>0</v>
      </c>
      <c r="DX45" s="185">
        <v>0</v>
      </c>
      <c r="DY45" s="185">
        <v>0</v>
      </c>
      <c r="DZ45" s="185">
        <v>0</v>
      </c>
      <c r="EA45" s="185">
        <v>0</v>
      </c>
      <c r="EB45" s="185"/>
      <c r="EC45" s="185">
        <v>0</v>
      </c>
      <c r="ED45" s="185"/>
      <c r="EE45" s="194"/>
      <c r="EF45" s="185">
        <v>0</v>
      </c>
      <c r="EG45" s="185">
        <v>0</v>
      </c>
      <c r="EH45" s="185">
        <v>0</v>
      </c>
      <c r="EI45" s="185">
        <v>0</v>
      </c>
      <c r="EJ45" s="185">
        <v>0</v>
      </c>
      <c r="EK45" s="185">
        <v>0</v>
      </c>
      <c r="EL45" s="185">
        <v>0</v>
      </c>
      <c r="EM45" s="185">
        <v>0</v>
      </c>
      <c r="EN45" s="185">
        <v>0</v>
      </c>
      <c r="EO45" s="185"/>
      <c r="EP45" s="185">
        <v>0</v>
      </c>
      <c r="EQ45" s="185"/>
      <c r="ER45" s="194"/>
      <c r="ES45" s="185">
        <v>10234</v>
      </c>
      <c r="ET45" s="185">
        <v>7593</v>
      </c>
      <c r="EU45" s="185">
        <v>8649</v>
      </c>
      <c r="EV45" s="185">
        <v>9481</v>
      </c>
      <c r="EW45" s="185">
        <v>10792</v>
      </c>
      <c r="EX45" s="185">
        <v>11083</v>
      </c>
      <c r="EY45" s="185">
        <v>12399</v>
      </c>
      <c r="EZ45" s="185">
        <v>12959.40648</v>
      </c>
      <c r="FA45" s="185">
        <v>12537.128269999999</v>
      </c>
      <c r="FB45" s="185"/>
      <c r="FC45" s="185">
        <v>12658.54875</v>
      </c>
      <c r="FD45" s="185"/>
      <c r="FE45" s="194"/>
      <c r="FF45" s="185"/>
      <c r="FG45" s="185"/>
      <c r="FH45" s="185"/>
      <c r="FI45" s="185"/>
      <c r="FJ45" s="185"/>
      <c r="FK45" s="185"/>
      <c r="FL45" s="185"/>
      <c r="FM45" s="185"/>
      <c r="FN45" s="185"/>
      <c r="FO45" s="185"/>
      <c r="FP45" s="185"/>
      <c r="FQ45" s="185"/>
      <c r="FR45" s="194"/>
    </row>
    <row r="46" spans="5:174" x14ac:dyDescent="0.25">
      <c r="E46" s="2" t="s">
        <v>189</v>
      </c>
      <c r="F46" s="184">
        <v>0.58767999999999998</v>
      </c>
      <c r="G46" s="185">
        <v>0.41043000000000002</v>
      </c>
      <c r="H46" s="185">
        <v>0.49441000000000002</v>
      </c>
      <c r="I46" s="185">
        <v>0.64837999999999996</v>
      </c>
      <c r="J46" s="185">
        <v>0.72192999999999996</v>
      </c>
      <c r="K46" s="185">
        <v>0.77937999999999996</v>
      </c>
      <c r="L46" s="185">
        <v>0.83669000000000004</v>
      </c>
      <c r="M46" s="185">
        <v>0.85426000000000002</v>
      </c>
      <c r="N46" s="185">
        <v>0.74587999999999999</v>
      </c>
      <c r="O46" s="185"/>
      <c r="P46" s="185">
        <v>0.77380000000000004</v>
      </c>
      <c r="Q46" s="185"/>
      <c r="R46" s="194"/>
      <c r="S46" s="185">
        <v>3.07796</v>
      </c>
      <c r="T46" s="185">
        <v>2.3959000000000001</v>
      </c>
      <c r="U46" s="185">
        <v>3.2047500000000002</v>
      </c>
      <c r="V46" s="185">
        <v>4.58141</v>
      </c>
      <c r="W46" s="185">
        <v>5.37195</v>
      </c>
      <c r="X46" s="185">
        <v>4.6966200000000002</v>
      </c>
      <c r="Y46" s="185">
        <v>4.54793</v>
      </c>
      <c r="Z46" s="185">
        <v>4.5620000000000003</v>
      </c>
      <c r="AA46" s="185">
        <v>5.1924900000000003</v>
      </c>
      <c r="AB46" s="185"/>
      <c r="AC46" s="185">
        <v>5.4412500000000001</v>
      </c>
      <c r="AD46" s="185"/>
      <c r="AE46" s="194"/>
      <c r="AF46" s="185">
        <v>0.55978000000000006</v>
      </c>
      <c r="AG46" s="185">
        <v>0.59014999999999995</v>
      </c>
      <c r="AH46" s="185">
        <v>0.69855999999999996</v>
      </c>
      <c r="AI46" s="185">
        <v>0.81599999999999995</v>
      </c>
      <c r="AJ46" s="185">
        <v>0.76905999999999997</v>
      </c>
      <c r="AK46" s="185">
        <v>0.84182000000000001</v>
      </c>
      <c r="AL46" s="185">
        <v>0.82935999999999999</v>
      </c>
      <c r="AM46" s="185">
        <v>0.91091</v>
      </c>
      <c r="AN46" s="185">
        <v>0.87790000000000001</v>
      </c>
      <c r="AO46" s="185"/>
      <c r="AP46" s="185">
        <v>1.13592</v>
      </c>
      <c r="AQ46" s="185"/>
      <c r="AR46" s="194"/>
      <c r="AS46" s="185">
        <v>0</v>
      </c>
      <c r="AT46" s="185">
        <v>0</v>
      </c>
      <c r="AU46" s="185">
        <v>0</v>
      </c>
      <c r="AV46" s="185">
        <v>0</v>
      </c>
      <c r="AW46" s="185">
        <v>0</v>
      </c>
      <c r="AX46" s="185">
        <v>0</v>
      </c>
      <c r="AY46" s="185">
        <v>0</v>
      </c>
      <c r="AZ46" s="185">
        <v>0</v>
      </c>
      <c r="BA46" s="185">
        <v>0</v>
      </c>
      <c r="BB46" s="185"/>
      <c r="BC46" s="185">
        <v>0</v>
      </c>
      <c r="BD46" s="185"/>
      <c r="BE46" s="194"/>
      <c r="BF46" s="185">
        <v>8.4200000000000004E-3</v>
      </c>
      <c r="BG46" s="185">
        <v>9.41E-3</v>
      </c>
      <c r="BH46" s="185">
        <v>0</v>
      </c>
      <c r="BI46" s="185">
        <v>0</v>
      </c>
      <c r="BJ46" s="185">
        <v>0</v>
      </c>
      <c r="BK46" s="185">
        <v>0</v>
      </c>
      <c r="BL46" s="185">
        <v>0</v>
      </c>
      <c r="BM46" s="185">
        <v>0</v>
      </c>
      <c r="BN46" s="185">
        <v>0</v>
      </c>
      <c r="BO46" s="185"/>
      <c r="BP46" s="185">
        <v>0</v>
      </c>
      <c r="BQ46" s="185"/>
      <c r="BR46" s="194"/>
      <c r="BS46" s="185">
        <v>0</v>
      </c>
      <c r="BT46" s="185">
        <v>1.3512299999999999</v>
      </c>
      <c r="BU46" s="185">
        <v>0.17029</v>
      </c>
      <c r="BV46" s="185">
        <v>0</v>
      </c>
      <c r="BW46" s="185">
        <v>-7.0739999999999997E-2</v>
      </c>
      <c r="BX46" s="185">
        <v>-2.5899999999999999E-3</v>
      </c>
      <c r="BY46" s="185">
        <v>0</v>
      </c>
      <c r="BZ46" s="185">
        <v>0</v>
      </c>
      <c r="CA46" s="185">
        <v>0</v>
      </c>
      <c r="CB46" s="185"/>
      <c r="CC46" s="185">
        <v>0</v>
      </c>
      <c r="CD46" s="185"/>
      <c r="CE46" s="194"/>
      <c r="CF46" s="185">
        <v>3.6461600000000001</v>
      </c>
      <c r="CG46" s="185">
        <v>2.99546</v>
      </c>
      <c r="CH46" s="185">
        <v>3.9033099999999998</v>
      </c>
      <c r="CI46" s="185">
        <v>5.3974099999999998</v>
      </c>
      <c r="CJ46" s="185">
        <v>6.1410099999999996</v>
      </c>
      <c r="CK46" s="185">
        <v>5.5384399999999996</v>
      </c>
      <c r="CL46" s="185">
        <v>5.3772900000000003</v>
      </c>
      <c r="CM46" s="185">
        <v>5.4729099999999997</v>
      </c>
      <c r="CN46" s="185">
        <v>6.0704000000000002</v>
      </c>
      <c r="CO46" s="185"/>
      <c r="CP46" s="185">
        <v>6.5771699999999997</v>
      </c>
      <c r="CQ46" s="185"/>
      <c r="CR46" s="194"/>
      <c r="CS46" s="185">
        <v>3.0584799999999999</v>
      </c>
      <c r="CT46" s="185">
        <v>3.9362599999999999</v>
      </c>
      <c r="CU46" s="185">
        <v>3.5791900000000001</v>
      </c>
      <c r="CV46" s="185">
        <v>4.7490300000000003</v>
      </c>
      <c r="CW46" s="185">
        <v>5.3483400000000003</v>
      </c>
      <c r="CX46" s="185">
        <v>4.7564700000000002</v>
      </c>
      <c r="CY46" s="185">
        <v>4.5406000000000004</v>
      </c>
      <c r="CZ46" s="185">
        <v>4.6186499999999997</v>
      </c>
      <c r="DA46" s="185">
        <v>5.3245199999999997</v>
      </c>
      <c r="DB46" s="185"/>
      <c r="DC46" s="185">
        <v>5.8033700000000001</v>
      </c>
      <c r="DD46" s="185"/>
      <c r="DE46" s="194"/>
      <c r="DF46" s="187">
        <v>0.1535</v>
      </c>
      <c r="DG46" s="187">
        <v>0.19700000000000001</v>
      </c>
      <c r="DH46" s="187">
        <v>0.17899999999999999</v>
      </c>
      <c r="DI46" s="187">
        <v>0.1512</v>
      </c>
      <c r="DJ46" s="187">
        <v>0.12520000000000001</v>
      </c>
      <c r="DK46" s="187">
        <v>0.152</v>
      </c>
      <c r="DL46" s="187">
        <v>0.1542</v>
      </c>
      <c r="DM46" s="187">
        <v>0.16639999999999999</v>
      </c>
      <c r="DN46" s="187">
        <v>0.14460000000000001</v>
      </c>
      <c r="DO46" s="187"/>
      <c r="DP46" s="187">
        <v>0.17269999999999999</v>
      </c>
      <c r="DQ46" s="187"/>
      <c r="DR46" s="195"/>
      <c r="DS46" s="185">
        <v>0</v>
      </c>
      <c r="DT46" s="185">
        <v>0</v>
      </c>
      <c r="DU46" s="185">
        <v>0</v>
      </c>
      <c r="DV46" s="185">
        <v>0</v>
      </c>
      <c r="DW46" s="185">
        <v>0</v>
      </c>
      <c r="DX46" s="185">
        <v>0</v>
      </c>
      <c r="DY46" s="185">
        <v>0</v>
      </c>
      <c r="DZ46" s="185">
        <v>0</v>
      </c>
      <c r="EA46" s="185">
        <v>0</v>
      </c>
      <c r="EB46" s="185"/>
      <c r="EC46" s="185">
        <v>0</v>
      </c>
      <c r="ED46" s="185"/>
      <c r="EE46" s="194"/>
      <c r="EF46" s="185">
        <v>0</v>
      </c>
      <c r="EG46" s="185">
        <v>0</v>
      </c>
      <c r="EH46" s="185">
        <v>0</v>
      </c>
      <c r="EI46" s="185">
        <v>0</v>
      </c>
      <c r="EJ46" s="185">
        <v>0</v>
      </c>
      <c r="EK46" s="185">
        <v>0</v>
      </c>
      <c r="EL46" s="185">
        <v>0</v>
      </c>
      <c r="EM46" s="185">
        <v>0</v>
      </c>
      <c r="EN46" s="185">
        <v>0</v>
      </c>
      <c r="EO46" s="185"/>
      <c r="EP46" s="185">
        <v>0</v>
      </c>
      <c r="EQ46" s="185"/>
      <c r="ER46" s="194"/>
      <c r="ES46" s="185">
        <v>17852</v>
      </c>
      <c r="ET46" s="185">
        <v>13152</v>
      </c>
      <c r="EU46" s="185">
        <v>17193</v>
      </c>
      <c r="EV46" s="185">
        <v>20719</v>
      </c>
      <c r="EW46" s="185">
        <v>22981</v>
      </c>
      <c r="EX46" s="185">
        <v>19922</v>
      </c>
      <c r="EY46" s="185">
        <v>18410</v>
      </c>
      <c r="EZ46" s="185">
        <v>19292.383030000001</v>
      </c>
      <c r="FA46" s="185">
        <v>17967.65494</v>
      </c>
      <c r="FB46" s="185"/>
      <c r="FC46" s="185">
        <v>18132.823400000001</v>
      </c>
      <c r="FD46" s="185"/>
      <c r="FE46" s="194"/>
      <c r="FF46" s="185"/>
      <c r="FG46" s="185"/>
      <c r="FH46" s="185"/>
      <c r="FI46" s="185"/>
      <c r="FJ46" s="185"/>
      <c r="FK46" s="185"/>
      <c r="FL46" s="185"/>
      <c r="FM46" s="185"/>
      <c r="FN46" s="185"/>
      <c r="FO46" s="185"/>
      <c r="FP46" s="185"/>
      <c r="FQ46" s="185"/>
      <c r="FR46" s="194"/>
    </row>
    <row r="47" spans="5:174" x14ac:dyDescent="0.25">
      <c r="E47" s="2" t="s">
        <v>190</v>
      </c>
      <c r="F47" s="184">
        <v>1.5727199999999999</v>
      </c>
      <c r="G47" s="185">
        <v>1.19624</v>
      </c>
      <c r="H47" s="185">
        <v>1.3647899999999999</v>
      </c>
      <c r="I47" s="185">
        <v>1.52841</v>
      </c>
      <c r="J47" s="185">
        <v>1.7484999999999999</v>
      </c>
      <c r="K47" s="185">
        <v>1.9816400000000001</v>
      </c>
      <c r="L47" s="185">
        <v>2.20336</v>
      </c>
      <c r="M47" s="185">
        <v>2.13672</v>
      </c>
      <c r="N47" s="185">
        <v>2.24349</v>
      </c>
      <c r="O47" s="185"/>
      <c r="P47" s="185">
        <v>2.2382399999999998</v>
      </c>
      <c r="Q47" s="185"/>
      <c r="R47" s="194"/>
      <c r="S47" s="185">
        <v>7.6186400000000001</v>
      </c>
      <c r="T47" s="185">
        <v>5.6822699999999999</v>
      </c>
      <c r="U47" s="185">
        <v>6.4793700000000003</v>
      </c>
      <c r="V47" s="185">
        <v>8.1366599999999991</v>
      </c>
      <c r="W47" s="185">
        <v>9.31616</v>
      </c>
      <c r="X47" s="185">
        <v>9.7095900000000004</v>
      </c>
      <c r="Y47" s="185">
        <v>9.3426299999999998</v>
      </c>
      <c r="Z47" s="185">
        <v>9.4879599999999993</v>
      </c>
      <c r="AA47" s="185">
        <v>10.99765</v>
      </c>
      <c r="AB47" s="185"/>
      <c r="AC47" s="185">
        <v>11.16385</v>
      </c>
      <c r="AD47" s="185"/>
      <c r="AE47" s="194"/>
      <c r="AF47" s="185">
        <v>1.4296899999999999</v>
      </c>
      <c r="AG47" s="185">
        <v>1.3597999999999999</v>
      </c>
      <c r="AH47" s="185">
        <v>1.4302299999999999</v>
      </c>
      <c r="AI47" s="185">
        <v>1.50848</v>
      </c>
      <c r="AJ47" s="185">
        <v>1.3757600000000001</v>
      </c>
      <c r="AK47" s="185">
        <v>1.7433399999999999</v>
      </c>
      <c r="AL47" s="185">
        <v>1.8834900000000001</v>
      </c>
      <c r="AM47" s="185">
        <v>2.01233</v>
      </c>
      <c r="AN47" s="185">
        <v>2.06121</v>
      </c>
      <c r="AO47" s="185"/>
      <c r="AP47" s="185">
        <v>2.6648499999999999</v>
      </c>
      <c r="AQ47" s="185"/>
      <c r="AR47" s="194"/>
      <c r="AS47" s="185">
        <v>0</v>
      </c>
      <c r="AT47" s="185">
        <v>0</v>
      </c>
      <c r="AU47" s="185">
        <v>0</v>
      </c>
      <c r="AV47" s="185">
        <v>0</v>
      </c>
      <c r="AW47" s="185">
        <v>0</v>
      </c>
      <c r="AX47" s="185">
        <v>0</v>
      </c>
      <c r="AY47" s="185">
        <v>0</v>
      </c>
      <c r="AZ47" s="185">
        <v>0</v>
      </c>
      <c r="BA47" s="185">
        <v>0</v>
      </c>
      <c r="BB47" s="185"/>
      <c r="BC47" s="185">
        <v>0</v>
      </c>
      <c r="BD47" s="185"/>
      <c r="BE47" s="194"/>
      <c r="BF47" s="185">
        <v>1.992E-2</v>
      </c>
      <c r="BG47" s="185">
        <v>2.0789999999999999E-2</v>
      </c>
      <c r="BH47" s="185">
        <v>0</v>
      </c>
      <c r="BI47" s="185">
        <v>0</v>
      </c>
      <c r="BJ47" s="185">
        <v>0</v>
      </c>
      <c r="BK47" s="185">
        <v>0</v>
      </c>
      <c r="BL47" s="185">
        <v>0</v>
      </c>
      <c r="BM47" s="185">
        <v>0</v>
      </c>
      <c r="BN47" s="185">
        <v>0</v>
      </c>
      <c r="BO47" s="185"/>
      <c r="BP47" s="185">
        <v>0</v>
      </c>
      <c r="BQ47" s="185"/>
      <c r="BR47" s="194"/>
      <c r="BS47" s="185">
        <v>0</v>
      </c>
      <c r="BT47" s="185">
        <v>1.30253</v>
      </c>
      <c r="BU47" s="185">
        <v>0.55625999999999998</v>
      </c>
      <c r="BV47" s="185">
        <v>0</v>
      </c>
      <c r="BW47" s="185">
        <v>-0.12268</v>
      </c>
      <c r="BX47" s="185">
        <v>-4.4900000000000001E-3</v>
      </c>
      <c r="BY47" s="185">
        <v>0</v>
      </c>
      <c r="BZ47" s="185">
        <v>0</v>
      </c>
      <c r="CA47" s="185">
        <v>0</v>
      </c>
      <c r="CB47" s="185"/>
      <c r="CC47" s="185">
        <v>0</v>
      </c>
      <c r="CD47" s="185"/>
      <c r="CE47" s="194"/>
      <c r="CF47" s="185">
        <v>9.0682500000000008</v>
      </c>
      <c r="CG47" s="185">
        <v>7.0628599999999997</v>
      </c>
      <c r="CH47" s="185">
        <v>7.9096000000000002</v>
      </c>
      <c r="CI47" s="185">
        <v>9.6451399999999996</v>
      </c>
      <c r="CJ47" s="185">
        <v>10.69192</v>
      </c>
      <c r="CK47" s="185">
        <v>11.45294</v>
      </c>
      <c r="CL47" s="185">
        <v>11.226129999999999</v>
      </c>
      <c r="CM47" s="185">
        <v>11.50029</v>
      </c>
      <c r="CN47" s="185">
        <v>13.058859999999999</v>
      </c>
      <c r="CO47" s="185"/>
      <c r="CP47" s="185">
        <v>13.828709999999999</v>
      </c>
      <c r="CQ47" s="185"/>
      <c r="CR47" s="194"/>
      <c r="CS47" s="185">
        <v>7.4955299999999996</v>
      </c>
      <c r="CT47" s="185">
        <v>7.1691500000000001</v>
      </c>
      <c r="CU47" s="185">
        <v>7.1010799999999996</v>
      </c>
      <c r="CV47" s="185">
        <v>8.1167300000000004</v>
      </c>
      <c r="CW47" s="185">
        <v>8.8207400000000007</v>
      </c>
      <c r="CX47" s="185">
        <v>9.4667999999999992</v>
      </c>
      <c r="CY47" s="185">
        <v>9.0227599999999999</v>
      </c>
      <c r="CZ47" s="185">
        <v>9.3635699999999993</v>
      </c>
      <c r="DA47" s="185">
        <v>10.81537</v>
      </c>
      <c r="DB47" s="185"/>
      <c r="DC47" s="185">
        <v>11.59047</v>
      </c>
      <c r="DD47" s="185"/>
      <c r="DE47" s="194"/>
      <c r="DF47" s="187">
        <v>0.15770000000000001</v>
      </c>
      <c r="DG47" s="187">
        <v>0.1925</v>
      </c>
      <c r="DH47" s="187">
        <v>0.18079999999999999</v>
      </c>
      <c r="DI47" s="187">
        <v>0.15640000000000001</v>
      </c>
      <c r="DJ47" s="187">
        <v>0.12870000000000001</v>
      </c>
      <c r="DK47" s="187">
        <v>0.1522</v>
      </c>
      <c r="DL47" s="187">
        <v>0.1678</v>
      </c>
      <c r="DM47" s="187">
        <v>0.17499999999999999</v>
      </c>
      <c r="DN47" s="187">
        <v>0.1578</v>
      </c>
      <c r="DO47" s="187"/>
      <c r="DP47" s="187">
        <v>0.19270000000000001</v>
      </c>
      <c r="DQ47" s="187"/>
      <c r="DR47" s="195"/>
      <c r="DS47" s="185">
        <v>0</v>
      </c>
      <c r="DT47" s="185">
        <v>0</v>
      </c>
      <c r="DU47" s="185">
        <v>0</v>
      </c>
      <c r="DV47" s="185">
        <v>0</v>
      </c>
      <c r="DW47" s="185">
        <v>0</v>
      </c>
      <c r="DX47" s="185">
        <v>0</v>
      </c>
      <c r="DY47" s="185">
        <v>0</v>
      </c>
      <c r="DZ47" s="185">
        <v>0</v>
      </c>
      <c r="EA47" s="185">
        <v>0</v>
      </c>
      <c r="EB47" s="185"/>
      <c r="EC47" s="185">
        <v>0</v>
      </c>
      <c r="ED47" s="185"/>
      <c r="EE47" s="194"/>
      <c r="EF47" s="185">
        <v>0</v>
      </c>
      <c r="EG47" s="185">
        <v>0</v>
      </c>
      <c r="EH47" s="185">
        <v>0</v>
      </c>
      <c r="EI47" s="185">
        <v>0</v>
      </c>
      <c r="EJ47" s="185">
        <v>0</v>
      </c>
      <c r="EK47" s="185">
        <v>0</v>
      </c>
      <c r="EL47" s="185">
        <v>0</v>
      </c>
      <c r="EM47" s="185">
        <v>0</v>
      </c>
      <c r="EN47" s="185">
        <v>0</v>
      </c>
      <c r="EO47" s="185"/>
      <c r="EP47" s="185">
        <v>0</v>
      </c>
      <c r="EQ47" s="185"/>
      <c r="ER47" s="194"/>
      <c r="ES47" s="185">
        <v>42926</v>
      </c>
      <c r="ET47" s="185">
        <v>28756</v>
      </c>
      <c r="EU47" s="185">
        <v>32337</v>
      </c>
      <c r="EV47" s="185">
        <v>35088</v>
      </c>
      <c r="EW47" s="185">
        <v>36705</v>
      </c>
      <c r="EX47" s="185">
        <v>38275</v>
      </c>
      <c r="EY47" s="185">
        <v>38383</v>
      </c>
      <c r="EZ47" s="185">
        <v>38104.118329999998</v>
      </c>
      <c r="FA47" s="185">
        <v>39716.114509999999</v>
      </c>
      <c r="FB47" s="185"/>
      <c r="FC47" s="185">
        <v>39691.018369999998</v>
      </c>
      <c r="FD47" s="185"/>
      <c r="FE47" s="194"/>
      <c r="FF47" s="185"/>
      <c r="FG47" s="185"/>
      <c r="FH47" s="185"/>
      <c r="FI47" s="185"/>
      <c r="FJ47" s="185"/>
      <c r="FK47" s="185"/>
      <c r="FL47" s="185"/>
      <c r="FM47" s="185"/>
      <c r="FN47" s="185"/>
      <c r="FO47" s="185"/>
      <c r="FP47" s="185"/>
      <c r="FQ47" s="185"/>
      <c r="FR47" s="194"/>
    </row>
    <row r="48" spans="5:174" x14ac:dyDescent="0.25">
      <c r="E48" s="2" t="s">
        <v>191</v>
      </c>
      <c r="F48" s="184">
        <v>0.84072000000000002</v>
      </c>
      <c r="G48" s="185">
        <v>0.60221999999999998</v>
      </c>
      <c r="H48" s="185">
        <v>0.71445000000000003</v>
      </c>
      <c r="I48" s="185">
        <v>0.87419000000000002</v>
      </c>
      <c r="J48" s="185">
        <v>1.0122199999999999</v>
      </c>
      <c r="K48" s="185">
        <v>1.1213900000000001</v>
      </c>
      <c r="L48" s="185">
        <v>1.2036899999999999</v>
      </c>
      <c r="M48" s="185">
        <v>1.33978</v>
      </c>
      <c r="N48" s="185">
        <v>1.1657599999999999</v>
      </c>
      <c r="O48" s="185"/>
      <c r="P48" s="185">
        <v>1.18858</v>
      </c>
      <c r="Q48" s="185"/>
      <c r="R48" s="194"/>
      <c r="S48" s="185">
        <v>12.6294</v>
      </c>
      <c r="T48" s="185">
        <v>11.211069999999999</v>
      </c>
      <c r="U48" s="185">
        <v>11.82457</v>
      </c>
      <c r="V48" s="185">
        <v>13.604520000000001</v>
      </c>
      <c r="W48" s="185">
        <v>12.96128</v>
      </c>
      <c r="X48" s="185">
        <v>13.269769999999999</v>
      </c>
      <c r="Y48" s="185">
        <v>13.470140000000001</v>
      </c>
      <c r="Z48" s="185">
        <v>14.549379999999999</v>
      </c>
      <c r="AA48" s="185">
        <v>14.19055</v>
      </c>
      <c r="AB48" s="185"/>
      <c r="AC48" s="185">
        <v>14.551869999999999</v>
      </c>
      <c r="AD48" s="185"/>
      <c r="AE48" s="194"/>
      <c r="AF48" s="185">
        <v>0.79037999999999997</v>
      </c>
      <c r="AG48" s="185">
        <v>0.82813000000000003</v>
      </c>
      <c r="AH48" s="185">
        <v>0.87566999999999995</v>
      </c>
      <c r="AI48" s="185">
        <v>0.99428000000000005</v>
      </c>
      <c r="AJ48" s="185">
        <v>0.88578999999999997</v>
      </c>
      <c r="AK48" s="185">
        <v>1.06829</v>
      </c>
      <c r="AL48" s="185">
        <v>1.17086</v>
      </c>
      <c r="AM48" s="185">
        <v>1.35043</v>
      </c>
      <c r="AN48" s="185">
        <v>1.35429</v>
      </c>
      <c r="AO48" s="185"/>
      <c r="AP48" s="185">
        <v>1.81206</v>
      </c>
      <c r="AQ48" s="185"/>
      <c r="AR48" s="194"/>
      <c r="AS48" s="185">
        <v>0</v>
      </c>
      <c r="AT48" s="185">
        <v>0</v>
      </c>
      <c r="AU48" s="185">
        <v>0</v>
      </c>
      <c r="AV48" s="185">
        <v>0</v>
      </c>
      <c r="AW48" s="185">
        <v>0</v>
      </c>
      <c r="AX48" s="185">
        <v>0</v>
      </c>
      <c r="AY48" s="185">
        <v>0</v>
      </c>
      <c r="AZ48" s="185">
        <v>0</v>
      </c>
      <c r="BA48" s="185">
        <v>0</v>
      </c>
      <c r="BB48" s="185"/>
      <c r="BC48" s="185">
        <v>0</v>
      </c>
      <c r="BD48" s="185"/>
      <c r="BE48" s="194"/>
      <c r="BF48" s="185">
        <v>9.5300000000000003E-3</v>
      </c>
      <c r="BG48" s="185">
        <v>1.11E-2</v>
      </c>
      <c r="BH48" s="185">
        <v>0</v>
      </c>
      <c r="BI48" s="185">
        <v>0</v>
      </c>
      <c r="BJ48" s="185">
        <v>0</v>
      </c>
      <c r="BK48" s="185">
        <v>0</v>
      </c>
      <c r="BL48" s="185">
        <v>0</v>
      </c>
      <c r="BM48" s="185">
        <v>0</v>
      </c>
      <c r="BN48" s="185">
        <v>0</v>
      </c>
      <c r="BO48" s="185"/>
      <c r="BP48" s="185">
        <v>0</v>
      </c>
      <c r="BQ48" s="185"/>
      <c r="BR48" s="194"/>
      <c r="BS48" s="185">
        <v>0</v>
      </c>
      <c r="BT48" s="185">
        <v>0.88990999999999998</v>
      </c>
      <c r="BU48" s="185">
        <v>0.39955000000000002</v>
      </c>
      <c r="BV48" s="185">
        <v>0</v>
      </c>
      <c r="BW48" s="185">
        <v>-0.17069000000000001</v>
      </c>
      <c r="BX48" s="185">
        <v>-6.2500000000000003E-3</v>
      </c>
      <c r="BY48" s="185">
        <v>0</v>
      </c>
      <c r="BZ48" s="185">
        <v>0</v>
      </c>
      <c r="CA48" s="185">
        <v>0</v>
      </c>
      <c r="CB48" s="185"/>
      <c r="CC48" s="185">
        <v>0</v>
      </c>
      <c r="CD48" s="185"/>
      <c r="CE48" s="194"/>
      <c r="CF48" s="185">
        <v>13.429320000000001</v>
      </c>
      <c r="CG48" s="185">
        <v>12.0503</v>
      </c>
      <c r="CH48" s="185">
        <v>12.700240000000001</v>
      </c>
      <c r="CI48" s="185">
        <v>14.598800000000001</v>
      </c>
      <c r="CJ48" s="185">
        <v>13.84707</v>
      </c>
      <c r="CK48" s="185">
        <v>14.338050000000001</v>
      </c>
      <c r="CL48" s="185">
        <v>14.64099</v>
      </c>
      <c r="CM48" s="185">
        <v>15.89981</v>
      </c>
      <c r="CN48" s="185">
        <v>15.544829999999999</v>
      </c>
      <c r="CO48" s="185"/>
      <c r="CP48" s="185">
        <v>16.36392</v>
      </c>
      <c r="CQ48" s="185"/>
      <c r="CR48" s="194"/>
      <c r="CS48" s="185">
        <v>12.5886</v>
      </c>
      <c r="CT48" s="185">
        <v>12.33799</v>
      </c>
      <c r="CU48" s="185">
        <v>12.385339999999999</v>
      </c>
      <c r="CV48" s="185">
        <v>13.72461</v>
      </c>
      <c r="CW48" s="185">
        <v>12.66417</v>
      </c>
      <c r="CX48" s="185">
        <v>13.210419999999999</v>
      </c>
      <c r="CY48" s="185">
        <v>13.4373</v>
      </c>
      <c r="CZ48" s="185">
        <v>14.560029999999999</v>
      </c>
      <c r="DA48" s="185">
        <v>14.37907</v>
      </c>
      <c r="DB48" s="185"/>
      <c r="DC48" s="185">
        <v>15.17534</v>
      </c>
      <c r="DD48" s="185"/>
      <c r="DE48" s="194"/>
      <c r="DF48" s="187">
        <v>5.8900000000000001E-2</v>
      </c>
      <c r="DG48" s="187">
        <v>6.8699999999999997E-2</v>
      </c>
      <c r="DH48" s="187">
        <v>6.8900000000000003E-2</v>
      </c>
      <c r="DI48" s="187">
        <v>6.8099999999999994E-2</v>
      </c>
      <c r="DJ48" s="187">
        <v>6.4000000000000001E-2</v>
      </c>
      <c r="DK48" s="187">
        <v>7.4499999999999997E-2</v>
      </c>
      <c r="DL48" s="187">
        <v>0.08</v>
      </c>
      <c r="DM48" s="187">
        <v>8.4900000000000003E-2</v>
      </c>
      <c r="DN48" s="187">
        <v>8.7099999999999997E-2</v>
      </c>
      <c r="DO48" s="187"/>
      <c r="DP48" s="187">
        <v>0.11070000000000001</v>
      </c>
      <c r="DQ48" s="187"/>
      <c r="DR48" s="195"/>
      <c r="DS48" s="185">
        <v>0</v>
      </c>
      <c r="DT48" s="185">
        <v>0</v>
      </c>
      <c r="DU48" s="185">
        <v>0</v>
      </c>
      <c r="DV48" s="185">
        <v>0</v>
      </c>
      <c r="DW48" s="185">
        <v>0</v>
      </c>
      <c r="DX48" s="185">
        <v>0</v>
      </c>
      <c r="DY48" s="185">
        <v>0</v>
      </c>
      <c r="DZ48" s="185">
        <v>0</v>
      </c>
      <c r="EA48" s="185">
        <v>0</v>
      </c>
      <c r="EB48" s="185"/>
      <c r="EC48" s="185">
        <v>0</v>
      </c>
      <c r="ED48" s="185"/>
      <c r="EE48" s="194"/>
      <c r="EF48" s="185">
        <v>0</v>
      </c>
      <c r="EG48" s="185">
        <v>0</v>
      </c>
      <c r="EH48" s="185">
        <v>0</v>
      </c>
      <c r="EI48" s="185">
        <v>0</v>
      </c>
      <c r="EJ48" s="185">
        <v>0</v>
      </c>
      <c r="EK48" s="185">
        <v>0</v>
      </c>
      <c r="EL48" s="185">
        <v>0</v>
      </c>
      <c r="EM48" s="185">
        <v>0</v>
      </c>
      <c r="EN48" s="185">
        <v>0</v>
      </c>
      <c r="EO48" s="185"/>
      <c r="EP48" s="185">
        <v>0</v>
      </c>
      <c r="EQ48" s="185"/>
      <c r="ER48" s="194"/>
      <c r="ES48" s="185">
        <v>82504</v>
      </c>
      <c r="ET48" s="185">
        <v>70064</v>
      </c>
      <c r="EU48" s="185">
        <v>71260</v>
      </c>
      <c r="EV48" s="185">
        <v>77224</v>
      </c>
      <c r="EW48" s="185">
        <v>72259</v>
      </c>
      <c r="EX48" s="185">
        <v>73524</v>
      </c>
      <c r="EY48" s="185">
        <v>69666</v>
      </c>
      <c r="EZ48" s="185">
        <v>71398.511029999994</v>
      </c>
      <c r="FA48" s="185">
        <v>68974.446290000007</v>
      </c>
      <c r="FB48" s="185"/>
      <c r="FC48" s="185">
        <v>69533.169429999994</v>
      </c>
      <c r="FD48" s="185"/>
      <c r="FE48" s="194"/>
      <c r="FF48" s="185"/>
      <c r="FG48" s="185"/>
      <c r="FH48" s="185"/>
      <c r="FI48" s="185"/>
      <c r="FJ48" s="185"/>
      <c r="FK48" s="185"/>
      <c r="FL48" s="185"/>
      <c r="FM48" s="185"/>
      <c r="FN48" s="185"/>
      <c r="FO48" s="185"/>
      <c r="FP48" s="185"/>
      <c r="FQ48" s="185"/>
      <c r="FR48" s="194"/>
    </row>
    <row r="49" spans="4:174" x14ac:dyDescent="0.25">
      <c r="E49" s="2" t="s">
        <v>192</v>
      </c>
      <c r="F49" s="184">
        <v>1.2948200000000001</v>
      </c>
      <c r="G49" s="185">
        <v>0.92764000000000002</v>
      </c>
      <c r="H49" s="185">
        <v>1.1116299999999999</v>
      </c>
      <c r="I49" s="185">
        <v>1.2227699999999999</v>
      </c>
      <c r="J49" s="185">
        <v>1.4414400000000001</v>
      </c>
      <c r="K49" s="185">
        <v>1.62056</v>
      </c>
      <c r="L49" s="185">
        <v>1.71346</v>
      </c>
      <c r="M49" s="185">
        <v>1.7110000000000001</v>
      </c>
      <c r="N49" s="185">
        <v>1.58487</v>
      </c>
      <c r="O49" s="185"/>
      <c r="P49" s="185">
        <v>1.58283</v>
      </c>
      <c r="Q49" s="185"/>
      <c r="R49" s="194"/>
      <c r="S49" s="185">
        <v>14.220929999999999</v>
      </c>
      <c r="T49" s="185">
        <v>13.008520000000001</v>
      </c>
      <c r="U49" s="185">
        <v>13.25248</v>
      </c>
      <c r="V49" s="185">
        <v>15.73671</v>
      </c>
      <c r="W49" s="185">
        <v>17.313559999999999</v>
      </c>
      <c r="X49" s="185">
        <v>16.999639999999999</v>
      </c>
      <c r="Y49" s="185">
        <v>17.442879999999999</v>
      </c>
      <c r="Z49" s="185">
        <v>19.566079999999999</v>
      </c>
      <c r="AA49" s="185">
        <v>16.702069999999999</v>
      </c>
      <c r="AB49" s="185"/>
      <c r="AC49" s="185">
        <v>16.982340000000001</v>
      </c>
      <c r="AD49" s="185"/>
      <c r="AE49" s="194"/>
      <c r="AF49" s="185">
        <v>1.2790900000000001</v>
      </c>
      <c r="AG49" s="185">
        <v>1.2444</v>
      </c>
      <c r="AH49" s="185">
        <v>1.3808800000000001</v>
      </c>
      <c r="AI49" s="185">
        <v>1.49197</v>
      </c>
      <c r="AJ49" s="185">
        <v>1.33592</v>
      </c>
      <c r="AK49" s="185">
        <v>1.6660999999999999</v>
      </c>
      <c r="AL49" s="185">
        <v>1.6777500000000001</v>
      </c>
      <c r="AM49" s="185">
        <v>1.8231200000000001</v>
      </c>
      <c r="AN49" s="185">
        <v>1.7270700000000001</v>
      </c>
      <c r="AO49" s="185"/>
      <c r="AP49" s="185">
        <v>2.29914</v>
      </c>
      <c r="AQ49" s="185"/>
      <c r="AR49" s="194"/>
      <c r="AS49" s="185">
        <v>0</v>
      </c>
      <c r="AT49" s="185">
        <v>0</v>
      </c>
      <c r="AU49" s="185">
        <v>0</v>
      </c>
      <c r="AV49" s="185">
        <v>0</v>
      </c>
      <c r="AW49" s="185">
        <v>0</v>
      </c>
      <c r="AX49" s="185">
        <v>0</v>
      </c>
      <c r="AY49" s="185">
        <v>0</v>
      </c>
      <c r="AZ49" s="185">
        <v>0</v>
      </c>
      <c r="BA49" s="185">
        <v>0</v>
      </c>
      <c r="BB49" s="185"/>
      <c r="BC49" s="185">
        <v>0</v>
      </c>
      <c r="BD49" s="185"/>
      <c r="BE49" s="194"/>
      <c r="BF49" s="185">
        <v>1.553E-2</v>
      </c>
      <c r="BG49" s="185">
        <v>1.7129999999999999E-2</v>
      </c>
      <c r="BH49" s="185">
        <v>0</v>
      </c>
      <c r="BI49" s="185">
        <v>0</v>
      </c>
      <c r="BJ49" s="185">
        <v>0</v>
      </c>
      <c r="BK49" s="185">
        <v>0</v>
      </c>
      <c r="BL49" s="185">
        <v>0</v>
      </c>
      <c r="BM49" s="185">
        <v>0</v>
      </c>
      <c r="BN49" s="185">
        <v>0</v>
      </c>
      <c r="BO49" s="185"/>
      <c r="BP49" s="185">
        <v>0</v>
      </c>
      <c r="BQ49" s="185"/>
      <c r="BR49" s="194"/>
      <c r="BS49" s="185">
        <v>0</v>
      </c>
      <c r="BT49" s="185">
        <v>1.6127100000000001</v>
      </c>
      <c r="BU49" s="185">
        <v>-0.57325000000000004</v>
      </c>
      <c r="BV49" s="185">
        <v>0</v>
      </c>
      <c r="BW49" s="185">
        <v>-0.22800000000000001</v>
      </c>
      <c r="BX49" s="185">
        <v>-8.3499999999999998E-3</v>
      </c>
      <c r="BY49" s="185">
        <v>0</v>
      </c>
      <c r="BZ49" s="185">
        <v>0</v>
      </c>
      <c r="CA49" s="185">
        <v>0</v>
      </c>
      <c r="CB49" s="185"/>
      <c r="CC49" s="185">
        <v>0</v>
      </c>
      <c r="CD49" s="185"/>
      <c r="CE49" s="194"/>
      <c r="CF49" s="185">
        <v>15.515549999999999</v>
      </c>
      <c r="CG49" s="185">
        <v>14.270049999999999</v>
      </c>
      <c r="CH49" s="185">
        <v>14.63336</v>
      </c>
      <c r="CI49" s="185">
        <v>17.22869</v>
      </c>
      <c r="CJ49" s="185">
        <v>18.649480000000001</v>
      </c>
      <c r="CK49" s="185">
        <v>18.66574</v>
      </c>
      <c r="CL49" s="185">
        <v>19.120629999999998</v>
      </c>
      <c r="CM49" s="185">
        <v>21.389199999999999</v>
      </c>
      <c r="CN49" s="185">
        <v>18.42914</v>
      </c>
      <c r="CO49" s="185"/>
      <c r="CP49" s="185">
        <v>19.281479999999998</v>
      </c>
      <c r="CQ49" s="185"/>
      <c r="CR49" s="194"/>
      <c r="CS49" s="185">
        <v>14.22073</v>
      </c>
      <c r="CT49" s="185">
        <v>14.955120000000001</v>
      </c>
      <c r="CU49" s="185">
        <v>12.94848</v>
      </c>
      <c r="CV49" s="185">
        <v>16.00591</v>
      </c>
      <c r="CW49" s="185">
        <v>16.980039999999999</v>
      </c>
      <c r="CX49" s="185">
        <v>17.036829999999998</v>
      </c>
      <c r="CY49" s="185">
        <v>17.407170000000001</v>
      </c>
      <c r="CZ49" s="185">
        <v>19.6782</v>
      </c>
      <c r="DA49" s="185">
        <v>16.844270000000002</v>
      </c>
      <c r="DB49" s="185"/>
      <c r="DC49" s="185">
        <v>17.698650000000001</v>
      </c>
      <c r="DD49" s="185"/>
      <c r="DE49" s="194"/>
      <c r="DF49" s="187">
        <v>8.2400000000000001E-2</v>
      </c>
      <c r="DG49" s="187">
        <v>8.72E-2</v>
      </c>
      <c r="DH49" s="187">
        <v>9.4399999999999998E-2</v>
      </c>
      <c r="DI49" s="187">
        <v>8.6599999999999996E-2</v>
      </c>
      <c r="DJ49" s="187">
        <v>7.1599999999999997E-2</v>
      </c>
      <c r="DK49" s="187">
        <v>8.9300000000000004E-2</v>
      </c>
      <c r="DL49" s="187">
        <v>8.77E-2</v>
      </c>
      <c r="DM49" s="187">
        <v>8.5199999999999998E-2</v>
      </c>
      <c r="DN49" s="187">
        <v>9.3700000000000006E-2</v>
      </c>
      <c r="DO49" s="187"/>
      <c r="DP49" s="187">
        <v>0.1192</v>
      </c>
      <c r="DQ49" s="187"/>
      <c r="DR49" s="195"/>
      <c r="DS49" s="185">
        <v>0</v>
      </c>
      <c r="DT49" s="185">
        <v>0</v>
      </c>
      <c r="DU49" s="185">
        <v>0</v>
      </c>
      <c r="DV49" s="185">
        <v>0</v>
      </c>
      <c r="DW49" s="185">
        <v>0</v>
      </c>
      <c r="DX49" s="185">
        <v>0</v>
      </c>
      <c r="DY49" s="185">
        <v>0</v>
      </c>
      <c r="DZ49" s="185">
        <v>0</v>
      </c>
      <c r="EA49" s="185">
        <v>0</v>
      </c>
      <c r="EB49" s="185"/>
      <c r="EC49" s="185">
        <v>0</v>
      </c>
      <c r="ED49" s="185"/>
      <c r="EE49" s="194"/>
      <c r="EF49" s="185">
        <v>0</v>
      </c>
      <c r="EG49" s="185">
        <v>0</v>
      </c>
      <c r="EH49" s="185">
        <v>0</v>
      </c>
      <c r="EI49" s="185">
        <v>0</v>
      </c>
      <c r="EJ49" s="185">
        <v>0</v>
      </c>
      <c r="EK49" s="185">
        <v>0</v>
      </c>
      <c r="EL49" s="185">
        <v>0</v>
      </c>
      <c r="EM49" s="185">
        <v>0</v>
      </c>
      <c r="EN49" s="185">
        <v>0</v>
      </c>
      <c r="EO49" s="185"/>
      <c r="EP49" s="185">
        <v>0</v>
      </c>
      <c r="EQ49" s="185"/>
      <c r="ER49" s="194"/>
      <c r="ES49" s="185">
        <v>94320</v>
      </c>
      <c r="ET49" s="185">
        <v>75472</v>
      </c>
      <c r="EU49" s="185">
        <v>82361</v>
      </c>
      <c r="EV49" s="185">
        <v>88236</v>
      </c>
      <c r="EW49" s="185">
        <v>88124</v>
      </c>
      <c r="EX49" s="185">
        <v>89209</v>
      </c>
      <c r="EY49" s="185">
        <v>92539</v>
      </c>
      <c r="EZ49" s="185">
        <v>101212.89377</v>
      </c>
      <c r="FA49" s="185">
        <v>89732.052349999998</v>
      </c>
      <c r="FB49" s="185"/>
      <c r="FC49" s="185">
        <v>90382.544980000006</v>
      </c>
      <c r="FD49" s="185"/>
      <c r="FE49" s="194"/>
      <c r="FF49" s="185"/>
      <c r="FG49" s="185"/>
      <c r="FH49" s="185"/>
      <c r="FI49" s="185"/>
      <c r="FJ49" s="185"/>
      <c r="FK49" s="185"/>
      <c r="FL49" s="185"/>
      <c r="FM49" s="185"/>
      <c r="FN49" s="185"/>
      <c r="FO49" s="185"/>
      <c r="FP49" s="185"/>
      <c r="FQ49" s="185"/>
      <c r="FR49" s="194"/>
    </row>
    <row r="50" spans="4:174" x14ac:dyDescent="0.25">
      <c r="E50" s="2" t="s">
        <v>193</v>
      </c>
      <c r="F50" s="184">
        <v>2.0754999999999999</v>
      </c>
      <c r="G50" s="185">
        <v>1.76857</v>
      </c>
      <c r="H50" s="185">
        <v>2.2195200000000002</v>
      </c>
      <c r="I50" s="185">
        <v>2.5224799999999998</v>
      </c>
      <c r="J50" s="185">
        <v>2.8100399999999999</v>
      </c>
      <c r="K50" s="185">
        <v>3.1116199999999998</v>
      </c>
      <c r="L50" s="185">
        <v>3.3610899999999999</v>
      </c>
      <c r="M50" s="185">
        <v>3.3141600000000002</v>
      </c>
      <c r="N50" s="185">
        <v>3.48211</v>
      </c>
      <c r="O50" s="185"/>
      <c r="P50" s="185">
        <v>3.6039300000000001</v>
      </c>
      <c r="Q50" s="185"/>
      <c r="R50" s="194"/>
      <c r="S50" s="185">
        <v>8.7324000000000002</v>
      </c>
      <c r="T50" s="185">
        <v>6.9669999999999996</v>
      </c>
      <c r="U50" s="185">
        <v>10.496040000000001</v>
      </c>
      <c r="V50" s="185">
        <v>19.094370000000001</v>
      </c>
      <c r="W50" s="185">
        <v>21.796330000000001</v>
      </c>
      <c r="X50" s="185">
        <v>22.994399999999999</v>
      </c>
      <c r="Y50" s="185">
        <v>22.0684</v>
      </c>
      <c r="Z50" s="185">
        <v>24.247769999999999</v>
      </c>
      <c r="AA50" s="185">
        <v>25.22871</v>
      </c>
      <c r="AB50" s="185"/>
      <c r="AC50" s="185">
        <v>25.46602</v>
      </c>
      <c r="AD50" s="185"/>
      <c r="AE50" s="194"/>
      <c r="AF50" s="185">
        <v>1.4758899999999999</v>
      </c>
      <c r="AG50" s="185">
        <v>1.7262200000000001</v>
      </c>
      <c r="AH50" s="185">
        <v>2.0328900000000001</v>
      </c>
      <c r="AI50" s="185">
        <v>2.2667799999999998</v>
      </c>
      <c r="AJ50" s="185">
        <v>2.1417299999999999</v>
      </c>
      <c r="AK50" s="185">
        <v>2.6381700000000001</v>
      </c>
      <c r="AL50" s="185">
        <v>2.76993</v>
      </c>
      <c r="AM50" s="185">
        <v>2.95825</v>
      </c>
      <c r="AN50" s="185">
        <v>3.0488</v>
      </c>
      <c r="AO50" s="185"/>
      <c r="AP50" s="185">
        <v>4.1174499999999998</v>
      </c>
      <c r="AQ50" s="185"/>
      <c r="AR50" s="194"/>
      <c r="AS50" s="185">
        <v>0</v>
      </c>
      <c r="AT50" s="185">
        <v>0</v>
      </c>
      <c r="AU50" s="185">
        <v>0</v>
      </c>
      <c r="AV50" s="185">
        <v>0</v>
      </c>
      <c r="AW50" s="185">
        <v>0</v>
      </c>
      <c r="AX50" s="185">
        <v>0</v>
      </c>
      <c r="AY50" s="185">
        <v>0</v>
      </c>
      <c r="AZ50" s="185">
        <v>0</v>
      </c>
      <c r="BA50" s="185">
        <v>0</v>
      </c>
      <c r="BB50" s="185"/>
      <c r="BC50" s="185">
        <v>0</v>
      </c>
      <c r="BD50" s="185"/>
      <c r="BE50" s="194"/>
      <c r="BF50" s="185">
        <v>1.8270000000000002E-2</v>
      </c>
      <c r="BG50" s="185">
        <v>2.2679999999999999E-2</v>
      </c>
      <c r="BH50" s="185">
        <v>0</v>
      </c>
      <c r="BI50" s="185">
        <v>0</v>
      </c>
      <c r="BJ50" s="185">
        <v>0</v>
      </c>
      <c r="BK50" s="185">
        <v>0</v>
      </c>
      <c r="BL50" s="185">
        <v>0</v>
      </c>
      <c r="BM50" s="185">
        <v>0</v>
      </c>
      <c r="BN50" s="185">
        <v>0</v>
      </c>
      <c r="BO50" s="185"/>
      <c r="BP50" s="185">
        <v>0</v>
      </c>
      <c r="BQ50" s="185"/>
      <c r="BR50" s="194"/>
      <c r="BS50" s="185">
        <v>0</v>
      </c>
      <c r="BT50" s="185">
        <v>2.8333200000000001</v>
      </c>
      <c r="BU50" s="185">
        <v>-0.36088999999999999</v>
      </c>
      <c r="BV50" s="185">
        <v>0</v>
      </c>
      <c r="BW50" s="185">
        <v>-0.28703000000000001</v>
      </c>
      <c r="BX50" s="185">
        <v>-1.051E-2</v>
      </c>
      <c r="BY50" s="185">
        <v>0</v>
      </c>
      <c r="BZ50" s="185">
        <v>0</v>
      </c>
      <c r="CA50" s="185">
        <v>0</v>
      </c>
      <c r="CB50" s="185"/>
      <c r="CC50" s="185">
        <v>0</v>
      </c>
      <c r="CD50" s="185"/>
      <c r="CE50" s="194"/>
      <c r="CF50" s="185">
        <v>10.226559999999999</v>
      </c>
      <c r="CG50" s="185">
        <v>8.7158999999999995</v>
      </c>
      <c r="CH50" s="185">
        <v>12.528930000000001</v>
      </c>
      <c r="CI50" s="185">
        <v>21.361149999999999</v>
      </c>
      <c r="CJ50" s="185">
        <v>23.93806</v>
      </c>
      <c r="CK50" s="185">
        <v>25.632570000000001</v>
      </c>
      <c r="CL50" s="185">
        <v>24.83832</v>
      </c>
      <c r="CM50" s="185">
        <v>27.206009999999999</v>
      </c>
      <c r="CN50" s="185">
        <v>28.277509999999999</v>
      </c>
      <c r="CO50" s="185"/>
      <c r="CP50" s="185">
        <v>29.583469999999998</v>
      </c>
      <c r="CQ50" s="185"/>
      <c r="CR50" s="194"/>
      <c r="CS50" s="185">
        <v>8.1510599999999993</v>
      </c>
      <c r="CT50" s="185">
        <v>9.7806499999999996</v>
      </c>
      <c r="CU50" s="185">
        <v>9.9485200000000003</v>
      </c>
      <c r="CV50" s="185">
        <v>18.83868</v>
      </c>
      <c r="CW50" s="185">
        <v>20.840979999999998</v>
      </c>
      <c r="CX50" s="185">
        <v>22.510429999999999</v>
      </c>
      <c r="CY50" s="185">
        <v>21.477229999999999</v>
      </c>
      <c r="CZ50" s="185">
        <v>23.891850000000002</v>
      </c>
      <c r="DA50" s="185">
        <v>24.795400000000001</v>
      </c>
      <c r="DB50" s="185"/>
      <c r="DC50" s="185">
        <v>25.97954</v>
      </c>
      <c r="DD50" s="185"/>
      <c r="DE50" s="194"/>
      <c r="DF50" s="187">
        <v>0.14430000000000001</v>
      </c>
      <c r="DG50" s="187">
        <v>0.1981</v>
      </c>
      <c r="DH50" s="187">
        <v>0.1623</v>
      </c>
      <c r="DI50" s="187">
        <v>0.1061</v>
      </c>
      <c r="DJ50" s="187">
        <v>8.9499999999999996E-2</v>
      </c>
      <c r="DK50" s="187">
        <v>0.10290000000000001</v>
      </c>
      <c r="DL50" s="187">
        <v>0.1115</v>
      </c>
      <c r="DM50" s="187">
        <v>0.1087</v>
      </c>
      <c r="DN50" s="187">
        <v>0.10780000000000001</v>
      </c>
      <c r="DO50" s="187"/>
      <c r="DP50" s="187">
        <v>0.13919999999999999</v>
      </c>
      <c r="DQ50" s="187"/>
      <c r="DR50" s="195"/>
      <c r="DS50" s="185">
        <v>0</v>
      </c>
      <c r="DT50" s="185">
        <v>0</v>
      </c>
      <c r="DU50" s="185">
        <v>0</v>
      </c>
      <c r="DV50" s="185">
        <v>0</v>
      </c>
      <c r="DW50" s="185">
        <v>0</v>
      </c>
      <c r="DX50" s="185">
        <v>0</v>
      </c>
      <c r="DY50" s="185">
        <v>0</v>
      </c>
      <c r="DZ50" s="185">
        <v>0</v>
      </c>
      <c r="EA50" s="185">
        <v>0</v>
      </c>
      <c r="EB50" s="185"/>
      <c r="EC50" s="185">
        <v>0</v>
      </c>
      <c r="ED50" s="185"/>
      <c r="EE50" s="194"/>
      <c r="EF50" s="185">
        <v>0</v>
      </c>
      <c r="EG50" s="185">
        <v>0</v>
      </c>
      <c r="EH50" s="185">
        <v>0</v>
      </c>
      <c r="EI50" s="185">
        <v>0</v>
      </c>
      <c r="EJ50" s="185">
        <v>0</v>
      </c>
      <c r="EK50" s="185">
        <v>0</v>
      </c>
      <c r="EL50" s="185">
        <v>0</v>
      </c>
      <c r="EM50" s="185">
        <v>0</v>
      </c>
      <c r="EN50" s="185">
        <v>0</v>
      </c>
      <c r="EO50" s="185"/>
      <c r="EP50" s="185">
        <v>0</v>
      </c>
      <c r="EQ50" s="185"/>
      <c r="ER50" s="194"/>
      <c r="ES50" s="185">
        <v>42780</v>
      </c>
      <c r="ET50" s="185">
        <v>34038</v>
      </c>
      <c r="EU50" s="185">
        <v>56783</v>
      </c>
      <c r="EV50" s="185">
        <v>107158</v>
      </c>
      <c r="EW50" s="185">
        <v>108283</v>
      </c>
      <c r="EX50" s="185">
        <v>116833</v>
      </c>
      <c r="EY50" s="185">
        <v>122780</v>
      </c>
      <c r="EZ50" s="185">
        <v>130857.43892</v>
      </c>
      <c r="FA50" s="185">
        <v>134818.9013</v>
      </c>
      <c r="FB50" s="185"/>
      <c r="FC50" s="185">
        <v>134066.85195000001</v>
      </c>
      <c r="FD50" s="185"/>
      <c r="FE50" s="194"/>
      <c r="FF50" s="185"/>
      <c r="FG50" s="185"/>
      <c r="FH50" s="185"/>
      <c r="FI50" s="185"/>
      <c r="FJ50" s="185"/>
      <c r="FK50" s="185"/>
      <c r="FL50" s="185"/>
      <c r="FM50" s="185"/>
      <c r="FN50" s="185"/>
      <c r="FO50" s="185"/>
      <c r="FP50" s="185"/>
      <c r="FQ50" s="185"/>
      <c r="FR50" s="194"/>
    </row>
    <row r="51" spans="4:174" x14ac:dyDescent="0.25">
      <c r="E51" s="2" t="s">
        <v>194</v>
      </c>
      <c r="F51" s="184">
        <v>2.3178299999999998</v>
      </c>
      <c r="G51" s="185">
        <v>1.75101</v>
      </c>
      <c r="H51" s="185">
        <v>2.1163400000000001</v>
      </c>
      <c r="I51" s="185">
        <v>2.4423300000000001</v>
      </c>
      <c r="J51" s="185">
        <v>2.6870799999999999</v>
      </c>
      <c r="K51" s="185">
        <v>2.95383</v>
      </c>
      <c r="L51" s="185">
        <v>3.2364899999999999</v>
      </c>
      <c r="M51" s="185">
        <v>3.6638999999999999</v>
      </c>
      <c r="N51" s="185">
        <v>2.9376600000000002</v>
      </c>
      <c r="O51" s="185"/>
      <c r="P51" s="185">
        <v>2.94435</v>
      </c>
      <c r="Q51" s="185"/>
      <c r="R51" s="194"/>
      <c r="S51" s="185">
        <v>9.9490800000000004</v>
      </c>
      <c r="T51" s="185">
        <v>7.9154299999999997</v>
      </c>
      <c r="U51" s="185">
        <v>9.6983800000000002</v>
      </c>
      <c r="V51" s="185">
        <v>12.46579</v>
      </c>
      <c r="W51" s="185">
        <v>13.442489999999999</v>
      </c>
      <c r="X51" s="185">
        <v>11.618919999999999</v>
      </c>
      <c r="Y51" s="185">
        <v>11.381790000000001</v>
      </c>
      <c r="Z51" s="185">
        <v>12.50938</v>
      </c>
      <c r="AA51" s="185">
        <v>12.711550000000001</v>
      </c>
      <c r="AB51" s="185"/>
      <c r="AC51" s="185">
        <v>12.7836</v>
      </c>
      <c r="AD51" s="185"/>
      <c r="AE51" s="194"/>
      <c r="AF51" s="185">
        <v>2.07464</v>
      </c>
      <c r="AG51" s="185">
        <v>2.2082799999999998</v>
      </c>
      <c r="AH51" s="185">
        <v>2.4773299999999998</v>
      </c>
      <c r="AI51" s="185">
        <v>2.6279699999999999</v>
      </c>
      <c r="AJ51" s="185">
        <v>2.2745700000000002</v>
      </c>
      <c r="AK51" s="185">
        <v>2.4994900000000002</v>
      </c>
      <c r="AL51" s="185">
        <v>2.6469399999999998</v>
      </c>
      <c r="AM51" s="185">
        <v>3.1900900000000001</v>
      </c>
      <c r="AN51" s="185">
        <v>2.8171400000000002</v>
      </c>
      <c r="AO51" s="185"/>
      <c r="AP51" s="185">
        <v>3.6590400000000001</v>
      </c>
      <c r="AQ51" s="185"/>
      <c r="AR51" s="194"/>
      <c r="AS51" s="185">
        <v>0</v>
      </c>
      <c r="AT51" s="185">
        <v>0</v>
      </c>
      <c r="AU51" s="185">
        <v>0</v>
      </c>
      <c r="AV51" s="185">
        <v>0</v>
      </c>
      <c r="AW51" s="185">
        <v>0</v>
      </c>
      <c r="AX51" s="185">
        <v>0</v>
      </c>
      <c r="AY51" s="185">
        <v>0</v>
      </c>
      <c r="AZ51" s="185">
        <v>0</v>
      </c>
      <c r="BA51" s="185">
        <v>0</v>
      </c>
      <c r="BB51" s="185"/>
      <c r="BC51" s="185">
        <v>0</v>
      </c>
      <c r="BD51" s="185"/>
      <c r="BE51" s="194"/>
      <c r="BF51" s="185">
        <v>2.7560000000000001E-2</v>
      </c>
      <c r="BG51" s="185">
        <v>3.1280000000000002E-2</v>
      </c>
      <c r="BH51" s="185">
        <v>0</v>
      </c>
      <c r="BI51" s="185">
        <v>0</v>
      </c>
      <c r="BJ51" s="185">
        <v>0</v>
      </c>
      <c r="BK51" s="185">
        <v>0</v>
      </c>
      <c r="BL51" s="185">
        <v>0</v>
      </c>
      <c r="BM51" s="185">
        <v>0</v>
      </c>
      <c r="BN51" s="185">
        <v>0</v>
      </c>
      <c r="BO51" s="185"/>
      <c r="BP51" s="185">
        <v>0</v>
      </c>
      <c r="BQ51" s="185"/>
      <c r="BR51" s="194"/>
      <c r="BS51" s="185">
        <v>0</v>
      </c>
      <c r="BT51" s="185">
        <v>2.4007800000000001</v>
      </c>
      <c r="BU51" s="185">
        <v>0.51683000000000001</v>
      </c>
      <c r="BV51" s="185">
        <v>0</v>
      </c>
      <c r="BW51" s="185">
        <v>-0.17702000000000001</v>
      </c>
      <c r="BX51" s="185">
        <v>-6.4799999999999996E-3</v>
      </c>
      <c r="BY51" s="185">
        <v>0</v>
      </c>
      <c r="BZ51" s="185">
        <v>0</v>
      </c>
      <c r="CA51" s="185">
        <v>0</v>
      </c>
      <c r="CB51" s="185"/>
      <c r="CC51" s="185">
        <v>0</v>
      </c>
      <c r="CD51" s="185"/>
      <c r="CE51" s="194"/>
      <c r="CF51" s="185">
        <v>12.05128</v>
      </c>
      <c r="CG51" s="185">
        <v>10.15499</v>
      </c>
      <c r="CH51" s="185">
        <v>12.17571</v>
      </c>
      <c r="CI51" s="185">
        <v>15.09375</v>
      </c>
      <c r="CJ51" s="185">
        <v>15.71705</v>
      </c>
      <c r="CK51" s="185">
        <v>14.11842</v>
      </c>
      <c r="CL51" s="185">
        <v>14.028729999999999</v>
      </c>
      <c r="CM51" s="185">
        <v>15.69947</v>
      </c>
      <c r="CN51" s="185">
        <v>15.528689999999999</v>
      </c>
      <c r="CO51" s="185"/>
      <c r="CP51" s="185">
        <v>16.442630000000001</v>
      </c>
      <c r="CQ51" s="185"/>
      <c r="CR51" s="194"/>
      <c r="CS51" s="185">
        <v>9.7334599999999991</v>
      </c>
      <c r="CT51" s="185">
        <v>10.80475</v>
      </c>
      <c r="CU51" s="185">
        <v>10.5762</v>
      </c>
      <c r="CV51" s="185">
        <v>12.65142</v>
      </c>
      <c r="CW51" s="185">
        <v>12.85295</v>
      </c>
      <c r="CX51" s="185">
        <v>11.158099999999999</v>
      </c>
      <c r="CY51" s="185">
        <v>10.792249999999999</v>
      </c>
      <c r="CZ51" s="185">
        <v>12.03557</v>
      </c>
      <c r="DA51" s="185">
        <v>12.59103</v>
      </c>
      <c r="DB51" s="185"/>
      <c r="DC51" s="185">
        <v>13.498290000000001</v>
      </c>
      <c r="DD51" s="185"/>
      <c r="DE51" s="194"/>
      <c r="DF51" s="187">
        <v>0.17219999999999999</v>
      </c>
      <c r="DG51" s="187">
        <v>0.2175</v>
      </c>
      <c r="DH51" s="187">
        <v>0.20349999999999999</v>
      </c>
      <c r="DI51" s="187">
        <v>0.1741</v>
      </c>
      <c r="DJ51" s="187">
        <v>0.1447</v>
      </c>
      <c r="DK51" s="187">
        <v>0.17699999999999999</v>
      </c>
      <c r="DL51" s="187">
        <v>0.18870000000000001</v>
      </c>
      <c r="DM51" s="187">
        <v>0.20319999999999999</v>
      </c>
      <c r="DN51" s="187">
        <v>0.18140000000000001</v>
      </c>
      <c r="DO51" s="187"/>
      <c r="DP51" s="187">
        <v>0.2225</v>
      </c>
      <c r="DQ51" s="187"/>
      <c r="DR51" s="195"/>
      <c r="DS51" s="185">
        <v>0</v>
      </c>
      <c r="DT51" s="185">
        <v>0</v>
      </c>
      <c r="DU51" s="185">
        <v>0</v>
      </c>
      <c r="DV51" s="185">
        <v>0</v>
      </c>
      <c r="DW51" s="185">
        <v>0</v>
      </c>
      <c r="DX51" s="185">
        <v>0</v>
      </c>
      <c r="DY51" s="185">
        <v>0</v>
      </c>
      <c r="DZ51" s="185">
        <v>0</v>
      </c>
      <c r="EA51" s="185">
        <v>0</v>
      </c>
      <c r="EB51" s="185"/>
      <c r="EC51" s="185">
        <v>0</v>
      </c>
      <c r="ED51" s="185"/>
      <c r="EE51" s="194"/>
      <c r="EF51" s="185">
        <v>0</v>
      </c>
      <c r="EG51" s="185">
        <v>0</v>
      </c>
      <c r="EH51" s="185">
        <v>0</v>
      </c>
      <c r="EI51" s="185">
        <v>0</v>
      </c>
      <c r="EJ51" s="185">
        <v>0</v>
      </c>
      <c r="EK51" s="185">
        <v>0</v>
      </c>
      <c r="EL51" s="185">
        <v>0</v>
      </c>
      <c r="EM51" s="185">
        <v>0</v>
      </c>
      <c r="EN51" s="185">
        <v>0</v>
      </c>
      <c r="EO51" s="185"/>
      <c r="EP51" s="185">
        <v>0</v>
      </c>
      <c r="EQ51" s="185"/>
      <c r="ER51" s="194"/>
      <c r="ES51" s="185">
        <v>59803</v>
      </c>
      <c r="ET51" s="185">
        <v>44027</v>
      </c>
      <c r="EU51" s="185">
        <v>54621</v>
      </c>
      <c r="EV51" s="185">
        <v>60258</v>
      </c>
      <c r="EW51" s="185">
        <v>58268</v>
      </c>
      <c r="EX51" s="185">
        <v>53939</v>
      </c>
      <c r="EY51" s="185">
        <v>52953</v>
      </c>
      <c r="EZ51" s="185">
        <v>59039.164720000001</v>
      </c>
      <c r="FA51" s="185">
        <v>52895.905050000001</v>
      </c>
      <c r="FB51" s="185"/>
      <c r="FC51" s="185">
        <v>52555.922960000004</v>
      </c>
      <c r="FD51" s="185"/>
      <c r="FE51" s="194"/>
      <c r="FF51" s="185"/>
      <c r="FG51" s="185"/>
      <c r="FH51" s="185"/>
      <c r="FI51" s="185"/>
      <c r="FJ51" s="185"/>
      <c r="FK51" s="185"/>
      <c r="FL51" s="185"/>
      <c r="FM51" s="185"/>
      <c r="FN51" s="185"/>
      <c r="FO51" s="185"/>
      <c r="FP51" s="185"/>
      <c r="FQ51" s="185"/>
      <c r="FR51" s="194"/>
    </row>
    <row r="52" spans="4:174" x14ac:dyDescent="0.25">
      <c r="E52" s="2" t="s">
        <v>195</v>
      </c>
      <c r="F52" s="184">
        <v>1.38062</v>
      </c>
      <c r="G52" s="185">
        <v>0.99470000000000003</v>
      </c>
      <c r="H52" s="185">
        <v>1.3483499999999999</v>
      </c>
      <c r="I52" s="185">
        <v>1.55307</v>
      </c>
      <c r="J52" s="185">
        <v>1.6620600000000001</v>
      </c>
      <c r="K52" s="185">
        <v>1.87904</v>
      </c>
      <c r="L52" s="185">
        <v>1.9116</v>
      </c>
      <c r="M52" s="185">
        <v>1.80951</v>
      </c>
      <c r="N52" s="185">
        <v>1.87618</v>
      </c>
      <c r="O52" s="185"/>
      <c r="P52" s="185">
        <v>1.89581</v>
      </c>
      <c r="Q52" s="185"/>
      <c r="R52" s="194"/>
      <c r="S52" s="185">
        <v>6.2506899999999996</v>
      </c>
      <c r="T52" s="185">
        <v>4.8933299999999997</v>
      </c>
      <c r="U52" s="185">
        <v>6.3180300000000003</v>
      </c>
      <c r="V52" s="185">
        <v>8.3619800000000009</v>
      </c>
      <c r="W52" s="185">
        <v>8.31494</v>
      </c>
      <c r="X52" s="185">
        <v>6.7919600000000004</v>
      </c>
      <c r="Y52" s="185">
        <v>6.5498200000000004</v>
      </c>
      <c r="Z52" s="185">
        <v>6.2918700000000003</v>
      </c>
      <c r="AA52" s="185">
        <v>7.5504499999999997</v>
      </c>
      <c r="AB52" s="185"/>
      <c r="AC52" s="185">
        <v>7.8662099999999997</v>
      </c>
      <c r="AD52" s="185"/>
      <c r="AE52" s="194"/>
      <c r="AF52" s="185">
        <v>1.16265</v>
      </c>
      <c r="AG52" s="185">
        <v>1.21617</v>
      </c>
      <c r="AH52" s="185">
        <v>1.4523900000000001</v>
      </c>
      <c r="AI52" s="185">
        <v>1.6305099999999999</v>
      </c>
      <c r="AJ52" s="185">
        <v>1.33914</v>
      </c>
      <c r="AK52" s="185">
        <v>1.4110199999999999</v>
      </c>
      <c r="AL52" s="185">
        <v>1.42215</v>
      </c>
      <c r="AM52" s="185">
        <v>1.5388200000000001</v>
      </c>
      <c r="AN52" s="185">
        <v>1.5784499999999999</v>
      </c>
      <c r="AO52" s="185"/>
      <c r="AP52" s="185">
        <v>2.07064</v>
      </c>
      <c r="AQ52" s="185"/>
      <c r="AR52" s="194"/>
      <c r="AS52" s="185">
        <v>0</v>
      </c>
      <c r="AT52" s="185">
        <v>0</v>
      </c>
      <c r="AU52" s="185">
        <v>0</v>
      </c>
      <c r="AV52" s="185">
        <v>0</v>
      </c>
      <c r="AW52" s="185">
        <v>0</v>
      </c>
      <c r="AX52" s="185">
        <v>0</v>
      </c>
      <c r="AY52" s="185">
        <v>0</v>
      </c>
      <c r="AZ52" s="185">
        <v>0</v>
      </c>
      <c r="BA52" s="185">
        <v>0</v>
      </c>
      <c r="BB52" s="185"/>
      <c r="BC52" s="185">
        <v>0</v>
      </c>
      <c r="BD52" s="185"/>
      <c r="BE52" s="194"/>
      <c r="BF52" s="185">
        <v>1.7559999999999999E-2</v>
      </c>
      <c r="BG52" s="185">
        <v>1.9539999999999998E-2</v>
      </c>
      <c r="BH52" s="185">
        <v>0</v>
      </c>
      <c r="BI52" s="185">
        <v>0</v>
      </c>
      <c r="BJ52" s="185">
        <v>0</v>
      </c>
      <c r="BK52" s="185">
        <v>0</v>
      </c>
      <c r="BL52" s="185">
        <v>0</v>
      </c>
      <c r="BM52" s="185">
        <v>0</v>
      </c>
      <c r="BN52" s="185">
        <v>0</v>
      </c>
      <c r="BO52" s="185"/>
      <c r="BP52" s="185">
        <v>0</v>
      </c>
      <c r="BQ52" s="185"/>
      <c r="BR52" s="194"/>
      <c r="BS52" s="185">
        <v>0</v>
      </c>
      <c r="BT52" s="185">
        <v>1.7419100000000001</v>
      </c>
      <c r="BU52" s="185">
        <v>0.58165</v>
      </c>
      <c r="BV52" s="185">
        <v>0</v>
      </c>
      <c r="BW52" s="185">
        <v>-0.1095</v>
      </c>
      <c r="BX52" s="185">
        <v>-4.0099999999999997E-3</v>
      </c>
      <c r="BY52" s="185">
        <v>0</v>
      </c>
      <c r="BZ52" s="185">
        <v>0</v>
      </c>
      <c r="CA52" s="185">
        <v>0</v>
      </c>
      <c r="CB52" s="185"/>
      <c r="CC52" s="185">
        <v>0</v>
      </c>
      <c r="CD52" s="185"/>
      <c r="CE52" s="194"/>
      <c r="CF52" s="185">
        <v>7.4309000000000003</v>
      </c>
      <c r="CG52" s="185">
        <v>6.1290500000000003</v>
      </c>
      <c r="CH52" s="185">
        <v>7.7704199999999997</v>
      </c>
      <c r="CI52" s="185">
        <v>9.9924900000000001</v>
      </c>
      <c r="CJ52" s="185">
        <v>9.6540800000000004</v>
      </c>
      <c r="CK52" s="185">
        <v>8.2029800000000002</v>
      </c>
      <c r="CL52" s="185">
        <v>7.9719699999999998</v>
      </c>
      <c r="CM52" s="185">
        <v>7.8306899999999997</v>
      </c>
      <c r="CN52" s="185">
        <v>9.1288999999999998</v>
      </c>
      <c r="CO52" s="185"/>
      <c r="CP52" s="185">
        <v>9.9368599999999994</v>
      </c>
      <c r="CQ52" s="185"/>
      <c r="CR52" s="194"/>
      <c r="CS52" s="185">
        <v>6.0502799999999999</v>
      </c>
      <c r="CT52" s="185">
        <v>6.8762600000000003</v>
      </c>
      <c r="CU52" s="185">
        <v>7.0037200000000004</v>
      </c>
      <c r="CV52" s="185">
        <v>8.4394200000000001</v>
      </c>
      <c r="CW52" s="185">
        <v>7.88253</v>
      </c>
      <c r="CX52" s="185">
        <v>6.3199199999999998</v>
      </c>
      <c r="CY52" s="185">
        <v>6.0603699999999998</v>
      </c>
      <c r="CZ52" s="185">
        <v>6.0211800000000002</v>
      </c>
      <c r="DA52" s="185">
        <v>7.2527200000000001</v>
      </c>
      <c r="DB52" s="185"/>
      <c r="DC52" s="185">
        <v>8.0410500000000003</v>
      </c>
      <c r="DD52" s="185"/>
      <c r="DE52" s="194"/>
      <c r="DF52" s="187">
        <v>0.1565</v>
      </c>
      <c r="DG52" s="187">
        <v>0.19839999999999999</v>
      </c>
      <c r="DH52" s="187">
        <v>0.18690000000000001</v>
      </c>
      <c r="DI52" s="187">
        <v>0.16320000000000001</v>
      </c>
      <c r="DJ52" s="187">
        <v>0.13869999999999999</v>
      </c>
      <c r="DK52" s="187">
        <v>0.17199999999999999</v>
      </c>
      <c r="DL52" s="187">
        <v>0.1784</v>
      </c>
      <c r="DM52" s="187">
        <v>0.19650000000000001</v>
      </c>
      <c r="DN52" s="187">
        <v>0.1729</v>
      </c>
      <c r="DO52" s="187"/>
      <c r="DP52" s="187">
        <v>0.2084</v>
      </c>
      <c r="DQ52" s="187"/>
      <c r="DR52" s="195"/>
      <c r="DS52" s="185">
        <v>0</v>
      </c>
      <c r="DT52" s="185">
        <v>0</v>
      </c>
      <c r="DU52" s="185">
        <v>0</v>
      </c>
      <c r="DV52" s="185">
        <v>0</v>
      </c>
      <c r="DW52" s="185">
        <v>0</v>
      </c>
      <c r="DX52" s="185">
        <v>0</v>
      </c>
      <c r="DY52" s="185">
        <v>0</v>
      </c>
      <c r="DZ52" s="185">
        <v>0</v>
      </c>
      <c r="EA52" s="185">
        <v>0</v>
      </c>
      <c r="EB52" s="185"/>
      <c r="EC52" s="185">
        <v>0</v>
      </c>
      <c r="ED52" s="185"/>
      <c r="EE52" s="194"/>
      <c r="EF52" s="185">
        <v>0</v>
      </c>
      <c r="EG52" s="185">
        <v>0</v>
      </c>
      <c r="EH52" s="185">
        <v>0</v>
      </c>
      <c r="EI52" s="185">
        <v>0</v>
      </c>
      <c r="EJ52" s="185">
        <v>0</v>
      </c>
      <c r="EK52" s="185">
        <v>0</v>
      </c>
      <c r="EL52" s="185">
        <v>0</v>
      </c>
      <c r="EM52" s="185">
        <v>0</v>
      </c>
      <c r="EN52" s="185">
        <v>0</v>
      </c>
      <c r="EO52" s="185"/>
      <c r="EP52" s="185">
        <v>0</v>
      </c>
      <c r="EQ52" s="185"/>
      <c r="ER52" s="194"/>
      <c r="ES52" s="185">
        <v>39781</v>
      </c>
      <c r="ET52" s="185">
        <v>28752</v>
      </c>
      <c r="EU52" s="185">
        <v>35566</v>
      </c>
      <c r="EV52" s="185">
        <v>41457</v>
      </c>
      <c r="EW52" s="185">
        <v>38893</v>
      </c>
      <c r="EX52" s="185">
        <v>32111</v>
      </c>
      <c r="EY52" s="185">
        <v>30977</v>
      </c>
      <c r="EZ52" s="185">
        <v>29930.937290000002</v>
      </c>
      <c r="FA52" s="185">
        <v>32523.860789999999</v>
      </c>
      <c r="FB52" s="185"/>
      <c r="FC52" s="185">
        <v>33248.006699999998</v>
      </c>
      <c r="FD52" s="185"/>
      <c r="FE52" s="194"/>
      <c r="FF52" s="185"/>
      <c r="FG52" s="185"/>
      <c r="FH52" s="185"/>
      <c r="FI52" s="185"/>
      <c r="FJ52" s="185"/>
      <c r="FK52" s="185"/>
      <c r="FL52" s="185"/>
      <c r="FM52" s="185"/>
      <c r="FN52" s="185"/>
      <c r="FO52" s="185"/>
      <c r="FP52" s="185"/>
      <c r="FQ52" s="185"/>
      <c r="FR52" s="194"/>
    </row>
    <row r="53" spans="4:174" x14ac:dyDescent="0.25">
      <c r="E53" s="2" t="s">
        <v>196</v>
      </c>
      <c r="F53" s="184">
        <v>2.0253899999999998</v>
      </c>
      <c r="G53" s="185">
        <v>1.5515699999999999</v>
      </c>
      <c r="H53" s="185">
        <v>1.8384100000000001</v>
      </c>
      <c r="I53" s="185">
        <v>2.18092</v>
      </c>
      <c r="J53" s="185">
        <v>2.4176700000000002</v>
      </c>
      <c r="K53" s="185">
        <v>2.8673099999999998</v>
      </c>
      <c r="L53" s="185">
        <v>3.0918800000000002</v>
      </c>
      <c r="M53" s="185">
        <v>3.2260300000000002</v>
      </c>
      <c r="N53" s="185">
        <v>3.19625</v>
      </c>
      <c r="O53" s="185"/>
      <c r="P53" s="185">
        <v>3.19998</v>
      </c>
      <c r="Q53" s="185"/>
      <c r="R53" s="194"/>
      <c r="S53" s="185">
        <v>10.944710000000001</v>
      </c>
      <c r="T53" s="185">
        <v>8.8837700000000002</v>
      </c>
      <c r="U53" s="185">
        <v>11.201040000000001</v>
      </c>
      <c r="V53" s="185">
        <v>14.259690000000001</v>
      </c>
      <c r="W53" s="185">
        <v>15.37439</v>
      </c>
      <c r="X53" s="185">
        <v>14.401630000000001</v>
      </c>
      <c r="Y53" s="185">
        <v>13.595319999999999</v>
      </c>
      <c r="Z53" s="185">
        <v>14.44473</v>
      </c>
      <c r="AA53" s="185">
        <v>15.80828</v>
      </c>
      <c r="AB53" s="185"/>
      <c r="AC53" s="185">
        <v>15.985279999999999</v>
      </c>
      <c r="AD53" s="185"/>
      <c r="AE53" s="194"/>
      <c r="AF53" s="185">
        <v>2.0059800000000001</v>
      </c>
      <c r="AG53" s="185">
        <v>2.0577100000000002</v>
      </c>
      <c r="AH53" s="185">
        <v>2.3846400000000001</v>
      </c>
      <c r="AI53" s="185">
        <v>2.4829500000000002</v>
      </c>
      <c r="AJ53" s="185">
        <v>2.1889500000000002</v>
      </c>
      <c r="AK53" s="185">
        <v>2.7015600000000002</v>
      </c>
      <c r="AL53" s="185">
        <v>2.7922600000000002</v>
      </c>
      <c r="AM53" s="185">
        <v>3.2503899999999999</v>
      </c>
      <c r="AN53" s="185">
        <v>3.1089199999999999</v>
      </c>
      <c r="AO53" s="185"/>
      <c r="AP53" s="185">
        <v>3.9682300000000001</v>
      </c>
      <c r="AQ53" s="185"/>
      <c r="AR53" s="194"/>
      <c r="AS53" s="185">
        <v>0</v>
      </c>
      <c r="AT53" s="185">
        <v>0</v>
      </c>
      <c r="AU53" s="185">
        <v>0</v>
      </c>
      <c r="AV53" s="185">
        <v>0</v>
      </c>
      <c r="AW53" s="185">
        <v>0</v>
      </c>
      <c r="AX53" s="185">
        <v>0</v>
      </c>
      <c r="AY53" s="185">
        <v>0</v>
      </c>
      <c r="AZ53" s="185">
        <v>0</v>
      </c>
      <c r="BA53" s="185">
        <v>0</v>
      </c>
      <c r="BB53" s="185"/>
      <c r="BC53" s="185">
        <v>0</v>
      </c>
      <c r="BD53" s="185"/>
      <c r="BE53" s="194"/>
      <c r="BF53" s="185">
        <v>2.98E-2</v>
      </c>
      <c r="BG53" s="185">
        <v>3.2910000000000002E-2</v>
      </c>
      <c r="BH53" s="185">
        <v>0</v>
      </c>
      <c r="BI53" s="185">
        <v>0</v>
      </c>
      <c r="BJ53" s="185">
        <v>0</v>
      </c>
      <c r="BK53" s="185">
        <v>0</v>
      </c>
      <c r="BL53" s="185">
        <v>0</v>
      </c>
      <c r="BM53" s="185">
        <v>0</v>
      </c>
      <c r="BN53" s="185">
        <v>0</v>
      </c>
      <c r="BO53" s="185"/>
      <c r="BP53" s="185">
        <v>0</v>
      </c>
      <c r="BQ53" s="185"/>
      <c r="BR53" s="194"/>
      <c r="BS53" s="185">
        <v>0</v>
      </c>
      <c r="BT53" s="185">
        <v>3.0854599999999999</v>
      </c>
      <c r="BU53" s="185">
        <v>0.54379999999999995</v>
      </c>
      <c r="BV53" s="185">
        <v>0</v>
      </c>
      <c r="BW53" s="185">
        <v>-0.20246</v>
      </c>
      <c r="BX53" s="185">
        <v>-7.4200000000000004E-3</v>
      </c>
      <c r="BY53" s="185">
        <v>0</v>
      </c>
      <c r="BZ53" s="185">
        <v>0</v>
      </c>
      <c r="CA53" s="185">
        <v>0</v>
      </c>
      <c r="CB53" s="185"/>
      <c r="CC53" s="185">
        <v>0</v>
      </c>
      <c r="CD53" s="185"/>
      <c r="CE53" s="194"/>
      <c r="CF53" s="185">
        <v>12.98049</v>
      </c>
      <c r="CG53" s="185">
        <v>10.97439</v>
      </c>
      <c r="CH53" s="185">
        <v>13.58569</v>
      </c>
      <c r="CI53" s="185">
        <v>16.742640000000002</v>
      </c>
      <c r="CJ53" s="185">
        <v>17.56334</v>
      </c>
      <c r="CK53" s="185">
        <v>17.103190000000001</v>
      </c>
      <c r="CL53" s="185">
        <v>16.38758</v>
      </c>
      <c r="CM53" s="185">
        <v>17.695119999999999</v>
      </c>
      <c r="CN53" s="185">
        <v>18.917200000000001</v>
      </c>
      <c r="CO53" s="185"/>
      <c r="CP53" s="185">
        <v>19.953510000000001</v>
      </c>
      <c r="CQ53" s="185"/>
      <c r="CR53" s="194"/>
      <c r="CS53" s="185">
        <v>10.9551</v>
      </c>
      <c r="CT53" s="185">
        <v>12.508279999999999</v>
      </c>
      <c r="CU53" s="185">
        <v>12.291079999999999</v>
      </c>
      <c r="CV53" s="185">
        <v>14.561719999999999</v>
      </c>
      <c r="CW53" s="185">
        <v>14.943199999999999</v>
      </c>
      <c r="CX53" s="185">
        <v>14.22846</v>
      </c>
      <c r="CY53" s="185">
        <v>13.2957</v>
      </c>
      <c r="CZ53" s="185">
        <v>14.46909</v>
      </c>
      <c r="DA53" s="185">
        <v>15.72095</v>
      </c>
      <c r="DB53" s="185"/>
      <c r="DC53" s="185">
        <v>16.753540000000001</v>
      </c>
      <c r="DD53" s="185"/>
      <c r="DE53" s="194"/>
      <c r="DF53" s="187">
        <v>0.1545</v>
      </c>
      <c r="DG53" s="187">
        <v>0.1875</v>
      </c>
      <c r="DH53" s="187">
        <v>0.17549999999999999</v>
      </c>
      <c r="DI53" s="187">
        <v>0.14829999999999999</v>
      </c>
      <c r="DJ53" s="187">
        <v>0.1246</v>
      </c>
      <c r="DK53" s="187">
        <v>0.158</v>
      </c>
      <c r="DL53" s="187">
        <v>0.1704</v>
      </c>
      <c r="DM53" s="187">
        <v>0.1837</v>
      </c>
      <c r="DN53" s="187">
        <v>0.1643</v>
      </c>
      <c r="DO53" s="187"/>
      <c r="DP53" s="187">
        <v>0.19889999999999999</v>
      </c>
      <c r="DQ53" s="187"/>
      <c r="DR53" s="195"/>
      <c r="DS53" s="185">
        <v>0</v>
      </c>
      <c r="DT53" s="185">
        <v>0</v>
      </c>
      <c r="DU53" s="185">
        <v>0</v>
      </c>
      <c r="DV53" s="185">
        <v>0</v>
      </c>
      <c r="DW53" s="185">
        <v>0</v>
      </c>
      <c r="DX53" s="185">
        <v>0</v>
      </c>
      <c r="DY53" s="185">
        <v>0</v>
      </c>
      <c r="DZ53" s="185">
        <v>0</v>
      </c>
      <c r="EA53" s="185">
        <v>0</v>
      </c>
      <c r="EB53" s="185"/>
      <c r="EC53" s="185">
        <v>0</v>
      </c>
      <c r="ED53" s="185"/>
      <c r="EE53" s="194"/>
      <c r="EF53" s="185">
        <v>0</v>
      </c>
      <c r="EG53" s="185">
        <v>0</v>
      </c>
      <c r="EH53" s="185">
        <v>0</v>
      </c>
      <c r="EI53" s="185">
        <v>0</v>
      </c>
      <c r="EJ53" s="185">
        <v>0</v>
      </c>
      <c r="EK53" s="185">
        <v>0</v>
      </c>
      <c r="EL53" s="185">
        <v>0</v>
      </c>
      <c r="EM53" s="185">
        <v>0</v>
      </c>
      <c r="EN53" s="185">
        <v>0</v>
      </c>
      <c r="EO53" s="185"/>
      <c r="EP53" s="185">
        <v>0</v>
      </c>
      <c r="EQ53" s="185"/>
      <c r="ER53" s="194"/>
      <c r="ES53" s="185">
        <v>67826</v>
      </c>
      <c r="ET53" s="185">
        <v>49659</v>
      </c>
      <c r="EU53" s="185">
        <v>60402</v>
      </c>
      <c r="EV53" s="185">
        <v>64389</v>
      </c>
      <c r="EW53" s="185">
        <v>65500</v>
      </c>
      <c r="EX53" s="185">
        <v>63286</v>
      </c>
      <c r="EY53" s="185">
        <v>61020</v>
      </c>
      <c r="EZ53" s="185">
        <v>64215.452100000002</v>
      </c>
      <c r="FA53" s="185">
        <v>63659.198320000003</v>
      </c>
      <c r="FB53" s="185"/>
      <c r="FC53" s="185">
        <v>63231.552439999999</v>
      </c>
      <c r="FD53" s="185"/>
      <c r="FE53" s="194"/>
      <c r="FF53" s="185"/>
      <c r="FG53" s="185"/>
      <c r="FH53" s="185"/>
      <c r="FI53" s="185"/>
      <c r="FJ53" s="185"/>
      <c r="FK53" s="185"/>
      <c r="FL53" s="185"/>
      <c r="FM53" s="185"/>
      <c r="FN53" s="185"/>
      <c r="FO53" s="185"/>
      <c r="FP53" s="185"/>
      <c r="FQ53" s="185"/>
      <c r="FR53" s="194"/>
    </row>
    <row r="54" spans="4:174" x14ac:dyDescent="0.25">
      <c r="E54" s="2" t="s">
        <v>197</v>
      </c>
      <c r="F54" s="184">
        <v>0.81471000000000005</v>
      </c>
      <c r="G54" s="185">
        <v>0.65883999999999998</v>
      </c>
      <c r="H54" s="185">
        <v>0.79751000000000005</v>
      </c>
      <c r="I54" s="185">
        <v>0.90136000000000005</v>
      </c>
      <c r="J54" s="185">
        <v>0.94306999999999996</v>
      </c>
      <c r="K54" s="185">
        <v>1.01667</v>
      </c>
      <c r="L54" s="185">
        <v>1.14011</v>
      </c>
      <c r="M54" s="185">
        <v>1.15656</v>
      </c>
      <c r="N54" s="185">
        <v>1.13029</v>
      </c>
      <c r="O54" s="185"/>
      <c r="P54" s="185">
        <v>1.1422600000000001</v>
      </c>
      <c r="Q54" s="185"/>
      <c r="R54" s="194"/>
      <c r="S54" s="185">
        <v>11.885109999999999</v>
      </c>
      <c r="T54" s="185">
        <v>10.81156</v>
      </c>
      <c r="U54" s="185">
        <v>13.69491</v>
      </c>
      <c r="V54" s="185">
        <v>15.3338</v>
      </c>
      <c r="W54" s="185">
        <v>14.854150000000001</v>
      </c>
      <c r="X54" s="185">
        <v>14.354749999999999</v>
      </c>
      <c r="Y54" s="185">
        <v>15.268890000000001</v>
      </c>
      <c r="Z54" s="185">
        <v>14.793279999999999</v>
      </c>
      <c r="AA54" s="185">
        <v>15.143359999999999</v>
      </c>
      <c r="AB54" s="185"/>
      <c r="AC54" s="185">
        <v>15.53059</v>
      </c>
      <c r="AD54" s="185"/>
      <c r="AE54" s="194"/>
      <c r="AF54" s="185">
        <v>1.12477</v>
      </c>
      <c r="AG54" s="185">
        <v>1.56569</v>
      </c>
      <c r="AH54" s="185">
        <v>1.7547999999999999</v>
      </c>
      <c r="AI54" s="185">
        <v>1.7253700000000001</v>
      </c>
      <c r="AJ54" s="185">
        <v>1.3801600000000001</v>
      </c>
      <c r="AK54" s="185">
        <v>1.6270500000000001</v>
      </c>
      <c r="AL54" s="185">
        <v>1.6168499999999999</v>
      </c>
      <c r="AM54" s="185">
        <v>1.72756</v>
      </c>
      <c r="AN54" s="185">
        <v>1.6751100000000001</v>
      </c>
      <c r="AO54" s="185"/>
      <c r="AP54" s="185">
        <v>2.1730499999999999</v>
      </c>
      <c r="AQ54" s="185"/>
      <c r="AR54" s="194"/>
      <c r="AS54" s="185">
        <v>0</v>
      </c>
      <c r="AT54" s="185">
        <v>0</v>
      </c>
      <c r="AU54" s="185">
        <v>0</v>
      </c>
      <c r="AV54" s="185">
        <v>0</v>
      </c>
      <c r="AW54" s="185">
        <v>0</v>
      </c>
      <c r="AX54" s="185">
        <v>0</v>
      </c>
      <c r="AY54" s="185">
        <v>0</v>
      </c>
      <c r="AZ54" s="185">
        <v>0</v>
      </c>
      <c r="BA54" s="185">
        <v>0</v>
      </c>
      <c r="BB54" s="185"/>
      <c r="BC54" s="185">
        <v>0</v>
      </c>
      <c r="BD54" s="185"/>
      <c r="BE54" s="194"/>
      <c r="BF54" s="185">
        <v>1.5570000000000001E-2</v>
      </c>
      <c r="BG54" s="185">
        <v>2.503E-2</v>
      </c>
      <c r="BH54" s="185">
        <v>0</v>
      </c>
      <c r="BI54" s="185">
        <v>0</v>
      </c>
      <c r="BJ54" s="185">
        <v>0</v>
      </c>
      <c r="BK54" s="185">
        <v>0</v>
      </c>
      <c r="BL54" s="185">
        <v>0</v>
      </c>
      <c r="BM54" s="185">
        <v>0</v>
      </c>
      <c r="BN54" s="185">
        <v>0</v>
      </c>
      <c r="BO54" s="185"/>
      <c r="BP54" s="185">
        <v>0</v>
      </c>
      <c r="BQ54" s="185"/>
      <c r="BR54" s="194"/>
      <c r="BS54" s="185">
        <v>0</v>
      </c>
      <c r="BT54" s="185">
        <v>1.7293499999999999</v>
      </c>
      <c r="BU54" s="185">
        <v>-0.15114</v>
      </c>
      <c r="BV54" s="185">
        <v>0</v>
      </c>
      <c r="BW54" s="185">
        <v>-0.19561000000000001</v>
      </c>
      <c r="BX54" s="185">
        <v>-7.1700000000000002E-3</v>
      </c>
      <c r="BY54" s="185">
        <v>0</v>
      </c>
      <c r="BZ54" s="185">
        <v>0</v>
      </c>
      <c r="CA54" s="185">
        <v>0</v>
      </c>
      <c r="CB54" s="185"/>
      <c r="CC54" s="185">
        <v>0</v>
      </c>
      <c r="CD54" s="185"/>
      <c r="CE54" s="194"/>
      <c r="CF54" s="185">
        <v>13.025449999999999</v>
      </c>
      <c r="CG54" s="185">
        <v>12.402279999999999</v>
      </c>
      <c r="CH54" s="185">
        <v>15.44971</v>
      </c>
      <c r="CI54" s="185">
        <v>17.059159999999999</v>
      </c>
      <c r="CJ54" s="185">
        <v>16.234310000000001</v>
      </c>
      <c r="CK54" s="185">
        <v>15.9818</v>
      </c>
      <c r="CL54" s="185">
        <v>16.885739999999998</v>
      </c>
      <c r="CM54" s="185">
        <v>16.520849999999999</v>
      </c>
      <c r="CN54" s="185">
        <v>16.818470000000001</v>
      </c>
      <c r="CO54" s="185"/>
      <c r="CP54" s="185">
        <v>17.70364</v>
      </c>
      <c r="CQ54" s="185"/>
      <c r="CR54" s="194"/>
      <c r="CS54" s="185">
        <v>12.210750000000001</v>
      </c>
      <c r="CT54" s="185">
        <v>13.47279</v>
      </c>
      <c r="CU54" s="185">
        <v>14.501060000000001</v>
      </c>
      <c r="CV54" s="185">
        <v>16.157810000000001</v>
      </c>
      <c r="CW54" s="185">
        <v>15.09562</v>
      </c>
      <c r="CX54" s="185">
        <v>14.95797</v>
      </c>
      <c r="CY54" s="185">
        <v>15.74563</v>
      </c>
      <c r="CZ54" s="185">
        <v>15.36429</v>
      </c>
      <c r="DA54" s="185">
        <v>15.688190000000001</v>
      </c>
      <c r="DB54" s="185"/>
      <c r="DC54" s="185">
        <v>16.56138</v>
      </c>
      <c r="DD54" s="185"/>
      <c r="DE54" s="194"/>
      <c r="DF54" s="187">
        <v>8.6400000000000005E-2</v>
      </c>
      <c r="DG54" s="187">
        <v>0.12620000000000001</v>
      </c>
      <c r="DH54" s="187">
        <v>0.11360000000000001</v>
      </c>
      <c r="DI54" s="187">
        <v>0.1011</v>
      </c>
      <c r="DJ54" s="187">
        <v>8.5000000000000006E-2</v>
      </c>
      <c r="DK54" s="187">
        <v>0.1018</v>
      </c>
      <c r="DL54" s="187">
        <v>9.5799999999999996E-2</v>
      </c>
      <c r="DM54" s="187">
        <v>0.1046</v>
      </c>
      <c r="DN54" s="187">
        <v>9.9599999999999994E-2</v>
      </c>
      <c r="DO54" s="187"/>
      <c r="DP54" s="187">
        <v>0.1227</v>
      </c>
      <c r="DQ54" s="187"/>
      <c r="DR54" s="195"/>
      <c r="DS54" s="185">
        <v>0</v>
      </c>
      <c r="DT54" s="185">
        <v>0</v>
      </c>
      <c r="DU54" s="185">
        <v>0</v>
      </c>
      <c r="DV54" s="185">
        <v>0</v>
      </c>
      <c r="DW54" s="185">
        <v>0</v>
      </c>
      <c r="DX54" s="185">
        <v>0</v>
      </c>
      <c r="DY54" s="185">
        <v>0</v>
      </c>
      <c r="DZ54" s="185">
        <v>0</v>
      </c>
      <c r="EA54" s="185">
        <v>0</v>
      </c>
      <c r="EB54" s="185"/>
      <c r="EC54" s="185">
        <v>0</v>
      </c>
      <c r="ED54" s="185"/>
      <c r="EE54" s="194"/>
      <c r="EF54" s="185">
        <v>0</v>
      </c>
      <c r="EG54" s="185">
        <v>0</v>
      </c>
      <c r="EH54" s="185">
        <v>0</v>
      </c>
      <c r="EI54" s="185">
        <v>0</v>
      </c>
      <c r="EJ54" s="185">
        <v>0</v>
      </c>
      <c r="EK54" s="185">
        <v>0</v>
      </c>
      <c r="EL54" s="185">
        <v>0</v>
      </c>
      <c r="EM54" s="185">
        <v>0</v>
      </c>
      <c r="EN54" s="185">
        <v>0</v>
      </c>
      <c r="EO54" s="185"/>
      <c r="EP54" s="185">
        <v>0</v>
      </c>
      <c r="EQ54" s="185"/>
      <c r="ER54" s="194"/>
      <c r="ES54" s="185">
        <v>85368</v>
      </c>
      <c r="ET54" s="185">
        <v>78365</v>
      </c>
      <c r="EU54" s="185">
        <v>89552</v>
      </c>
      <c r="EV54" s="185">
        <v>95074</v>
      </c>
      <c r="EW54" s="185">
        <v>87408</v>
      </c>
      <c r="EX54" s="185">
        <v>84359</v>
      </c>
      <c r="EY54" s="185">
        <v>80945</v>
      </c>
      <c r="EZ54" s="185">
        <v>82729.710879999999</v>
      </c>
      <c r="FA54" s="185">
        <v>75994.76784</v>
      </c>
      <c r="FB54" s="185"/>
      <c r="FC54" s="185">
        <v>75077.651759999993</v>
      </c>
      <c r="FD54" s="185"/>
      <c r="FE54" s="194"/>
      <c r="FF54" s="185"/>
      <c r="FG54" s="185"/>
      <c r="FH54" s="185"/>
      <c r="FI54" s="185"/>
      <c r="FJ54" s="185"/>
      <c r="FK54" s="185"/>
      <c r="FL54" s="185"/>
      <c r="FM54" s="185"/>
      <c r="FN54" s="185"/>
      <c r="FO54" s="185"/>
      <c r="FP54" s="185"/>
      <c r="FQ54" s="185"/>
      <c r="FR54" s="194"/>
    </row>
    <row r="55" spans="4:174" x14ac:dyDescent="0.25">
      <c r="E55" s="2" t="s">
        <v>198</v>
      </c>
      <c r="F55" s="184">
        <v>1.6963900000000001</v>
      </c>
      <c r="G55" s="185">
        <v>1.2077599999999999</v>
      </c>
      <c r="H55" s="185">
        <v>1.44791</v>
      </c>
      <c r="I55" s="185">
        <v>1.6208100000000001</v>
      </c>
      <c r="J55" s="185">
        <v>1.70645</v>
      </c>
      <c r="K55" s="185">
        <v>1.9760599999999999</v>
      </c>
      <c r="L55" s="185">
        <v>2.1487599999999998</v>
      </c>
      <c r="M55" s="185">
        <v>2.2894999999999999</v>
      </c>
      <c r="N55" s="185">
        <v>2.0287999999999999</v>
      </c>
      <c r="O55" s="185"/>
      <c r="P55" s="185">
        <v>2.0342199999999999</v>
      </c>
      <c r="Q55" s="185"/>
      <c r="R55" s="194"/>
      <c r="S55" s="185">
        <v>12.311030000000001</v>
      </c>
      <c r="T55" s="185">
        <v>9.0218799999999995</v>
      </c>
      <c r="U55" s="185">
        <v>10.66414</v>
      </c>
      <c r="V55" s="185">
        <v>12.36759</v>
      </c>
      <c r="W55" s="185">
        <v>13.146979999999999</v>
      </c>
      <c r="X55" s="185">
        <v>14.802350000000001</v>
      </c>
      <c r="Y55" s="185">
        <v>13.544040000000001</v>
      </c>
      <c r="Z55" s="185">
        <v>14.04557</v>
      </c>
      <c r="AA55" s="185">
        <v>14.268829999999999</v>
      </c>
      <c r="AB55" s="185"/>
      <c r="AC55" s="185">
        <v>14.42154</v>
      </c>
      <c r="AD55" s="185"/>
      <c r="AE55" s="194"/>
      <c r="AF55" s="185">
        <v>2.0127799999999998</v>
      </c>
      <c r="AG55" s="185">
        <v>1.9608300000000001</v>
      </c>
      <c r="AH55" s="185">
        <v>1.94634</v>
      </c>
      <c r="AI55" s="185">
        <v>1.9435899999999999</v>
      </c>
      <c r="AJ55" s="185">
        <v>1.73498</v>
      </c>
      <c r="AK55" s="185">
        <v>2.1740499999999998</v>
      </c>
      <c r="AL55" s="185">
        <v>2.2045599999999999</v>
      </c>
      <c r="AM55" s="185">
        <v>2.4378899999999999</v>
      </c>
      <c r="AN55" s="185">
        <v>2.2486000000000002</v>
      </c>
      <c r="AO55" s="185"/>
      <c r="AP55" s="185">
        <v>2.8650000000000002</v>
      </c>
      <c r="AQ55" s="185"/>
      <c r="AR55" s="194"/>
      <c r="AS55" s="185">
        <v>0</v>
      </c>
      <c r="AT55" s="185">
        <v>0</v>
      </c>
      <c r="AU55" s="185">
        <v>0</v>
      </c>
      <c r="AV55" s="185">
        <v>0</v>
      </c>
      <c r="AW55" s="185">
        <v>0</v>
      </c>
      <c r="AX55" s="185">
        <v>0</v>
      </c>
      <c r="AY55" s="185">
        <v>0</v>
      </c>
      <c r="AZ55" s="185">
        <v>0</v>
      </c>
      <c r="BA55" s="185">
        <v>0</v>
      </c>
      <c r="BB55" s="185"/>
      <c r="BC55" s="185">
        <v>0</v>
      </c>
      <c r="BD55" s="185"/>
      <c r="BE55" s="194"/>
      <c r="BF55" s="185">
        <v>3.0779999999999998E-2</v>
      </c>
      <c r="BG55" s="185">
        <v>3.143E-2</v>
      </c>
      <c r="BH55" s="185">
        <v>0</v>
      </c>
      <c r="BI55" s="185">
        <v>0</v>
      </c>
      <c r="BJ55" s="185">
        <v>0</v>
      </c>
      <c r="BK55" s="185">
        <v>0</v>
      </c>
      <c r="BL55" s="185">
        <v>0</v>
      </c>
      <c r="BM55" s="185">
        <v>0</v>
      </c>
      <c r="BN55" s="185">
        <v>0</v>
      </c>
      <c r="BO55" s="185"/>
      <c r="BP55" s="185">
        <v>0</v>
      </c>
      <c r="BQ55" s="185"/>
      <c r="BR55" s="194"/>
      <c r="BS55" s="185">
        <v>0</v>
      </c>
      <c r="BT55" s="185">
        <v>4.8716299999999997</v>
      </c>
      <c r="BU55" s="185">
        <v>2.0103200000000001</v>
      </c>
      <c r="BV55" s="185">
        <v>0</v>
      </c>
      <c r="BW55" s="185">
        <v>-0.17313000000000001</v>
      </c>
      <c r="BX55" s="185">
        <v>-6.3400000000000001E-3</v>
      </c>
      <c r="BY55" s="185">
        <v>0</v>
      </c>
      <c r="BZ55" s="185">
        <v>0</v>
      </c>
      <c r="CA55" s="185">
        <v>0</v>
      </c>
      <c r="CB55" s="185"/>
      <c r="CC55" s="185">
        <v>0</v>
      </c>
      <c r="CD55" s="185"/>
      <c r="CE55" s="194"/>
      <c r="CF55" s="185">
        <v>14.35459</v>
      </c>
      <c r="CG55" s="185">
        <v>11.014139999999999</v>
      </c>
      <c r="CH55" s="185">
        <v>12.610480000000001</v>
      </c>
      <c r="CI55" s="185">
        <v>14.31118</v>
      </c>
      <c r="CJ55" s="185">
        <v>14.881970000000001</v>
      </c>
      <c r="CK55" s="185">
        <v>16.976400000000002</v>
      </c>
      <c r="CL55" s="185">
        <v>15.748609999999999</v>
      </c>
      <c r="CM55" s="185">
        <v>16.483460000000001</v>
      </c>
      <c r="CN55" s="185">
        <v>16.517420000000001</v>
      </c>
      <c r="CO55" s="185"/>
      <c r="CP55" s="185">
        <v>17.286539999999999</v>
      </c>
      <c r="CQ55" s="185"/>
      <c r="CR55" s="194"/>
      <c r="CS55" s="185">
        <v>12.658200000000001</v>
      </c>
      <c r="CT55" s="185">
        <v>14.67801</v>
      </c>
      <c r="CU55" s="185">
        <v>13.172879999999999</v>
      </c>
      <c r="CV55" s="185">
        <v>12.69036</v>
      </c>
      <c r="CW55" s="185">
        <v>13.00239</v>
      </c>
      <c r="CX55" s="185">
        <v>14.994</v>
      </c>
      <c r="CY55" s="185">
        <v>13.59985</v>
      </c>
      <c r="CZ55" s="185">
        <v>14.193960000000001</v>
      </c>
      <c r="DA55" s="185">
        <v>14.488630000000001</v>
      </c>
      <c r="DB55" s="185"/>
      <c r="DC55" s="185">
        <v>15.252319999999999</v>
      </c>
      <c r="DD55" s="185"/>
      <c r="DE55" s="194"/>
      <c r="DF55" s="187">
        <v>0.14019999999999999</v>
      </c>
      <c r="DG55" s="187">
        <v>0.17799999999999999</v>
      </c>
      <c r="DH55" s="187">
        <v>0.15429999999999999</v>
      </c>
      <c r="DI55" s="187">
        <v>0.1358</v>
      </c>
      <c r="DJ55" s="187">
        <v>0.1166</v>
      </c>
      <c r="DK55" s="187">
        <v>0.12809999999999999</v>
      </c>
      <c r="DL55" s="187">
        <v>0.14000000000000001</v>
      </c>
      <c r="DM55" s="187">
        <v>0.1479</v>
      </c>
      <c r="DN55" s="187">
        <v>0.1361</v>
      </c>
      <c r="DO55" s="187"/>
      <c r="DP55" s="187">
        <v>0.16569999999999999</v>
      </c>
      <c r="DQ55" s="187"/>
      <c r="DR55" s="195"/>
      <c r="DS55" s="185">
        <v>0</v>
      </c>
      <c r="DT55" s="185">
        <v>0</v>
      </c>
      <c r="DU55" s="185">
        <v>0</v>
      </c>
      <c r="DV55" s="185">
        <v>0</v>
      </c>
      <c r="DW55" s="185">
        <v>0</v>
      </c>
      <c r="DX55" s="185">
        <v>0</v>
      </c>
      <c r="DY55" s="185">
        <v>0</v>
      </c>
      <c r="DZ55" s="185">
        <v>0</v>
      </c>
      <c r="EA55" s="185">
        <v>0</v>
      </c>
      <c r="EB55" s="185"/>
      <c r="EC55" s="185">
        <v>0</v>
      </c>
      <c r="ED55" s="185"/>
      <c r="EE55" s="194"/>
      <c r="EF55" s="185">
        <v>0</v>
      </c>
      <c r="EG55" s="185">
        <v>0</v>
      </c>
      <c r="EH55" s="185">
        <v>0</v>
      </c>
      <c r="EI55" s="185">
        <v>0</v>
      </c>
      <c r="EJ55" s="185">
        <v>0</v>
      </c>
      <c r="EK55" s="185">
        <v>0</v>
      </c>
      <c r="EL55" s="185">
        <v>0</v>
      </c>
      <c r="EM55" s="185">
        <v>0</v>
      </c>
      <c r="EN55" s="185">
        <v>0</v>
      </c>
      <c r="EO55" s="185"/>
      <c r="EP55" s="185">
        <v>0</v>
      </c>
      <c r="EQ55" s="185"/>
      <c r="ER55" s="194"/>
      <c r="ES55" s="185">
        <v>64997</v>
      </c>
      <c r="ET55" s="185">
        <v>42941</v>
      </c>
      <c r="EU55" s="185">
        <v>45935</v>
      </c>
      <c r="EV55" s="185">
        <v>46421</v>
      </c>
      <c r="EW55" s="185">
        <v>48575</v>
      </c>
      <c r="EX55" s="185">
        <v>48207</v>
      </c>
      <c r="EY55" s="185">
        <v>46459</v>
      </c>
      <c r="EZ55" s="185">
        <v>48533.975859999999</v>
      </c>
      <c r="FA55" s="185">
        <v>43897.39647</v>
      </c>
      <c r="FB55" s="185"/>
      <c r="FC55" s="185">
        <v>43476.602980000003</v>
      </c>
      <c r="FD55" s="185"/>
      <c r="FE55" s="194"/>
      <c r="FF55" s="185"/>
      <c r="FG55" s="185"/>
      <c r="FH55" s="185"/>
      <c r="FI55" s="185"/>
      <c r="FJ55" s="185"/>
      <c r="FK55" s="185"/>
      <c r="FL55" s="185"/>
      <c r="FM55" s="185"/>
      <c r="FN55" s="185"/>
      <c r="FO55" s="185"/>
      <c r="FP55" s="185"/>
      <c r="FQ55" s="185"/>
      <c r="FR55" s="194"/>
    </row>
    <row r="56" spans="4:174" x14ac:dyDescent="0.25">
      <c r="E56" s="2" t="s">
        <v>199</v>
      </c>
      <c r="F56" s="184">
        <v>1.79535</v>
      </c>
      <c r="G56" s="185">
        <v>1.2281599999999999</v>
      </c>
      <c r="H56" s="185">
        <v>1.4993099999999999</v>
      </c>
      <c r="I56" s="185">
        <v>1.7883100000000001</v>
      </c>
      <c r="J56" s="185">
        <v>1.69614</v>
      </c>
      <c r="K56" s="185">
        <v>1.6597500000000001</v>
      </c>
      <c r="L56" s="185">
        <v>1.8398300000000001</v>
      </c>
      <c r="M56" s="185">
        <v>1.94987</v>
      </c>
      <c r="N56" s="185">
        <v>1.80786</v>
      </c>
      <c r="O56" s="185"/>
      <c r="P56" s="185">
        <v>1.8105100000000001</v>
      </c>
      <c r="Q56" s="185"/>
      <c r="R56" s="194"/>
      <c r="S56" s="185">
        <v>10.87425</v>
      </c>
      <c r="T56" s="185">
        <v>6.8015100000000004</v>
      </c>
      <c r="U56" s="185">
        <v>8.3559599999999996</v>
      </c>
      <c r="V56" s="185">
        <v>12.054539999999999</v>
      </c>
      <c r="W56" s="185">
        <v>10.797750000000001</v>
      </c>
      <c r="X56" s="185">
        <v>9.1094500000000007</v>
      </c>
      <c r="Y56" s="185">
        <v>8.3026099999999996</v>
      </c>
      <c r="Z56" s="185">
        <v>9.0720200000000002</v>
      </c>
      <c r="AA56" s="185">
        <v>9.6175499999999996</v>
      </c>
      <c r="AB56" s="185"/>
      <c r="AC56" s="185">
        <v>9.72424</v>
      </c>
      <c r="AD56" s="185"/>
      <c r="AE56" s="194"/>
      <c r="AF56" s="185">
        <v>1.9065700000000001</v>
      </c>
      <c r="AG56" s="185">
        <v>1.69798</v>
      </c>
      <c r="AH56" s="185">
        <v>1.8111900000000001</v>
      </c>
      <c r="AI56" s="185">
        <v>2.0577700000000001</v>
      </c>
      <c r="AJ56" s="185">
        <v>1.45875</v>
      </c>
      <c r="AK56" s="185">
        <v>1.5157</v>
      </c>
      <c r="AL56" s="185">
        <v>1.51363</v>
      </c>
      <c r="AM56" s="185">
        <v>1.75447</v>
      </c>
      <c r="AN56" s="185">
        <v>1.7018200000000001</v>
      </c>
      <c r="AO56" s="185"/>
      <c r="AP56" s="185">
        <v>2.1972100000000001</v>
      </c>
      <c r="AQ56" s="185"/>
      <c r="AR56" s="194"/>
      <c r="AS56" s="185">
        <v>0</v>
      </c>
      <c r="AT56" s="185">
        <v>0</v>
      </c>
      <c r="AU56" s="185">
        <v>0</v>
      </c>
      <c r="AV56" s="185">
        <v>0</v>
      </c>
      <c r="AW56" s="185">
        <v>0</v>
      </c>
      <c r="AX56" s="185">
        <v>0</v>
      </c>
      <c r="AY56" s="185">
        <v>0</v>
      </c>
      <c r="AZ56" s="185">
        <v>0</v>
      </c>
      <c r="BA56" s="185">
        <v>0</v>
      </c>
      <c r="BB56" s="185"/>
      <c r="BC56" s="185">
        <v>0</v>
      </c>
      <c r="BD56" s="185"/>
      <c r="BE56" s="194"/>
      <c r="BF56" s="185">
        <v>2.8420000000000001E-2</v>
      </c>
      <c r="BG56" s="185">
        <v>2.7E-2</v>
      </c>
      <c r="BH56" s="185">
        <v>0</v>
      </c>
      <c r="BI56" s="185">
        <v>0</v>
      </c>
      <c r="BJ56" s="185">
        <v>0</v>
      </c>
      <c r="BK56" s="185">
        <v>0</v>
      </c>
      <c r="BL56" s="185">
        <v>0</v>
      </c>
      <c r="BM56" s="185">
        <v>0</v>
      </c>
      <c r="BN56" s="185">
        <v>0</v>
      </c>
      <c r="BO56" s="185"/>
      <c r="BP56" s="185">
        <v>0</v>
      </c>
      <c r="BQ56" s="185"/>
      <c r="BR56" s="194"/>
      <c r="BS56" s="185">
        <v>0</v>
      </c>
      <c r="BT56" s="185">
        <v>5.5561800000000003</v>
      </c>
      <c r="BU56" s="185">
        <v>0.89661000000000002</v>
      </c>
      <c r="BV56" s="185">
        <v>0</v>
      </c>
      <c r="BW56" s="185">
        <v>-0.14219000000000001</v>
      </c>
      <c r="BX56" s="185">
        <v>-5.2100000000000002E-3</v>
      </c>
      <c r="BY56" s="185">
        <v>0</v>
      </c>
      <c r="BZ56" s="185">
        <v>0</v>
      </c>
      <c r="CA56" s="185">
        <v>0</v>
      </c>
      <c r="CB56" s="185"/>
      <c r="CC56" s="185">
        <v>0</v>
      </c>
      <c r="CD56" s="185"/>
      <c r="CE56" s="194"/>
      <c r="CF56" s="185">
        <v>12.809240000000001</v>
      </c>
      <c r="CG56" s="185">
        <v>8.5264900000000008</v>
      </c>
      <c r="CH56" s="185">
        <v>10.167160000000001</v>
      </c>
      <c r="CI56" s="185">
        <v>14.112299999999999</v>
      </c>
      <c r="CJ56" s="185">
        <v>12.256500000000001</v>
      </c>
      <c r="CK56" s="185">
        <v>10.62515</v>
      </c>
      <c r="CL56" s="185">
        <v>9.8162400000000005</v>
      </c>
      <c r="CM56" s="185">
        <v>10.82649</v>
      </c>
      <c r="CN56" s="185">
        <v>11.319369999999999</v>
      </c>
      <c r="CO56" s="185"/>
      <c r="CP56" s="185">
        <v>11.92145</v>
      </c>
      <c r="CQ56" s="185"/>
      <c r="CR56" s="194"/>
      <c r="CS56" s="185">
        <v>11.01389</v>
      </c>
      <c r="CT56" s="185">
        <v>12.8545</v>
      </c>
      <c r="CU56" s="185">
        <v>9.5644600000000004</v>
      </c>
      <c r="CV56" s="185">
        <v>12.32399</v>
      </c>
      <c r="CW56" s="185">
        <v>10.41817</v>
      </c>
      <c r="CX56" s="185">
        <v>8.9601900000000008</v>
      </c>
      <c r="CY56" s="185">
        <v>7.9763999999999999</v>
      </c>
      <c r="CZ56" s="185">
        <v>8.8766200000000008</v>
      </c>
      <c r="DA56" s="185">
        <v>9.5115099999999995</v>
      </c>
      <c r="DB56" s="185"/>
      <c r="DC56" s="185">
        <v>10.110950000000001</v>
      </c>
      <c r="DD56" s="185"/>
      <c r="DE56" s="194"/>
      <c r="DF56" s="187">
        <v>0.14879999999999999</v>
      </c>
      <c r="DG56" s="187">
        <v>0.1991</v>
      </c>
      <c r="DH56" s="187">
        <v>0.17810000000000001</v>
      </c>
      <c r="DI56" s="187">
        <v>0.14580000000000001</v>
      </c>
      <c r="DJ56" s="187">
        <v>0.11899999999999999</v>
      </c>
      <c r="DK56" s="187">
        <v>0.14269999999999999</v>
      </c>
      <c r="DL56" s="187">
        <v>0.1542</v>
      </c>
      <c r="DM56" s="187">
        <v>0.16209999999999999</v>
      </c>
      <c r="DN56" s="187">
        <v>0.15029999999999999</v>
      </c>
      <c r="DO56" s="187"/>
      <c r="DP56" s="187">
        <v>0.18429999999999999</v>
      </c>
      <c r="DQ56" s="187"/>
      <c r="DR56" s="195"/>
      <c r="DS56" s="185">
        <v>0</v>
      </c>
      <c r="DT56" s="185">
        <v>0</v>
      </c>
      <c r="DU56" s="185">
        <v>0</v>
      </c>
      <c r="DV56" s="185">
        <v>0</v>
      </c>
      <c r="DW56" s="185">
        <v>0</v>
      </c>
      <c r="DX56" s="185">
        <v>0</v>
      </c>
      <c r="DY56" s="185">
        <v>0</v>
      </c>
      <c r="DZ56" s="185">
        <v>0</v>
      </c>
      <c r="EA56" s="185">
        <v>0</v>
      </c>
      <c r="EB56" s="185"/>
      <c r="EC56" s="185">
        <v>0</v>
      </c>
      <c r="ED56" s="185"/>
      <c r="EE56" s="194"/>
      <c r="EF56" s="185">
        <v>0</v>
      </c>
      <c r="EG56" s="185">
        <v>0</v>
      </c>
      <c r="EH56" s="185">
        <v>0</v>
      </c>
      <c r="EI56" s="185">
        <v>0</v>
      </c>
      <c r="EJ56" s="185">
        <v>0</v>
      </c>
      <c r="EK56" s="185">
        <v>0</v>
      </c>
      <c r="EL56" s="185">
        <v>0</v>
      </c>
      <c r="EM56" s="185">
        <v>0</v>
      </c>
      <c r="EN56" s="185">
        <v>0</v>
      </c>
      <c r="EO56" s="185"/>
      <c r="EP56" s="185">
        <v>0</v>
      </c>
      <c r="EQ56" s="185"/>
      <c r="ER56" s="194"/>
      <c r="ES56" s="185">
        <v>60015</v>
      </c>
      <c r="ET56" s="185">
        <v>36719</v>
      </c>
      <c r="EU56" s="185">
        <v>42912</v>
      </c>
      <c r="EV56" s="185">
        <v>51066</v>
      </c>
      <c r="EW56" s="185">
        <v>42357</v>
      </c>
      <c r="EX56" s="185">
        <v>35988</v>
      </c>
      <c r="EY56" s="185">
        <v>32732</v>
      </c>
      <c r="EZ56" s="185">
        <v>36281.262029999998</v>
      </c>
      <c r="FA56" s="185">
        <v>34952.080959999999</v>
      </c>
      <c r="FB56" s="185"/>
      <c r="FC56" s="185">
        <v>34935.400260000002</v>
      </c>
      <c r="FD56" s="185"/>
      <c r="FE56" s="194"/>
      <c r="FF56" s="185"/>
      <c r="FG56" s="185"/>
      <c r="FH56" s="185"/>
      <c r="FI56" s="185"/>
      <c r="FJ56" s="185"/>
      <c r="FK56" s="185"/>
      <c r="FL56" s="185"/>
      <c r="FM56" s="185"/>
      <c r="FN56" s="185"/>
      <c r="FO56" s="185"/>
      <c r="FP56" s="185"/>
      <c r="FQ56" s="185"/>
      <c r="FR56" s="194"/>
    </row>
    <row r="57" spans="4:174" x14ac:dyDescent="0.25">
      <c r="E57" s="2" t="s">
        <v>200</v>
      </c>
      <c r="F57" s="184">
        <v>2.2686899999999999</v>
      </c>
      <c r="G57" s="185">
        <v>1.59521</v>
      </c>
      <c r="H57" s="185">
        <v>1.7536099999999999</v>
      </c>
      <c r="I57" s="185">
        <v>1.9726999999999999</v>
      </c>
      <c r="J57" s="185">
        <v>2.3495900000000001</v>
      </c>
      <c r="K57" s="185">
        <v>2.5704699999999998</v>
      </c>
      <c r="L57" s="185">
        <v>2.6846100000000002</v>
      </c>
      <c r="M57" s="185">
        <v>3.0607099999999998</v>
      </c>
      <c r="N57" s="185">
        <v>2.6779700000000002</v>
      </c>
      <c r="O57" s="185"/>
      <c r="P57" s="185">
        <v>2.7526999999999999</v>
      </c>
      <c r="Q57" s="185"/>
      <c r="R57" s="194"/>
      <c r="S57" s="185">
        <v>9.5064299999999999</v>
      </c>
      <c r="T57" s="185">
        <v>7.00488</v>
      </c>
      <c r="U57" s="185">
        <v>7.6535500000000001</v>
      </c>
      <c r="V57" s="185">
        <v>11.09032</v>
      </c>
      <c r="W57" s="185">
        <v>11.984730000000001</v>
      </c>
      <c r="X57" s="185">
        <v>10.0746</v>
      </c>
      <c r="Y57" s="185">
        <v>9.4638000000000009</v>
      </c>
      <c r="Z57" s="185">
        <v>9.8501100000000008</v>
      </c>
      <c r="AA57" s="185">
        <v>10.2445</v>
      </c>
      <c r="AB57" s="185"/>
      <c r="AC57" s="185">
        <v>10.199809999999999</v>
      </c>
      <c r="AD57" s="185"/>
      <c r="AE57" s="194"/>
      <c r="AF57" s="185">
        <v>1.89984</v>
      </c>
      <c r="AG57" s="185">
        <v>1.8293200000000001</v>
      </c>
      <c r="AH57" s="185">
        <v>1.7420100000000001</v>
      </c>
      <c r="AI57" s="185">
        <v>2.0470000000000002</v>
      </c>
      <c r="AJ57" s="185">
        <v>1.7925199999999999</v>
      </c>
      <c r="AK57" s="185">
        <v>1.8149599999999999</v>
      </c>
      <c r="AL57" s="185">
        <v>1.81473</v>
      </c>
      <c r="AM57" s="185">
        <v>2.1120800000000002</v>
      </c>
      <c r="AN57" s="185">
        <v>1.8725400000000001</v>
      </c>
      <c r="AO57" s="185"/>
      <c r="AP57" s="185">
        <v>2.4206099999999999</v>
      </c>
      <c r="AQ57" s="185"/>
      <c r="AR57" s="194"/>
      <c r="AS57" s="185">
        <v>0</v>
      </c>
      <c r="AT57" s="185">
        <v>0</v>
      </c>
      <c r="AU57" s="185">
        <v>0</v>
      </c>
      <c r="AV57" s="185">
        <v>0</v>
      </c>
      <c r="AW57" s="185">
        <v>0</v>
      </c>
      <c r="AX57" s="185">
        <v>0</v>
      </c>
      <c r="AY57" s="185">
        <v>0</v>
      </c>
      <c r="AZ57" s="185">
        <v>0</v>
      </c>
      <c r="BA57" s="185">
        <v>0</v>
      </c>
      <c r="BB57" s="185"/>
      <c r="BC57" s="185">
        <v>0</v>
      </c>
      <c r="BD57" s="185"/>
      <c r="BE57" s="194"/>
      <c r="BF57" s="185">
        <v>2.571E-2</v>
      </c>
      <c r="BG57" s="185">
        <v>2.793E-2</v>
      </c>
      <c r="BH57" s="185">
        <v>0</v>
      </c>
      <c r="BI57" s="185">
        <v>0</v>
      </c>
      <c r="BJ57" s="185">
        <v>0</v>
      </c>
      <c r="BK57" s="185">
        <v>0</v>
      </c>
      <c r="BL57" s="185">
        <v>0</v>
      </c>
      <c r="BM57" s="185">
        <v>0</v>
      </c>
      <c r="BN57" s="185">
        <v>0</v>
      </c>
      <c r="BO57" s="185"/>
      <c r="BP57" s="185">
        <v>0</v>
      </c>
      <c r="BQ57" s="185"/>
      <c r="BR57" s="194"/>
      <c r="BS57" s="185">
        <v>0</v>
      </c>
      <c r="BT57" s="185">
        <v>2.8722400000000001</v>
      </c>
      <c r="BU57" s="185">
        <v>1.1360600000000001</v>
      </c>
      <c r="BV57" s="185">
        <v>0</v>
      </c>
      <c r="BW57" s="185">
        <v>-0.15783</v>
      </c>
      <c r="BX57" s="185">
        <v>-5.7800000000000004E-3</v>
      </c>
      <c r="BY57" s="185">
        <v>0</v>
      </c>
      <c r="BZ57" s="185">
        <v>0</v>
      </c>
      <c r="CA57" s="185">
        <v>0</v>
      </c>
      <c r="CB57" s="185"/>
      <c r="CC57" s="185">
        <v>0</v>
      </c>
      <c r="CD57" s="185"/>
      <c r="CE57" s="194"/>
      <c r="CF57" s="185">
        <v>11.431979999999999</v>
      </c>
      <c r="CG57" s="185">
        <v>8.8621300000000005</v>
      </c>
      <c r="CH57" s="185">
        <v>9.3955599999999997</v>
      </c>
      <c r="CI57" s="185">
        <v>13.137320000000001</v>
      </c>
      <c r="CJ57" s="185">
        <v>13.77725</v>
      </c>
      <c r="CK57" s="185">
        <v>11.889559999999999</v>
      </c>
      <c r="CL57" s="185">
        <v>11.27853</v>
      </c>
      <c r="CM57" s="185">
        <v>11.96219</v>
      </c>
      <c r="CN57" s="185">
        <v>12.117039999999999</v>
      </c>
      <c r="CO57" s="185"/>
      <c r="CP57" s="185">
        <v>12.620419999999999</v>
      </c>
      <c r="CQ57" s="185"/>
      <c r="CR57" s="194"/>
      <c r="CS57" s="185">
        <v>9.1632999999999996</v>
      </c>
      <c r="CT57" s="185">
        <v>10.13916</v>
      </c>
      <c r="CU57" s="185">
        <v>8.7780000000000005</v>
      </c>
      <c r="CV57" s="185">
        <v>11.164619999999999</v>
      </c>
      <c r="CW57" s="185">
        <v>11.26984</v>
      </c>
      <c r="CX57" s="185">
        <v>9.3133099999999995</v>
      </c>
      <c r="CY57" s="185">
        <v>8.5939300000000003</v>
      </c>
      <c r="CZ57" s="185">
        <v>8.9014799999999994</v>
      </c>
      <c r="DA57" s="185">
        <v>9.4390699999999992</v>
      </c>
      <c r="DB57" s="185"/>
      <c r="DC57" s="185">
        <v>9.8677200000000003</v>
      </c>
      <c r="DD57" s="185"/>
      <c r="DE57" s="194"/>
      <c r="DF57" s="187">
        <v>0.16619999999999999</v>
      </c>
      <c r="DG57" s="187">
        <v>0.2064</v>
      </c>
      <c r="DH57" s="187">
        <v>0.18540000000000001</v>
      </c>
      <c r="DI57" s="187">
        <v>0.15579999999999999</v>
      </c>
      <c r="DJ57" s="187">
        <v>0.13009999999999999</v>
      </c>
      <c r="DK57" s="187">
        <v>0.1527</v>
      </c>
      <c r="DL57" s="187">
        <v>0.16089999999999999</v>
      </c>
      <c r="DM57" s="187">
        <v>0.17660000000000001</v>
      </c>
      <c r="DN57" s="187">
        <v>0.1545</v>
      </c>
      <c r="DO57" s="187"/>
      <c r="DP57" s="187">
        <v>0.1918</v>
      </c>
      <c r="DQ57" s="187"/>
      <c r="DR57" s="195"/>
      <c r="DS57" s="185">
        <v>0</v>
      </c>
      <c r="DT57" s="185">
        <v>0</v>
      </c>
      <c r="DU57" s="185">
        <v>0</v>
      </c>
      <c r="DV57" s="185">
        <v>0</v>
      </c>
      <c r="DW57" s="185">
        <v>0</v>
      </c>
      <c r="DX57" s="185">
        <v>0</v>
      </c>
      <c r="DY57" s="185">
        <v>0</v>
      </c>
      <c r="DZ57" s="185">
        <v>0</v>
      </c>
      <c r="EA57" s="185">
        <v>0</v>
      </c>
      <c r="EB57" s="185"/>
      <c r="EC57" s="185">
        <v>0</v>
      </c>
      <c r="ED57" s="185"/>
      <c r="EE57" s="194"/>
      <c r="EF57" s="185">
        <v>0</v>
      </c>
      <c r="EG57" s="185">
        <v>0</v>
      </c>
      <c r="EH57" s="185">
        <v>0</v>
      </c>
      <c r="EI57" s="185">
        <v>0</v>
      </c>
      <c r="EJ57" s="185">
        <v>0</v>
      </c>
      <c r="EK57" s="185">
        <v>0</v>
      </c>
      <c r="EL57" s="185">
        <v>0</v>
      </c>
      <c r="EM57" s="185">
        <v>0</v>
      </c>
      <c r="EN57" s="185">
        <v>0</v>
      </c>
      <c r="EO57" s="185"/>
      <c r="EP57" s="185">
        <v>0</v>
      </c>
      <c r="EQ57" s="185"/>
      <c r="ER57" s="194"/>
      <c r="ES57" s="185">
        <v>54802</v>
      </c>
      <c r="ET57" s="185">
        <v>38113</v>
      </c>
      <c r="EU57" s="185">
        <v>39815</v>
      </c>
      <c r="EV57" s="185">
        <v>49005</v>
      </c>
      <c r="EW57" s="185">
        <v>49398</v>
      </c>
      <c r="EX57" s="185">
        <v>40373</v>
      </c>
      <c r="EY57" s="185">
        <v>37010</v>
      </c>
      <c r="EZ57" s="185">
        <v>38618.34678</v>
      </c>
      <c r="FA57" s="185">
        <v>35469.108549999997</v>
      </c>
      <c r="FB57" s="185"/>
      <c r="FC57" s="185">
        <v>35559.230819999997</v>
      </c>
      <c r="FD57" s="185"/>
      <c r="FE57" s="194"/>
      <c r="FF57" s="185"/>
      <c r="FG57" s="185"/>
      <c r="FH57" s="185"/>
      <c r="FI57" s="185"/>
      <c r="FJ57" s="185"/>
      <c r="FK57" s="185"/>
      <c r="FL57" s="185"/>
      <c r="FM57" s="185"/>
      <c r="FN57" s="185"/>
      <c r="FO57" s="185"/>
      <c r="FP57" s="185"/>
      <c r="FQ57" s="185"/>
      <c r="FR57" s="194"/>
    </row>
    <row r="58" spans="4:174" x14ac:dyDescent="0.25">
      <c r="E58" s="2" t="s">
        <v>201</v>
      </c>
      <c r="F58" s="184">
        <v>0</v>
      </c>
      <c r="G58" s="185">
        <v>0</v>
      </c>
      <c r="H58" s="185">
        <v>0</v>
      </c>
      <c r="I58" s="185">
        <v>0</v>
      </c>
      <c r="J58" s="185">
        <v>0</v>
      </c>
      <c r="K58" s="185">
        <v>0</v>
      </c>
      <c r="L58" s="185">
        <v>0</v>
      </c>
      <c r="M58" s="185">
        <v>0</v>
      </c>
      <c r="N58" s="185">
        <v>0</v>
      </c>
      <c r="O58" s="185"/>
      <c r="P58" s="185">
        <v>0</v>
      </c>
      <c r="Q58" s="185"/>
      <c r="R58" s="194"/>
      <c r="S58" s="185">
        <v>0</v>
      </c>
      <c r="T58" s="185">
        <v>0</v>
      </c>
      <c r="U58" s="185">
        <v>0</v>
      </c>
      <c r="V58" s="185">
        <v>0</v>
      </c>
      <c r="W58" s="185">
        <v>0</v>
      </c>
      <c r="X58" s="185">
        <v>0</v>
      </c>
      <c r="Y58" s="185">
        <v>0</v>
      </c>
      <c r="Z58" s="185">
        <v>0</v>
      </c>
      <c r="AA58" s="185">
        <v>0</v>
      </c>
      <c r="AB58" s="185"/>
      <c r="AC58" s="185">
        <v>0</v>
      </c>
      <c r="AD58" s="185"/>
      <c r="AE58" s="194"/>
      <c r="AF58" s="185">
        <v>0</v>
      </c>
      <c r="AG58" s="185">
        <v>0</v>
      </c>
      <c r="AH58" s="185">
        <v>0</v>
      </c>
      <c r="AI58" s="185">
        <v>0</v>
      </c>
      <c r="AJ58" s="185">
        <v>0</v>
      </c>
      <c r="AK58" s="185">
        <v>0</v>
      </c>
      <c r="AL58" s="185">
        <v>0</v>
      </c>
      <c r="AM58" s="185">
        <v>0</v>
      </c>
      <c r="AN58" s="185">
        <v>0</v>
      </c>
      <c r="AO58" s="185"/>
      <c r="AP58" s="185">
        <v>0</v>
      </c>
      <c r="AQ58" s="185"/>
      <c r="AR58" s="194"/>
      <c r="AS58" s="185">
        <v>0</v>
      </c>
      <c r="AT58" s="185">
        <v>0</v>
      </c>
      <c r="AU58" s="185">
        <v>0</v>
      </c>
      <c r="AV58" s="185">
        <v>0</v>
      </c>
      <c r="AW58" s="185">
        <v>0</v>
      </c>
      <c r="AX58" s="185">
        <v>0</v>
      </c>
      <c r="AY58" s="185">
        <v>0</v>
      </c>
      <c r="AZ58" s="185">
        <v>0</v>
      </c>
      <c r="BA58" s="185">
        <v>0</v>
      </c>
      <c r="BB58" s="185"/>
      <c r="BC58" s="185">
        <v>0</v>
      </c>
      <c r="BD58" s="185"/>
      <c r="BE58" s="194"/>
      <c r="BF58" s="185">
        <v>0</v>
      </c>
      <c r="BG58" s="185">
        <v>0</v>
      </c>
      <c r="BH58" s="185">
        <v>0</v>
      </c>
      <c r="BI58" s="185">
        <v>0</v>
      </c>
      <c r="BJ58" s="185">
        <v>0</v>
      </c>
      <c r="BK58" s="185">
        <v>0</v>
      </c>
      <c r="BL58" s="185">
        <v>0</v>
      </c>
      <c r="BM58" s="185">
        <v>0</v>
      </c>
      <c r="BN58" s="185">
        <v>0</v>
      </c>
      <c r="BO58" s="185"/>
      <c r="BP58" s="185">
        <v>0</v>
      </c>
      <c r="BQ58" s="185"/>
      <c r="BR58" s="194"/>
      <c r="BS58" s="185">
        <v>0</v>
      </c>
      <c r="BT58" s="185">
        <v>0</v>
      </c>
      <c r="BU58" s="185">
        <v>0</v>
      </c>
      <c r="BV58" s="185">
        <v>0</v>
      </c>
      <c r="BW58" s="185">
        <v>0</v>
      </c>
      <c r="BX58" s="185">
        <v>0</v>
      </c>
      <c r="BY58" s="185">
        <v>0</v>
      </c>
      <c r="BZ58" s="185">
        <v>0</v>
      </c>
      <c r="CA58" s="185">
        <v>0</v>
      </c>
      <c r="CB58" s="185"/>
      <c r="CC58" s="185">
        <v>0</v>
      </c>
      <c r="CD58" s="185"/>
      <c r="CE58" s="194"/>
      <c r="CF58" s="185">
        <v>0</v>
      </c>
      <c r="CG58" s="185">
        <v>0</v>
      </c>
      <c r="CH58" s="185">
        <v>0</v>
      </c>
      <c r="CI58" s="185">
        <v>0</v>
      </c>
      <c r="CJ58" s="185">
        <v>0</v>
      </c>
      <c r="CK58" s="185">
        <v>0</v>
      </c>
      <c r="CL58" s="185">
        <v>0</v>
      </c>
      <c r="CM58" s="185">
        <v>0</v>
      </c>
      <c r="CN58" s="185">
        <v>0</v>
      </c>
      <c r="CO58" s="185"/>
      <c r="CP58" s="185">
        <v>0</v>
      </c>
      <c r="CQ58" s="185"/>
      <c r="CR58" s="194"/>
      <c r="CS58" s="185">
        <v>0</v>
      </c>
      <c r="CT58" s="185">
        <v>0</v>
      </c>
      <c r="CU58" s="185">
        <v>0</v>
      </c>
      <c r="CV58" s="185">
        <v>0</v>
      </c>
      <c r="CW58" s="185">
        <v>0</v>
      </c>
      <c r="CX58" s="185">
        <v>0</v>
      </c>
      <c r="CY58" s="185">
        <v>0</v>
      </c>
      <c r="CZ58" s="185">
        <v>0</v>
      </c>
      <c r="DA58" s="185">
        <v>0</v>
      </c>
      <c r="DB58" s="185"/>
      <c r="DC58" s="185">
        <v>0</v>
      </c>
      <c r="DD58" s="185"/>
      <c r="DE58" s="194"/>
      <c r="DF58" s="187">
        <v>0</v>
      </c>
      <c r="DG58" s="187">
        <v>0</v>
      </c>
      <c r="DH58" s="187">
        <v>0</v>
      </c>
      <c r="DI58" s="187">
        <v>0</v>
      </c>
      <c r="DJ58" s="187">
        <v>0</v>
      </c>
      <c r="DK58" s="187">
        <v>0</v>
      </c>
      <c r="DL58" s="187">
        <v>0</v>
      </c>
      <c r="DM58" s="187">
        <v>0</v>
      </c>
      <c r="DN58" s="187">
        <v>0</v>
      </c>
      <c r="DO58" s="187"/>
      <c r="DP58" s="187">
        <v>0</v>
      </c>
      <c r="DQ58" s="187"/>
      <c r="DR58" s="195"/>
      <c r="DS58" s="185">
        <v>0</v>
      </c>
      <c r="DT58" s="185">
        <v>0</v>
      </c>
      <c r="DU58" s="185">
        <v>0</v>
      </c>
      <c r="DV58" s="185">
        <v>0</v>
      </c>
      <c r="DW58" s="185">
        <v>0</v>
      </c>
      <c r="DX58" s="185">
        <v>0</v>
      </c>
      <c r="DY58" s="185">
        <v>0</v>
      </c>
      <c r="DZ58" s="185">
        <v>0</v>
      </c>
      <c r="EA58" s="185">
        <v>0</v>
      </c>
      <c r="EB58" s="185"/>
      <c r="EC58" s="185">
        <v>0</v>
      </c>
      <c r="ED58" s="185"/>
      <c r="EE58" s="194"/>
      <c r="EF58" s="185">
        <v>0</v>
      </c>
      <c r="EG58" s="185">
        <v>0</v>
      </c>
      <c r="EH58" s="185">
        <v>0</v>
      </c>
      <c r="EI58" s="185">
        <v>0</v>
      </c>
      <c r="EJ58" s="185">
        <v>0</v>
      </c>
      <c r="EK58" s="185">
        <v>0</v>
      </c>
      <c r="EL58" s="185">
        <v>0</v>
      </c>
      <c r="EM58" s="185">
        <v>0</v>
      </c>
      <c r="EN58" s="185">
        <v>0</v>
      </c>
      <c r="EO58" s="185"/>
      <c r="EP58" s="185">
        <v>0</v>
      </c>
      <c r="EQ58" s="185"/>
      <c r="ER58" s="194"/>
      <c r="ES58" s="185">
        <v>0</v>
      </c>
      <c r="ET58" s="185">
        <v>0</v>
      </c>
      <c r="EU58" s="185">
        <v>0</v>
      </c>
      <c r="EV58" s="185">
        <v>0</v>
      </c>
      <c r="EW58" s="185">
        <v>0</v>
      </c>
      <c r="EX58" s="185">
        <v>0</v>
      </c>
      <c r="EY58" s="185">
        <v>0</v>
      </c>
      <c r="EZ58" s="185">
        <v>0</v>
      </c>
      <c r="FA58" s="185">
        <v>0</v>
      </c>
      <c r="FB58" s="185"/>
      <c r="FC58" s="185">
        <v>0</v>
      </c>
      <c r="FD58" s="185"/>
      <c r="FE58" s="194"/>
      <c r="FF58" s="185"/>
      <c r="FG58" s="185"/>
      <c r="FH58" s="185"/>
      <c r="FI58" s="185"/>
      <c r="FJ58" s="185"/>
      <c r="FK58" s="185"/>
      <c r="FL58" s="185"/>
      <c r="FM58" s="185"/>
      <c r="FN58" s="185"/>
      <c r="FO58" s="185"/>
      <c r="FP58" s="185"/>
      <c r="FQ58" s="185"/>
      <c r="FR58" s="194"/>
    </row>
    <row r="59" spans="4:174" x14ac:dyDescent="0.25">
      <c r="E59" s="2" t="s">
        <v>202</v>
      </c>
      <c r="F59" s="184">
        <v>0</v>
      </c>
      <c r="G59" s="185">
        <v>0</v>
      </c>
      <c r="H59" s="185">
        <v>0</v>
      </c>
      <c r="I59" s="185">
        <v>0</v>
      </c>
      <c r="J59" s="185">
        <v>0</v>
      </c>
      <c r="K59" s="185">
        <v>0</v>
      </c>
      <c r="L59" s="185">
        <v>0</v>
      </c>
      <c r="M59" s="185">
        <v>0</v>
      </c>
      <c r="N59" s="185">
        <v>0</v>
      </c>
      <c r="O59" s="185"/>
      <c r="P59" s="185">
        <v>0</v>
      </c>
      <c r="Q59" s="185"/>
      <c r="R59" s="194"/>
      <c r="S59" s="185">
        <v>0</v>
      </c>
      <c r="T59" s="185">
        <v>0</v>
      </c>
      <c r="U59" s="185">
        <v>0</v>
      </c>
      <c r="V59" s="185">
        <v>0</v>
      </c>
      <c r="W59" s="185">
        <v>0</v>
      </c>
      <c r="X59" s="185">
        <v>0</v>
      </c>
      <c r="Y59" s="185">
        <v>0</v>
      </c>
      <c r="Z59" s="185">
        <v>0</v>
      </c>
      <c r="AA59" s="185">
        <v>0</v>
      </c>
      <c r="AB59" s="185"/>
      <c r="AC59" s="185">
        <v>0</v>
      </c>
      <c r="AD59" s="185"/>
      <c r="AE59" s="194"/>
      <c r="AF59" s="185">
        <v>0</v>
      </c>
      <c r="AG59" s="185">
        <v>0</v>
      </c>
      <c r="AH59" s="185">
        <v>0</v>
      </c>
      <c r="AI59" s="185">
        <v>0</v>
      </c>
      <c r="AJ59" s="185">
        <v>0</v>
      </c>
      <c r="AK59" s="185">
        <v>0</v>
      </c>
      <c r="AL59" s="185">
        <v>0</v>
      </c>
      <c r="AM59" s="185">
        <v>0</v>
      </c>
      <c r="AN59" s="185">
        <v>0</v>
      </c>
      <c r="AO59" s="185"/>
      <c r="AP59" s="185">
        <v>0</v>
      </c>
      <c r="AQ59" s="185"/>
      <c r="AR59" s="194"/>
      <c r="AS59" s="185">
        <v>0</v>
      </c>
      <c r="AT59" s="185">
        <v>0</v>
      </c>
      <c r="AU59" s="185">
        <v>0</v>
      </c>
      <c r="AV59" s="185">
        <v>0</v>
      </c>
      <c r="AW59" s="185">
        <v>0</v>
      </c>
      <c r="AX59" s="185">
        <v>0</v>
      </c>
      <c r="AY59" s="185">
        <v>0</v>
      </c>
      <c r="AZ59" s="185">
        <v>0</v>
      </c>
      <c r="BA59" s="185">
        <v>0</v>
      </c>
      <c r="BB59" s="185"/>
      <c r="BC59" s="185">
        <v>0</v>
      </c>
      <c r="BD59" s="185"/>
      <c r="BE59" s="194"/>
      <c r="BF59" s="185">
        <v>0</v>
      </c>
      <c r="BG59" s="185">
        <v>0</v>
      </c>
      <c r="BH59" s="185">
        <v>0</v>
      </c>
      <c r="BI59" s="185">
        <v>0</v>
      </c>
      <c r="BJ59" s="185">
        <v>0</v>
      </c>
      <c r="BK59" s="185">
        <v>0</v>
      </c>
      <c r="BL59" s="185">
        <v>0</v>
      </c>
      <c r="BM59" s="185">
        <v>0</v>
      </c>
      <c r="BN59" s="185">
        <v>0</v>
      </c>
      <c r="BO59" s="185"/>
      <c r="BP59" s="185">
        <v>0</v>
      </c>
      <c r="BQ59" s="185"/>
      <c r="BR59" s="194"/>
      <c r="BS59" s="185">
        <v>0</v>
      </c>
      <c r="BT59" s="185">
        <v>0</v>
      </c>
      <c r="BU59" s="185">
        <v>0</v>
      </c>
      <c r="BV59" s="185">
        <v>0</v>
      </c>
      <c r="BW59" s="185">
        <v>0</v>
      </c>
      <c r="BX59" s="185">
        <v>0</v>
      </c>
      <c r="BY59" s="185">
        <v>0</v>
      </c>
      <c r="BZ59" s="185">
        <v>0</v>
      </c>
      <c r="CA59" s="185">
        <v>0</v>
      </c>
      <c r="CB59" s="185"/>
      <c r="CC59" s="185">
        <v>0</v>
      </c>
      <c r="CD59" s="185"/>
      <c r="CE59" s="194"/>
      <c r="CF59" s="185">
        <v>0</v>
      </c>
      <c r="CG59" s="185">
        <v>0</v>
      </c>
      <c r="CH59" s="185">
        <v>0</v>
      </c>
      <c r="CI59" s="185">
        <v>0</v>
      </c>
      <c r="CJ59" s="185">
        <v>0</v>
      </c>
      <c r="CK59" s="185">
        <v>0</v>
      </c>
      <c r="CL59" s="185">
        <v>0</v>
      </c>
      <c r="CM59" s="185">
        <v>0</v>
      </c>
      <c r="CN59" s="185">
        <v>0</v>
      </c>
      <c r="CO59" s="185"/>
      <c r="CP59" s="185">
        <v>0</v>
      </c>
      <c r="CQ59" s="185"/>
      <c r="CR59" s="194"/>
      <c r="CS59" s="185">
        <v>0</v>
      </c>
      <c r="CT59" s="185">
        <v>0</v>
      </c>
      <c r="CU59" s="185">
        <v>0</v>
      </c>
      <c r="CV59" s="185">
        <v>0</v>
      </c>
      <c r="CW59" s="185">
        <v>0</v>
      </c>
      <c r="CX59" s="185">
        <v>0</v>
      </c>
      <c r="CY59" s="185">
        <v>0</v>
      </c>
      <c r="CZ59" s="185">
        <v>0</v>
      </c>
      <c r="DA59" s="185">
        <v>0</v>
      </c>
      <c r="DB59" s="185"/>
      <c r="DC59" s="185">
        <v>0</v>
      </c>
      <c r="DD59" s="185"/>
      <c r="DE59" s="194"/>
      <c r="DF59" s="187">
        <v>0</v>
      </c>
      <c r="DG59" s="187">
        <v>0</v>
      </c>
      <c r="DH59" s="187">
        <v>0</v>
      </c>
      <c r="DI59" s="187">
        <v>0</v>
      </c>
      <c r="DJ59" s="187">
        <v>0</v>
      </c>
      <c r="DK59" s="187">
        <v>0</v>
      </c>
      <c r="DL59" s="187">
        <v>0</v>
      </c>
      <c r="DM59" s="187">
        <v>0</v>
      </c>
      <c r="DN59" s="187">
        <v>0</v>
      </c>
      <c r="DO59" s="187"/>
      <c r="DP59" s="187">
        <v>0</v>
      </c>
      <c r="DQ59" s="187"/>
      <c r="DR59" s="195"/>
      <c r="DS59" s="185">
        <v>0</v>
      </c>
      <c r="DT59" s="185">
        <v>0</v>
      </c>
      <c r="DU59" s="185">
        <v>0</v>
      </c>
      <c r="DV59" s="185">
        <v>0</v>
      </c>
      <c r="DW59" s="185">
        <v>0</v>
      </c>
      <c r="DX59" s="185">
        <v>0</v>
      </c>
      <c r="DY59" s="185">
        <v>0</v>
      </c>
      <c r="DZ59" s="185">
        <v>0</v>
      </c>
      <c r="EA59" s="185">
        <v>0</v>
      </c>
      <c r="EB59" s="185"/>
      <c r="EC59" s="185">
        <v>0</v>
      </c>
      <c r="ED59" s="185"/>
      <c r="EE59" s="194"/>
      <c r="EF59" s="185">
        <v>0</v>
      </c>
      <c r="EG59" s="185">
        <v>0</v>
      </c>
      <c r="EH59" s="185">
        <v>0</v>
      </c>
      <c r="EI59" s="185">
        <v>0</v>
      </c>
      <c r="EJ59" s="185">
        <v>0</v>
      </c>
      <c r="EK59" s="185">
        <v>0</v>
      </c>
      <c r="EL59" s="185">
        <v>0</v>
      </c>
      <c r="EM59" s="185">
        <v>0</v>
      </c>
      <c r="EN59" s="185">
        <v>0</v>
      </c>
      <c r="EO59" s="185"/>
      <c r="EP59" s="185">
        <v>0</v>
      </c>
      <c r="EQ59" s="185"/>
      <c r="ER59" s="194"/>
      <c r="ES59" s="185">
        <v>0</v>
      </c>
      <c r="ET59" s="185">
        <v>0</v>
      </c>
      <c r="EU59" s="185">
        <v>0</v>
      </c>
      <c r="EV59" s="185">
        <v>0</v>
      </c>
      <c r="EW59" s="185">
        <v>0</v>
      </c>
      <c r="EX59" s="185">
        <v>0</v>
      </c>
      <c r="EY59" s="185">
        <v>0</v>
      </c>
      <c r="EZ59" s="185">
        <v>0</v>
      </c>
      <c r="FA59" s="185">
        <v>0</v>
      </c>
      <c r="FB59" s="185"/>
      <c r="FC59" s="185">
        <v>0</v>
      </c>
      <c r="FD59" s="185"/>
      <c r="FE59" s="194"/>
      <c r="FF59" s="185"/>
      <c r="FG59" s="185"/>
      <c r="FH59" s="185"/>
      <c r="FI59" s="185"/>
      <c r="FJ59" s="185"/>
      <c r="FK59" s="185"/>
      <c r="FL59" s="185"/>
      <c r="FM59" s="185"/>
      <c r="FN59" s="185"/>
      <c r="FO59" s="185"/>
      <c r="FP59" s="185"/>
      <c r="FQ59" s="185"/>
      <c r="FR59" s="194"/>
    </row>
    <row r="60" spans="4:174" x14ac:dyDescent="0.25">
      <c r="E60" s="2" t="s">
        <v>203</v>
      </c>
      <c r="F60" s="184">
        <v>0</v>
      </c>
      <c r="G60" s="185">
        <v>0</v>
      </c>
      <c r="H60" s="185">
        <v>0</v>
      </c>
      <c r="I60" s="185">
        <v>0</v>
      </c>
      <c r="J60" s="185">
        <v>0</v>
      </c>
      <c r="K60" s="185">
        <v>0</v>
      </c>
      <c r="L60" s="185">
        <v>0</v>
      </c>
      <c r="M60" s="185">
        <v>0</v>
      </c>
      <c r="N60" s="185">
        <v>0</v>
      </c>
      <c r="O60" s="185"/>
      <c r="P60" s="185">
        <v>0</v>
      </c>
      <c r="Q60" s="185"/>
      <c r="R60" s="194"/>
      <c r="S60" s="185">
        <v>0</v>
      </c>
      <c r="T60" s="185">
        <v>0</v>
      </c>
      <c r="U60" s="185">
        <v>0</v>
      </c>
      <c r="V60" s="185">
        <v>0</v>
      </c>
      <c r="W60" s="185">
        <v>0</v>
      </c>
      <c r="X60" s="185">
        <v>0</v>
      </c>
      <c r="Y60" s="185">
        <v>0</v>
      </c>
      <c r="Z60" s="185">
        <v>0</v>
      </c>
      <c r="AA60" s="185">
        <v>0</v>
      </c>
      <c r="AB60" s="185"/>
      <c r="AC60" s="185">
        <v>0</v>
      </c>
      <c r="AD60" s="185"/>
      <c r="AE60" s="194"/>
      <c r="AF60" s="185">
        <v>0</v>
      </c>
      <c r="AG60" s="185">
        <v>0</v>
      </c>
      <c r="AH60" s="185">
        <v>0</v>
      </c>
      <c r="AI60" s="185">
        <v>0</v>
      </c>
      <c r="AJ60" s="185">
        <v>0</v>
      </c>
      <c r="AK60" s="185">
        <v>0</v>
      </c>
      <c r="AL60" s="185">
        <v>0</v>
      </c>
      <c r="AM60" s="185">
        <v>0</v>
      </c>
      <c r="AN60" s="185">
        <v>0</v>
      </c>
      <c r="AO60" s="185"/>
      <c r="AP60" s="185">
        <v>0</v>
      </c>
      <c r="AQ60" s="185"/>
      <c r="AR60" s="194"/>
      <c r="AS60" s="185">
        <v>0</v>
      </c>
      <c r="AT60" s="185">
        <v>0</v>
      </c>
      <c r="AU60" s="185">
        <v>0</v>
      </c>
      <c r="AV60" s="185">
        <v>0</v>
      </c>
      <c r="AW60" s="185">
        <v>0</v>
      </c>
      <c r="AX60" s="185">
        <v>0</v>
      </c>
      <c r="AY60" s="185">
        <v>0</v>
      </c>
      <c r="AZ60" s="185">
        <v>0</v>
      </c>
      <c r="BA60" s="185">
        <v>0</v>
      </c>
      <c r="BB60" s="185"/>
      <c r="BC60" s="185">
        <v>0</v>
      </c>
      <c r="BD60" s="185"/>
      <c r="BE60" s="194"/>
      <c r="BF60" s="185">
        <v>0</v>
      </c>
      <c r="BG60" s="185">
        <v>0</v>
      </c>
      <c r="BH60" s="185">
        <v>0</v>
      </c>
      <c r="BI60" s="185">
        <v>0</v>
      </c>
      <c r="BJ60" s="185">
        <v>0</v>
      </c>
      <c r="BK60" s="185">
        <v>0</v>
      </c>
      <c r="BL60" s="185">
        <v>0</v>
      </c>
      <c r="BM60" s="185">
        <v>0</v>
      </c>
      <c r="BN60" s="185">
        <v>0</v>
      </c>
      <c r="BO60" s="185"/>
      <c r="BP60" s="185">
        <v>0</v>
      </c>
      <c r="BQ60" s="185"/>
      <c r="BR60" s="194"/>
      <c r="BS60" s="185">
        <v>0</v>
      </c>
      <c r="BT60" s="185">
        <v>0</v>
      </c>
      <c r="BU60" s="185">
        <v>0</v>
      </c>
      <c r="BV60" s="185">
        <v>0</v>
      </c>
      <c r="BW60" s="185">
        <v>0</v>
      </c>
      <c r="BX60" s="185">
        <v>0</v>
      </c>
      <c r="BY60" s="185">
        <v>0</v>
      </c>
      <c r="BZ60" s="185">
        <v>0</v>
      </c>
      <c r="CA60" s="185">
        <v>0</v>
      </c>
      <c r="CB60" s="185"/>
      <c r="CC60" s="185">
        <v>0</v>
      </c>
      <c r="CD60" s="185"/>
      <c r="CE60" s="194"/>
      <c r="CF60" s="185">
        <v>0</v>
      </c>
      <c r="CG60" s="185">
        <v>0</v>
      </c>
      <c r="CH60" s="185">
        <v>0</v>
      </c>
      <c r="CI60" s="185">
        <v>0</v>
      </c>
      <c r="CJ60" s="185">
        <v>0</v>
      </c>
      <c r="CK60" s="185">
        <v>0</v>
      </c>
      <c r="CL60" s="185">
        <v>0</v>
      </c>
      <c r="CM60" s="185">
        <v>0</v>
      </c>
      <c r="CN60" s="185">
        <v>0</v>
      </c>
      <c r="CO60" s="185"/>
      <c r="CP60" s="185">
        <v>0</v>
      </c>
      <c r="CQ60" s="185"/>
      <c r="CR60" s="194"/>
      <c r="CS60" s="185">
        <v>0</v>
      </c>
      <c r="CT60" s="185">
        <v>0</v>
      </c>
      <c r="CU60" s="185">
        <v>0</v>
      </c>
      <c r="CV60" s="185">
        <v>0</v>
      </c>
      <c r="CW60" s="185">
        <v>0</v>
      </c>
      <c r="CX60" s="185">
        <v>0</v>
      </c>
      <c r="CY60" s="185">
        <v>0</v>
      </c>
      <c r="CZ60" s="185">
        <v>0</v>
      </c>
      <c r="DA60" s="185">
        <v>0</v>
      </c>
      <c r="DB60" s="185"/>
      <c r="DC60" s="185">
        <v>0</v>
      </c>
      <c r="DD60" s="185"/>
      <c r="DE60" s="194"/>
      <c r="DF60" s="187">
        <v>0</v>
      </c>
      <c r="DG60" s="187">
        <v>0</v>
      </c>
      <c r="DH60" s="187">
        <v>0</v>
      </c>
      <c r="DI60" s="187">
        <v>0</v>
      </c>
      <c r="DJ60" s="187">
        <v>0</v>
      </c>
      <c r="DK60" s="187">
        <v>0</v>
      </c>
      <c r="DL60" s="187">
        <v>0</v>
      </c>
      <c r="DM60" s="187">
        <v>0</v>
      </c>
      <c r="DN60" s="187">
        <v>0</v>
      </c>
      <c r="DO60" s="187"/>
      <c r="DP60" s="187">
        <v>0</v>
      </c>
      <c r="DQ60" s="187"/>
      <c r="DR60" s="195"/>
      <c r="DS60" s="185">
        <v>0</v>
      </c>
      <c r="DT60" s="185">
        <v>0</v>
      </c>
      <c r="DU60" s="185">
        <v>0</v>
      </c>
      <c r="DV60" s="185">
        <v>0</v>
      </c>
      <c r="DW60" s="185">
        <v>0</v>
      </c>
      <c r="DX60" s="185">
        <v>0</v>
      </c>
      <c r="DY60" s="185">
        <v>0</v>
      </c>
      <c r="DZ60" s="185">
        <v>0</v>
      </c>
      <c r="EA60" s="185">
        <v>0</v>
      </c>
      <c r="EB60" s="185"/>
      <c r="EC60" s="185">
        <v>0</v>
      </c>
      <c r="ED60" s="185"/>
      <c r="EE60" s="194"/>
      <c r="EF60" s="185">
        <v>0</v>
      </c>
      <c r="EG60" s="185">
        <v>0</v>
      </c>
      <c r="EH60" s="185">
        <v>0</v>
      </c>
      <c r="EI60" s="185">
        <v>0</v>
      </c>
      <c r="EJ60" s="185">
        <v>0</v>
      </c>
      <c r="EK60" s="185">
        <v>0</v>
      </c>
      <c r="EL60" s="185">
        <v>0</v>
      </c>
      <c r="EM60" s="185">
        <v>0</v>
      </c>
      <c r="EN60" s="185">
        <v>0</v>
      </c>
      <c r="EO60" s="185"/>
      <c r="EP60" s="185">
        <v>0</v>
      </c>
      <c r="EQ60" s="185"/>
      <c r="ER60" s="194"/>
      <c r="ES60" s="185">
        <v>0</v>
      </c>
      <c r="ET60" s="185">
        <v>0</v>
      </c>
      <c r="EU60" s="185">
        <v>0</v>
      </c>
      <c r="EV60" s="185">
        <v>0</v>
      </c>
      <c r="EW60" s="185">
        <v>0</v>
      </c>
      <c r="EX60" s="185">
        <v>0</v>
      </c>
      <c r="EY60" s="185">
        <v>0</v>
      </c>
      <c r="EZ60" s="185">
        <v>0</v>
      </c>
      <c r="FA60" s="185">
        <v>0</v>
      </c>
      <c r="FB60" s="185"/>
      <c r="FC60" s="185">
        <v>0</v>
      </c>
      <c r="FD60" s="185"/>
      <c r="FE60" s="194"/>
      <c r="FF60" s="185"/>
      <c r="FG60" s="185"/>
      <c r="FH60" s="185"/>
      <c r="FI60" s="185"/>
      <c r="FJ60" s="185"/>
      <c r="FK60" s="185"/>
      <c r="FL60" s="185"/>
      <c r="FM60" s="185"/>
      <c r="FN60" s="185"/>
      <c r="FO60" s="185"/>
      <c r="FP60" s="185"/>
      <c r="FQ60" s="185"/>
      <c r="FR60" s="194"/>
    </row>
    <row r="61" spans="4:174" x14ac:dyDescent="0.25">
      <c r="E61" s="2" t="s">
        <v>204</v>
      </c>
      <c r="F61" s="184">
        <v>0</v>
      </c>
      <c r="G61" s="185">
        <v>0</v>
      </c>
      <c r="H61" s="185">
        <v>0</v>
      </c>
      <c r="I61" s="185">
        <v>0</v>
      </c>
      <c r="J61" s="185">
        <v>0</v>
      </c>
      <c r="K61" s="185">
        <v>0</v>
      </c>
      <c r="L61" s="185">
        <v>0</v>
      </c>
      <c r="M61" s="185">
        <v>0</v>
      </c>
      <c r="N61" s="185">
        <v>0</v>
      </c>
      <c r="O61" s="185"/>
      <c r="P61" s="185">
        <v>0</v>
      </c>
      <c r="Q61" s="185"/>
      <c r="R61" s="194"/>
      <c r="S61" s="185">
        <v>0</v>
      </c>
      <c r="T61" s="185">
        <v>0</v>
      </c>
      <c r="U61" s="185">
        <v>0</v>
      </c>
      <c r="V61" s="185">
        <v>0</v>
      </c>
      <c r="W61" s="185">
        <v>0</v>
      </c>
      <c r="X61" s="185">
        <v>0</v>
      </c>
      <c r="Y61" s="185">
        <v>0</v>
      </c>
      <c r="Z61" s="185">
        <v>0</v>
      </c>
      <c r="AA61" s="185">
        <v>0</v>
      </c>
      <c r="AB61" s="185"/>
      <c r="AC61" s="185">
        <v>0</v>
      </c>
      <c r="AD61" s="185"/>
      <c r="AE61" s="194"/>
      <c r="AF61" s="185">
        <v>0</v>
      </c>
      <c r="AG61" s="185">
        <v>0</v>
      </c>
      <c r="AH61" s="185">
        <v>0</v>
      </c>
      <c r="AI61" s="185">
        <v>0</v>
      </c>
      <c r="AJ61" s="185">
        <v>0</v>
      </c>
      <c r="AK61" s="185">
        <v>0</v>
      </c>
      <c r="AL61" s="185">
        <v>0</v>
      </c>
      <c r="AM61" s="185">
        <v>0</v>
      </c>
      <c r="AN61" s="185">
        <v>0</v>
      </c>
      <c r="AO61" s="185"/>
      <c r="AP61" s="185">
        <v>0</v>
      </c>
      <c r="AQ61" s="185"/>
      <c r="AR61" s="194"/>
      <c r="AS61" s="185">
        <v>0</v>
      </c>
      <c r="AT61" s="185">
        <v>0</v>
      </c>
      <c r="AU61" s="185">
        <v>0</v>
      </c>
      <c r="AV61" s="185">
        <v>0</v>
      </c>
      <c r="AW61" s="185">
        <v>0</v>
      </c>
      <c r="AX61" s="185">
        <v>0</v>
      </c>
      <c r="AY61" s="185">
        <v>0</v>
      </c>
      <c r="AZ61" s="185">
        <v>0</v>
      </c>
      <c r="BA61" s="185">
        <v>0</v>
      </c>
      <c r="BB61" s="185"/>
      <c r="BC61" s="185">
        <v>0</v>
      </c>
      <c r="BD61" s="185"/>
      <c r="BE61" s="194"/>
      <c r="BF61" s="185">
        <v>0</v>
      </c>
      <c r="BG61" s="185">
        <v>0</v>
      </c>
      <c r="BH61" s="185">
        <v>0</v>
      </c>
      <c r="BI61" s="185">
        <v>0</v>
      </c>
      <c r="BJ61" s="185">
        <v>0</v>
      </c>
      <c r="BK61" s="185">
        <v>0</v>
      </c>
      <c r="BL61" s="185">
        <v>0</v>
      </c>
      <c r="BM61" s="185">
        <v>0</v>
      </c>
      <c r="BN61" s="185">
        <v>0</v>
      </c>
      <c r="BO61" s="185"/>
      <c r="BP61" s="185">
        <v>0</v>
      </c>
      <c r="BQ61" s="185"/>
      <c r="BR61" s="194"/>
      <c r="BS61" s="185">
        <v>0</v>
      </c>
      <c r="BT61" s="185">
        <v>0</v>
      </c>
      <c r="BU61" s="185">
        <v>0</v>
      </c>
      <c r="BV61" s="185">
        <v>0</v>
      </c>
      <c r="BW61" s="185">
        <v>0</v>
      </c>
      <c r="BX61" s="185">
        <v>0</v>
      </c>
      <c r="BY61" s="185">
        <v>0</v>
      </c>
      <c r="BZ61" s="185">
        <v>0</v>
      </c>
      <c r="CA61" s="185">
        <v>0</v>
      </c>
      <c r="CB61" s="185"/>
      <c r="CC61" s="185">
        <v>0</v>
      </c>
      <c r="CD61" s="185"/>
      <c r="CE61" s="194"/>
      <c r="CF61" s="185">
        <v>0</v>
      </c>
      <c r="CG61" s="185">
        <v>0</v>
      </c>
      <c r="CH61" s="185">
        <v>0</v>
      </c>
      <c r="CI61" s="185">
        <v>0</v>
      </c>
      <c r="CJ61" s="185">
        <v>0</v>
      </c>
      <c r="CK61" s="185">
        <v>0</v>
      </c>
      <c r="CL61" s="185">
        <v>0</v>
      </c>
      <c r="CM61" s="185">
        <v>0</v>
      </c>
      <c r="CN61" s="185">
        <v>0</v>
      </c>
      <c r="CO61" s="185"/>
      <c r="CP61" s="185">
        <v>0</v>
      </c>
      <c r="CQ61" s="185"/>
      <c r="CR61" s="194"/>
      <c r="CS61" s="185">
        <v>0</v>
      </c>
      <c r="CT61" s="185">
        <v>0</v>
      </c>
      <c r="CU61" s="185">
        <v>0</v>
      </c>
      <c r="CV61" s="185">
        <v>0</v>
      </c>
      <c r="CW61" s="185">
        <v>0</v>
      </c>
      <c r="CX61" s="185">
        <v>0</v>
      </c>
      <c r="CY61" s="185">
        <v>0</v>
      </c>
      <c r="CZ61" s="185">
        <v>0</v>
      </c>
      <c r="DA61" s="185">
        <v>0</v>
      </c>
      <c r="DB61" s="185"/>
      <c r="DC61" s="185">
        <v>0</v>
      </c>
      <c r="DD61" s="185"/>
      <c r="DE61" s="194"/>
      <c r="DF61" s="187">
        <v>0</v>
      </c>
      <c r="DG61" s="187">
        <v>0</v>
      </c>
      <c r="DH61" s="187">
        <v>0</v>
      </c>
      <c r="DI61" s="187">
        <v>0</v>
      </c>
      <c r="DJ61" s="187">
        <v>0</v>
      </c>
      <c r="DK61" s="187">
        <v>0</v>
      </c>
      <c r="DL61" s="187">
        <v>0</v>
      </c>
      <c r="DM61" s="187">
        <v>0</v>
      </c>
      <c r="DN61" s="187">
        <v>0</v>
      </c>
      <c r="DO61" s="187"/>
      <c r="DP61" s="187">
        <v>0</v>
      </c>
      <c r="DQ61" s="187"/>
      <c r="DR61" s="195"/>
      <c r="DS61" s="185">
        <v>0</v>
      </c>
      <c r="DT61" s="185">
        <v>0</v>
      </c>
      <c r="DU61" s="185">
        <v>0</v>
      </c>
      <c r="DV61" s="185">
        <v>0</v>
      </c>
      <c r="DW61" s="185">
        <v>0</v>
      </c>
      <c r="DX61" s="185">
        <v>0</v>
      </c>
      <c r="DY61" s="185">
        <v>0</v>
      </c>
      <c r="DZ61" s="185">
        <v>0</v>
      </c>
      <c r="EA61" s="185">
        <v>0</v>
      </c>
      <c r="EB61" s="185"/>
      <c r="EC61" s="185">
        <v>0</v>
      </c>
      <c r="ED61" s="185"/>
      <c r="EE61" s="194"/>
      <c r="EF61" s="185">
        <v>0</v>
      </c>
      <c r="EG61" s="185">
        <v>0</v>
      </c>
      <c r="EH61" s="185">
        <v>0</v>
      </c>
      <c r="EI61" s="185">
        <v>0</v>
      </c>
      <c r="EJ61" s="185">
        <v>0</v>
      </c>
      <c r="EK61" s="185">
        <v>0</v>
      </c>
      <c r="EL61" s="185">
        <v>0</v>
      </c>
      <c r="EM61" s="185">
        <v>0</v>
      </c>
      <c r="EN61" s="185">
        <v>0</v>
      </c>
      <c r="EO61" s="185"/>
      <c r="EP61" s="185">
        <v>0</v>
      </c>
      <c r="EQ61" s="185"/>
      <c r="ER61" s="194"/>
      <c r="ES61" s="185">
        <v>0</v>
      </c>
      <c r="ET61" s="185">
        <v>0</v>
      </c>
      <c r="EU61" s="185">
        <v>0</v>
      </c>
      <c r="EV61" s="185">
        <v>0</v>
      </c>
      <c r="EW61" s="185">
        <v>0</v>
      </c>
      <c r="EX61" s="185">
        <v>0</v>
      </c>
      <c r="EY61" s="185">
        <v>0</v>
      </c>
      <c r="EZ61" s="185">
        <v>0</v>
      </c>
      <c r="FA61" s="185">
        <v>0</v>
      </c>
      <c r="FB61" s="185"/>
      <c r="FC61" s="185">
        <v>0</v>
      </c>
      <c r="FD61" s="185"/>
      <c r="FE61" s="194"/>
      <c r="FF61" s="185"/>
      <c r="FG61" s="185"/>
      <c r="FH61" s="185"/>
      <c r="FI61" s="185"/>
      <c r="FJ61" s="185"/>
      <c r="FK61" s="185"/>
      <c r="FL61" s="185"/>
      <c r="FM61" s="185"/>
      <c r="FN61" s="185"/>
      <c r="FO61" s="185"/>
      <c r="FP61" s="185"/>
      <c r="FQ61" s="185"/>
      <c r="FR61" s="194"/>
    </row>
    <row r="62" spans="4:174" x14ac:dyDescent="0.25">
      <c r="E62" s="2" t="s">
        <v>205</v>
      </c>
      <c r="F62" s="184">
        <v>0</v>
      </c>
      <c r="G62" s="185">
        <v>0</v>
      </c>
      <c r="H62" s="185">
        <v>0</v>
      </c>
      <c r="I62" s="185">
        <v>0</v>
      </c>
      <c r="J62" s="185">
        <v>0</v>
      </c>
      <c r="K62" s="185">
        <v>0</v>
      </c>
      <c r="L62" s="185">
        <v>0</v>
      </c>
      <c r="M62" s="185">
        <v>0</v>
      </c>
      <c r="N62" s="185">
        <v>0</v>
      </c>
      <c r="O62" s="185"/>
      <c r="P62" s="185">
        <v>0</v>
      </c>
      <c r="Q62" s="185"/>
      <c r="R62" s="194"/>
      <c r="S62" s="185">
        <v>0</v>
      </c>
      <c r="T62" s="185">
        <v>0</v>
      </c>
      <c r="U62" s="185">
        <v>0</v>
      </c>
      <c r="V62" s="185">
        <v>0</v>
      </c>
      <c r="W62" s="185">
        <v>0</v>
      </c>
      <c r="X62" s="185">
        <v>0</v>
      </c>
      <c r="Y62" s="185">
        <v>0</v>
      </c>
      <c r="Z62" s="185">
        <v>0</v>
      </c>
      <c r="AA62" s="185">
        <v>0</v>
      </c>
      <c r="AB62" s="185"/>
      <c r="AC62" s="185">
        <v>0</v>
      </c>
      <c r="AD62" s="185"/>
      <c r="AE62" s="194"/>
      <c r="AF62" s="185">
        <v>0</v>
      </c>
      <c r="AG62" s="185">
        <v>0</v>
      </c>
      <c r="AH62" s="185">
        <v>0</v>
      </c>
      <c r="AI62" s="185">
        <v>0</v>
      </c>
      <c r="AJ62" s="185">
        <v>0</v>
      </c>
      <c r="AK62" s="185">
        <v>0</v>
      </c>
      <c r="AL62" s="185">
        <v>0</v>
      </c>
      <c r="AM62" s="185">
        <v>0</v>
      </c>
      <c r="AN62" s="185">
        <v>0</v>
      </c>
      <c r="AO62" s="185"/>
      <c r="AP62" s="185">
        <v>0</v>
      </c>
      <c r="AQ62" s="185"/>
      <c r="AR62" s="194"/>
      <c r="AS62" s="185">
        <v>0</v>
      </c>
      <c r="AT62" s="185">
        <v>0</v>
      </c>
      <c r="AU62" s="185">
        <v>0</v>
      </c>
      <c r="AV62" s="185">
        <v>0</v>
      </c>
      <c r="AW62" s="185">
        <v>0</v>
      </c>
      <c r="AX62" s="185">
        <v>0</v>
      </c>
      <c r="AY62" s="185">
        <v>0</v>
      </c>
      <c r="AZ62" s="185">
        <v>0</v>
      </c>
      <c r="BA62" s="185">
        <v>0</v>
      </c>
      <c r="BB62" s="185"/>
      <c r="BC62" s="185">
        <v>0</v>
      </c>
      <c r="BD62" s="185"/>
      <c r="BE62" s="194"/>
      <c r="BF62" s="185">
        <v>0</v>
      </c>
      <c r="BG62" s="185">
        <v>0</v>
      </c>
      <c r="BH62" s="185">
        <v>0</v>
      </c>
      <c r="BI62" s="185">
        <v>0</v>
      </c>
      <c r="BJ62" s="185">
        <v>0</v>
      </c>
      <c r="BK62" s="185">
        <v>0</v>
      </c>
      <c r="BL62" s="185">
        <v>0</v>
      </c>
      <c r="BM62" s="185">
        <v>0</v>
      </c>
      <c r="BN62" s="185">
        <v>0</v>
      </c>
      <c r="BO62" s="185"/>
      <c r="BP62" s="185">
        <v>0</v>
      </c>
      <c r="BQ62" s="185"/>
      <c r="BR62" s="194"/>
      <c r="BS62" s="185">
        <v>0</v>
      </c>
      <c r="BT62" s="185">
        <v>0</v>
      </c>
      <c r="BU62" s="185">
        <v>0</v>
      </c>
      <c r="BV62" s="185">
        <v>0</v>
      </c>
      <c r="BW62" s="185">
        <v>0</v>
      </c>
      <c r="BX62" s="185">
        <v>0</v>
      </c>
      <c r="BY62" s="185">
        <v>0</v>
      </c>
      <c r="BZ62" s="185">
        <v>0</v>
      </c>
      <c r="CA62" s="185">
        <v>0</v>
      </c>
      <c r="CB62" s="185"/>
      <c r="CC62" s="185">
        <v>0</v>
      </c>
      <c r="CD62" s="185"/>
      <c r="CE62" s="194"/>
      <c r="CF62" s="185">
        <v>0</v>
      </c>
      <c r="CG62" s="185">
        <v>0</v>
      </c>
      <c r="CH62" s="185">
        <v>0</v>
      </c>
      <c r="CI62" s="185">
        <v>0</v>
      </c>
      <c r="CJ62" s="185">
        <v>0</v>
      </c>
      <c r="CK62" s="185">
        <v>0</v>
      </c>
      <c r="CL62" s="185">
        <v>0</v>
      </c>
      <c r="CM62" s="185">
        <v>0</v>
      </c>
      <c r="CN62" s="185">
        <v>0</v>
      </c>
      <c r="CO62" s="185"/>
      <c r="CP62" s="185">
        <v>0</v>
      </c>
      <c r="CQ62" s="185"/>
      <c r="CR62" s="194"/>
      <c r="CS62" s="185">
        <v>0</v>
      </c>
      <c r="CT62" s="185">
        <v>0</v>
      </c>
      <c r="CU62" s="185">
        <v>0</v>
      </c>
      <c r="CV62" s="185">
        <v>0</v>
      </c>
      <c r="CW62" s="185">
        <v>0</v>
      </c>
      <c r="CX62" s="185">
        <v>0</v>
      </c>
      <c r="CY62" s="185">
        <v>0</v>
      </c>
      <c r="CZ62" s="185">
        <v>0</v>
      </c>
      <c r="DA62" s="185">
        <v>0</v>
      </c>
      <c r="DB62" s="185"/>
      <c r="DC62" s="185">
        <v>0</v>
      </c>
      <c r="DD62" s="185"/>
      <c r="DE62" s="194"/>
      <c r="DF62" s="187">
        <v>0</v>
      </c>
      <c r="DG62" s="187">
        <v>0</v>
      </c>
      <c r="DH62" s="187">
        <v>0</v>
      </c>
      <c r="DI62" s="187">
        <v>0</v>
      </c>
      <c r="DJ62" s="187">
        <v>0</v>
      </c>
      <c r="DK62" s="187">
        <v>0</v>
      </c>
      <c r="DL62" s="187">
        <v>0</v>
      </c>
      <c r="DM62" s="187">
        <v>0</v>
      </c>
      <c r="DN62" s="187">
        <v>0</v>
      </c>
      <c r="DO62" s="187"/>
      <c r="DP62" s="187">
        <v>0</v>
      </c>
      <c r="DQ62" s="187"/>
      <c r="DR62" s="195"/>
      <c r="DS62" s="185">
        <v>0</v>
      </c>
      <c r="DT62" s="185">
        <v>0</v>
      </c>
      <c r="DU62" s="185">
        <v>0</v>
      </c>
      <c r="DV62" s="185">
        <v>0</v>
      </c>
      <c r="DW62" s="185">
        <v>0</v>
      </c>
      <c r="DX62" s="185">
        <v>0</v>
      </c>
      <c r="DY62" s="185">
        <v>0</v>
      </c>
      <c r="DZ62" s="185">
        <v>0</v>
      </c>
      <c r="EA62" s="185">
        <v>0</v>
      </c>
      <c r="EB62" s="185"/>
      <c r="EC62" s="185">
        <v>0</v>
      </c>
      <c r="ED62" s="185"/>
      <c r="EE62" s="194"/>
      <c r="EF62" s="185">
        <v>0</v>
      </c>
      <c r="EG62" s="185">
        <v>0</v>
      </c>
      <c r="EH62" s="185">
        <v>0</v>
      </c>
      <c r="EI62" s="185">
        <v>0</v>
      </c>
      <c r="EJ62" s="185">
        <v>0</v>
      </c>
      <c r="EK62" s="185">
        <v>0</v>
      </c>
      <c r="EL62" s="185">
        <v>0</v>
      </c>
      <c r="EM62" s="185">
        <v>0</v>
      </c>
      <c r="EN62" s="185">
        <v>0</v>
      </c>
      <c r="EO62" s="185"/>
      <c r="EP62" s="185">
        <v>0</v>
      </c>
      <c r="EQ62" s="185"/>
      <c r="ER62" s="194"/>
      <c r="ES62" s="185">
        <v>0</v>
      </c>
      <c r="ET62" s="185">
        <v>0</v>
      </c>
      <c r="EU62" s="185">
        <v>0</v>
      </c>
      <c r="EV62" s="185">
        <v>0</v>
      </c>
      <c r="EW62" s="185">
        <v>0</v>
      </c>
      <c r="EX62" s="185">
        <v>0</v>
      </c>
      <c r="EY62" s="185">
        <v>0</v>
      </c>
      <c r="EZ62" s="185">
        <v>0</v>
      </c>
      <c r="FA62" s="185">
        <v>0</v>
      </c>
      <c r="FB62" s="185"/>
      <c r="FC62" s="185">
        <v>0</v>
      </c>
      <c r="FD62" s="185"/>
      <c r="FE62" s="194"/>
      <c r="FF62" s="185"/>
      <c r="FG62" s="185"/>
      <c r="FH62" s="185"/>
      <c r="FI62" s="185"/>
      <c r="FJ62" s="185"/>
      <c r="FK62" s="185"/>
      <c r="FL62" s="185"/>
      <c r="FM62" s="185"/>
      <c r="FN62" s="185"/>
      <c r="FO62" s="185"/>
      <c r="FP62" s="185"/>
      <c r="FQ62" s="185"/>
      <c r="FR62" s="194"/>
    </row>
    <row r="63" spans="4:174" s="4" customFormat="1" ht="18.75" customHeight="1" x14ac:dyDescent="0.3">
      <c r="D63" s="92"/>
      <c r="E63" s="105" t="s">
        <v>52</v>
      </c>
      <c r="F63" s="189">
        <v>177.57811000000001</v>
      </c>
      <c r="G63" s="190">
        <v>136.98068000000001</v>
      </c>
      <c r="H63" s="190">
        <v>161.17115999999999</v>
      </c>
      <c r="I63" s="190">
        <v>185.74288000000001</v>
      </c>
      <c r="J63" s="190">
        <v>206.19626</v>
      </c>
      <c r="K63" s="190">
        <v>219.54371</v>
      </c>
      <c r="L63" s="190">
        <v>226.74250000000001</v>
      </c>
      <c r="M63" s="190">
        <v>233.55758</v>
      </c>
      <c r="N63" s="190">
        <v>215.02518000000001</v>
      </c>
      <c r="O63" s="190"/>
      <c r="P63" s="190">
        <v>230.31990999999999</v>
      </c>
      <c r="Q63" s="190"/>
      <c r="R63" s="196"/>
      <c r="S63" s="190">
        <v>494.11469</v>
      </c>
      <c r="T63" s="190">
        <v>502.91897999999998</v>
      </c>
      <c r="U63" s="190">
        <v>528.95281999999997</v>
      </c>
      <c r="V63" s="190">
        <v>558.45398999999998</v>
      </c>
      <c r="W63" s="190">
        <v>582.96357</v>
      </c>
      <c r="X63" s="190">
        <v>604.94506000000001</v>
      </c>
      <c r="Y63" s="190">
        <v>639.18359999999996</v>
      </c>
      <c r="Z63" s="190">
        <v>667.87640999999996</v>
      </c>
      <c r="AA63" s="190">
        <v>676.00555999999995</v>
      </c>
      <c r="AB63" s="190"/>
      <c r="AC63" s="190">
        <v>707.50369999999998</v>
      </c>
      <c r="AD63" s="190"/>
      <c r="AE63" s="196"/>
      <c r="AF63" s="190">
        <v>28.770959999999999</v>
      </c>
      <c r="AG63" s="190">
        <v>17.360990000000001</v>
      </c>
      <c r="AH63" s="190">
        <v>19.670870000000001</v>
      </c>
      <c r="AI63" s="190">
        <v>21.405550000000002</v>
      </c>
      <c r="AJ63" s="190">
        <v>19.682220000000001</v>
      </c>
      <c r="AK63" s="190">
        <v>19.8505</v>
      </c>
      <c r="AL63" s="190">
        <v>24.593920000000001</v>
      </c>
      <c r="AM63" s="190">
        <v>23.258019999999998</v>
      </c>
      <c r="AN63" s="190">
        <v>24.412189999999999</v>
      </c>
      <c r="AO63" s="190"/>
      <c r="AP63" s="190">
        <v>23.15793</v>
      </c>
      <c r="AQ63" s="190"/>
      <c r="AR63" s="196"/>
      <c r="AS63" s="190">
        <v>0</v>
      </c>
      <c r="AT63" s="190">
        <v>0</v>
      </c>
      <c r="AU63" s="190">
        <v>0</v>
      </c>
      <c r="AV63" s="190">
        <v>0</v>
      </c>
      <c r="AW63" s="190">
        <v>0</v>
      </c>
      <c r="AX63" s="190">
        <v>0</v>
      </c>
      <c r="AY63" s="190">
        <v>0</v>
      </c>
      <c r="AZ63" s="190">
        <v>0</v>
      </c>
      <c r="BA63" s="190">
        <v>0</v>
      </c>
      <c r="BB63" s="190"/>
      <c r="BC63" s="190">
        <v>0</v>
      </c>
      <c r="BD63" s="190"/>
      <c r="BE63" s="196"/>
      <c r="BF63" s="190">
        <v>0</v>
      </c>
      <c r="BG63" s="190">
        <v>0</v>
      </c>
      <c r="BH63" s="190">
        <v>0</v>
      </c>
      <c r="BI63" s="190">
        <v>0</v>
      </c>
      <c r="BJ63" s="190">
        <v>0</v>
      </c>
      <c r="BK63" s="190">
        <v>0</v>
      </c>
      <c r="BL63" s="190">
        <v>0</v>
      </c>
      <c r="BM63" s="190">
        <v>0</v>
      </c>
      <c r="BN63" s="190">
        <v>0</v>
      </c>
      <c r="BO63" s="190"/>
      <c r="BP63" s="190">
        <v>0</v>
      </c>
      <c r="BQ63" s="190"/>
      <c r="BR63" s="196"/>
      <c r="BS63" s="190">
        <v>0</v>
      </c>
      <c r="BT63" s="190">
        <v>-44.351320000000001</v>
      </c>
      <c r="BU63" s="190">
        <v>-39.171410000000002</v>
      </c>
      <c r="BV63" s="190">
        <v>-7.3718899999999996</v>
      </c>
      <c r="BW63" s="190">
        <v>-9.5719499999999993</v>
      </c>
      <c r="BX63" s="190">
        <v>-0.28122000000000003</v>
      </c>
      <c r="BY63" s="190">
        <v>0</v>
      </c>
      <c r="BZ63" s="190">
        <v>0</v>
      </c>
      <c r="CA63" s="190">
        <v>0</v>
      </c>
      <c r="CB63" s="190"/>
      <c r="CC63" s="190">
        <v>0</v>
      </c>
      <c r="CD63" s="190"/>
      <c r="CE63" s="196"/>
      <c r="CF63" s="190">
        <v>522.88563999999997</v>
      </c>
      <c r="CG63" s="190">
        <v>520.27995999999996</v>
      </c>
      <c r="CH63" s="190">
        <v>548.62368000000004</v>
      </c>
      <c r="CI63" s="190">
        <v>579.85954000000004</v>
      </c>
      <c r="CJ63" s="190">
        <v>602.64580000000001</v>
      </c>
      <c r="CK63" s="190">
        <v>624.79556000000002</v>
      </c>
      <c r="CL63" s="190">
        <v>663.77751999999998</v>
      </c>
      <c r="CM63" s="190">
        <v>691.13442999999995</v>
      </c>
      <c r="CN63" s="190">
        <v>700.41774999999996</v>
      </c>
      <c r="CO63" s="190"/>
      <c r="CP63" s="190">
        <v>730.66161999999997</v>
      </c>
      <c r="CQ63" s="190"/>
      <c r="CR63" s="196"/>
      <c r="CS63" s="190">
        <v>345.30754000000002</v>
      </c>
      <c r="CT63" s="190">
        <v>338.94796000000002</v>
      </c>
      <c r="CU63" s="190">
        <v>348.28111000000001</v>
      </c>
      <c r="CV63" s="190">
        <v>386.74477999999999</v>
      </c>
      <c r="CW63" s="190">
        <v>386.87759999999997</v>
      </c>
      <c r="CX63" s="190">
        <v>404.97063000000003</v>
      </c>
      <c r="CY63" s="190">
        <v>437.03501999999997</v>
      </c>
      <c r="CZ63" s="190">
        <v>457.57684999999998</v>
      </c>
      <c r="DA63" s="190">
        <v>485.39256999999998</v>
      </c>
      <c r="DB63" s="190"/>
      <c r="DC63" s="190">
        <v>500.34172000000001</v>
      </c>
      <c r="DD63" s="190"/>
      <c r="DE63" s="196"/>
      <c r="DF63" s="192">
        <v>5.5E-2</v>
      </c>
      <c r="DG63" s="192">
        <v>3.3399999999999999E-2</v>
      </c>
      <c r="DH63" s="192">
        <v>3.5900000000000001E-2</v>
      </c>
      <c r="DI63" s="192">
        <v>3.6900000000000002E-2</v>
      </c>
      <c r="DJ63" s="192">
        <v>3.27E-2</v>
      </c>
      <c r="DK63" s="192">
        <v>3.1800000000000002E-2</v>
      </c>
      <c r="DL63" s="192">
        <v>3.7100000000000001E-2</v>
      </c>
      <c r="DM63" s="192">
        <v>3.3700000000000001E-2</v>
      </c>
      <c r="DN63" s="192">
        <v>3.49E-2</v>
      </c>
      <c r="DO63" s="192"/>
      <c r="DP63" s="192">
        <v>3.1699999999999999E-2</v>
      </c>
      <c r="DQ63" s="192"/>
      <c r="DR63" s="197"/>
      <c r="DS63" s="190">
        <v>0</v>
      </c>
      <c r="DT63" s="190">
        <v>0</v>
      </c>
      <c r="DU63" s="190">
        <v>0</v>
      </c>
      <c r="DV63" s="190">
        <v>0</v>
      </c>
      <c r="DW63" s="190">
        <v>0</v>
      </c>
      <c r="DX63" s="190">
        <v>0</v>
      </c>
      <c r="DY63" s="190">
        <v>0</v>
      </c>
      <c r="DZ63" s="190">
        <v>0</v>
      </c>
      <c r="EA63" s="190">
        <v>0</v>
      </c>
      <c r="EB63" s="190"/>
      <c r="EC63" s="190">
        <v>0</v>
      </c>
      <c r="ED63" s="190"/>
      <c r="EE63" s="196"/>
      <c r="EF63" s="190">
        <v>151818</v>
      </c>
      <c r="EG63" s="190">
        <v>151573</v>
      </c>
      <c r="EH63" s="190">
        <v>158157</v>
      </c>
      <c r="EI63" s="190">
        <v>156802</v>
      </c>
      <c r="EJ63" s="190">
        <v>154941</v>
      </c>
      <c r="EK63" s="190">
        <v>157654.07999999999</v>
      </c>
      <c r="EL63" s="190">
        <v>167419.1</v>
      </c>
      <c r="EM63" s="190">
        <v>173653</v>
      </c>
      <c r="EN63" s="190">
        <v>172316.68</v>
      </c>
      <c r="EO63" s="190"/>
      <c r="EP63" s="190">
        <v>179803.34</v>
      </c>
      <c r="EQ63" s="190"/>
      <c r="ER63" s="196"/>
      <c r="ES63" s="190">
        <v>9510459</v>
      </c>
      <c r="ET63" s="190">
        <v>7498834</v>
      </c>
      <c r="EU63" s="190">
        <v>7739653</v>
      </c>
      <c r="EV63" s="190">
        <v>9458059</v>
      </c>
      <c r="EW63" s="190">
        <v>9786192.8401200008</v>
      </c>
      <c r="EX63" s="190">
        <v>9623347.2865299992</v>
      </c>
      <c r="EY63" s="190">
        <v>9497453.6579899993</v>
      </c>
      <c r="EZ63" s="190">
        <v>10222574.9333</v>
      </c>
      <c r="FA63" s="190">
        <v>9527493.9532299992</v>
      </c>
      <c r="FB63" s="190"/>
      <c r="FC63" s="190">
        <v>9759112.1816300005</v>
      </c>
      <c r="FD63" s="190"/>
      <c r="FE63" s="196"/>
      <c r="FF63" s="190">
        <v>7825683</v>
      </c>
      <c r="FG63" s="190">
        <v>7629001</v>
      </c>
      <c r="FH63" s="190">
        <v>8034836</v>
      </c>
      <c r="FI63" s="190">
        <v>7998171</v>
      </c>
      <c r="FJ63" s="190">
        <v>7987375</v>
      </c>
      <c r="FK63" s="190">
        <v>8076229</v>
      </c>
      <c r="FL63" s="190">
        <v>8442977</v>
      </c>
      <c r="FM63" s="190">
        <v>8932495.0099999998</v>
      </c>
      <c r="FN63" s="190">
        <v>8657460</v>
      </c>
      <c r="FO63" s="190"/>
      <c r="FP63" s="190">
        <v>9116589.5999999996</v>
      </c>
      <c r="FQ63" s="190"/>
      <c r="FR63" s="196"/>
    </row>
    <row r="64" spans="4:174" x14ac:dyDescent="0.25">
      <c r="E64" s="2" t="s">
        <v>182</v>
      </c>
      <c r="F64" s="184">
        <v>111.75668</v>
      </c>
      <c r="G64" s="185">
        <v>81.599029999999999</v>
      </c>
      <c r="H64" s="185">
        <v>88.24221</v>
      </c>
      <c r="I64" s="185">
        <v>102.04834</v>
      </c>
      <c r="J64" s="185">
        <v>117.20632999999999</v>
      </c>
      <c r="K64" s="185">
        <v>124.17813</v>
      </c>
      <c r="L64" s="185">
        <v>118.49018</v>
      </c>
      <c r="M64" s="185">
        <v>127.16222999999999</v>
      </c>
      <c r="N64" s="185">
        <v>114.88808</v>
      </c>
      <c r="O64" s="185"/>
      <c r="P64" s="185">
        <v>124.12944</v>
      </c>
      <c r="Q64" s="185"/>
      <c r="R64" s="194"/>
      <c r="S64" s="185">
        <v>229.38826</v>
      </c>
      <c r="T64" s="185">
        <v>232.14232999999999</v>
      </c>
      <c r="U64" s="185">
        <v>238.14136999999999</v>
      </c>
      <c r="V64" s="185">
        <v>253.45538999999999</v>
      </c>
      <c r="W64" s="185">
        <v>272.60124999999999</v>
      </c>
      <c r="X64" s="185">
        <v>284.59807000000001</v>
      </c>
      <c r="Y64" s="185">
        <v>293.79752999999999</v>
      </c>
      <c r="Z64" s="185">
        <v>315.01202000000001</v>
      </c>
      <c r="AA64" s="185">
        <v>315.96690999999998</v>
      </c>
      <c r="AB64" s="185"/>
      <c r="AC64" s="185">
        <v>329.96064999999999</v>
      </c>
      <c r="AD64" s="185"/>
      <c r="AE64" s="194"/>
      <c r="AF64" s="185">
        <v>15.229039999999999</v>
      </c>
      <c r="AG64" s="185">
        <v>9.4922199999999997</v>
      </c>
      <c r="AH64" s="185">
        <v>10.373760000000001</v>
      </c>
      <c r="AI64" s="185">
        <v>11.048299999999999</v>
      </c>
      <c r="AJ64" s="185">
        <v>10.386570000000001</v>
      </c>
      <c r="AK64" s="185">
        <v>10.33272</v>
      </c>
      <c r="AL64" s="185">
        <v>12.235950000000001</v>
      </c>
      <c r="AM64" s="185">
        <v>12.429259999999999</v>
      </c>
      <c r="AN64" s="185">
        <v>12.651669999999999</v>
      </c>
      <c r="AO64" s="185"/>
      <c r="AP64" s="185">
        <v>11.90574</v>
      </c>
      <c r="AQ64" s="185"/>
      <c r="AR64" s="194"/>
      <c r="AS64" s="185">
        <v>0</v>
      </c>
      <c r="AT64" s="185">
        <v>0</v>
      </c>
      <c r="AU64" s="185">
        <v>0</v>
      </c>
      <c r="AV64" s="185">
        <v>0</v>
      </c>
      <c r="AW64" s="185">
        <v>0</v>
      </c>
      <c r="AX64" s="185">
        <v>0</v>
      </c>
      <c r="AY64" s="185">
        <v>0</v>
      </c>
      <c r="AZ64" s="185">
        <v>0</v>
      </c>
      <c r="BA64" s="185">
        <v>0</v>
      </c>
      <c r="BB64" s="185"/>
      <c r="BC64" s="185">
        <v>0</v>
      </c>
      <c r="BD64" s="185"/>
      <c r="BE64" s="194"/>
      <c r="BF64" s="185">
        <v>0</v>
      </c>
      <c r="BG64" s="185">
        <v>0</v>
      </c>
      <c r="BH64" s="185">
        <v>0</v>
      </c>
      <c r="BI64" s="185">
        <v>0</v>
      </c>
      <c r="BJ64" s="185">
        <v>0</v>
      </c>
      <c r="BK64" s="185">
        <v>0</v>
      </c>
      <c r="BL64" s="185">
        <v>0</v>
      </c>
      <c r="BM64" s="185">
        <v>0</v>
      </c>
      <c r="BN64" s="185">
        <v>0</v>
      </c>
      <c r="BO64" s="185"/>
      <c r="BP64" s="185">
        <v>0</v>
      </c>
      <c r="BQ64" s="185"/>
      <c r="BR64" s="194"/>
      <c r="BS64" s="185">
        <v>0</v>
      </c>
      <c r="BT64" s="185">
        <v>-31.18337</v>
      </c>
      <c r="BU64" s="185">
        <v>-21.740760000000002</v>
      </c>
      <c r="BV64" s="185">
        <v>-4.0095799999999997</v>
      </c>
      <c r="BW64" s="185">
        <v>-4.6193400000000002</v>
      </c>
      <c r="BX64" s="185">
        <v>-0.13150000000000001</v>
      </c>
      <c r="BY64" s="185">
        <v>0</v>
      </c>
      <c r="BZ64" s="185">
        <v>0</v>
      </c>
      <c r="CA64" s="185">
        <v>0</v>
      </c>
      <c r="CB64" s="185"/>
      <c r="CC64" s="185">
        <v>0</v>
      </c>
      <c r="CD64" s="185"/>
      <c r="CE64" s="194"/>
      <c r="CF64" s="185">
        <v>244.6173</v>
      </c>
      <c r="CG64" s="185">
        <v>241.63454999999999</v>
      </c>
      <c r="CH64" s="185">
        <v>248.51513</v>
      </c>
      <c r="CI64" s="185">
        <v>264.50369000000001</v>
      </c>
      <c r="CJ64" s="185">
        <v>282.98782999999997</v>
      </c>
      <c r="CK64" s="185">
        <v>294.93078000000003</v>
      </c>
      <c r="CL64" s="185">
        <v>306.03348999999997</v>
      </c>
      <c r="CM64" s="185">
        <v>327.44128000000001</v>
      </c>
      <c r="CN64" s="185">
        <v>328.61858000000001</v>
      </c>
      <c r="CO64" s="185"/>
      <c r="CP64" s="185">
        <v>341.86639000000002</v>
      </c>
      <c r="CQ64" s="185"/>
      <c r="CR64" s="194"/>
      <c r="CS64" s="185">
        <v>132.86062000000001</v>
      </c>
      <c r="CT64" s="185">
        <v>128.85214999999999</v>
      </c>
      <c r="CU64" s="185">
        <v>138.53217000000001</v>
      </c>
      <c r="CV64" s="185">
        <v>158.44577000000001</v>
      </c>
      <c r="CW64" s="185">
        <v>161.16215</v>
      </c>
      <c r="CX64" s="185">
        <v>170.62115</v>
      </c>
      <c r="CY64" s="185">
        <v>187.54329999999999</v>
      </c>
      <c r="CZ64" s="185">
        <v>200.27905000000001</v>
      </c>
      <c r="DA64" s="185">
        <v>213.73050000000001</v>
      </c>
      <c r="DB64" s="185"/>
      <c r="DC64" s="185">
        <v>217.73695000000001</v>
      </c>
      <c r="DD64" s="185"/>
      <c r="DE64" s="194"/>
      <c r="DF64" s="187">
        <v>6.2300000000000001E-2</v>
      </c>
      <c r="DG64" s="187">
        <v>3.9300000000000002E-2</v>
      </c>
      <c r="DH64" s="187">
        <v>4.1700000000000001E-2</v>
      </c>
      <c r="DI64" s="187">
        <v>4.1799999999999997E-2</v>
      </c>
      <c r="DJ64" s="187">
        <v>3.6700000000000003E-2</v>
      </c>
      <c r="DK64" s="187">
        <v>3.5000000000000003E-2</v>
      </c>
      <c r="DL64" s="187">
        <v>0.04</v>
      </c>
      <c r="DM64" s="187">
        <v>3.7999999999999999E-2</v>
      </c>
      <c r="DN64" s="187">
        <v>3.85E-2</v>
      </c>
      <c r="DO64" s="187"/>
      <c r="DP64" s="187">
        <v>3.4799999999999998E-2</v>
      </c>
      <c r="DQ64" s="187"/>
      <c r="DR64" s="195"/>
      <c r="DS64" s="185">
        <v>0</v>
      </c>
      <c r="DT64" s="185">
        <v>0</v>
      </c>
      <c r="DU64" s="185">
        <v>0</v>
      </c>
      <c r="DV64" s="185">
        <v>0</v>
      </c>
      <c r="DW64" s="185">
        <v>0</v>
      </c>
      <c r="DX64" s="185">
        <v>0</v>
      </c>
      <c r="DY64" s="185">
        <v>0</v>
      </c>
      <c r="DZ64" s="185">
        <v>0</v>
      </c>
      <c r="EA64" s="185">
        <v>0</v>
      </c>
      <c r="EB64" s="185"/>
      <c r="EC64" s="185">
        <v>0</v>
      </c>
      <c r="ED64" s="185"/>
      <c r="EE64" s="194"/>
      <c r="EF64" s="185">
        <v>79712</v>
      </c>
      <c r="EG64" s="185">
        <v>81414</v>
      </c>
      <c r="EH64" s="185">
        <v>79104</v>
      </c>
      <c r="EI64" s="185">
        <v>77905</v>
      </c>
      <c r="EJ64" s="185">
        <v>77378</v>
      </c>
      <c r="EK64" s="185">
        <v>78781.08</v>
      </c>
      <c r="EL64" s="185">
        <v>84313.1</v>
      </c>
      <c r="EM64" s="185">
        <v>91445</v>
      </c>
      <c r="EN64" s="185">
        <v>90041</v>
      </c>
      <c r="EO64" s="185"/>
      <c r="EP64" s="185">
        <v>92932</v>
      </c>
      <c r="EQ64" s="185"/>
      <c r="ER64" s="194"/>
      <c r="ES64" s="185">
        <v>5864603</v>
      </c>
      <c r="ET64" s="185">
        <v>4553229</v>
      </c>
      <c r="EU64" s="185">
        <v>4487316</v>
      </c>
      <c r="EV64" s="185">
        <v>5328562</v>
      </c>
      <c r="EW64" s="185">
        <v>5675054</v>
      </c>
      <c r="EX64" s="185">
        <v>5538449</v>
      </c>
      <c r="EY64" s="185">
        <v>5360478</v>
      </c>
      <c r="EZ64" s="185">
        <v>5876642.6909999996</v>
      </c>
      <c r="FA64" s="185">
        <v>5399105.5499999998</v>
      </c>
      <c r="FB64" s="185"/>
      <c r="FC64" s="185">
        <v>5579073</v>
      </c>
      <c r="FD64" s="185"/>
      <c r="FE64" s="194"/>
      <c r="FF64" s="185">
        <v>3605618</v>
      </c>
      <c r="FG64" s="185">
        <v>3612428</v>
      </c>
      <c r="FH64" s="185">
        <v>3556655</v>
      </c>
      <c r="FI64" s="185">
        <v>3505118</v>
      </c>
      <c r="FJ64" s="185">
        <v>3513353</v>
      </c>
      <c r="FK64" s="185">
        <v>3578737</v>
      </c>
      <c r="FL64" s="185">
        <v>3732197</v>
      </c>
      <c r="FM64" s="185">
        <v>4186353.01</v>
      </c>
      <c r="FN64" s="185">
        <v>3903532</v>
      </c>
      <c r="FO64" s="185"/>
      <c r="FP64" s="185">
        <v>4106055.6</v>
      </c>
      <c r="FQ64" s="185"/>
      <c r="FR64" s="194"/>
    </row>
    <row r="65" spans="4:174" x14ac:dyDescent="0.25">
      <c r="E65" s="2" t="s">
        <v>183</v>
      </c>
      <c r="F65" s="184">
        <v>65.821430000000007</v>
      </c>
      <c r="G65" s="185">
        <v>55.38165</v>
      </c>
      <c r="H65" s="185">
        <v>72.928960000000004</v>
      </c>
      <c r="I65" s="185">
        <v>83.69453</v>
      </c>
      <c r="J65" s="185">
        <v>88.989930000000001</v>
      </c>
      <c r="K65" s="185">
        <v>95.365579999999994</v>
      </c>
      <c r="L65" s="185">
        <v>108.25232</v>
      </c>
      <c r="M65" s="185">
        <v>106.39536</v>
      </c>
      <c r="N65" s="185">
        <v>100.1371</v>
      </c>
      <c r="O65" s="185"/>
      <c r="P65" s="185">
        <v>106.19047</v>
      </c>
      <c r="Q65" s="185"/>
      <c r="R65" s="194"/>
      <c r="S65" s="185">
        <v>264.72642999999999</v>
      </c>
      <c r="T65" s="185">
        <v>270.77663999999999</v>
      </c>
      <c r="U65" s="185">
        <v>290.81144</v>
      </c>
      <c r="V65" s="185">
        <v>304.99860000000001</v>
      </c>
      <c r="W65" s="185">
        <v>310.36232000000001</v>
      </c>
      <c r="X65" s="185">
        <v>320.34699000000001</v>
      </c>
      <c r="Y65" s="185">
        <v>345.38605999999999</v>
      </c>
      <c r="Z65" s="185">
        <v>352.86437999999998</v>
      </c>
      <c r="AA65" s="185">
        <v>360.03865000000002</v>
      </c>
      <c r="AB65" s="185"/>
      <c r="AC65" s="185">
        <v>377.54304999999999</v>
      </c>
      <c r="AD65" s="185"/>
      <c r="AE65" s="194"/>
      <c r="AF65" s="185">
        <v>13.541919999999999</v>
      </c>
      <c r="AG65" s="185">
        <v>7.86876</v>
      </c>
      <c r="AH65" s="185">
        <v>9.29711</v>
      </c>
      <c r="AI65" s="185">
        <v>10.357250000000001</v>
      </c>
      <c r="AJ65" s="185">
        <v>9.2956500000000002</v>
      </c>
      <c r="AK65" s="185">
        <v>9.5177899999999998</v>
      </c>
      <c r="AL65" s="185">
        <v>12.35797</v>
      </c>
      <c r="AM65" s="185">
        <v>10.828760000000001</v>
      </c>
      <c r="AN65" s="185">
        <v>11.76052</v>
      </c>
      <c r="AO65" s="185"/>
      <c r="AP65" s="185">
        <v>11.252179999999999</v>
      </c>
      <c r="AQ65" s="185"/>
      <c r="AR65" s="194"/>
      <c r="AS65" s="185">
        <v>0</v>
      </c>
      <c r="AT65" s="185">
        <v>0</v>
      </c>
      <c r="AU65" s="185">
        <v>0</v>
      </c>
      <c r="AV65" s="185">
        <v>0</v>
      </c>
      <c r="AW65" s="185">
        <v>0</v>
      </c>
      <c r="AX65" s="185">
        <v>0</v>
      </c>
      <c r="AY65" s="185">
        <v>0</v>
      </c>
      <c r="AZ65" s="185">
        <v>0</v>
      </c>
      <c r="BA65" s="185">
        <v>0</v>
      </c>
      <c r="BB65" s="185"/>
      <c r="BC65" s="185">
        <v>0</v>
      </c>
      <c r="BD65" s="185"/>
      <c r="BE65" s="194"/>
      <c r="BF65" s="185">
        <v>0</v>
      </c>
      <c r="BG65" s="185">
        <v>0</v>
      </c>
      <c r="BH65" s="185">
        <v>0</v>
      </c>
      <c r="BI65" s="185">
        <v>0</v>
      </c>
      <c r="BJ65" s="185">
        <v>0</v>
      </c>
      <c r="BK65" s="185">
        <v>0</v>
      </c>
      <c r="BL65" s="185">
        <v>0</v>
      </c>
      <c r="BM65" s="185">
        <v>0</v>
      </c>
      <c r="BN65" s="185">
        <v>0</v>
      </c>
      <c r="BO65" s="185"/>
      <c r="BP65" s="185">
        <v>0</v>
      </c>
      <c r="BQ65" s="185"/>
      <c r="BR65" s="194"/>
      <c r="BS65" s="185">
        <v>0</v>
      </c>
      <c r="BT65" s="185">
        <v>-13.16794</v>
      </c>
      <c r="BU65" s="185">
        <v>-17.43065</v>
      </c>
      <c r="BV65" s="185">
        <v>-3.3623099999999999</v>
      </c>
      <c r="BW65" s="185">
        <v>-4.9526000000000003</v>
      </c>
      <c r="BX65" s="185">
        <v>-0.14971999999999999</v>
      </c>
      <c r="BY65" s="185">
        <v>0</v>
      </c>
      <c r="BZ65" s="185">
        <v>0</v>
      </c>
      <c r="CA65" s="185">
        <v>0</v>
      </c>
      <c r="CB65" s="185"/>
      <c r="CC65" s="185">
        <v>0</v>
      </c>
      <c r="CD65" s="185"/>
      <c r="CE65" s="194"/>
      <c r="CF65" s="185">
        <v>278.26835</v>
      </c>
      <c r="CG65" s="185">
        <v>278.64541000000003</v>
      </c>
      <c r="CH65" s="185">
        <v>300.10854999999998</v>
      </c>
      <c r="CI65" s="185">
        <v>315.35584999999998</v>
      </c>
      <c r="CJ65" s="185">
        <v>319.65796999999998</v>
      </c>
      <c r="CK65" s="185">
        <v>329.86478</v>
      </c>
      <c r="CL65" s="185">
        <v>357.74403999999998</v>
      </c>
      <c r="CM65" s="185">
        <v>363.69315</v>
      </c>
      <c r="CN65" s="185">
        <v>371.79917</v>
      </c>
      <c r="CO65" s="185"/>
      <c r="CP65" s="185">
        <v>388.79523</v>
      </c>
      <c r="CQ65" s="185"/>
      <c r="CR65" s="194"/>
      <c r="CS65" s="185">
        <v>212.44692000000001</v>
      </c>
      <c r="CT65" s="185">
        <v>210.09581</v>
      </c>
      <c r="CU65" s="185">
        <v>209.74894</v>
      </c>
      <c r="CV65" s="185">
        <v>228.29901000000001</v>
      </c>
      <c r="CW65" s="185">
        <v>225.71544</v>
      </c>
      <c r="CX65" s="185">
        <v>234.34948</v>
      </c>
      <c r="CY65" s="185">
        <v>249.49171999999999</v>
      </c>
      <c r="CZ65" s="185">
        <v>257.29779000000002</v>
      </c>
      <c r="DA65" s="185">
        <v>271.66207000000003</v>
      </c>
      <c r="DB65" s="185"/>
      <c r="DC65" s="185">
        <v>282.60476</v>
      </c>
      <c r="DD65" s="185"/>
      <c r="DE65" s="194"/>
      <c r="DF65" s="187">
        <v>4.87E-2</v>
      </c>
      <c r="DG65" s="187">
        <v>2.8199999999999999E-2</v>
      </c>
      <c r="DH65" s="187">
        <v>3.1E-2</v>
      </c>
      <c r="DI65" s="187">
        <v>3.2800000000000003E-2</v>
      </c>
      <c r="DJ65" s="187">
        <v>2.9100000000000001E-2</v>
      </c>
      <c r="DK65" s="187">
        <v>2.8899999999999999E-2</v>
      </c>
      <c r="DL65" s="187">
        <v>3.4500000000000003E-2</v>
      </c>
      <c r="DM65" s="187">
        <v>2.98E-2</v>
      </c>
      <c r="DN65" s="187">
        <v>3.1600000000000003E-2</v>
      </c>
      <c r="DO65" s="187"/>
      <c r="DP65" s="187">
        <v>2.8899999999999999E-2</v>
      </c>
      <c r="DQ65" s="187"/>
      <c r="DR65" s="195"/>
      <c r="DS65" s="185">
        <v>0</v>
      </c>
      <c r="DT65" s="185">
        <v>0</v>
      </c>
      <c r="DU65" s="185">
        <v>0</v>
      </c>
      <c r="DV65" s="185">
        <v>0</v>
      </c>
      <c r="DW65" s="185">
        <v>0</v>
      </c>
      <c r="DX65" s="185">
        <v>0</v>
      </c>
      <c r="DY65" s="185">
        <v>0</v>
      </c>
      <c r="DZ65" s="185">
        <v>0</v>
      </c>
      <c r="EA65" s="185">
        <v>0</v>
      </c>
      <c r="EB65" s="185"/>
      <c r="EC65" s="185">
        <v>0</v>
      </c>
      <c r="ED65" s="185"/>
      <c r="EE65" s="194"/>
      <c r="EF65" s="185">
        <v>72106</v>
      </c>
      <c r="EG65" s="185">
        <v>70159</v>
      </c>
      <c r="EH65" s="185">
        <v>79053</v>
      </c>
      <c r="EI65" s="185">
        <v>78897</v>
      </c>
      <c r="EJ65" s="185">
        <v>77563</v>
      </c>
      <c r="EK65" s="185">
        <v>78873</v>
      </c>
      <c r="EL65" s="185">
        <v>83106</v>
      </c>
      <c r="EM65" s="185">
        <v>82208</v>
      </c>
      <c r="EN65" s="185">
        <v>82275.679999999993</v>
      </c>
      <c r="EO65" s="185"/>
      <c r="EP65" s="185">
        <v>86871.34</v>
      </c>
      <c r="EQ65" s="185"/>
      <c r="ER65" s="194"/>
      <c r="ES65" s="185">
        <v>3645856</v>
      </c>
      <c r="ET65" s="185">
        <v>2945605</v>
      </c>
      <c r="EU65" s="185">
        <v>3252337</v>
      </c>
      <c r="EV65" s="185">
        <v>4129497</v>
      </c>
      <c r="EW65" s="185">
        <v>4111138.8401199998</v>
      </c>
      <c r="EX65" s="185">
        <v>4084898.2865300002</v>
      </c>
      <c r="EY65" s="185">
        <v>4136975.6579900002</v>
      </c>
      <c r="EZ65" s="185">
        <v>4345932.2423</v>
      </c>
      <c r="FA65" s="185">
        <v>4128388.4032299998</v>
      </c>
      <c r="FB65" s="185"/>
      <c r="FC65" s="185">
        <v>4180039.18163</v>
      </c>
      <c r="FD65" s="185"/>
      <c r="FE65" s="194"/>
      <c r="FF65" s="185">
        <v>4220065</v>
      </c>
      <c r="FG65" s="185">
        <v>4016573</v>
      </c>
      <c r="FH65" s="185">
        <v>4478181</v>
      </c>
      <c r="FI65" s="185">
        <v>4493053</v>
      </c>
      <c r="FJ65" s="185">
        <v>4474022</v>
      </c>
      <c r="FK65" s="185">
        <v>4497492</v>
      </c>
      <c r="FL65" s="185">
        <v>4710780</v>
      </c>
      <c r="FM65" s="185">
        <v>4746142</v>
      </c>
      <c r="FN65" s="185">
        <v>4753928</v>
      </c>
      <c r="FO65" s="185"/>
      <c r="FP65" s="185">
        <v>5010534</v>
      </c>
      <c r="FQ65" s="185"/>
      <c r="FR65" s="194"/>
    </row>
    <row r="66" spans="4:174" x14ac:dyDescent="0.25">
      <c r="F66" s="179"/>
      <c r="G66" s="180"/>
      <c r="H66" s="180"/>
      <c r="I66" s="180"/>
      <c r="J66" s="180"/>
      <c r="K66" s="180"/>
      <c r="L66" s="180"/>
      <c r="M66" s="180"/>
      <c r="N66" s="180"/>
      <c r="O66" s="180"/>
      <c r="P66" s="180"/>
      <c r="Q66" s="180"/>
      <c r="R66" s="181"/>
      <c r="S66" s="180"/>
      <c r="T66" s="180"/>
      <c r="U66" s="180"/>
      <c r="V66" s="180"/>
      <c r="W66" s="180"/>
      <c r="X66" s="180"/>
      <c r="Y66" s="180"/>
      <c r="Z66" s="180"/>
      <c r="AA66" s="180"/>
      <c r="AB66" s="180"/>
      <c r="AC66" s="180"/>
      <c r="AD66" s="180"/>
      <c r="AE66" s="181"/>
      <c r="AF66" s="180"/>
      <c r="AG66" s="180"/>
      <c r="AH66" s="180"/>
      <c r="AI66" s="180"/>
      <c r="AJ66" s="180"/>
      <c r="AK66" s="180"/>
      <c r="AL66" s="180"/>
      <c r="AM66" s="180"/>
      <c r="AN66" s="180"/>
      <c r="AO66" s="180"/>
      <c r="AP66" s="180"/>
      <c r="AQ66" s="180"/>
      <c r="AR66" s="181"/>
      <c r="AS66" s="180"/>
      <c r="AT66" s="180"/>
      <c r="AU66" s="180"/>
      <c r="AV66" s="180"/>
      <c r="AW66" s="180"/>
      <c r="AX66" s="180"/>
      <c r="AY66" s="180"/>
      <c r="AZ66" s="180"/>
      <c r="BA66" s="180"/>
      <c r="BB66" s="180"/>
      <c r="BC66" s="180"/>
      <c r="BD66" s="180"/>
      <c r="BE66" s="181"/>
      <c r="BF66" s="180"/>
      <c r="BG66" s="180"/>
      <c r="BH66" s="180"/>
      <c r="BI66" s="180"/>
      <c r="BJ66" s="180"/>
      <c r="BK66" s="180"/>
      <c r="BL66" s="180"/>
      <c r="BM66" s="180"/>
      <c r="BN66" s="180"/>
      <c r="BO66" s="180"/>
      <c r="BP66" s="180"/>
      <c r="BQ66" s="180"/>
      <c r="BR66" s="181"/>
      <c r="BS66" s="180"/>
      <c r="BT66" s="180"/>
      <c r="BU66" s="180"/>
      <c r="BV66" s="180"/>
      <c r="BW66" s="180"/>
      <c r="BX66" s="180"/>
      <c r="BY66" s="180"/>
      <c r="BZ66" s="180"/>
      <c r="CA66" s="180"/>
      <c r="CB66" s="180"/>
      <c r="CC66" s="180"/>
      <c r="CD66" s="180"/>
      <c r="CE66" s="181"/>
      <c r="CF66" s="180"/>
      <c r="CG66" s="180"/>
      <c r="CH66" s="180"/>
      <c r="CI66" s="180"/>
      <c r="CJ66" s="180"/>
      <c r="CK66" s="180"/>
      <c r="CL66" s="180"/>
      <c r="CM66" s="180"/>
      <c r="CN66" s="180"/>
      <c r="CO66" s="180"/>
      <c r="CP66" s="180"/>
      <c r="CQ66" s="180"/>
      <c r="CR66" s="181"/>
      <c r="CS66" s="180"/>
      <c r="CT66" s="180"/>
      <c r="CU66" s="180"/>
      <c r="CV66" s="180"/>
      <c r="CW66" s="180"/>
      <c r="CX66" s="180"/>
      <c r="CY66" s="180"/>
      <c r="CZ66" s="180"/>
      <c r="DA66" s="180"/>
      <c r="DB66" s="180"/>
      <c r="DC66" s="180"/>
      <c r="DD66" s="180"/>
      <c r="DE66" s="181"/>
      <c r="DF66" s="182"/>
      <c r="DG66" s="182"/>
      <c r="DH66" s="182"/>
      <c r="DI66" s="182"/>
      <c r="DJ66" s="182"/>
      <c r="DK66" s="182"/>
      <c r="DL66" s="182"/>
      <c r="DM66" s="182"/>
      <c r="DN66" s="182"/>
      <c r="DO66" s="182"/>
      <c r="DP66" s="182"/>
      <c r="DQ66" s="182"/>
      <c r="DR66" s="183"/>
      <c r="DS66" s="180"/>
      <c r="DT66" s="180"/>
      <c r="DU66" s="180"/>
      <c r="DV66" s="180"/>
      <c r="DW66" s="180"/>
      <c r="DX66" s="180"/>
      <c r="DY66" s="180"/>
      <c r="DZ66" s="180"/>
      <c r="EA66" s="180"/>
      <c r="EB66" s="180"/>
      <c r="EC66" s="180"/>
      <c r="ED66" s="180"/>
      <c r="EE66" s="181"/>
      <c r="EF66" s="180"/>
      <c r="EG66" s="180"/>
      <c r="EH66" s="180"/>
      <c r="EI66" s="180"/>
      <c r="EJ66" s="180"/>
      <c r="EK66" s="180"/>
      <c r="EL66" s="180"/>
      <c r="EM66" s="180"/>
      <c r="EN66" s="180"/>
      <c r="EO66" s="180"/>
      <c r="EP66" s="180"/>
      <c r="EQ66" s="180"/>
      <c r="ER66" s="181"/>
      <c r="ES66" s="180"/>
      <c r="ET66" s="180"/>
      <c r="EU66" s="180"/>
      <c r="EV66" s="180"/>
      <c r="EW66" s="180"/>
      <c r="EX66" s="180"/>
      <c r="EY66" s="180"/>
      <c r="EZ66" s="180"/>
      <c r="FA66" s="180"/>
      <c r="FB66" s="180"/>
      <c r="FC66" s="180"/>
      <c r="FD66" s="180"/>
      <c r="FE66" s="181"/>
      <c r="FF66" s="180"/>
      <c r="FG66" s="180"/>
      <c r="FH66" s="180"/>
      <c r="FI66" s="180"/>
      <c r="FJ66" s="180"/>
      <c r="FK66" s="180"/>
      <c r="FL66" s="180"/>
      <c r="FM66" s="180"/>
      <c r="FN66" s="180"/>
      <c r="FO66" s="180"/>
      <c r="FP66" s="180"/>
      <c r="FQ66" s="180"/>
      <c r="FR66" s="181"/>
    </row>
    <row r="67" spans="4:174" s="4" customFormat="1" ht="18.75" customHeight="1" x14ac:dyDescent="0.3">
      <c r="D67" s="92"/>
      <c r="E67" s="105" t="s">
        <v>206</v>
      </c>
      <c r="F67" s="189">
        <v>1696.3557800000001</v>
      </c>
      <c r="G67" s="190">
        <v>1116.01703</v>
      </c>
      <c r="H67" s="190">
        <v>1205.10688</v>
      </c>
      <c r="I67" s="190">
        <v>1451.5634299999999</v>
      </c>
      <c r="J67" s="190">
        <v>1663.9976799999999</v>
      </c>
      <c r="K67" s="190">
        <v>1850.1408799999999</v>
      </c>
      <c r="L67" s="190">
        <v>1811.3344400000001</v>
      </c>
      <c r="M67" s="190">
        <v>1741.51451</v>
      </c>
      <c r="N67" s="190">
        <v>1765.74371</v>
      </c>
      <c r="O67" s="190"/>
      <c r="P67" s="190">
        <v>1821.7030999999999</v>
      </c>
      <c r="Q67" s="190"/>
      <c r="R67" s="196"/>
      <c r="S67" s="190">
        <v>3110.7431000000001</v>
      </c>
      <c r="T67" s="190">
        <v>3060.2947899999999</v>
      </c>
      <c r="U67" s="190">
        <v>3173.0967999999998</v>
      </c>
      <c r="V67" s="190">
        <v>3480.3062300000001</v>
      </c>
      <c r="W67" s="190">
        <v>3512.43273</v>
      </c>
      <c r="X67" s="190">
        <v>3400.2646500000001</v>
      </c>
      <c r="Y67" s="190">
        <v>3464.65924</v>
      </c>
      <c r="Z67" s="190">
        <v>3405.6730499999999</v>
      </c>
      <c r="AA67" s="190">
        <v>3515.2549100000001</v>
      </c>
      <c r="AB67" s="190"/>
      <c r="AC67" s="190">
        <v>3449.3916199999999</v>
      </c>
      <c r="AD67" s="190"/>
      <c r="AE67" s="196"/>
      <c r="AF67" s="190">
        <v>359.92363999999998</v>
      </c>
      <c r="AG67" s="190">
        <v>370.41210000000001</v>
      </c>
      <c r="AH67" s="190">
        <v>391.02591999999999</v>
      </c>
      <c r="AI67" s="190">
        <v>365.40595999999999</v>
      </c>
      <c r="AJ67" s="190">
        <v>392.20179000000002</v>
      </c>
      <c r="AK67" s="190">
        <v>414.58987999999999</v>
      </c>
      <c r="AL67" s="190">
        <v>420.95925999999997</v>
      </c>
      <c r="AM67" s="190">
        <v>423.02181999999999</v>
      </c>
      <c r="AN67" s="190">
        <v>421.40138000000002</v>
      </c>
      <c r="AO67" s="190"/>
      <c r="AP67" s="190">
        <v>391.60117000000002</v>
      </c>
      <c r="AQ67" s="190"/>
      <c r="AR67" s="196"/>
      <c r="AS67" s="190">
        <v>18.556899999999999</v>
      </c>
      <c r="AT67" s="190">
        <v>20.621860000000002</v>
      </c>
      <c r="AU67" s="190">
        <v>21.31146</v>
      </c>
      <c r="AV67" s="190">
        <v>22.519749999999998</v>
      </c>
      <c r="AW67" s="190">
        <v>23.598279999999999</v>
      </c>
      <c r="AX67" s="190">
        <v>26.754300000000001</v>
      </c>
      <c r="AY67" s="190">
        <v>24.65137</v>
      </c>
      <c r="AZ67" s="190">
        <v>29.76613</v>
      </c>
      <c r="BA67" s="190">
        <v>28.870709999999999</v>
      </c>
      <c r="BB67" s="190"/>
      <c r="BC67" s="190">
        <v>30.234059999999999</v>
      </c>
      <c r="BD67" s="190"/>
      <c r="BE67" s="196"/>
      <c r="BF67" s="190">
        <v>16.323119999999999</v>
      </c>
      <c r="BG67" s="190">
        <v>32.789360000000002</v>
      </c>
      <c r="BH67" s="190">
        <v>6.8471900000000003</v>
      </c>
      <c r="BI67" s="190">
        <v>6.8057499999999997</v>
      </c>
      <c r="BJ67" s="190">
        <v>12.20787</v>
      </c>
      <c r="BK67" s="190">
        <v>4.72356</v>
      </c>
      <c r="BL67" s="190">
        <v>11.227180000000001</v>
      </c>
      <c r="BM67" s="190">
        <v>2.7929300000000001</v>
      </c>
      <c r="BN67" s="190">
        <v>12.261659999999999</v>
      </c>
      <c r="BO67" s="190"/>
      <c r="BP67" s="190">
        <v>-1.22617</v>
      </c>
      <c r="BQ67" s="190"/>
      <c r="BR67" s="196"/>
      <c r="BS67" s="190">
        <v>0</v>
      </c>
      <c r="BT67" s="190">
        <v>-499.35624000000001</v>
      </c>
      <c r="BU67" s="190">
        <v>-446.91748000000001</v>
      </c>
      <c r="BV67" s="190">
        <v>-103.78071</v>
      </c>
      <c r="BW67" s="190">
        <v>-62.069719999999997</v>
      </c>
      <c r="BX67" s="190">
        <v>-1.6943600000000001</v>
      </c>
      <c r="BY67" s="190">
        <v>0</v>
      </c>
      <c r="BZ67" s="190">
        <v>0</v>
      </c>
      <c r="CA67" s="190">
        <v>0</v>
      </c>
      <c r="CB67" s="190"/>
      <c r="CC67" s="190">
        <v>0</v>
      </c>
      <c r="CD67" s="190"/>
      <c r="CE67" s="196"/>
      <c r="CF67" s="190">
        <v>3505.5467600000002</v>
      </c>
      <c r="CG67" s="190">
        <v>3484.1181200000001</v>
      </c>
      <c r="CH67" s="190">
        <v>3592.2813700000002</v>
      </c>
      <c r="CI67" s="190">
        <v>3875.0376999999999</v>
      </c>
      <c r="CJ67" s="190">
        <v>3940.4406800000002</v>
      </c>
      <c r="CK67" s="190">
        <v>3846.33239</v>
      </c>
      <c r="CL67" s="190">
        <v>3921.4970499999999</v>
      </c>
      <c r="CM67" s="190">
        <v>3861.2539299999999</v>
      </c>
      <c r="CN67" s="190">
        <v>3977.7886600000002</v>
      </c>
      <c r="CO67" s="190"/>
      <c r="CP67" s="190">
        <v>3870.0006800000001</v>
      </c>
      <c r="CQ67" s="190"/>
      <c r="CR67" s="196"/>
      <c r="CS67" s="190">
        <v>1809.1909800000001</v>
      </c>
      <c r="CT67" s="190">
        <v>1868.74485</v>
      </c>
      <c r="CU67" s="190">
        <v>1940.2570000000001</v>
      </c>
      <c r="CV67" s="190">
        <v>2319.6935600000002</v>
      </c>
      <c r="CW67" s="190">
        <v>2214.3732799999998</v>
      </c>
      <c r="CX67" s="190">
        <v>1994.4971499999999</v>
      </c>
      <c r="CY67" s="190">
        <v>2110.1626099999999</v>
      </c>
      <c r="CZ67" s="190">
        <v>2119.7394199999999</v>
      </c>
      <c r="DA67" s="190">
        <v>2212.04495</v>
      </c>
      <c r="DB67" s="190"/>
      <c r="DC67" s="190">
        <v>2048.2975799999999</v>
      </c>
      <c r="DD67" s="190"/>
      <c r="DE67" s="196"/>
      <c r="DF67" s="192">
        <v>0.1027</v>
      </c>
      <c r="DG67" s="192">
        <v>0.10630000000000001</v>
      </c>
      <c r="DH67" s="192">
        <v>0.1089</v>
      </c>
      <c r="DI67" s="192">
        <v>9.4299999999999995E-2</v>
      </c>
      <c r="DJ67" s="192">
        <v>9.9500000000000005E-2</v>
      </c>
      <c r="DK67" s="192">
        <v>0.10780000000000001</v>
      </c>
      <c r="DL67" s="192">
        <v>0.10730000000000001</v>
      </c>
      <c r="DM67" s="192">
        <v>0.1096</v>
      </c>
      <c r="DN67" s="192">
        <v>0.10589999999999999</v>
      </c>
      <c r="DO67" s="192"/>
      <c r="DP67" s="192">
        <v>0.1012</v>
      </c>
      <c r="DQ67" s="192"/>
      <c r="DR67" s="197"/>
      <c r="DS67" s="190">
        <v>4232703.6165399998</v>
      </c>
      <c r="DT67" s="190">
        <v>4084195.89928</v>
      </c>
      <c r="DU67" s="190">
        <v>4077598.3166200002</v>
      </c>
      <c r="DV67" s="190">
        <v>4119023.9781499999</v>
      </c>
      <c r="DW67" s="190">
        <v>4114493.9799700002</v>
      </c>
      <c r="DX67" s="190">
        <v>4061247.3066400001</v>
      </c>
      <c r="DY67" s="190">
        <v>4028943.2499799998</v>
      </c>
      <c r="DZ67" s="190">
        <v>3997256.3989900001</v>
      </c>
      <c r="EA67" s="190">
        <v>4069893.3491699998</v>
      </c>
      <c r="EB67" s="190"/>
      <c r="EC67" s="190">
        <v>4074529.8714299998</v>
      </c>
      <c r="ED67" s="190"/>
      <c r="EE67" s="196"/>
      <c r="EF67" s="190">
        <v>0</v>
      </c>
      <c r="EG67" s="190">
        <v>0</v>
      </c>
      <c r="EH67" s="190">
        <v>0</v>
      </c>
      <c r="EI67" s="190">
        <v>0</v>
      </c>
      <c r="EJ67" s="190">
        <v>0</v>
      </c>
      <c r="EK67" s="190">
        <v>0</v>
      </c>
      <c r="EL67" s="190">
        <v>0</v>
      </c>
      <c r="EM67" s="190">
        <v>0</v>
      </c>
      <c r="EN67" s="190">
        <v>0</v>
      </c>
      <c r="EO67" s="190"/>
      <c r="EP67" s="190">
        <v>0</v>
      </c>
      <c r="EQ67" s="190"/>
      <c r="ER67" s="196"/>
      <c r="ES67" s="190">
        <v>188432448.99000001</v>
      </c>
      <c r="ET67" s="190">
        <v>119578175.76046</v>
      </c>
      <c r="EU67" s="190">
        <v>117632885.01592</v>
      </c>
      <c r="EV67" s="190">
        <v>147001390.85870001</v>
      </c>
      <c r="EW67" s="190">
        <v>160111680.38315001</v>
      </c>
      <c r="EX67" s="190">
        <v>162141465.81801999</v>
      </c>
      <c r="EY67" s="190">
        <v>159662799.59854001</v>
      </c>
      <c r="EZ67" s="190">
        <v>156376076.00092</v>
      </c>
      <c r="FA67" s="190">
        <v>160572678.80313</v>
      </c>
      <c r="FB67" s="190"/>
      <c r="FC67" s="190">
        <v>159459410.81431001</v>
      </c>
      <c r="FD67" s="190"/>
      <c r="FE67" s="196"/>
      <c r="FF67" s="190">
        <v>0</v>
      </c>
      <c r="FG67" s="190">
        <v>0</v>
      </c>
      <c r="FH67" s="190">
        <v>0</v>
      </c>
      <c r="FI67" s="190">
        <v>0</v>
      </c>
      <c r="FJ67" s="190">
        <v>0</v>
      </c>
      <c r="FK67" s="190">
        <v>0</v>
      </c>
      <c r="FL67" s="190">
        <v>0</v>
      </c>
      <c r="FM67" s="190">
        <v>0</v>
      </c>
      <c r="FN67" s="190">
        <v>0</v>
      </c>
      <c r="FO67" s="190"/>
      <c r="FP67" s="190">
        <v>0</v>
      </c>
      <c r="FQ67" s="190"/>
      <c r="FR67" s="196"/>
    </row>
    <row r="68" spans="4:174" s="4" customFormat="1" x14ac:dyDescent="0.25">
      <c r="D68" s="92"/>
      <c r="E68" s="2" t="s">
        <v>153</v>
      </c>
      <c r="F68" s="184">
        <v>496.74610000000001</v>
      </c>
      <c r="G68" s="185">
        <v>279.97469999999998</v>
      </c>
      <c r="H68" s="185">
        <v>304.90706999999998</v>
      </c>
      <c r="I68" s="185">
        <v>375.85503</v>
      </c>
      <c r="J68" s="185">
        <v>445.70242000000002</v>
      </c>
      <c r="K68" s="185">
        <v>499.39952</v>
      </c>
      <c r="L68" s="185">
        <v>476.43599999999998</v>
      </c>
      <c r="M68" s="185">
        <v>458.48842999999999</v>
      </c>
      <c r="N68" s="185">
        <v>468.44652000000002</v>
      </c>
      <c r="O68" s="185"/>
      <c r="P68" s="185">
        <v>492.07089999999999</v>
      </c>
      <c r="Q68" s="185"/>
      <c r="R68" s="194"/>
      <c r="S68" s="185">
        <v>729.80119000000002</v>
      </c>
      <c r="T68" s="185">
        <v>669.52728000000002</v>
      </c>
      <c r="U68" s="185">
        <v>707.72842000000003</v>
      </c>
      <c r="V68" s="185">
        <v>790.85167999999999</v>
      </c>
      <c r="W68" s="185">
        <v>803.10114999999996</v>
      </c>
      <c r="X68" s="185">
        <v>783.97636999999997</v>
      </c>
      <c r="Y68" s="185">
        <v>809.34837000000005</v>
      </c>
      <c r="Z68" s="185">
        <v>798.84340999999995</v>
      </c>
      <c r="AA68" s="185">
        <v>808.50081999999998</v>
      </c>
      <c r="AB68" s="185"/>
      <c r="AC68" s="185">
        <v>819.65935000000002</v>
      </c>
      <c r="AD68" s="185"/>
      <c r="AE68" s="194"/>
      <c r="AF68" s="185">
        <v>100.20608</v>
      </c>
      <c r="AG68" s="185">
        <v>89.773269999999997</v>
      </c>
      <c r="AH68" s="185">
        <v>95.444959999999995</v>
      </c>
      <c r="AI68" s="185">
        <v>92.517489999999995</v>
      </c>
      <c r="AJ68" s="185">
        <v>100.08217</v>
      </c>
      <c r="AK68" s="185">
        <v>106.24467</v>
      </c>
      <c r="AL68" s="185">
        <v>106.07564000000001</v>
      </c>
      <c r="AM68" s="185">
        <v>107.48663999999999</v>
      </c>
      <c r="AN68" s="185">
        <v>106.46294</v>
      </c>
      <c r="AO68" s="185"/>
      <c r="AP68" s="185">
        <v>102.35017999999999</v>
      </c>
      <c r="AQ68" s="185"/>
      <c r="AR68" s="194"/>
      <c r="AS68" s="185">
        <v>2.8449300000000002</v>
      </c>
      <c r="AT68" s="185">
        <v>2.7377500000000001</v>
      </c>
      <c r="AU68" s="185">
        <v>2.86036</v>
      </c>
      <c r="AV68" s="185">
        <v>2.9603899999999999</v>
      </c>
      <c r="AW68" s="185">
        <v>3.1050200000000001</v>
      </c>
      <c r="AX68" s="185">
        <v>3.2803399999999998</v>
      </c>
      <c r="AY68" s="185">
        <v>3.4282699999999999</v>
      </c>
      <c r="AZ68" s="185">
        <v>3.68723</v>
      </c>
      <c r="BA68" s="185">
        <v>3.4348299999999998</v>
      </c>
      <c r="BB68" s="185"/>
      <c r="BC68" s="185">
        <v>3.7133099999999999</v>
      </c>
      <c r="BD68" s="185"/>
      <c r="BE68" s="194"/>
      <c r="BF68" s="185">
        <v>3.8227099999999998</v>
      </c>
      <c r="BG68" s="185">
        <v>7.1222899999999996</v>
      </c>
      <c r="BH68" s="185">
        <v>1.49658</v>
      </c>
      <c r="BI68" s="185">
        <v>1.4857100000000001</v>
      </c>
      <c r="BJ68" s="185">
        <v>2.6752500000000001</v>
      </c>
      <c r="BK68" s="185">
        <v>1.03087</v>
      </c>
      <c r="BL68" s="185">
        <v>2.4163600000000001</v>
      </c>
      <c r="BM68" s="185">
        <v>0.61175000000000002</v>
      </c>
      <c r="BN68" s="185">
        <v>2.6424500000000002</v>
      </c>
      <c r="BO68" s="185"/>
      <c r="BP68" s="185">
        <v>-0.26677000000000001</v>
      </c>
      <c r="BQ68" s="185"/>
      <c r="BR68" s="194"/>
      <c r="BS68" s="185">
        <v>0</v>
      </c>
      <c r="BT68" s="185">
        <v>-125.25487</v>
      </c>
      <c r="BU68" s="185">
        <v>-119.87811000000001</v>
      </c>
      <c r="BV68" s="185">
        <v>-27.443829999999998</v>
      </c>
      <c r="BW68" s="185">
        <v>-14.813420000000001</v>
      </c>
      <c r="BX68" s="185">
        <v>-0.38740999999999998</v>
      </c>
      <c r="BY68" s="185">
        <v>0</v>
      </c>
      <c r="BZ68" s="185">
        <v>0</v>
      </c>
      <c r="CA68" s="185">
        <v>0</v>
      </c>
      <c r="CB68" s="185"/>
      <c r="CC68" s="185">
        <v>0</v>
      </c>
      <c r="CD68" s="185"/>
      <c r="CE68" s="194"/>
      <c r="CF68" s="185">
        <v>836.67490999999995</v>
      </c>
      <c r="CG68" s="185">
        <v>769.16057999999998</v>
      </c>
      <c r="CH68" s="185">
        <v>807.53033000000005</v>
      </c>
      <c r="CI68" s="185">
        <v>887.81527000000006</v>
      </c>
      <c r="CJ68" s="185">
        <v>908.96358999999995</v>
      </c>
      <c r="CK68" s="185">
        <v>894.53224999999998</v>
      </c>
      <c r="CL68" s="185">
        <v>921.26864</v>
      </c>
      <c r="CM68" s="185">
        <v>910.62904000000003</v>
      </c>
      <c r="CN68" s="185">
        <v>921.04105000000004</v>
      </c>
      <c r="CO68" s="185"/>
      <c r="CP68" s="185">
        <v>925.45605999999998</v>
      </c>
      <c r="CQ68" s="185"/>
      <c r="CR68" s="194"/>
      <c r="CS68" s="185">
        <v>339.92881</v>
      </c>
      <c r="CT68" s="185">
        <v>363.93101000000001</v>
      </c>
      <c r="CU68" s="185">
        <v>382.74516</v>
      </c>
      <c r="CV68" s="185">
        <v>484.51641000000001</v>
      </c>
      <c r="CW68" s="185">
        <v>448.44776000000002</v>
      </c>
      <c r="CX68" s="185">
        <v>394.74531999999999</v>
      </c>
      <c r="CY68" s="185">
        <v>444.83264000000003</v>
      </c>
      <c r="CZ68" s="185">
        <v>452.14060999999998</v>
      </c>
      <c r="DA68" s="185">
        <v>452.59451999999999</v>
      </c>
      <c r="DB68" s="185"/>
      <c r="DC68" s="185">
        <v>433.38515999999998</v>
      </c>
      <c r="DD68" s="185"/>
      <c r="DE68" s="194"/>
      <c r="DF68" s="187">
        <v>0.1198</v>
      </c>
      <c r="DG68" s="187">
        <v>0.1167</v>
      </c>
      <c r="DH68" s="187">
        <v>0.1182</v>
      </c>
      <c r="DI68" s="187">
        <v>0.1042</v>
      </c>
      <c r="DJ68" s="187">
        <v>0.1101</v>
      </c>
      <c r="DK68" s="187">
        <v>0.1188</v>
      </c>
      <c r="DL68" s="187">
        <v>0.11509999999999999</v>
      </c>
      <c r="DM68" s="187">
        <v>0.11799999999999999</v>
      </c>
      <c r="DN68" s="187">
        <v>0.11559999999999999</v>
      </c>
      <c r="DO68" s="187"/>
      <c r="DP68" s="187">
        <v>0.1106</v>
      </c>
      <c r="DQ68" s="187"/>
      <c r="DR68" s="195"/>
      <c r="DS68" s="185">
        <v>1077094.4200299999</v>
      </c>
      <c r="DT68" s="185">
        <v>954256.97855</v>
      </c>
      <c r="DU68" s="185">
        <v>959949.30614</v>
      </c>
      <c r="DV68" s="185">
        <v>970922.96100999997</v>
      </c>
      <c r="DW68" s="185">
        <v>978629.79107000004</v>
      </c>
      <c r="DX68" s="185">
        <v>968272.00378000003</v>
      </c>
      <c r="DY68" s="185">
        <v>949520.66483000002</v>
      </c>
      <c r="DZ68" s="185">
        <v>948722.84195999999</v>
      </c>
      <c r="EA68" s="185">
        <v>955129.95522999996</v>
      </c>
      <c r="EB68" s="185"/>
      <c r="EC68" s="185">
        <v>955984.56053999998</v>
      </c>
      <c r="ED68" s="185"/>
      <c r="EE68" s="194"/>
      <c r="EF68" s="185">
        <v>0</v>
      </c>
      <c r="EG68" s="185">
        <v>0</v>
      </c>
      <c r="EH68" s="185">
        <v>0</v>
      </c>
      <c r="EI68" s="185">
        <v>0</v>
      </c>
      <c r="EJ68" s="185">
        <v>0</v>
      </c>
      <c r="EK68" s="185">
        <v>0</v>
      </c>
      <c r="EL68" s="185">
        <v>0</v>
      </c>
      <c r="EM68" s="185">
        <v>0</v>
      </c>
      <c r="EN68" s="185">
        <v>0</v>
      </c>
      <c r="EO68" s="185"/>
      <c r="EP68" s="185">
        <v>0</v>
      </c>
      <c r="EQ68" s="185"/>
      <c r="ER68" s="194"/>
      <c r="ES68" s="185">
        <v>71072125.352129996</v>
      </c>
      <c r="ET68" s="185">
        <v>39984893.985440001</v>
      </c>
      <c r="EU68" s="185">
        <v>40448079.217720002</v>
      </c>
      <c r="EV68" s="185">
        <v>50444909.414669998</v>
      </c>
      <c r="EW68" s="185">
        <v>57137177.728079997</v>
      </c>
      <c r="EX68" s="185">
        <v>57723318.426940002</v>
      </c>
      <c r="EY68" s="185">
        <v>55944256.798560001</v>
      </c>
      <c r="EZ68" s="185">
        <v>54667213.158469997</v>
      </c>
      <c r="FA68" s="185">
        <v>56593697.108489998</v>
      </c>
      <c r="FB68" s="185"/>
      <c r="FC68" s="185">
        <v>56689573.706710003</v>
      </c>
      <c r="FD68" s="185"/>
      <c r="FE68" s="194"/>
      <c r="FF68" s="185"/>
      <c r="FG68" s="185"/>
      <c r="FH68" s="185"/>
      <c r="FI68" s="185"/>
      <c r="FJ68" s="185"/>
      <c r="FK68" s="185"/>
      <c r="FL68" s="185"/>
      <c r="FM68" s="185"/>
      <c r="FN68" s="185"/>
      <c r="FO68" s="185"/>
      <c r="FP68" s="185"/>
      <c r="FQ68" s="185"/>
      <c r="FR68" s="194"/>
    </row>
    <row r="69" spans="4:174" s="4" customFormat="1" x14ac:dyDescent="0.25">
      <c r="D69" s="92"/>
      <c r="E69" s="2" t="s">
        <v>154</v>
      </c>
      <c r="F69" s="184">
        <v>71.110100000000003</v>
      </c>
      <c r="G69" s="185">
        <v>43.559010000000001</v>
      </c>
      <c r="H69" s="185">
        <v>46.470570000000002</v>
      </c>
      <c r="I69" s="185">
        <v>57.855119999999999</v>
      </c>
      <c r="J69" s="185">
        <v>68.682370000000006</v>
      </c>
      <c r="K69" s="185">
        <v>75.659719999999993</v>
      </c>
      <c r="L69" s="185">
        <v>68.451890000000006</v>
      </c>
      <c r="M69" s="185">
        <v>63.036189999999998</v>
      </c>
      <c r="N69" s="185">
        <v>66.358500000000006</v>
      </c>
      <c r="O69" s="185"/>
      <c r="P69" s="185">
        <v>69.294309999999996</v>
      </c>
      <c r="Q69" s="185"/>
      <c r="R69" s="194"/>
      <c r="S69" s="185">
        <v>106.28325</v>
      </c>
      <c r="T69" s="185">
        <v>108.26123</v>
      </c>
      <c r="U69" s="185">
        <v>110.47032</v>
      </c>
      <c r="V69" s="185">
        <v>119.54152000000001</v>
      </c>
      <c r="W69" s="185">
        <v>120.94739</v>
      </c>
      <c r="X69" s="185">
        <v>114.83553999999999</v>
      </c>
      <c r="Y69" s="185">
        <v>111.28695999999999</v>
      </c>
      <c r="Z69" s="185">
        <v>109.89229</v>
      </c>
      <c r="AA69" s="185">
        <v>110.85764</v>
      </c>
      <c r="AB69" s="185"/>
      <c r="AC69" s="185">
        <v>111.8689</v>
      </c>
      <c r="AD69" s="185"/>
      <c r="AE69" s="194"/>
      <c r="AF69" s="185">
        <v>14.914680000000001</v>
      </c>
      <c r="AG69" s="185">
        <v>14.63453</v>
      </c>
      <c r="AH69" s="185">
        <v>15.198029999999999</v>
      </c>
      <c r="AI69" s="185">
        <v>14.687480000000001</v>
      </c>
      <c r="AJ69" s="185">
        <v>15.79269</v>
      </c>
      <c r="AK69" s="185">
        <v>16.31099</v>
      </c>
      <c r="AL69" s="185">
        <v>15.362120000000001</v>
      </c>
      <c r="AM69" s="185">
        <v>15.306369999999999</v>
      </c>
      <c r="AN69" s="185">
        <v>15.36139</v>
      </c>
      <c r="AO69" s="185"/>
      <c r="AP69" s="185">
        <v>14.590870000000001</v>
      </c>
      <c r="AQ69" s="185"/>
      <c r="AR69" s="194"/>
      <c r="AS69" s="185">
        <v>0.43652000000000002</v>
      </c>
      <c r="AT69" s="185">
        <v>0.45949000000000001</v>
      </c>
      <c r="AU69" s="185">
        <v>0.46661000000000002</v>
      </c>
      <c r="AV69" s="185">
        <v>0.48287000000000002</v>
      </c>
      <c r="AW69" s="185">
        <v>0.49989</v>
      </c>
      <c r="AX69" s="185">
        <v>0.50968000000000002</v>
      </c>
      <c r="AY69" s="185">
        <v>0.50607999999999997</v>
      </c>
      <c r="AZ69" s="185">
        <v>0.53966999999999998</v>
      </c>
      <c r="BA69" s="185">
        <v>0.50399000000000005</v>
      </c>
      <c r="BB69" s="185"/>
      <c r="BC69" s="185">
        <v>0.53786999999999996</v>
      </c>
      <c r="BD69" s="185"/>
      <c r="BE69" s="194"/>
      <c r="BF69" s="185">
        <v>0.58653999999999995</v>
      </c>
      <c r="BG69" s="185">
        <v>1.1953800000000001</v>
      </c>
      <c r="BH69" s="185">
        <v>0.24414</v>
      </c>
      <c r="BI69" s="185">
        <v>0.24234</v>
      </c>
      <c r="BJ69" s="185">
        <v>0.43070000000000003</v>
      </c>
      <c r="BK69" s="185">
        <v>0.16017000000000001</v>
      </c>
      <c r="BL69" s="185">
        <v>0.35670000000000002</v>
      </c>
      <c r="BM69" s="185">
        <v>8.9539999999999995E-2</v>
      </c>
      <c r="BN69" s="185">
        <v>0.38772000000000001</v>
      </c>
      <c r="BO69" s="185"/>
      <c r="BP69" s="185">
        <v>-3.8640000000000001E-2</v>
      </c>
      <c r="BQ69" s="185"/>
      <c r="BR69" s="194"/>
      <c r="BS69" s="185">
        <v>0</v>
      </c>
      <c r="BT69" s="185">
        <v>-15.08113</v>
      </c>
      <c r="BU69" s="185">
        <v>-17.295670000000001</v>
      </c>
      <c r="BV69" s="185">
        <v>-3.7862200000000001</v>
      </c>
      <c r="BW69" s="185">
        <v>-2.1716700000000002</v>
      </c>
      <c r="BX69" s="185">
        <v>-5.8340000000000003E-2</v>
      </c>
      <c r="BY69" s="185">
        <v>0</v>
      </c>
      <c r="BZ69" s="185">
        <v>0</v>
      </c>
      <c r="CA69" s="185">
        <v>0</v>
      </c>
      <c r="CB69" s="185"/>
      <c r="CC69" s="185">
        <v>0</v>
      </c>
      <c r="CD69" s="185"/>
      <c r="CE69" s="194"/>
      <c r="CF69" s="185">
        <v>122.22099</v>
      </c>
      <c r="CG69" s="185">
        <v>124.55063</v>
      </c>
      <c r="CH69" s="185">
        <v>126.37909999999999</v>
      </c>
      <c r="CI69" s="185">
        <v>134.95420999999999</v>
      </c>
      <c r="CJ69" s="185">
        <v>137.67067</v>
      </c>
      <c r="CK69" s="185">
        <v>131.81638000000001</v>
      </c>
      <c r="CL69" s="185">
        <v>127.51186</v>
      </c>
      <c r="CM69" s="185">
        <v>125.82787</v>
      </c>
      <c r="CN69" s="185">
        <v>127.11074000000001</v>
      </c>
      <c r="CO69" s="185"/>
      <c r="CP69" s="185">
        <v>126.959</v>
      </c>
      <c r="CQ69" s="185"/>
      <c r="CR69" s="194"/>
      <c r="CS69" s="185">
        <v>51.110889999999998</v>
      </c>
      <c r="CT69" s="185">
        <v>65.910489999999996</v>
      </c>
      <c r="CU69" s="185">
        <v>62.612859999999998</v>
      </c>
      <c r="CV69" s="185">
        <v>73.312870000000004</v>
      </c>
      <c r="CW69" s="185">
        <v>66.816630000000004</v>
      </c>
      <c r="CX69" s="185">
        <v>56.098309999999998</v>
      </c>
      <c r="CY69" s="185">
        <v>59.05997</v>
      </c>
      <c r="CZ69" s="185">
        <v>62.791690000000003</v>
      </c>
      <c r="DA69" s="185">
        <v>60.75224</v>
      </c>
      <c r="DB69" s="185"/>
      <c r="DC69" s="185">
        <v>57.66469</v>
      </c>
      <c r="DD69" s="185"/>
      <c r="DE69" s="194"/>
      <c r="DF69" s="187">
        <v>0.122</v>
      </c>
      <c r="DG69" s="187">
        <v>0.11749999999999999</v>
      </c>
      <c r="DH69" s="187">
        <v>0.1203</v>
      </c>
      <c r="DI69" s="187">
        <v>0.10879999999999999</v>
      </c>
      <c r="DJ69" s="187">
        <v>0.1147</v>
      </c>
      <c r="DK69" s="187">
        <v>0.1237</v>
      </c>
      <c r="DL69" s="187">
        <v>0.1205</v>
      </c>
      <c r="DM69" s="187">
        <v>0.1216</v>
      </c>
      <c r="DN69" s="187">
        <v>0.12089999999999999</v>
      </c>
      <c r="DO69" s="187"/>
      <c r="DP69" s="187">
        <v>0.1149</v>
      </c>
      <c r="DQ69" s="187"/>
      <c r="DR69" s="195"/>
      <c r="DS69" s="185">
        <v>165265.52862</v>
      </c>
      <c r="DT69" s="185">
        <v>160158.59466</v>
      </c>
      <c r="DU69" s="185">
        <v>156596.24001000001</v>
      </c>
      <c r="DV69" s="185">
        <v>158369.14016000001</v>
      </c>
      <c r="DW69" s="185">
        <v>157554.32475999999</v>
      </c>
      <c r="DX69" s="185">
        <v>150443.39520999999</v>
      </c>
      <c r="DY69" s="185">
        <v>140168.04832</v>
      </c>
      <c r="DZ69" s="185">
        <v>138856.53948000001</v>
      </c>
      <c r="EA69" s="185">
        <v>140144.50313</v>
      </c>
      <c r="EB69" s="185"/>
      <c r="EC69" s="185">
        <v>138474.79498000001</v>
      </c>
      <c r="ED69" s="185"/>
      <c r="EE69" s="194"/>
      <c r="EF69" s="185">
        <v>0</v>
      </c>
      <c r="EG69" s="185">
        <v>0</v>
      </c>
      <c r="EH69" s="185">
        <v>0</v>
      </c>
      <c r="EI69" s="185">
        <v>0</v>
      </c>
      <c r="EJ69" s="185">
        <v>0</v>
      </c>
      <c r="EK69" s="185">
        <v>0</v>
      </c>
      <c r="EL69" s="185">
        <v>0</v>
      </c>
      <c r="EM69" s="185">
        <v>0</v>
      </c>
      <c r="EN69" s="185">
        <v>0</v>
      </c>
      <c r="EO69" s="185"/>
      <c r="EP69" s="185">
        <v>0</v>
      </c>
      <c r="EQ69" s="185"/>
      <c r="ER69" s="194"/>
      <c r="ES69" s="185">
        <v>10229111.689959999</v>
      </c>
      <c r="ET69" s="185">
        <v>6135774.9568299996</v>
      </c>
      <c r="EU69" s="185">
        <v>6059953.8958700001</v>
      </c>
      <c r="EV69" s="185">
        <v>7608469.54966</v>
      </c>
      <c r="EW69" s="185">
        <v>8614045.6502800006</v>
      </c>
      <c r="EX69" s="185">
        <v>8578830.8294300009</v>
      </c>
      <c r="EY69" s="185">
        <v>7918199.3566300003</v>
      </c>
      <c r="EZ69" s="185">
        <v>7577294.2044700002</v>
      </c>
      <c r="FA69" s="185">
        <v>7868311.2806200003</v>
      </c>
      <c r="FB69" s="185"/>
      <c r="FC69" s="185">
        <v>7829915.7634800002</v>
      </c>
      <c r="FD69" s="185"/>
      <c r="FE69" s="194"/>
      <c r="FF69" s="185"/>
      <c r="FG69" s="185"/>
      <c r="FH69" s="185"/>
      <c r="FI69" s="185"/>
      <c r="FJ69" s="185"/>
      <c r="FK69" s="185"/>
      <c r="FL69" s="185"/>
      <c r="FM69" s="185"/>
      <c r="FN69" s="185"/>
      <c r="FO69" s="185"/>
      <c r="FP69" s="185"/>
      <c r="FQ69" s="185"/>
      <c r="FR69" s="194"/>
    </row>
    <row r="70" spans="4:174" s="4" customFormat="1" x14ac:dyDescent="0.25">
      <c r="D70" s="92"/>
      <c r="E70" s="2" t="s">
        <v>155</v>
      </c>
      <c r="F70" s="184">
        <v>10.873559999999999</v>
      </c>
      <c r="G70" s="185">
        <v>7.9570600000000002</v>
      </c>
      <c r="H70" s="185">
        <v>8.7870299999999997</v>
      </c>
      <c r="I70" s="185">
        <v>9.5839099999999995</v>
      </c>
      <c r="J70" s="185">
        <v>11.40747</v>
      </c>
      <c r="K70" s="185">
        <v>13.479340000000001</v>
      </c>
      <c r="L70" s="185">
        <v>13.46555</v>
      </c>
      <c r="M70" s="185">
        <v>13.0534</v>
      </c>
      <c r="N70" s="185">
        <v>12.78988</v>
      </c>
      <c r="O70" s="185"/>
      <c r="P70" s="185">
        <v>13.45365</v>
      </c>
      <c r="Q70" s="185"/>
      <c r="R70" s="194"/>
      <c r="S70" s="185">
        <v>19.879740000000002</v>
      </c>
      <c r="T70" s="185">
        <v>20.425940000000001</v>
      </c>
      <c r="U70" s="185">
        <v>21.286190000000001</v>
      </c>
      <c r="V70" s="185">
        <v>22.113099999999999</v>
      </c>
      <c r="W70" s="185">
        <v>22.45393</v>
      </c>
      <c r="X70" s="185">
        <v>21.577179999999998</v>
      </c>
      <c r="Y70" s="185">
        <v>21.979759999999999</v>
      </c>
      <c r="Z70" s="185">
        <v>21.607009999999999</v>
      </c>
      <c r="AA70" s="185">
        <v>22.93788</v>
      </c>
      <c r="AB70" s="185"/>
      <c r="AC70" s="185">
        <v>23.053730000000002</v>
      </c>
      <c r="AD70" s="185"/>
      <c r="AE70" s="194"/>
      <c r="AF70" s="185">
        <v>2.4517799999999998</v>
      </c>
      <c r="AG70" s="185">
        <v>2.60568</v>
      </c>
      <c r="AH70" s="185">
        <v>2.78241</v>
      </c>
      <c r="AI70" s="185">
        <v>2.51274</v>
      </c>
      <c r="AJ70" s="185">
        <v>2.70946</v>
      </c>
      <c r="AK70" s="185">
        <v>2.97939</v>
      </c>
      <c r="AL70" s="185">
        <v>3.0471699999999999</v>
      </c>
      <c r="AM70" s="185">
        <v>3.0979299999999999</v>
      </c>
      <c r="AN70" s="185">
        <v>2.9791799999999999</v>
      </c>
      <c r="AO70" s="185"/>
      <c r="AP70" s="185">
        <v>2.8450899999999999</v>
      </c>
      <c r="AQ70" s="185"/>
      <c r="AR70" s="194"/>
      <c r="AS70" s="185">
        <v>7.3870000000000005E-2</v>
      </c>
      <c r="AT70" s="185">
        <v>8.1890000000000004E-2</v>
      </c>
      <c r="AU70" s="185">
        <v>8.5209999999999994E-2</v>
      </c>
      <c r="AV70" s="185">
        <v>8.5819999999999994E-2</v>
      </c>
      <c r="AW70" s="185">
        <v>8.8870000000000005E-2</v>
      </c>
      <c r="AX70" s="185">
        <v>9.5600000000000004E-2</v>
      </c>
      <c r="AY70" s="185">
        <v>0.1014</v>
      </c>
      <c r="AZ70" s="185">
        <v>0.107</v>
      </c>
      <c r="BA70" s="185">
        <v>9.7460000000000005E-2</v>
      </c>
      <c r="BB70" s="185"/>
      <c r="BC70" s="185">
        <v>0.10526000000000001</v>
      </c>
      <c r="BD70" s="185"/>
      <c r="BE70" s="194"/>
      <c r="BF70" s="185">
        <v>9.9260000000000001E-2</v>
      </c>
      <c r="BG70" s="185">
        <v>0.21304000000000001</v>
      </c>
      <c r="BH70" s="185">
        <v>4.4580000000000002E-2</v>
      </c>
      <c r="BI70" s="185">
        <v>4.3069999999999997E-2</v>
      </c>
      <c r="BJ70" s="185">
        <v>7.6569999999999999E-2</v>
      </c>
      <c r="BK70" s="185">
        <v>3.0040000000000001E-2</v>
      </c>
      <c r="BL70" s="185">
        <v>7.1470000000000006E-2</v>
      </c>
      <c r="BM70" s="185">
        <v>1.7749999999999998E-2</v>
      </c>
      <c r="BN70" s="185">
        <v>7.4969999999999995E-2</v>
      </c>
      <c r="BO70" s="185"/>
      <c r="BP70" s="185">
        <v>-7.5599999999999999E-3</v>
      </c>
      <c r="BQ70" s="185"/>
      <c r="BR70" s="194"/>
      <c r="BS70" s="185">
        <v>0</v>
      </c>
      <c r="BT70" s="185">
        <v>-3.0524</v>
      </c>
      <c r="BU70" s="185">
        <v>-2.8582000000000001</v>
      </c>
      <c r="BV70" s="185">
        <v>-0.99578</v>
      </c>
      <c r="BW70" s="185">
        <v>-0.45080999999999999</v>
      </c>
      <c r="BX70" s="185">
        <v>-1.0829999999999999E-2</v>
      </c>
      <c r="BY70" s="185">
        <v>0</v>
      </c>
      <c r="BZ70" s="185">
        <v>0</v>
      </c>
      <c r="CA70" s="185">
        <v>0</v>
      </c>
      <c r="CB70" s="185"/>
      <c r="CC70" s="185">
        <v>0</v>
      </c>
      <c r="CD70" s="185"/>
      <c r="CE70" s="194"/>
      <c r="CF70" s="185">
        <v>22.504660000000001</v>
      </c>
      <c r="CG70" s="185">
        <v>23.326550000000001</v>
      </c>
      <c r="CH70" s="185">
        <v>24.19838</v>
      </c>
      <c r="CI70" s="185">
        <v>24.754719999999999</v>
      </c>
      <c r="CJ70" s="185">
        <v>25.32884</v>
      </c>
      <c r="CK70" s="185">
        <v>24.682210000000001</v>
      </c>
      <c r="CL70" s="185">
        <v>25.1998</v>
      </c>
      <c r="CM70" s="185">
        <v>24.82968</v>
      </c>
      <c r="CN70" s="185">
        <v>26.089490000000001</v>
      </c>
      <c r="CO70" s="185"/>
      <c r="CP70" s="185">
        <v>25.99652</v>
      </c>
      <c r="CQ70" s="185"/>
      <c r="CR70" s="194"/>
      <c r="CS70" s="185">
        <v>11.6311</v>
      </c>
      <c r="CT70" s="185">
        <v>12.31709</v>
      </c>
      <c r="CU70" s="185">
        <v>12.55315</v>
      </c>
      <c r="CV70" s="185">
        <v>14.17503</v>
      </c>
      <c r="CW70" s="185">
        <v>13.470560000000001</v>
      </c>
      <c r="CX70" s="185">
        <v>11.19204</v>
      </c>
      <c r="CY70" s="185">
        <v>11.734249999999999</v>
      </c>
      <c r="CZ70" s="185">
        <v>11.77628</v>
      </c>
      <c r="DA70" s="185">
        <v>13.299609999999999</v>
      </c>
      <c r="DB70" s="185"/>
      <c r="DC70" s="185">
        <v>12.542870000000001</v>
      </c>
      <c r="DD70" s="185"/>
      <c r="DE70" s="194"/>
      <c r="DF70" s="187">
        <v>0.1089</v>
      </c>
      <c r="DG70" s="187">
        <v>0.11169999999999999</v>
      </c>
      <c r="DH70" s="187">
        <v>0.115</v>
      </c>
      <c r="DI70" s="187">
        <v>0.10150000000000001</v>
      </c>
      <c r="DJ70" s="187">
        <v>0.107</v>
      </c>
      <c r="DK70" s="187">
        <v>0.1207</v>
      </c>
      <c r="DL70" s="187">
        <v>0.12089999999999999</v>
      </c>
      <c r="DM70" s="187">
        <v>0.12479999999999999</v>
      </c>
      <c r="DN70" s="187">
        <v>0.1142</v>
      </c>
      <c r="DO70" s="187"/>
      <c r="DP70" s="187">
        <v>0.1094</v>
      </c>
      <c r="DQ70" s="187"/>
      <c r="DR70" s="195"/>
      <c r="DS70" s="185">
        <v>27968.704450000001</v>
      </c>
      <c r="DT70" s="185">
        <v>28543.916969999998</v>
      </c>
      <c r="DU70" s="185">
        <v>28597.026679999999</v>
      </c>
      <c r="DV70" s="185">
        <v>28146.92985</v>
      </c>
      <c r="DW70" s="185">
        <v>28010.77449</v>
      </c>
      <c r="DX70" s="185">
        <v>28218.358609999999</v>
      </c>
      <c r="DY70" s="185">
        <v>28084.19829</v>
      </c>
      <c r="DZ70" s="185">
        <v>27530.432400000002</v>
      </c>
      <c r="EA70" s="185">
        <v>27100.038329999999</v>
      </c>
      <c r="EB70" s="185"/>
      <c r="EC70" s="185">
        <v>27100.038329999999</v>
      </c>
      <c r="ED70" s="185"/>
      <c r="EE70" s="194"/>
      <c r="EF70" s="185">
        <v>0</v>
      </c>
      <c r="EG70" s="185">
        <v>0</v>
      </c>
      <c r="EH70" s="185">
        <v>0</v>
      </c>
      <c r="EI70" s="185">
        <v>0</v>
      </c>
      <c r="EJ70" s="185">
        <v>0</v>
      </c>
      <c r="EK70" s="185">
        <v>0</v>
      </c>
      <c r="EL70" s="185">
        <v>0</v>
      </c>
      <c r="EM70" s="185">
        <v>0</v>
      </c>
      <c r="EN70" s="185">
        <v>0</v>
      </c>
      <c r="EO70" s="185"/>
      <c r="EP70" s="185">
        <v>0</v>
      </c>
      <c r="EQ70" s="185"/>
      <c r="ER70" s="194"/>
      <c r="ES70" s="185">
        <v>1188865.0820200001</v>
      </c>
      <c r="ET70" s="185">
        <v>873212.45626000001</v>
      </c>
      <c r="EU70" s="185">
        <v>848743.67134999996</v>
      </c>
      <c r="EV70" s="185">
        <v>934235.10791999998</v>
      </c>
      <c r="EW70" s="185">
        <v>1095417.44835</v>
      </c>
      <c r="EX70" s="185">
        <v>1183800.2829100001</v>
      </c>
      <c r="EY70" s="185">
        <v>1228164.8101900001</v>
      </c>
      <c r="EZ70" s="185">
        <v>1217888.31394</v>
      </c>
      <c r="FA70" s="185">
        <v>1191971.9340900001</v>
      </c>
      <c r="FB70" s="185"/>
      <c r="FC70" s="185">
        <v>1195763.95945</v>
      </c>
      <c r="FD70" s="185"/>
      <c r="FE70" s="194"/>
      <c r="FF70" s="185"/>
      <c r="FG70" s="185"/>
      <c r="FH70" s="185"/>
      <c r="FI70" s="185"/>
      <c r="FJ70" s="185"/>
      <c r="FK70" s="185"/>
      <c r="FL70" s="185"/>
      <c r="FM70" s="185"/>
      <c r="FN70" s="185"/>
      <c r="FO70" s="185"/>
      <c r="FP70" s="185"/>
      <c r="FQ70" s="185"/>
      <c r="FR70" s="194"/>
    </row>
    <row r="71" spans="4:174" s="4" customFormat="1" x14ac:dyDescent="0.25">
      <c r="D71" s="92"/>
      <c r="E71" s="2" t="s">
        <v>156</v>
      </c>
      <c r="F71" s="184">
        <v>15.72151</v>
      </c>
      <c r="G71" s="185">
        <v>10.6427</v>
      </c>
      <c r="H71" s="185">
        <v>11.559049999999999</v>
      </c>
      <c r="I71" s="185">
        <v>13.55143</v>
      </c>
      <c r="J71" s="185">
        <v>15.591390000000001</v>
      </c>
      <c r="K71" s="185">
        <v>17.633479999999999</v>
      </c>
      <c r="L71" s="185">
        <v>17.09055</v>
      </c>
      <c r="M71" s="185">
        <v>18.443560000000002</v>
      </c>
      <c r="N71" s="185">
        <v>18.83456</v>
      </c>
      <c r="O71" s="185"/>
      <c r="P71" s="185">
        <v>19.760359999999999</v>
      </c>
      <c r="Q71" s="185"/>
      <c r="R71" s="194"/>
      <c r="S71" s="185">
        <v>36.026490000000003</v>
      </c>
      <c r="T71" s="185">
        <v>37.599350000000001</v>
      </c>
      <c r="U71" s="185">
        <v>39.184429999999999</v>
      </c>
      <c r="V71" s="185">
        <v>42.477269999999997</v>
      </c>
      <c r="W71" s="185">
        <v>43.737270000000002</v>
      </c>
      <c r="X71" s="185">
        <v>43.457360000000001</v>
      </c>
      <c r="Y71" s="185">
        <v>44.281309999999998</v>
      </c>
      <c r="Z71" s="185">
        <v>47.947679999999998</v>
      </c>
      <c r="AA71" s="185">
        <v>49.377650000000003</v>
      </c>
      <c r="AB71" s="185"/>
      <c r="AC71" s="185">
        <v>48.467730000000003</v>
      </c>
      <c r="AD71" s="185"/>
      <c r="AE71" s="194"/>
      <c r="AF71" s="185">
        <v>3.92597</v>
      </c>
      <c r="AG71" s="185">
        <v>3.9653900000000002</v>
      </c>
      <c r="AH71" s="185">
        <v>4.2123600000000003</v>
      </c>
      <c r="AI71" s="185">
        <v>3.8856700000000002</v>
      </c>
      <c r="AJ71" s="185">
        <v>4.16343</v>
      </c>
      <c r="AK71" s="185">
        <v>4.4869599999999998</v>
      </c>
      <c r="AL71" s="185">
        <v>4.5292500000000002</v>
      </c>
      <c r="AM71" s="185">
        <v>5.2207499999999998</v>
      </c>
      <c r="AN71" s="185">
        <v>5.1754499999999997</v>
      </c>
      <c r="AO71" s="185"/>
      <c r="AP71" s="185">
        <v>4.8675300000000004</v>
      </c>
      <c r="AQ71" s="185"/>
      <c r="AR71" s="194"/>
      <c r="AS71" s="185">
        <v>0.1241</v>
      </c>
      <c r="AT71" s="185">
        <v>0.13014000000000001</v>
      </c>
      <c r="AU71" s="185">
        <v>0.13508000000000001</v>
      </c>
      <c r="AV71" s="185">
        <v>0.13793</v>
      </c>
      <c r="AW71" s="185">
        <v>0.14366000000000001</v>
      </c>
      <c r="AX71" s="185">
        <v>0.15451999999999999</v>
      </c>
      <c r="AY71" s="185">
        <v>0.16535</v>
      </c>
      <c r="AZ71" s="185">
        <v>0.19878000000000001</v>
      </c>
      <c r="BA71" s="185">
        <v>0.18531</v>
      </c>
      <c r="BB71" s="185"/>
      <c r="BC71" s="185">
        <v>0.20535999999999999</v>
      </c>
      <c r="BD71" s="185"/>
      <c r="BE71" s="194"/>
      <c r="BF71" s="185">
        <v>0.16675000000000001</v>
      </c>
      <c r="BG71" s="185">
        <v>0.33856000000000003</v>
      </c>
      <c r="BH71" s="185">
        <v>7.0680000000000007E-2</v>
      </c>
      <c r="BI71" s="185">
        <v>6.9220000000000004E-2</v>
      </c>
      <c r="BJ71" s="185">
        <v>0.12378</v>
      </c>
      <c r="BK71" s="185">
        <v>4.8559999999999999E-2</v>
      </c>
      <c r="BL71" s="185">
        <v>0.11655</v>
      </c>
      <c r="BM71" s="185">
        <v>3.2980000000000002E-2</v>
      </c>
      <c r="BN71" s="185">
        <v>0.14255999999999999</v>
      </c>
      <c r="BO71" s="185"/>
      <c r="BP71" s="185">
        <v>-1.4749999999999999E-2</v>
      </c>
      <c r="BQ71" s="185"/>
      <c r="BR71" s="194"/>
      <c r="BS71" s="185">
        <v>0</v>
      </c>
      <c r="BT71" s="185">
        <v>-4.30511</v>
      </c>
      <c r="BU71" s="185">
        <v>-3.89073</v>
      </c>
      <c r="BV71" s="185">
        <v>-0.83087</v>
      </c>
      <c r="BW71" s="185">
        <v>-0.69925999999999999</v>
      </c>
      <c r="BX71" s="185">
        <v>-2.1100000000000001E-2</v>
      </c>
      <c r="BY71" s="185">
        <v>0</v>
      </c>
      <c r="BZ71" s="185">
        <v>0</v>
      </c>
      <c r="CA71" s="185">
        <v>0</v>
      </c>
      <c r="CB71" s="185"/>
      <c r="CC71" s="185">
        <v>0</v>
      </c>
      <c r="CD71" s="185"/>
      <c r="CE71" s="194"/>
      <c r="CF71" s="185">
        <v>40.243299999999998</v>
      </c>
      <c r="CG71" s="185">
        <v>42.033439999999999</v>
      </c>
      <c r="CH71" s="185">
        <v>43.602550000000001</v>
      </c>
      <c r="CI71" s="185">
        <v>46.57009</v>
      </c>
      <c r="CJ71" s="185">
        <v>48.168140000000001</v>
      </c>
      <c r="CK71" s="185">
        <v>48.147399999999998</v>
      </c>
      <c r="CL71" s="185">
        <v>49.092460000000003</v>
      </c>
      <c r="CM71" s="185">
        <v>53.400190000000002</v>
      </c>
      <c r="CN71" s="185">
        <v>54.880980000000001</v>
      </c>
      <c r="CO71" s="185"/>
      <c r="CP71" s="185">
        <v>53.525869999999998</v>
      </c>
      <c r="CQ71" s="185"/>
      <c r="CR71" s="194"/>
      <c r="CS71" s="185">
        <v>24.521789999999999</v>
      </c>
      <c r="CT71" s="185">
        <v>27.085619999999999</v>
      </c>
      <c r="CU71" s="185">
        <v>28.152760000000001</v>
      </c>
      <c r="CV71" s="185">
        <v>32.18779</v>
      </c>
      <c r="CW71" s="185">
        <v>31.877500000000001</v>
      </c>
      <c r="CX71" s="185">
        <v>30.492830000000001</v>
      </c>
      <c r="CY71" s="185">
        <v>32.001910000000002</v>
      </c>
      <c r="CZ71" s="185">
        <v>34.956629999999997</v>
      </c>
      <c r="DA71" s="185">
        <v>36.046419999999998</v>
      </c>
      <c r="DB71" s="185"/>
      <c r="DC71" s="185">
        <v>33.765509999999999</v>
      </c>
      <c r="DD71" s="185"/>
      <c r="DE71" s="194"/>
      <c r="DF71" s="187">
        <v>9.7600000000000006E-2</v>
      </c>
      <c r="DG71" s="187">
        <v>9.4299999999999995E-2</v>
      </c>
      <c r="DH71" s="187">
        <v>9.6600000000000005E-2</v>
      </c>
      <c r="DI71" s="187">
        <v>8.3400000000000002E-2</v>
      </c>
      <c r="DJ71" s="187">
        <v>8.6400000000000005E-2</v>
      </c>
      <c r="DK71" s="187">
        <v>9.3200000000000005E-2</v>
      </c>
      <c r="DL71" s="187">
        <v>9.2299999999999993E-2</v>
      </c>
      <c r="DM71" s="187">
        <v>9.7799999999999998E-2</v>
      </c>
      <c r="DN71" s="187">
        <v>9.4299999999999995E-2</v>
      </c>
      <c r="DO71" s="187"/>
      <c r="DP71" s="187">
        <v>9.0899999999999995E-2</v>
      </c>
      <c r="DQ71" s="187"/>
      <c r="DR71" s="195"/>
      <c r="DS71" s="185">
        <v>46982.569620000002</v>
      </c>
      <c r="DT71" s="185">
        <v>45361.461309999999</v>
      </c>
      <c r="DU71" s="185">
        <v>45335.036740000003</v>
      </c>
      <c r="DV71" s="185">
        <v>45237.569040000002</v>
      </c>
      <c r="DW71" s="185">
        <v>45278.47135</v>
      </c>
      <c r="DX71" s="185">
        <v>45609.64574</v>
      </c>
      <c r="DY71" s="185">
        <v>45797.587039999999</v>
      </c>
      <c r="DZ71" s="185">
        <v>51145.906920000001</v>
      </c>
      <c r="EA71" s="185">
        <v>51530.635860000002</v>
      </c>
      <c r="EB71" s="185"/>
      <c r="EC71" s="185">
        <v>52870.852529999996</v>
      </c>
      <c r="ED71" s="185"/>
      <c r="EE71" s="194"/>
      <c r="EF71" s="185">
        <v>0</v>
      </c>
      <c r="EG71" s="185">
        <v>0</v>
      </c>
      <c r="EH71" s="185">
        <v>0</v>
      </c>
      <c r="EI71" s="185">
        <v>0</v>
      </c>
      <c r="EJ71" s="185">
        <v>0</v>
      </c>
      <c r="EK71" s="185">
        <v>0</v>
      </c>
      <c r="EL71" s="185">
        <v>0</v>
      </c>
      <c r="EM71" s="185">
        <v>0</v>
      </c>
      <c r="EN71" s="185">
        <v>0</v>
      </c>
      <c r="EO71" s="185"/>
      <c r="EP71" s="185">
        <v>0</v>
      </c>
      <c r="EQ71" s="185"/>
      <c r="ER71" s="194"/>
      <c r="ES71" s="185">
        <v>1499071.3279800001</v>
      </c>
      <c r="ET71" s="185">
        <v>998590.43918999995</v>
      </c>
      <c r="EU71" s="185">
        <v>971106.52231000003</v>
      </c>
      <c r="EV71" s="185">
        <v>1188324.18872</v>
      </c>
      <c r="EW71" s="185">
        <v>1295227.28519</v>
      </c>
      <c r="EX71" s="185">
        <v>1321506.6988599999</v>
      </c>
      <c r="EY71" s="185">
        <v>1307510.9512100001</v>
      </c>
      <c r="EZ71" s="185">
        <v>1508059.83834</v>
      </c>
      <c r="FA71" s="185">
        <v>1520696.1841200001</v>
      </c>
      <c r="FB71" s="185"/>
      <c r="FC71" s="185">
        <v>1531713.38008</v>
      </c>
      <c r="FD71" s="185"/>
      <c r="FE71" s="194"/>
      <c r="FF71" s="185"/>
      <c r="FG71" s="185"/>
      <c r="FH71" s="185"/>
      <c r="FI71" s="185"/>
      <c r="FJ71" s="185"/>
      <c r="FK71" s="185"/>
      <c r="FL71" s="185"/>
      <c r="FM71" s="185"/>
      <c r="FN71" s="185"/>
      <c r="FO71" s="185"/>
      <c r="FP71" s="185"/>
      <c r="FQ71" s="185"/>
      <c r="FR71" s="194"/>
    </row>
    <row r="72" spans="4:174" s="4" customFormat="1" x14ac:dyDescent="0.25">
      <c r="D72" s="92"/>
      <c r="E72" s="2" t="s">
        <v>157</v>
      </c>
      <c r="F72" s="184">
        <v>11.890599999999999</v>
      </c>
      <c r="G72" s="185">
        <v>8.4024999999999999</v>
      </c>
      <c r="H72" s="185">
        <v>9.1516699999999993</v>
      </c>
      <c r="I72" s="185">
        <v>10.745189999999999</v>
      </c>
      <c r="J72" s="185">
        <v>12.58254</v>
      </c>
      <c r="K72" s="185">
        <v>14.536020000000001</v>
      </c>
      <c r="L72" s="185">
        <v>15.031330000000001</v>
      </c>
      <c r="M72" s="185">
        <v>15.453889999999999</v>
      </c>
      <c r="N72" s="185">
        <v>15.6846</v>
      </c>
      <c r="O72" s="185"/>
      <c r="P72" s="185">
        <v>16.39301</v>
      </c>
      <c r="Q72" s="185"/>
      <c r="R72" s="194"/>
      <c r="S72" s="185">
        <v>24.510649999999998</v>
      </c>
      <c r="T72" s="185">
        <v>26.73901</v>
      </c>
      <c r="U72" s="185">
        <v>27.89742</v>
      </c>
      <c r="V72" s="185">
        <v>30.212759999999999</v>
      </c>
      <c r="W72" s="185">
        <v>30.58896</v>
      </c>
      <c r="X72" s="185">
        <v>28.31607</v>
      </c>
      <c r="Y72" s="185">
        <v>29.47392</v>
      </c>
      <c r="Z72" s="185">
        <v>31.390940000000001</v>
      </c>
      <c r="AA72" s="185">
        <v>32.270650000000003</v>
      </c>
      <c r="AB72" s="185"/>
      <c r="AC72" s="185">
        <v>32.984259999999999</v>
      </c>
      <c r="AD72" s="185"/>
      <c r="AE72" s="194"/>
      <c r="AF72" s="185">
        <v>2.9075799999999998</v>
      </c>
      <c r="AG72" s="185">
        <v>3.0781399999999999</v>
      </c>
      <c r="AH72" s="185">
        <v>3.2650000000000001</v>
      </c>
      <c r="AI72" s="185">
        <v>2.9853499999999999</v>
      </c>
      <c r="AJ72" s="185">
        <v>3.2323599999999999</v>
      </c>
      <c r="AK72" s="185">
        <v>3.6710099999999999</v>
      </c>
      <c r="AL72" s="185">
        <v>3.90889</v>
      </c>
      <c r="AM72" s="185">
        <v>4.2405900000000001</v>
      </c>
      <c r="AN72" s="185">
        <v>4.2364100000000002</v>
      </c>
      <c r="AO72" s="185"/>
      <c r="AP72" s="185">
        <v>3.9426999999999999</v>
      </c>
      <c r="AQ72" s="185"/>
      <c r="AR72" s="194"/>
      <c r="AS72" s="185">
        <v>9.1359999999999997E-2</v>
      </c>
      <c r="AT72" s="185">
        <v>0.10357</v>
      </c>
      <c r="AU72" s="185">
        <v>0.10728</v>
      </c>
      <c r="AV72" s="185">
        <v>0.10899</v>
      </c>
      <c r="AW72" s="185">
        <v>0.11377</v>
      </c>
      <c r="AX72" s="185">
        <v>0.12703</v>
      </c>
      <c r="AY72" s="185">
        <v>0.14221</v>
      </c>
      <c r="AZ72" s="185">
        <v>0.15975</v>
      </c>
      <c r="BA72" s="185">
        <v>0.15132999999999999</v>
      </c>
      <c r="BB72" s="185"/>
      <c r="BC72" s="185">
        <v>0.16342999999999999</v>
      </c>
      <c r="BD72" s="185"/>
      <c r="BE72" s="194"/>
      <c r="BF72" s="185">
        <v>0.12275999999999999</v>
      </c>
      <c r="BG72" s="185">
        <v>0.26944000000000001</v>
      </c>
      <c r="BH72" s="185">
        <v>5.6129999999999999E-2</v>
      </c>
      <c r="BI72" s="185">
        <v>5.4699999999999999E-2</v>
      </c>
      <c r="BJ72" s="185">
        <v>9.8019999999999996E-2</v>
      </c>
      <c r="BK72" s="185">
        <v>3.9919999999999997E-2</v>
      </c>
      <c r="BL72" s="185">
        <v>0.10023</v>
      </c>
      <c r="BM72" s="185">
        <v>2.6499999999999999E-2</v>
      </c>
      <c r="BN72" s="185">
        <v>0.11642</v>
      </c>
      <c r="BO72" s="185"/>
      <c r="BP72" s="185">
        <v>-1.174E-2</v>
      </c>
      <c r="BQ72" s="185"/>
      <c r="BR72" s="194"/>
      <c r="BS72" s="185">
        <v>0</v>
      </c>
      <c r="BT72" s="185">
        <v>-3.1116899999999998</v>
      </c>
      <c r="BU72" s="185">
        <v>-3.2244999999999999</v>
      </c>
      <c r="BV72" s="185">
        <v>-0.96072999999999997</v>
      </c>
      <c r="BW72" s="185">
        <v>-0.55096000000000001</v>
      </c>
      <c r="BX72" s="185">
        <v>-1.4760000000000001E-2</v>
      </c>
      <c r="BY72" s="185">
        <v>0</v>
      </c>
      <c r="BZ72" s="185">
        <v>0</v>
      </c>
      <c r="CA72" s="185">
        <v>0</v>
      </c>
      <c r="CB72" s="185"/>
      <c r="CC72" s="185">
        <v>0</v>
      </c>
      <c r="CD72" s="185"/>
      <c r="CE72" s="194"/>
      <c r="CF72" s="185">
        <v>27.632349999999999</v>
      </c>
      <c r="CG72" s="185">
        <v>30.190159999999999</v>
      </c>
      <c r="CH72" s="185">
        <v>31.32583</v>
      </c>
      <c r="CI72" s="185">
        <v>33.361789999999999</v>
      </c>
      <c r="CJ72" s="185">
        <v>34.033110000000001</v>
      </c>
      <c r="CK72" s="185">
        <v>32.154040000000002</v>
      </c>
      <c r="CL72" s="185">
        <v>33.625259999999997</v>
      </c>
      <c r="CM72" s="185">
        <v>35.817779999999999</v>
      </c>
      <c r="CN72" s="185">
        <v>36.774810000000002</v>
      </c>
      <c r="CO72" s="185"/>
      <c r="CP72" s="185">
        <v>37.078650000000003</v>
      </c>
      <c r="CQ72" s="185"/>
      <c r="CR72" s="194"/>
      <c r="CS72" s="185">
        <v>15.74175</v>
      </c>
      <c r="CT72" s="185">
        <v>18.67597</v>
      </c>
      <c r="CU72" s="185">
        <v>18.949660000000002</v>
      </c>
      <c r="CV72" s="185">
        <v>21.65587</v>
      </c>
      <c r="CW72" s="185">
        <v>20.899609999999999</v>
      </c>
      <c r="CX72" s="185">
        <v>17.603269999999998</v>
      </c>
      <c r="CY72" s="185">
        <v>18.59393</v>
      </c>
      <c r="CZ72" s="185">
        <v>20.363890000000001</v>
      </c>
      <c r="DA72" s="185">
        <v>21.090209999999999</v>
      </c>
      <c r="DB72" s="185"/>
      <c r="DC72" s="185">
        <v>20.685649999999999</v>
      </c>
      <c r="DD72" s="185"/>
      <c r="DE72" s="194"/>
      <c r="DF72" s="187">
        <v>0.1052</v>
      </c>
      <c r="DG72" s="187">
        <v>0.10199999999999999</v>
      </c>
      <c r="DH72" s="187">
        <v>0.1042</v>
      </c>
      <c r="DI72" s="187">
        <v>8.9499999999999996E-2</v>
      </c>
      <c r="DJ72" s="187">
        <v>9.5000000000000001E-2</v>
      </c>
      <c r="DK72" s="187">
        <v>0.1142</v>
      </c>
      <c r="DL72" s="187">
        <v>0.1162</v>
      </c>
      <c r="DM72" s="187">
        <v>0.11840000000000001</v>
      </c>
      <c r="DN72" s="187">
        <v>0.1152</v>
      </c>
      <c r="DO72" s="187"/>
      <c r="DP72" s="187">
        <v>0.10630000000000001</v>
      </c>
      <c r="DQ72" s="187"/>
      <c r="DR72" s="195"/>
      <c r="DS72" s="185">
        <v>34589.794999999998</v>
      </c>
      <c r="DT72" s="185">
        <v>36100.304479999999</v>
      </c>
      <c r="DU72" s="185">
        <v>36002.794439999998</v>
      </c>
      <c r="DV72" s="185">
        <v>35745.782959999997</v>
      </c>
      <c r="DW72" s="185">
        <v>35857.171900000001</v>
      </c>
      <c r="DX72" s="185">
        <v>37496.888980000003</v>
      </c>
      <c r="DY72" s="185">
        <v>39387.514920000001</v>
      </c>
      <c r="DZ72" s="185">
        <v>41103.566760000002</v>
      </c>
      <c r="EA72" s="185">
        <v>42080.133930000004</v>
      </c>
      <c r="EB72" s="185"/>
      <c r="EC72" s="185">
        <v>42075.281410000003</v>
      </c>
      <c r="ED72" s="185"/>
      <c r="EE72" s="194"/>
      <c r="EF72" s="185">
        <v>0</v>
      </c>
      <c r="EG72" s="185">
        <v>0</v>
      </c>
      <c r="EH72" s="185">
        <v>0</v>
      </c>
      <c r="EI72" s="185">
        <v>0</v>
      </c>
      <c r="EJ72" s="185">
        <v>0</v>
      </c>
      <c r="EK72" s="185">
        <v>0</v>
      </c>
      <c r="EL72" s="185">
        <v>0</v>
      </c>
      <c r="EM72" s="185">
        <v>0</v>
      </c>
      <c r="EN72" s="185">
        <v>0</v>
      </c>
      <c r="EO72" s="185"/>
      <c r="EP72" s="185">
        <v>0</v>
      </c>
      <c r="EQ72" s="185"/>
      <c r="ER72" s="194"/>
      <c r="ES72" s="185">
        <v>1428032.80592</v>
      </c>
      <c r="ET72" s="185">
        <v>1017287.11948</v>
      </c>
      <c r="EU72" s="185">
        <v>1024185.55981</v>
      </c>
      <c r="EV72" s="185">
        <v>1212488.5836400001</v>
      </c>
      <c r="EW72" s="185">
        <v>1364605.8257800001</v>
      </c>
      <c r="EX72" s="185">
        <v>1429847.4569000001</v>
      </c>
      <c r="EY72" s="185">
        <v>1535619.1756500001</v>
      </c>
      <c r="EZ72" s="185">
        <v>1593072.9830199999</v>
      </c>
      <c r="FA72" s="185">
        <v>1628161.0713599999</v>
      </c>
      <c r="FB72" s="185"/>
      <c r="FC72" s="185">
        <v>1627515.66044</v>
      </c>
      <c r="FD72" s="185"/>
      <c r="FE72" s="194"/>
      <c r="FF72" s="185"/>
      <c r="FG72" s="185"/>
      <c r="FH72" s="185"/>
      <c r="FI72" s="185"/>
      <c r="FJ72" s="185"/>
      <c r="FK72" s="185"/>
      <c r="FL72" s="185"/>
      <c r="FM72" s="185"/>
      <c r="FN72" s="185"/>
      <c r="FO72" s="185"/>
      <c r="FP72" s="185"/>
      <c r="FQ72" s="185"/>
      <c r="FR72" s="194"/>
    </row>
    <row r="73" spans="4:174" s="4" customFormat="1" x14ac:dyDescent="0.25">
      <c r="D73" s="92"/>
      <c r="E73" s="2" t="s">
        <v>158</v>
      </c>
      <c r="F73" s="184">
        <v>4.7683</v>
      </c>
      <c r="G73" s="185">
        <v>3.1152500000000001</v>
      </c>
      <c r="H73" s="185">
        <v>3.46536</v>
      </c>
      <c r="I73" s="185">
        <v>4.4668400000000004</v>
      </c>
      <c r="J73" s="185">
        <v>5.0925500000000001</v>
      </c>
      <c r="K73" s="185">
        <v>6.1187699999999996</v>
      </c>
      <c r="L73" s="185">
        <v>5.9612999999999996</v>
      </c>
      <c r="M73" s="185">
        <v>5.7524600000000001</v>
      </c>
      <c r="N73" s="185">
        <v>5.8403999999999998</v>
      </c>
      <c r="O73" s="185"/>
      <c r="P73" s="185">
        <v>6.1171600000000002</v>
      </c>
      <c r="Q73" s="185"/>
      <c r="R73" s="194"/>
      <c r="S73" s="185">
        <v>9.71068</v>
      </c>
      <c r="T73" s="185">
        <v>10.161199999999999</v>
      </c>
      <c r="U73" s="185">
        <v>10.66456</v>
      </c>
      <c r="V73" s="185">
        <v>11.596259999999999</v>
      </c>
      <c r="W73" s="185">
        <v>11.84451</v>
      </c>
      <c r="X73" s="185">
        <v>11.430120000000001</v>
      </c>
      <c r="Y73" s="185">
        <v>11.66011</v>
      </c>
      <c r="Z73" s="185">
        <v>11.44787</v>
      </c>
      <c r="AA73" s="185">
        <v>11.61645</v>
      </c>
      <c r="AB73" s="185"/>
      <c r="AC73" s="185">
        <v>11.73638</v>
      </c>
      <c r="AD73" s="185"/>
      <c r="AE73" s="194"/>
      <c r="AF73" s="185">
        <v>1.16188</v>
      </c>
      <c r="AG73" s="185">
        <v>1.3066800000000001</v>
      </c>
      <c r="AH73" s="185">
        <v>1.3884700000000001</v>
      </c>
      <c r="AI73" s="185">
        <v>1.33114</v>
      </c>
      <c r="AJ73" s="185">
        <v>1.407</v>
      </c>
      <c r="AK73" s="185">
        <v>1.5514699999999999</v>
      </c>
      <c r="AL73" s="185">
        <v>1.57117</v>
      </c>
      <c r="AM73" s="185">
        <v>1.60138</v>
      </c>
      <c r="AN73" s="185">
        <v>1.5764499999999999</v>
      </c>
      <c r="AO73" s="185"/>
      <c r="AP73" s="185">
        <v>1.49214</v>
      </c>
      <c r="AQ73" s="185"/>
      <c r="AR73" s="194"/>
      <c r="AS73" s="185">
        <v>3.5619999999999999E-2</v>
      </c>
      <c r="AT73" s="185">
        <v>4.129E-2</v>
      </c>
      <c r="AU73" s="185">
        <v>4.2950000000000002E-2</v>
      </c>
      <c r="AV73" s="185">
        <v>4.4330000000000001E-2</v>
      </c>
      <c r="AW73" s="185">
        <v>4.607E-2</v>
      </c>
      <c r="AX73" s="185">
        <v>4.9549999999999997E-2</v>
      </c>
      <c r="AY73" s="185">
        <v>5.2639999999999999E-2</v>
      </c>
      <c r="AZ73" s="185">
        <v>5.6680000000000001E-2</v>
      </c>
      <c r="BA73" s="185">
        <v>5.2510000000000001E-2</v>
      </c>
      <c r="BB73" s="185"/>
      <c r="BC73" s="185">
        <v>5.672E-2</v>
      </c>
      <c r="BD73" s="185"/>
      <c r="BE73" s="194"/>
      <c r="BF73" s="185">
        <v>4.7870000000000003E-2</v>
      </c>
      <c r="BG73" s="185">
        <v>0.10741000000000001</v>
      </c>
      <c r="BH73" s="185">
        <v>2.247E-2</v>
      </c>
      <c r="BI73" s="185">
        <v>2.2249999999999999E-2</v>
      </c>
      <c r="BJ73" s="185">
        <v>3.9690000000000003E-2</v>
      </c>
      <c r="BK73" s="185">
        <v>1.5570000000000001E-2</v>
      </c>
      <c r="BL73" s="185">
        <v>3.7100000000000001E-2</v>
      </c>
      <c r="BM73" s="185">
        <v>9.4000000000000004E-3</v>
      </c>
      <c r="BN73" s="185">
        <v>4.0399999999999998E-2</v>
      </c>
      <c r="BO73" s="185"/>
      <c r="BP73" s="185">
        <v>-4.0699999999999998E-3</v>
      </c>
      <c r="BQ73" s="185"/>
      <c r="BR73" s="194"/>
      <c r="BS73" s="185">
        <v>0</v>
      </c>
      <c r="BT73" s="185">
        <v>-2.1486999999999998</v>
      </c>
      <c r="BU73" s="185">
        <v>-1.57056</v>
      </c>
      <c r="BV73" s="185">
        <v>-0.24975</v>
      </c>
      <c r="BW73" s="185">
        <v>-0.19336</v>
      </c>
      <c r="BX73" s="185">
        <v>-5.7099999999999998E-3</v>
      </c>
      <c r="BY73" s="185">
        <v>0</v>
      </c>
      <c r="BZ73" s="185">
        <v>0</v>
      </c>
      <c r="CA73" s="185">
        <v>0</v>
      </c>
      <c r="CB73" s="185"/>
      <c r="CC73" s="185">
        <v>0</v>
      </c>
      <c r="CD73" s="185"/>
      <c r="CE73" s="194"/>
      <c r="CF73" s="185">
        <v>10.956049999999999</v>
      </c>
      <c r="CG73" s="185">
        <v>11.616580000000001</v>
      </c>
      <c r="CH73" s="185">
        <v>12.118460000000001</v>
      </c>
      <c r="CI73" s="185">
        <v>12.99399</v>
      </c>
      <c r="CJ73" s="185">
        <v>13.33727</v>
      </c>
      <c r="CK73" s="185">
        <v>13.04673</v>
      </c>
      <c r="CL73" s="185">
        <v>13.321020000000001</v>
      </c>
      <c r="CM73" s="185">
        <v>13.11533</v>
      </c>
      <c r="CN73" s="185">
        <v>13.285819999999999</v>
      </c>
      <c r="CO73" s="185"/>
      <c r="CP73" s="185">
        <v>13.281169999999999</v>
      </c>
      <c r="CQ73" s="185"/>
      <c r="CR73" s="194"/>
      <c r="CS73" s="185">
        <v>6.1877399999999998</v>
      </c>
      <c r="CT73" s="185">
        <v>6.3526199999999999</v>
      </c>
      <c r="CU73" s="185">
        <v>7.0825399999999998</v>
      </c>
      <c r="CV73" s="185">
        <v>8.2774000000000001</v>
      </c>
      <c r="CW73" s="185">
        <v>8.0513600000000007</v>
      </c>
      <c r="CX73" s="185">
        <v>6.9222400000000004</v>
      </c>
      <c r="CY73" s="185">
        <v>7.3597299999999999</v>
      </c>
      <c r="CZ73" s="185">
        <v>7.36287</v>
      </c>
      <c r="DA73" s="185">
        <v>7.4454200000000004</v>
      </c>
      <c r="DB73" s="185"/>
      <c r="DC73" s="185">
        <v>7.1640100000000002</v>
      </c>
      <c r="DD73" s="185"/>
      <c r="DE73" s="194"/>
      <c r="DF73" s="187">
        <v>0.106</v>
      </c>
      <c r="DG73" s="187">
        <v>0.1125</v>
      </c>
      <c r="DH73" s="187">
        <v>0.11459999999999999</v>
      </c>
      <c r="DI73" s="187">
        <v>0.1024</v>
      </c>
      <c r="DJ73" s="187">
        <v>0.1055</v>
      </c>
      <c r="DK73" s="187">
        <v>0.11890000000000001</v>
      </c>
      <c r="DL73" s="187">
        <v>0.1179</v>
      </c>
      <c r="DM73" s="187">
        <v>0.1221</v>
      </c>
      <c r="DN73" s="187">
        <v>0.1187</v>
      </c>
      <c r="DO73" s="187"/>
      <c r="DP73" s="187">
        <v>0.1124</v>
      </c>
      <c r="DQ73" s="187"/>
      <c r="DR73" s="195"/>
      <c r="DS73" s="185">
        <v>13486.8153</v>
      </c>
      <c r="DT73" s="185">
        <v>14390.6</v>
      </c>
      <c r="DU73" s="185">
        <v>14414.623009999999</v>
      </c>
      <c r="DV73" s="185">
        <v>14540.55</v>
      </c>
      <c r="DW73" s="185">
        <v>14519.616669999999</v>
      </c>
      <c r="DX73" s="185">
        <v>14627.266670000001</v>
      </c>
      <c r="DY73" s="185">
        <v>14580.366669999999</v>
      </c>
      <c r="DZ73" s="185">
        <v>14584.250040000001</v>
      </c>
      <c r="EA73" s="185">
        <v>14602.71667</v>
      </c>
      <c r="EB73" s="185"/>
      <c r="EC73" s="185">
        <v>14602.71667</v>
      </c>
      <c r="ED73" s="185"/>
      <c r="EE73" s="194"/>
      <c r="EF73" s="185">
        <v>0</v>
      </c>
      <c r="EG73" s="185">
        <v>0</v>
      </c>
      <c r="EH73" s="185">
        <v>0</v>
      </c>
      <c r="EI73" s="185">
        <v>0</v>
      </c>
      <c r="EJ73" s="185">
        <v>0</v>
      </c>
      <c r="EK73" s="185">
        <v>0</v>
      </c>
      <c r="EL73" s="185">
        <v>0</v>
      </c>
      <c r="EM73" s="185">
        <v>0</v>
      </c>
      <c r="EN73" s="185">
        <v>0</v>
      </c>
      <c r="EO73" s="185"/>
      <c r="EP73" s="185">
        <v>0</v>
      </c>
      <c r="EQ73" s="185"/>
      <c r="ER73" s="194"/>
      <c r="ES73" s="185">
        <v>514600.46217000001</v>
      </c>
      <c r="ET73" s="185">
        <v>389399.66804999998</v>
      </c>
      <c r="EU73" s="185">
        <v>399400.29178999999</v>
      </c>
      <c r="EV73" s="185">
        <v>509090.27483000001</v>
      </c>
      <c r="EW73" s="185">
        <v>536959.30382000003</v>
      </c>
      <c r="EX73" s="185">
        <v>575056.05192999996</v>
      </c>
      <c r="EY73" s="185">
        <v>576144.52511000005</v>
      </c>
      <c r="EZ73" s="185">
        <v>568249.25464000006</v>
      </c>
      <c r="FA73" s="185">
        <v>581689.15423999995</v>
      </c>
      <c r="FB73" s="185"/>
      <c r="FC73" s="185">
        <v>582909.05000000005</v>
      </c>
      <c r="FD73" s="185"/>
      <c r="FE73" s="194"/>
      <c r="FF73" s="185"/>
      <c r="FG73" s="185"/>
      <c r="FH73" s="185"/>
      <c r="FI73" s="185"/>
      <c r="FJ73" s="185"/>
      <c r="FK73" s="185"/>
      <c r="FL73" s="185"/>
      <c r="FM73" s="185"/>
      <c r="FN73" s="185"/>
      <c r="FO73" s="185"/>
      <c r="FP73" s="185"/>
      <c r="FQ73" s="185"/>
      <c r="FR73" s="194"/>
    </row>
    <row r="74" spans="4:174" s="4" customFormat="1" x14ac:dyDescent="0.25">
      <c r="D74" s="92"/>
      <c r="E74" s="2" t="s">
        <v>159</v>
      </c>
      <c r="F74" s="184">
        <v>31.560320000000001</v>
      </c>
      <c r="G74" s="185">
        <v>21.891310000000001</v>
      </c>
      <c r="H74" s="185">
        <v>23.539300000000001</v>
      </c>
      <c r="I74" s="185">
        <v>29.02862</v>
      </c>
      <c r="J74" s="185">
        <v>32.124459999999999</v>
      </c>
      <c r="K74" s="185">
        <v>36.253050000000002</v>
      </c>
      <c r="L74" s="185">
        <v>35.53163</v>
      </c>
      <c r="M74" s="185">
        <v>33.719360000000002</v>
      </c>
      <c r="N74" s="185">
        <v>35.126510000000003</v>
      </c>
      <c r="O74" s="185"/>
      <c r="P74" s="185">
        <v>37.949269999999999</v>
      </c>
      <c r="Q74" s="185"/>
      <c r="R74" s="194"/>
      <c r="S74" s="185">
        <v>61.83108</v>
      </c>
      <c r="T74" s="185">
        <v>65.91807</v>
      </c>
      <c r="U74" s="185">
        <v>68.674679999999995</v>
      </c>
      <c r="V74" s="185">
        <v>73.253309999999999</v>
      </c>
      <c r="W74" s="185">
        <v>72.907300000000006</v>
      </c>
      <c r="X74" s="185">
        <v>74.078829999999996</v>
      </c>
      <c r="Y74" s="185">
        <v>72.98442</v>
      </c>
      <c r="Z74" s="185">
        <v>70.411100000000005</v>
      </c>
      <c r="AA74" s="185">
        <v>72.532399999999996</v>
      </c>
      <c r="AB74" s="185"/>
      <c r="AC74" s="185">
        <v>77.822839999999999</v>
      </c>
      <c r="AD74" s="185"/>
      <c r="AE74" s="194"/>
      <c r="AF74" s="185">
        <v>7.4644000000000004</v>
      </c>
      <c r="AG74" s="185">
        <v>7.99512</v>
      </c>
      <c r="AH74" s="185">
        <v>8.4533500000000004</v>
      </c>
      <c r="AI74" s="185">
        <v>7.9532800000000003</v>
      </c>
      <c r="AJ74" s="185">
        <v>8.3298900000000007</v>
      </c>
      <c r="AK74" s="185">
        <v>9.1799199999999992</v>
      </c>
      <c r="AL74" s="185">
        <v>9.1011000000000006</v>
      </c>
      <c r="AM74" s="185">
        <v>9.3629300000000004</v>
      </c>
      <c r="AN74" s="185">
        <v>9.3553599999999992</v>
      </c>
      <c r="AO74" s="185"/>
      <c r="AP74" s="185">
        <v>9.3646200000000004</v>
      </c>
      <c r="AQ74" s="185"/>
      <c r="AR74" s="194"/>
      <c r="AS74" s="185">
        <v>0.22600999999999999</v>
      </c>
      <c r="AT74" s="185">
        <v>0.25924000000000003</v>
      </c>
      <c r="AU74" s="185">
        <v>0.26918999999999998</v>
      </c>
      <c r="AV74" s="185">
        <v>0.27340999999999999</v>
      </c>
      <c r="AW74" s="185">
        <v>0.28269</v>
      </c>
      <c r="AX74" s="185">
        <v>0.31591000000000002</v>
      </c>
      <c r="AY74" s="185">
        <v>0.32668000000000003</v>
      </c>
      <c r="AZ74" s="185">
        <v>0.35664000000000001</v>
      </c>
      <c r="BA74" s="185">
        <v>0.33338000000000001</v>
      </c>
      <c r="BB74" s="185"/>
      <c r="BC74" s="185">
        <v>0.39618999999999999</v>
      </c>
      <c r="BD74" s="185"/>
      <c r="BE74" s="194"/>
      <c r="BF74" s="185">
        <v>0.30369000000000002</v>
      </c>
      <c r="BG74" s="185">
        <v>0.67440999999999995</v>
      </c>
      <c r="BH74" s="185">
        <v>0.14083999999999999</v>
      </c>
      <c r="BI74" s="185">
        <v>0.13721</v>
      </c>
      <c r="BJ74" s="185">
        <v>0.24356</v>
      </c>
      <c r="BK74" s="185">
        <v>9.9279999999999993E-2</v>
      </c>
      <c r="BL74" s="185">
        <v>0.23025000000000001</v>
      </c>
      <c r="BM74" s="185">
        <v>5.917E-2</v>
      </c>
      <c r="BN74" s="185">
        <v>0.25646999999999998</v>
      </c>
      <c r="BO74" s="185"/>
      <c r="BP74" s="185">
        <v>-2.8459999999999999E-2</v>
      </c>
      <c r="BQ74" s="185"/>
      <c r="BR74" s="194"/>
      <c r="BS74" s="185">
        <v>0</v>
      </c>
      <c r="BT74" s="185">
        <v>-11.51121</v>
      </c>
      <c r="BU74" s="185">
        <v>-11.23512</v>
      </c>
      <c r="BV74" s="185">
        <v>-2.22302</v>
      </c>
      <c r="BW74" s="185">
        <v>-1.30135</v>
      </c>
      <c r="BX74" s="185">
        <v>-3.517E-2</v>
      </c>
      <c r="BY74" s="185">
        <v>0</v>
      </c>
      <c r="BZ74" s="185">
        <v>0</v>
      </c>
      <c r="CA74" s="185">
        <v>0</v>
      </c>
      <c r="CB74" s="185"/>
      <c r="CC74" s="185">
        <v>0</v>
      </c>
      <c r="CD74" s="185"/>
      <c r="CE74" s="194"/>
      <c r="CF74" s="185">
        <v>69.825180000000003</v>
      </c>
      <c r="CG74" s="185">
        <v>74.846829999999997</v>
      </c>
      <c r="CH74" s="185">
        <v>77.538070000000005</v>
      </c>
      <c r="CI74" s="185">
        <v>81.617220000000003</v>
      </c>
      <c r="CJ74" s="185">
        <v>81.76343</v>
      </c>
      <c r="CK74" s="185">
        <v>83.673929999999999</v>
      </c>
      <c r="CL74" s="185">
        <v>82.642449999999997</v>
      </c>
      <c r="CM74" s="185">
        <v>80.189840000000004</v>
      </c>
      <c r="CN74" s="185">
        <v>82.477599999999995</v>
      </c>
      <c r="CO74" s="185"/>
      <c r="CP74" s="185">
        <v>87.555189999999996</v>
      </c>
      <c r="CQ74" s="185"/>
      <c r="CR74" s="194"/>
      <c r="CS74" s="185">
        <v>38.264859999999999</v>
      </c>
      <c r="CT74" s="185">
        <v>41.444310000000002</v>
      </c>
      <c r="CU74" s="185">
        <v>42.763649999999998</v>
      </c>
      <c r="CV74" s="185">
        <v>50.365580000000001</v>
      </c>
      <c r="CW74" s="185">
        <v>48.337620000000001</v>
      </c>
      <c r="CX74" s="185">
        <v>47.385710000000003</v>
      </c>
      <c r="CY74" s="185">
        <v>47.110819999999997</v>
      </c>
      <c r="CZ74" s="185">
        <v>46.470480000000002</v>
      </c>
      <c r="DA74" s="185">
        <v>47.351089999999999</v>
      </c>
      <c r="DB74" s="185"/>
      <c r="DC74" s="185">
        <v>49.605919999999998</v>
      </c>
      <c r="DD74" s="185"/>
      <c r="DE74" s="194"/>
      <c r="DF74" s="187">
        <v>0.1069</v>
      </c>
      <c r="DG74" s="187">
        <v>0.10680000000000001</v>
      </c>
      <c r="DH74" s="187">
        <v>0.109</v>
      </c>
      <c r="DI74" s="187">
        <v>9.74E-2</v>
      </c>
      <c r="DJ74" s="187">
        <v>0.1019</v>
      </c>
      <c r="DK74" s="187">
        <v>0.10970000000000001</v>
      </c>
      <c r="DL74" s="187">
        <v>0.1101</v>
      </c>
      <c r="DM74" s="187">
        <v>0.1168</v>
      </c>
      <c r="DN74" s="187">
        <v>0.1134</v>
      </c>
      <c r="DO74" s="187"/>
      <c r="DP74" s="187">
        <v>0.107</v>
      </c>
      <c r="DQ74" s="187"/>
      <c r="DR74" s="195"/>
      <c r="DS74" s="185">
        <v>85568.066359999997</v>
      </c>
      <c r="DT74" s="185">
        <v>90358.494279999999</v>
      </c>
      <c r="DU74" s="185">
        <v>90339.906950000004</v>
      </c>
      <c r="DV74" s="185">
        <v>89670.967120000001</v>
      </c>
      <c r="DW74" s="185">
        <v>89096.072140000004</v>
      </c>
      <c r="DX74" s="185">
        <v>93247.243159999998</v>
      </c>
      <c r="DY74" s="185">
        <v>90479.086670000004</v>
      </c>
      <c r="DZ74" s="185">
        <v>91764.417600000001</v>
      </c>
      <c r="EA74" s="185">
        <v>92702.507599999997</v>
      </c>
      <c r="EB74" s="185"/>
      <c r="EC74" s="185">
        <v>101997.59024999999</v>
      </c>
      <c r="ED74" s="185"/>
      <c r="EE74" s="194"/>
      <c r="EF74" s="185">
        <v>0</v>
      </c>
      <c r="EG74" s="185">
        <v>0</v>
      </c>
      <c r="EH74" s="185">
        <v>0</v>
      </c>
      <c r="EI74" s="185">
        <v>0</v>
      </c>
      <c r="EJ74" s="185">
        <v>0</v>
      </c>
      <c r="EK74" s="185">
        <v>0</v>
      </c>
      <c r="EL74" s="185">
        <v>0</v>
      </c>
      <c r="EM74" s="185">
        <v>0</v>
      </c>
      <c r="EN74" s="185">
        <v>0</v>
      </c>
      <c r="EO74" s="185"/>
      <c r="EP74" s="185">
        <v>0</v>
      </c>
      <c r="EQ74" s="185"/>
      <c r="ER74" s="194"/>
      <c r="ES74" s="185">
        <v>4020846.9867799999</v>
      </c>
      <c r="ET74" s="185">
        <v>2550424.7460400001</v>
      </c>
      <c r="EU74" s="185">
        <v>2502530.3021900002</v>
      </c>
      <c r="EV74" s="185">
        <v>3181450.4918900002</v>
      </c>
      <c r="EW74" s="185">
        <v>3323875.7296199999</v>
      </c>
      <c r="EX74" s="185">
        <v>3388764.02311</v>
      </c>
      <c r="EY74" s="185">
        <v>3398728.2176199998</v>
      </c>
      <c r="EZ74" s="185">
        <v>3249805.2783300001</v>
      </c>
      <c r="FA74" s="185">
        <v>3455818.28406</v>
      </c>
      <c r="FB74" s="185"/>
      <c r="FC74" s="185">
        <v>3627491.0454099998</v>
      </c>
      <c r="FD74" s="185"/>
      <c r="FE74" s="194"/>
      <c r="FF74" s="185"/>
      <c r="FG74" s="185"/>
      <c r="FH74" s="185"/>
      <c r="FI74" s="185"/>
      <c r="FJ74" s="185"/>
      <c r="FK74" s="185"/>
      <c r="FL74" s="185"/>
      <c r="FM74" s="185"/>
      <c r="FN74" s="185"/>
      <c r="FO74" s="185"/>
      <c r="FP74" s="185"/>
      <c r="FQ74" s="185"/>
      <c r="FR74" s="194"/>
    </row>
    <row r="75" spans="4:174" s="4" customFormat="1" x14ac:dyDescent="0.25">
      <c r="D75" s="92"/>
      <c r="E75" s="2" t="s">
        <v>160</v>
      </c>
      <c r="F75" s="184">
        <v>29.532330000000002</v>
      </c>
      <c r="G75" s="185">
        <v>24.078289999999999</v>
      </c>
      <c r="H75" s="185">
        <v>25.981000000000002</v>
      </c>
      <c r="I75" s="185">
        <v>32.055120000000002</v>
      </c>
      <c r="J75" s="185">
        <v>38.12735</v>
      </c>
      <c r="K75" s="185">
        <v>44.68009</v>
      </c>
      <c r="L75" s="185">
        <v>43.472119999999997</v>
      </c>
      <c r="M75" s="185">
        <v>40.537080000000003</v>
      </c>
      <c r="N75" s="185">
        <v>41.828879999999998</v>
      </c>
      <c r="O75" s="185"/>
      <c r="P75" s="185">
        <v>39.90681</v>
      </c>
      <c r="Q75" s="185"/>
      <c r="R75" s="194"/>
      <c r="S75" s="185">
        <v>55.456139999999998</v>
      </c>
      <c r="T75" s="185">
        <v>64.61797</v>
      </c>
      <c r="U75" s="185">
        <v>68.285700000000006</v>
      </c>
      <c r="V75" s="185">
        <v>72.069500000000005</v>
      </c>
      <c r="W75" s="185">
        <v>73.946240000000003</v>
      </c>
      <c r="X75" s="185">
        <v>73.143770000000004</v>
      </c>
      <c r="Y75" s="185">
        <v>72.471209999999999</v>
      </c>
      <c r="Z75" s="185">
        <v>69.747720000000001</v>
      </c>
      <c r="AA75" s="185">
        <v>71.704300000000003</v>
      </c>
      <c r="AB75" s="185"/>
      <c r="AC75" s="185">
        <v>69.046390000000002</v>
      </c>
      <c r="AD75" s="185"/>
      <c r="AE75" s="194"/>
      <c r="AF75" s="185">
        <v>6.66655</v>
      </c>
      <c r="AG75" s="185">
        <v>8.2212800000000001</v>
      </c>
      <c r="AH75" s="185">
        <v>8.7469699999999992</v>
      </c>
      <c r="AI75" s="185">
        <v>8.1525700000000008</v>
      </c>
      <c r="AJ75" s="185">
        <v>8.8942599999999992</v>
      </c>
      <c r="AK75" s="185">
        <v>9.7844899999999999</v>
      </c>
      <c r="AL75" s="185">
        <v>9.9069900000000004</v>
      </c>
      <c r="AM75" s="185">
        <v>9.9501799999999996</v>
      </c>
      <c r="AN75" s="185">
        <v>10.02323</v>
      </c>
      <c r="AO75" s="185"/>
      <c r="AP75" s="185">
        <v>8.8414800000000007</v>
      </c>
      <c r="AQ75" s="185"/>
      <c r="AR75" s="194"/>
      <c r="AS75" s="185">
        <v>0.20105000000000001</v>
      </c>
      <c r="AT75" s="185">
        <v>0.25683</v>
      </c>
      <c r="AU75" s="185">
        <v>0.26967000000000002</v>
      </c>
      <c r="AV75" s="185">
        <v>0.27076</v>
      </c>
      <c r="AW75" s="185">
        <v>0.28692000000000001</v>
      </c>
      <c r="AX75" s="185">
        <v>0.31047999999999998</v>
      </c>
      <c r="AY75" s="185">
        <v>0.33012000000000002</v>
      </c>
      <c r="AZ75" s="185">
        <v>0.35213</v>
      </c>
      <c r="BA75" s="185">
        <v>0.33498</v>
      </c>
      <c r="BB75" s="185"/>
      <c r="BC75" s="185">
        <v>0.34206999999999999</v>
      </c>
      <c r="BD75" s="185"/>
      <c r="BE75" s="194"/>
      <c r="BF75" s="185">
        <v>0.27015</v>
      </c>
      <c r="BG75" s="185">
        <v>0.66815000000000002</v>
      </c>
      <c r="BH75" s="185">
        <v>0.1411</v>
      </c>
      <c r="BI75" s="185">
        <v>0.13589000000000001</v>
      </c>
      <c r="BJ75" s="185">
        <v>0.24721000000000001</v>
      </c>
      <c r="BK75" s="185">
        <v>9.7570000000000004E-2</v>
      </c>
      <c r="BL75" s="185">
        <v>0.23268</v>
      </c>
      <c r="BM75" s="185">
        <v>5.842E-2</v>
      </c>
      <c r="BN75" s="185">
        <v>0.25769999999999998</v>
      </c>
      <c r="BO75" s="185"/>
      <c r="BP75" s="185">
        <v>-2.4570000000000002E-2</v>
      </c>
      <c r="BQ75" s="185"/>
      <c r="BR75" s="194"/>
      <c r="BS75" s="185">
        <v>0</v>
      </c>
      <c r="BT75" s="185">
        <v>-11.622669999999999</v>
      </c>
      <c r="BU75" s="185">
        <v>-10.40198</v>
      </c>
      <c r="BV75" s="185">
        <v>-1.8936500000000001</v>
      </c>
      <c r="BW75" s="185">
        <v>-1.2625200000000001</v>
      </c>
      <c r="BX75" s="185">
        <v>-3.567E-2</v>
      </c>
      <c r="BY75" s="185">
        <v>0</v>
      </c>
      <c r="BZ75" s="185">
        <v>0</v>
      </c>
      <c r="CA75" s="185">
        <v>0</v>
      </c>
      <c r="CB75" s="185"/>
      <c r="CC75" s="185">
        <v>0</v>
      </c>
      <c r="CD75" s="185"/>
      <c r="CE75" s="194"/>
      <c r="CF75" s="185">
        <v>62.593890000000002</v>
      </c>
      <c r="CG75" s="185">
        <v>73.764240000000001</v>
      </c>
      <c r="CH75" s="185">
        <v>77.443439999999995</v>
      </c>
      <c r="CI75" s="185">
        <v>80.628730000000004</v>
      </c>
      <c r="CJ75" s="185">
        <v>83.374639999999999</v>
      </c>
      <c r="CK75" s="185">
        <v>83.336309999999997</v>
      </c>
      <c r="CL75" s="185">
        <v>82.941000000000003</v>
      </c>
      <c r="CM75" s="185">
        <v>80.108450000000005</v>
      </c>
      <c r="CN75" s="185">
        <v>82.320210000000003</v>
      </c>
      <c r="CO75" s="185"/>
      <c r="CP75" s="185">
        <v>78.205359999999999</v>
      </c>
      <c r="CQ75" s="185"/>
      <c r="CR75" s="194"/>
      <c r="CS75" s="185">
        <v>33.06156</v>
      </c>
      <c r="CT75" s="185">
        <v>38.063270000000003</v>
      </c>
      <c r="CU75" s="185">
        <v>41.060459999999999</v>
      </c>
      <c r="CV75" s="185">
        <v>46.679949999999998</v>
      </c>
      <c r="CW75" s="185">
        <v>43.984760000000001</v>
      </c>
      <c r="CX75" s="185">
        <v>38.620550000000001</v>
      </c>
      <c r="CY75" s="185">
        <v>39.468879999999999</v>
      </c>
      <c r="CZ75" s="185">
        <v>39.571370000000002</v>
      </c>
      <c r="DA75" s="185">
        <v>40.491329999999998</v>
      </c>
      <c r="DB75" s="185"/>
      <c r="DC75" s="185">
        <v>38.298549999999999</v>
      </c>
      <c r="DD75" s="185"/>
      <c r="DE75" s="194"/>
      <c r="DF75" s="187">
        <v>0.1065</v>
      </c>
      <c r="DG75" s="187">
        <v>0.1115</v>
      </c>
      <c r="DH75" s="187">
        <v>0.1129</v>
      </c>
      <c r="DI75" s="187">
        <v>0.1011</v>
      </c>
      <c r="DJ75" s="187">
        <v>0.1067</v>
      </c>
      <c r="DK75" s="187">
        <v>0.1174</v>
      </c>
      <c r="DL75" s="187">
        <v>0.11940000000000001</v>
      </c>
      <c r="DM75" s="187">
        <v>0.1242</v>
      </c>
      <c r="DN75" s="187">
        <v>0.12180000000000001</v>
      </c>
      <c r="DO75" s="187"/>
      <c r="DP75" s="187">
        <v>0.11310000000000001</v>
      </c>
      <c r="DQ75" s="187"/>
      <c r="DR75" s="195"/>
      <c r="DS75" s="185">
        <v>76118.023979999998</v>
      </c>
      <c r="DT75" s="185">
        <v>89520.362599999993</v>
      </c>
      <c r="DU75" s="185">
        <v>90502.879799999995</v>
      </c>
      <c r="DV75" s="185">
        <v>88802.192590000006</v>
      </c>
      <c r="DW75" s="185">
        <v>90431.943209999998</v>
      </c>
      <c r="DX75" s="185">
        <v>91647.109790000002</v>
      </c>
      <c r="DY75" s="185">
        <v>91433.39357</v>
      </c>
      <c r="DZ75" s="185">
        <v>90603.477480000001</v>
      </c>
      <c r="EA75" s="185">
        <v>93147.908599999995</v>
      </c>
      <c r="EB75" s="185"/>
      <c r="EC75" s="185">
        <v>88064.425929999998</v>
      </c>
      <c r="ED75" s="185"/>
      <c r="EE75" s="194"/>
      <c r="EF75" s="185">
        <v>0</v>
      </c>
      <c r="EG75" s="185">
        <v>0</v>
      </c>
      <c r="EH75" s="185">
        <v>0</v>
      </c>
      <c r="EI75" s="185">
        <v>0</v>
      </c>
      <c r="EJ75" s="185">
        <v>0</v>
      </c>
      <c r="EK75" s="185">
        <v>0</v>
      </c>
      <c r="EL75" s="185">
        <v>0</v>
      </c>
      <c r="EM75" s="185">
        <v>0</v>
      </c>
      <c r="EN75" s="185">
        <v>0</v>
      </c>
      <c r="EO75" s="185"/>
      <c r="EP75" s="185">
        <v>0</v>
      </c>
      <c r="EQ75" s="185"/>
      <c r="ER75" s="194"/>
      <c r="ES75" s="185">
        <v>3494614.29379</v>
      </c>
      <c r="ET75" s="185">
        <v>3140915.2922899998</v>
      </c>
      <c r="EU75" s="185">
        <v>3165522.8705099998</v>
      </c>
      <c r="EV75" s="185">
        <v>3829509.95946</v>
      </c>
      <c r="EW75" s="185">
        <v>4329973.1365900002</v>
      </c>
      <c r="EX75" s="185">
        <v>4481467.1958600003</v>
      </c>
      <c r="EY75" s="185">
        <v>4403506.3378600003</v>
      </c>
      <c r="EZ75" s="185">
        <v>4247886.7597700004</v>
      </c>
      <c r="FA75" s="185">
        <v>4374069.9388899999</v>
      </c>
      <c r="FB75" s="185"/>
      <c r="FC75" s="185">
        <v>4036489.5107999998</v>
      </c>
      <c r="FD75" s="185"/>
      <c r="FE75" s="194"/>
      <c r="FF75" s="185"/>
      <c r="FG75" s="185"/>
      <c r="FH75" s="185"/>
      <c r="FI75" s="185"/>
      <c r="FJ75" s="185"/>
      <c r="FK75" s="185"/>
      <c r="FL75" s="185"/>
      <c r="FM75" s="185"/>
      <c r="FN75" s="185"/>
      <c r="FO75" s="185"/>
      <c r="FP75" s="185"/>
      <c r="FQ75" s="185"/>
      <c r="FR75" s="194"/>
    </row>
    <row r="76" spans="4:174" s="4" customFormat="1" x14ac:dyDescent="0.25">
      <c r="D76" s="92"/>
      <c r="E76" s="2" t="s">
        <v>161</v>
      </c>
      <c r="F76" s="184">
        <v>10.98725</v>
      </c>
      <c r="G76" s="185">
        <v>7.3071299999999999</v>
      </c>
      <c r="H76" s="185">
        <v>8.0991400000000002</v>
      </c>
      <c r="I76" s="185">
        <v>9.3927999999999994</v>
      </c>
      <c r="J76" s="185">
        <v>11.003209999999999</v>
      </c>
      <c r="K76" s="185">
        <v>12.405900000000001</v>
      </c>
      <c r="L76" s="185">
        <v>12.12011</v>
      </c>
      <c r="M76" s="185">
        <v>13.70729</v>
      </c>
      <c r="N76" s="185">
        <v>14.413040000000001</v>
      </c>
      <c r="O76" s="185"/>
      <c r="P76" s="185">
        <v>15.165979999999999</v>
      </c>
      <c r="Q76" s="185"/>
      <c r="R76" s="194"/>
      <c r="S76" s="185">
        <v>21.24709</v>
      </c>
      <c r="T76" s="185">
        <v>21.315999999999999</v>
      </c>
      <c r="U76" s="185">
        <v>22.469460000000002</v>
      </c>
      <c r="V76" s="185">
        <v>24.576239999999999</v>
      </c>
      <c r="W76" s="185">
        <v>24.886610000000001</v>
      </c>
      <c r="X76" s="185">
        <v>23.83924</v>
      </c>
      <c r="Y76" s="185">
        <v>23.857890000000001</v>
      </c>
      <c r="Z76" s="185">
        <v>24.664840000000002</v>
      </c>
      <c r="AA76" s="185">
        <v>26.396899999999999</v>
      </c>
      <c r="AB76" s="185"/>
      <c r="AC76" s="185">
        <v>27.334669999999999</v>
      </c>
      <c r="AD76" s="185"/>
      <c r="AE76" s="194"/>
      <c r="AF76" s="185">
        <v>2.6904499999999998</v>
      </c>
      <c r="AG76" s="185">
        <v>2.7633299999999998</v>
      </c>
      <c r="AH76" s="185">
        <v>2.95764</v>
      </c>
      <c r="AI76" s="185">
        <v>2.7322000000000002</v>
      </c>
      <c r="AJ76" s="185">
        <v>2.9332099999999999</v>
      </c>
      <c r="AK76" s="185">
        <v>3.12201</v>
      </c>
      <c r="AL76" s="185">
        <v>3.0979800000000002</v>
      </c>
      <c r="AM76" s="185">
        <v>3.4990199999999998</v>
      </c>
      <c r="AN76" s="185">
        <v>3.5612599999999999</v>
      </c>
      <c r="AO76" s="185"/>
      <c r="AP76" s="185">
        <v>3.3874200000000001</v>
      </c>
      <c r="AQ76" s="185"/>
      <c r="AR76" s="194"/>
      <c r="AS76" s="185">
        <v>8.5510000000000003E-2</v>
      </c>
      <c r="AT76" s="185">
        <v>9.1770000000000004E-2</v>
      </c>
      <c r="AU76" s="185">
        <v>9.5409999999999995E-2</v>
      </c>
      <c r="AV76" s="185">
        <v>9.8629999999999995E-2</v>
      </c>
      <c r="AW76" s="185">
        <v>0.10203</v>
      </c>
      <c r="AX76" s="185">
        <v>0.10795</v>
      </c>
      <c r="AY76" s="185">
        <v>0.11209</v>
      </c>
      <c r="AZ76" s="185">
        <v>0.1273</v>
      </c>
      <c r="BA76" s="185">
        <v>0.12185</v>
      </c>
      <c r="BB76" s="185"/>
      <c r="BC76" s="185">
        <v>0.13206000000000001</v>
      </c>
      <c r="BD76" s="185"/>
      <c r="BE76" s="194"/>
      <c r="BF76" s="185">
        <v>0.11491</v>
      </c>
      <c r="BG76" s="185">
        <v>0.23873</v>
      </c>
      <c r="BH76" s="185">
        <v>4.9919999999999999E-2</v>
      </c>
      <c r="BI76" s="185">
        <v>4.9500000000000002E-2</v>
      </c>
      <c r="BJ76" s="185">
        <v>8.7910000000000002E-2</v>
      </c>
      <c r="BK76" s="185">
        <v>3.3930000000000002E-2</v>
      </c>
      <c r="BL76" s="185">
        <v>7.9000000000000001E-2</v>
      </c>
      <c r="BM76" s="185">
        <v>2.112E-2</v>
      </c>
      <c r="BN76" s="185">
        <v>9.3740000000000004E-2</v>
      </c>
      <c r="BO76" s="185"/>
      <c r="BP76" s="185">
        <v>-9.4900000000000002E-3</v>
      </c>
      <c r="BQ76" s="185"/>
      <c r="BR76" s="194"/>
      <c r="BS76" s="185">
        <v>0</v>
      </c>
      <c r="BT76" s="185">
        <v>-3.0894400000000002</v>
      </c>
      <c r="BU76" s="185">
        <v>-3.15787</v>
      </c>
      <c r="BV76" s="185">
        <v>-0.72855999999999999</v>
      </c>
      <c r="BW76" s="185">
        <v>-0.43913000000000002</v>
      </c>
      <c r="BX76" s="185">
        <v>-1.201E-2</v>
      </c>
      <c r="BY76" s="185">
        <v>0</v>
      </c>
      <c r="BZ76" s="185">
        <v>0</v>
      </c>
      <c r="CA76" s="185">
        <v>0</v>
      </c>
      <c r="CB76" s="185"/>
      <c r="CC76" s="185">
        <v>0</v>
      </c>
      <c r="CD76" s="185"/>
      <c r="CE76" s="194"/>
      <c r="CF76" s="185">
        <v>24.13796</v>
      </c>
      <c r="CG76" s="185">
        <v>24.409829999999999</v>
      </c>
      <c r="CH76" s="185">
        <v>25.572430000000001</v>
      </c>
      <c r="CI76" s="185">
        <v>27.45656</v>
      </c>
      <c r="CJ76" s="185">
        <v>28.00977</v>
      </c>
      <c r="CK76" s="185">
        <v>27.10313</v>
      </c>
      <c r="CL76" s="185">
        <v>27.14697</v>
      </c>
      <c r="CM76" s="185">
        <v>28.312280000000001</v>
      </c>
      <c r="CN76" s="185">
        <v>30.173760000000001</v>
      </c>
      <c r="CO76" s="185"/>
      <c r="CP76" s="185">
        <v>30.844660000000001</v>
      </c>
      <c r="CQ76" s="185"/>
      <c r="CR76" s="194"/>
      <c r="CS76" s="185">
        <v>13.15071</v>
      </c>
      <c r="CT76" s="185">
        <v>14.013260000000001</v>
      </c>
      <c r="CU76" s="185">
        <v>14.31542</v>
      </c>
      <c r="CV76" s="185">
        <v>17.33521</v>
      </c>
      <c r="CW76" s="185">
        <v>16.567430000000002</v>
      </c>
      <c r="CX76" s="185">
        <v>14.685230000000001</v>
      </c>
      <c r="CY76" s="185">
        <v>15.026859999999999</v>
      </c>
      <c r="CZ76" s="185">
        <v>14.604990000000001</v>
      </c>
      <c r="DA76" s="185">
        <v>15.76071</v>
      </c>
      <c r="DB76" s="185"/>
      <c r="DC76" s="185">
        <v>15.67868</v>
      </c>
      <c r="DD76" s="185"/>
      <c r="DE76" s="194"/>
      <c r="DF76" s="187">
        <v>0.1115</v>
      </c>
      <c r="DG76" s="187">
        <v>0.1132</v>
      </c>
      <c r="DH76" s="187">
        <v>0.1157</v>
      </c>
      <c r="DI76" s="187">
        <v>9.9500000000000005E-2</v>
      </c>
      <c r="DJ76" s="187">
        <v>0.1047</v>
      </c>
      <c r="DK76" s="187">
        <v>0.1152</v>
      </c>
      <c r="DL76" s="187">
        <v>0.11409999999999999</v>
      </c>
      <c r="DM76" s="187">
        <v>0.1236</v>
      </c>
      <c r="DN76" s="187">
        <v>0.11799999999999999</v>
      </c>
      <c r="DO76" s="187"/>
      <c r="DP76" s="187">
        <v>0.10979999999999999</v>
      </c>
      <c r="DQ76" s="187"/>
      <c r="DR76" s="195"/>
      <c r="DS76" s="185">
        <v>32375.92942</v>
      </c>
      <c r="DT76" s="185">
        <v>31985.981479999999</v>
      </c>
      <c r="DU76" s="185">
        <v>32020.765609999999</v>
      </c>
      <c r="DV76" s="185">
        <v>32347.434560000002</v>
      </c>
      <c r="DW76" s="185">
        <v>32158.792239999999</v>
      </c>
      <c r="DX76" s="185">
        <v>31865.225979999999</v>
      </c>
      <c r="DY76" s="185">
        <v>31044.781650000001</v>
      </c>
      <c r="DZ76" s="185">
        <v>32753.191989999999</v>
      </c>
      <c r="EA76" s="185">
        <v>33884.0052</v>
      </c>
      <c r="EB76" s="185"/>
      <c r="EC76" s="185">
        <v>33999.05543</v>
      </c>
      <c r="ED76" s="185"/>
      <c r="EE76" s="194"/>
      <c r="EF76" s="185">
        <v>0</v>
      </c>
      <c r="EG76" s="185">
        <v>0</v>
      </c>
      <c r="EH76" s="185">
        <v>0</v>
      </c>
      <c r="EI76" s="185">
        <v>0</v>
      </c>
      <c r="EJ76" s="185">
        <v>0</v>
      </c>
      <c r="EK76" s="185">
        <v>0</v>
      </c>
      <c r="EL76" s="185">
        <v>0</v>
      </c>
      <c r="EM76" s="185">
        <v>0</v>
      </c>
      <c r="EN76" s="185">
        <v>0</v>
      </c>
      <c r="EO76" s="185"/>
      <c r="EP76" s="185">
        <v>0</v>
      </c>
      <c r="EQ76" s="185"/>
      <c r="ER76" s="194"/>
      <c r="ES76" s="185">
        <v>1429611.37176</v>
      </c>
      <c r="ET76" s="185">
        <v>891023.77047999995</v>
      </c>
      <c r="EU76" s="185">
        <v>903167.21282999997</v>
      </c>
      <c r="EV76" s="185">
        <v>1058352.8403</v>
      </c>
      <c r="EW76" s="185">
        <v>1209454.7764999999</v>
      </c>
      <c r="EX76" s="185">
        <v>1225297.90279</v>
      </c>
      <c r="EY76" s="185">
        <v>1239761.68092</v>
      </c>
      <c r="EZ76" s="185">
        <v>1418707.37215</v>
      </c>
      <c r="FA76" s="185">
        <v>1524596.43016</v>
      </c>
      <c r="FB76" s="185"/>
      <c r="FC76" s="185">
        <v>1525124.39475</v>
      </c>
      <c r="FD76" s="185"/>
      <c r="FE76" s="194"/>
      <c r="FF76" s="185"/>
      <c r="FG76" s="185"/>
      <c r="FH76" s="185"/>
      <c r="FI76" s="185"/>
      <c r="FJ76" s="185"/>
      <c r="FK76" s="185"/>
      <c r="FL76" s="185"/>
      <c r="FM76" s="185"/>
      <c r="FN76" s="185"/>
      <c r="FO76" s="185"/>
      <c r="FP76" s="185"/>
      <c r="FQ76" s="185"/>
      <c r="FR76" s="194"/>
    </row>
    <row r="77" spans="4:174" s="4" customFormat="1" x14ac:dyDescent="0.25">
      <c r="D77" s="92"/>
      <c r="E77" s="2" t="s">
        <v>162</v>
      </c>
      <c r="F77" s="184">
        <v>17.570430000000002</v>
      </c>
      <c r="G77" s="185">
        <v>11.886039999999999</v>
      </c>
      <c r="H77" s="185">
        <v>13.117979999999999</v>
      </c>
      <c r="I77" s="185">
        <v>15.447760000000001</v>
      </c>
      <c r="J77" s="185">
        <v>17.734269999999999</v>
      </c>
      <c r="K77" s="185">
        <v>20.393630000000002</v>
      </c>
      <c r="L77" s="185">
        <v>20.054020000000001</v>
      </c>
      <c r="M77" s="185">
        <v>16.523330000000001</v>
      </c>
      <c r="N77" s="185">
        <v>15.55794</v>
      </c>
      <c r="O77" s="185"/>
      <c r="P77" s="185">
        <v>16.386970000000002</v>
      </c>
      <c r="Q77" s="185"/>
      <c r="R77" s="194"/>
      <c r="S77" s="185">
        <v>29.739920000000001</v>
      </c>
      <c r="T77" s="185">
        <v>29.231110000000001</v>
      </c>
      <c r="U77" s="185">
        <v>31.039100000000001</v>
      </c>
      <c r="V77" s="185">
        <v>35.428400000000003</v>
      </c>
      <c r="W77" s="185">
        <v>36.842059999999996</v>
      </c>
      <c r="X77" s="185">
        <v>34.521749999999997</v>
      </c>
      <c r="Y77" s="185">
        <v>34.483699999999999</v>
      </c>
      <c r="Z77" s="185">
        <v>34.194569999999999</v>
      </c>
      <c r="AA77" s="185">
        <v>34.28313</v>
      </c>
      <c r="AB77" s="185"/>
      <c r="AC77" s="185">
        <v>31.050059999999998</v>
      </c>
      <c r="AD77" s="185"/>
      <c r="AE77" s="194"/>
      <c r="AF77" s="185">
        <v>3.8167</v>
      </c>
      <c r="AG77" s="185">
        <v>3.8118599999999998</v>
      </c>
      <c r="AH77" s="185">
        <v>4.0848500000000003</v>
      </c>
      <c r="AI77" s="185">
        <v>3.8142800000000001</v>
      </c>
      <c r="AJ77" s="185">
        <v>4.1846100000000002</v>
      </c>
      <c r="AK77" s="185">
        <v>4.4335199999999997</v>
      </c>
      <c r="AL77" s="185">
        <v>4.5228999999999999</v>
      </c>
      <c r="AM77" s="185">
        <v>4.4668999999999999</v>
      </c>
      <c r="AN77" s="185">
        <v>4.1755699999999996</v>
      </c>
      <c r="AO77" s="185"/>
      <c r="AP77" s="185">
        <v>3.9662299999999999</v>
      </c>
      <c r="AQ77" s="185"/>
      <c r="AR77" s="194"/>
      <c r="AS77" s="185">
        <v>0.11271</v>
      </c>
      <c r="AT77" s="185">
        <v>0.11598</v>
      </c>
      <c r="AU77" s="185">
        <v>0.12175999999999999</v>
      </c>
      <c r="AV77" s="185">
        <v>0.12334000000000001</v>
      </c>
      <c r="AW77" s="185">
        <v>0.13496</v>
      </c>
      <c r="AX77" s="185">
        <v>0.13891999999999999</v>
      </c>
      <c r="AY77" s="185">
        <v>0.14812</v>
      </c>
      <c r="AZ77" s="185">
        <v>0.16830000000000001</v>
      </c>
      <c r="BA77" s="185">
        <v>0.14976999999999999</v>
      </c>
      <c r="BB77" s="185"/>
      <c r="BC77" s="185">
        <v>0.16533999999999999</v>
      </c>
      <c r="BD77" s="185"/>
      <c r="BE77" s="194"/>
      <c r="BF77" s="185">
        <v>0.15143999999999999</v>
      </c>
      <c r="BG77" s="185">
        <v>0.30171999999999999</v>
      </c>
      <c r="BH77" s="185">
        <v>6.3700000000000007E-2</v>
      </c>
      <c r="BI77" s="185">
        <v>6.1899999999999997E-2</v>
      </c>
      <c r="BJ77" s="185">
        <v>0.11627999999999999</v>
      </c>
      <c r="BK77" s="185">
        <v>4.3659999999999997E-2</v>
      </c>
      <c r="BL77" s="185">
        <v>0.10440000000000001</v>
      </c>
      <c r="BM77" s="185">
        <v>2.792E-2</v>
      </c>
      <c r="BN77" s="185">
        <v>0.11522</v>
      </c>
      <c r="BO77" s="185"/>
      <c r="BP77" s="185">
        <v>-1.188E-2</v>
      </c>
      <c r="BQ77" s="185"/>
      <c r="BR77" s="194"/>
      <c r="BS77" s="185">
        <v>0</v>
      </c>
      <c r="BT77" s="185">
        <v>-5.8349299999999999</v>
      </c>
      <c r="BU77" s="185">
        <v>-4.5610799999999996</v>
      </c>
      <c r="BV77" s="185">
        <v>-0.96050999999999997</v>
      </c>
      <c r="BW77" s="185">
        <v>-0.63212999999999997</v>
      </c>
      <c r="BX77" s="185">
        <v>-1.7770000000000001E-2</v>
      </c>
      <c r="BY77" s="185">
        <v>0</v>
      </c>
      <c r="BZ77" s="185">
        <v>0</v>
      </c>
      <c r="CA77" s="185">
        <v>0</v>
      </c>
      <c r="CB77" s="185"/>
      <c r="CC77" s="185">
        <v>0</v>
      </c>
      <c r="CD77" s="185"/>
      <c r="CE77" s="194"/>
      <c r="CF77" s="185">
        <v>33.820770000000003</v>
      </c>
      <c r="CG77" s="185">
        <v>33.460659999999997</v>
      </c>
      <c r="CH77" s="185">
        <v>35.309420000000003</v>
      </c>
      <c r="CI77" s="185">
        <v>39.42792</v>
      </c>
      <c r="CJ77" s="185">
        <v>41.277920000000002</v>
      </c>
      <c r="CK77" s="185">
        <v>39.137839999999997</v>
      </c>
      <c r="CL77" s="185">
        <v>39.259129999999999</v>
      </c>
      <c r="CM77" s="185">
        <v>38.857689999999998</v>
      </c>
      <c r="CN77" s="185">
        <v>38.723689999999998</v>
      </c>
      <c r="CO77" s="185"/>
      <c r="CP77" s="185">
        <v>35.169759999999997</v>
      </c>
      <c r="CQ77" s="185"/>
      <c r="CR77" s="194"/>
      <c r="CS77" s="185">
        <v>16.250340000000001</v>
      </c>
      <c r="CT77" s="185">
        <v>15.73968</v>
      </c>
      <c r="CU77" s="185">
        <v>17.63036</v>
      </c>
      <c r="CV77" s="185">
        <v>23.019639999999999</v>
      </c>
      <c r="CW77" s="185">
        <v>22.911519999999999</v>
      </c>
      <c r="CX77" s="185">
        <v>18.72644</v>
      </c>
      <c r="CY77" s="185">
        <v>19.205110000000001</v>
      </c>
      <c r="CZ77" s="185">
        <v>22.33436</v>
      </c>
      <c r="DA77" s="185">
        <v>23.165759999999999</v>
      </c>
      <c r="DB77" s="185"/>
      <c r="DC77" s="185">
        <v>18.782789999999999</v>
      </c>
      <c r="DD77" s="185"/>
      <c r="DE77" s="194"/>
      <c r="DF77" s="187">
        <v>0.1129</v>
      </c>
      <c r="DG77" s="187">
        <v>0.1139</v>
      </c>
      <c r="DH77" s="187">
        <v>0.1157</v>
      </c>
      <c r="DI77" s="187">
        <v>9.6699999999999994E-2</v>
      </c>
      <c r="DJ77" s="187">
        <v>0.1014</v>
      </c>
      <c r="DK77" s="187">
        <v>0.1133</v>
      </c>
      <c r="DL77" s="187">
        <v>0.1152</v>
      </c>
      <c r="DM77" s="187">
        <v>0.115</v>
      </c>
      <c r="DN77" s="187">
        <v>0.10780000000000001</v>
      </c>
      <c r="DO77" s="187"/>
      <c r="DP77" s="187">
        <v>0.1128</v>
      </c>
      <c r="DQ77" s="187"/>
      <c r="DR77" s="195"/>
      <c r="DS77" s="185">
        <v>42670.890879999999</v>
      </c>
      <c r="DT77" s="185">
        <v>40424.554360000002</v>
      </c>
      <c r="DU77" s="185">
        <v>40861.716659999998</v>
      </c>
      <c r="DV77" s="185">
        <v>40450.6</v>
      </c>
      <c r="DW77" s="185">
        <v>42537.128479999999</v>
      </c>
      <c r="DX77" s="185">
        <v>41005.157639999998</v>
      </c>
      <c r="DY77" s="185">
        <v>41025.395759999999</v>
      </c>
      <c r="DZ77" s="185">
        <v>43304.103239999997</v>
      </c>
      <c r="EA77" s="185">
        <v>41646.137179999998</v>
      </c>
      <c r="EB77" s="185"/>
      <c r="EC77" s="185">
        <v>42567.783499999998</v>
      </c>
      <c r="ED77" s="185"/>
      <c r="EE77" s="194"/>
      <c r="EF77" s="185">
        <v>0</v>
      </c>
      <c r="EG77" s="185">
        <v>0</v>
      </c>
      <c r="EH77" s="185">
        <v>0</v>
      </c>
      <c r="EI77" s="185">
        <v>0</v>
      </c>
      <c r="EJ77" s="185">
        <v>0</v>
      </c>
      <c r="EK77" s="185">
        <v>0</v>
      </c>
      <c r="EL77" s="185">
        <v>0</v>
      </c>
      <c r="EM77" s="185">
        <v>0</v>
      </c>
      <c r="EN77" s="185">
        <v>0</v>
      </c>
      <c r="EO77" s="185"/>
      <c r="EP77" s="185">
        <v>0</v>
      </c>
      <c r="EQ77" s="185"/>
      <c r="ER77" s="194"/>
      <c r="ES77" s="185">
        <v>2179089.78358</v>
      </c>
      <c r="ET77" s="185">
        <v>1421704.0649000001</v>
      </c>
      <c r="EU77" s="185">
        <v>1426109.59026</v>
      </c>
      <c r="EV77" s="185">
        <v>1737043.32648</v>
      </c>
      <c r="EW77" s="185">
        <v>1942664.8995999999</v>
      </c>
      <c r="EX77" s="185">
        <v>2015649.47361</v>
      </c>
      <c r="EY77" s="185">
        <v>2029437.00801</v>
      </c>
      <c r="EZ77" s="185">
        <v>1803904.5044499999</v>
      </c>
      <c r="FA77" s="185">
        <v>1686296.38531</v>
      </c>
      <c r="FB77" s="185"/>
      <c r="FC77" s="185">
        <v>1702255.05485</v>
      </c>
      <c r="FD77" s="185"/>
      <c r="FE77" s="194"/>
      <c r="FF77" s="185"/>
      <c r="FG77" s="185"/>
      <c r="FH77" s="185"/>
      <c r="FI77" s="185"/>
      <c r="FJ77" s="185"/>
      <c r="FK77" s="185"/>
      <c r="FL77" s="185"/>
      <c r="FM77" s="185"/>
      <c r="FN77" s="185"/>
      <c r="FO77" s="185"/>
      <c r="FP77" s="185"/>
      <c r="FQ77" s="185"/>
      <c r="FR77" s="194"/>
    </row>
    <row r="78" spans="4:174" s="4" customFormat="1" x14ac:dyDescent="0.25">
      <c r="D78" s="92"/>
      <c r="E78" s="2" t="s">
        <v>163</v>
      </c>
      <c r="F78" s="184">
        <v>26.969090000000001</v>
      </c>
      <c r="G78" s="185">
        <v>17.276540000000001</v>
      </c>
      <c r="H78" s="185">
        <v>20.013580000000001</v>
      </c>
      <c r="I78" s="185">
        <v>26.85482</v>
      </c>
      <c r="J78" s="185">
        <v>31.216249999999999</v>
      </c>
      <c r="K78" s="185">
        <v>35.304250000000003</v>
      </c>
      <c r="L78" s="185">
        <v>35.51061</v>
      </c>
      <c r="M78" s="185">
        <v>34.631869999999999</v>
      </c>
      <c r="N78" s="185">
        <v>35.655419999999999</v>
      </c>
      <c r="O78" s="185"/>
      <c r="P78" s="185">
        <v>37.269069999999999</v>
      </c>
      <c r="Q78" s="185"/>
      <c r="R78" s="194"/>
      <c r="S78" s="185">
        <v>45.555959999999999</v>
      </c>
      <c r="T78" s="185">
        <v>44.717489999999998</v>
      </c>
      <c r="U78" s="185">
        <v>49.172710000000002</v>
      </c>
      <c r="V78" s="185">
        <v>56.45232</v>
      </c>
      <c r="W78" s="185">
        <v>58.542160000000003</v>
      </c>
      <c r="X78" s="185">
        <v>56.573729999999998</v>
      </c>
      <c r="Y78" s="185">
        <v>58.032739999999997</v>
      </c>
      <c r="Z78" s="185">
        <v>58.230269999999997</v>
      </c>
      <c r="AA78" s="185">
        <v>57.993609999999997</v>
      </c>
      <c r="AB78" s="185"/>
      <c r="AC78" s="185">
        <v>59.161149999999999</v>
      </c>
      <c r="AD78" s="185"/>
      <c r="AE78" s="194"/>
      <c r="AF78" s="185">
        <v>5.7557200000000002</v>
      </c>
      <c r="AG78" s="185">
        <v>5.6071499999999999</v>
      </c>
      <c r="AH78" s="185">
        <v>6.23238</v>
      </c>
      <c r="AI78" s="185">
        <v>6.4536199999999999</v>
      </c>
      <c r="AJ78" s="185">
        <v>7.0926200000000001</v>
      </c>
      <c r="AK78" s="185">
        <v>7.6828599999999998</v>
      </c>
      <c r="AL78" s="185">
        <v>8.0065399999999993</v>
      </c>
      <c r="AM78" s="185">
        <v>8.2659199999999995</v>
      </c>
      <c r="AN78" s="185">
        <v>8.1748499999999993</v>
      </c>
      <c r="AO78" s="185"/>
      <c r="AP78" s="185">
        <v>7.7782099999999996</v>
      </c>
      <c r="AQ78" s="185"/>
      <c r="AR78" s="194"/>
      <c r="AS78" s="185">
        <v>0.16763</v>
      </c>
      <c r="AT78" s="185">
        <v>0.17254</v>
      </c>
      <c r="AU78" s="185">
        <v>0.19126000000000001</v>
      </c>
      <c r="AV78" s="185">
        <v>0.21534</v>
      </c>
      <c r="AW78" s="185">
        <v>0.23300000000000001</v>
      </c>
      <c r="AX78" s="185">
        <v>0.25169999999999998</v>
      </c>
      <c r="AY78" s="185">
        <v>0.27540999999999999</v>
      </c>
      <c r="AZ78" s="185">
        <v>0.29720999999999997</v>
      </c>
      <c r="BA78" s="185">
        <v>0.27467000000000003</v>
      </c>
      <c r="BB78" s="185"/>
      <c r="BC78" s="185">
        <v>0.29666999999999999</v>
      </c>
      <c r="BD78" s="185"/>
      <c r="BE78" s="194"/>
      <c r="BF78" s="185">
        <v>0.22525000000000001</v>
      </c>
      <c r="BG78" s="185">
        <v>0.44885999999999998</v>
      </c>
      <c r="BH78" s="185">
        <v>0.10007000000000001</v>
      </c>
      <c r="BI78" s="185">
        <v>0.10807</v>
      </c>
      <c r="BJ78" s="185">
        <v>0.20075000000000001</v>
      </c>
      <c r="BK78" s="185">
        <v>7.9100000000000004E-2</v>
      </c>
      <c r="BL78" s="185">
        <v>0.19411999999999999</v>
      </c>
      <c r="BM78" s="185">
        <v>4.931E-2</v>
      </c>
      <c r="BN78" s="185">
        <v>0.21131</v>
      </c>
      <c r="BO78" s="185"/>
      <c r="BP78" s="185">
        <v>-2.1309999999999999E-2</v>
      </c>
      <c r="BQ78" s="185"/>
      <c r="BR78" s="194"/>
      <c r="BS78" s="185">
        <v>0</v>
      </c>
      <c r="BT78" s="185">
        <v>-7.23536</v>
      </c>
      <c r="BU78" s="185">
        <v>-8.1445699999999999</v>
      </c>
      <c r="BV78" s="185">
        <v>-1.45102</v>
      </c>
      <c r="BW78" s="185">
        <v>-0.99153000000000002</v>
      </c>
      <c r="BX78" s="185">
        <v>-2.8240000000000001E-2</v>
      </c>
      <c r="BY78" s="185">
        <v>0</v>
      </c>
      <c r="BZ78" s="185">
        <v>0</v>
      </c>
      <c r="CA78" s="185">
        <v>0</v>
      </c>
      <c r="CB78" s="185"/>
      <c r="CC78" s="185">
        <v>0</v>
      </c>
      <c r="CD78" s="185"/>
      <c r="CE78" s="194"/>
      <c r="CF78" s="185">
        <v>51.704549999999998</v>
      </c>
      <c r="CG78" s="185">
        <v>50.946040000000004</v>
      </c>
      <c r="CH78" s="185">
        <v>55.696429999999999</v>
      </c>
      <c r="CI78" s="185">
        <v>63.229349999999997</v>
      </c>
      <c r="CJ78" s="185">
        <v>66.068520000000007</v>
      </c>
      <c r="CK78" s="185">
        <v>64.587400000000002</v>
      </c>
      <c r="CL78" s="185">
        <v>66.508799999999994</v>
      </c>
      <c r="CM78" s="185">
        <v>66.842709999999997</v>
      </c>
      <c r="CN78" s="185">
        <v>66.654439999999994</v>
      </c>
      <c r="CO78" s="185"/>
      <c r="CP78" s="185">
        <v>67.21472</v>
      </c>
      <c r="CQ78" s="185"/>
      <c r="CR78" s="194"/>
      <c r="CS78" s="185">
        <v>24.73546</v>
      </c>
      <c r="CT78" s="185">
        <v>26.434139999999999</v>
      </c>
      <c r="CU78" s="185">
        <v>27.53828</v>
      </c>
      <c r="CV78" s="185">
        <v>34.92351</v>
      </c>
      <c r="CW78" s="185">
        <v>33.86074</v>
      </c>
      <c r="CX78" s="185">
        <v>29.254909999999999</v>
      </c>
      <c r="CY78" s="185">
        <v>30.998190000000001</v>
      </c>
      <c r="CZ78" s="185">
        <v>32.210839999999997</v>
      </c>
      <c r="DA78" s="185">
        <v>30.999009999999998</v>
      </c>
      <c r="DB78" s="185"/>
      <c r="DC78" s="185">
        <v>29.945650000000001</v>
      </c>
      <c r="DD78" s="185"/>
      <c r="DE78" s="194"/>
      <c r="DF78" s="187">
        <v>0.1113</v>
      </c>
      <c r="DG78" s="187">
        <v>0.1101</v>
      </c>
      <c r="DH78" s="187">
        <v>0.1119</v>
      </c>
      <c r="DI78" s="187">
        <v>0.1021</v>
      </c>
      <c r="DJ78" s="187">
        <v>0.1074</v>
      </c>
      <c r="DK78" s="187">
        <v>0.11899999999999999</v>
      </c>
      <c r="DL78" s="187">
        <v>0.12039999999999999</v>
      </c>
      <c r="DM78" s="187">
        <v>0.1237</v>
      </c>
      <c r="DN78" s="187">
        <v>0.1226</v>
      </c>
      <c r="DO78" s="187"/>
      <c r="DP78" s="187">
        <v>0.1157</v>
      </c>
      <c r="DQ78" s="187"/>
      <c r="DR78" s="195"/>
      <c r="DS78" s="185">
        <v>63465.552609999999</v>
      </c>
      <c r="DT78" s="185">
        <v>60138.396650000002</v>
      </c>
      <c r="DU78" s="185">
        <v>64189.061379999999</v>
      </c>
      <c r="DV78" s="185">
        <v>70626.05</v>
      </c>
      <c r="DW78" s="185">
        <v>73434.666670000006</v>
      </c>
      <c r="DX78" s="185">
        <v>74296.343219999995</v>
      </c>
      <c r="DY78" s="185">
        <v>76278.474199999997</v>
      </c>
      <c r="DZ78" s="185">
        <v>76471.530239999993</v>
      </c>
      <c r="EA78" s="185">
        <v>76377.633329999997</v>
      </c>
      <c r="EB78" s="185"/>
      <c r="EC78" s="185">
        <v>76377.633329999997</v>
      </c>
      <c r="ED78" s="185"/>
      <c r="EE78" s="194"/>
      <c r="EF78" s="185">
        <v>0</v>
      </c>
      <c r="EG78" s="185">
        <v>0</v>
      </c>
      <c r="EH78" s="185">
        <v>0</v>
      </c>
      <c r="EI78" s="185">
        <v>0</v>
      </c>
      <c r="EJ78" s="185">
        <v>0</v>
      </c>
      <c r="EK78" s="185">
        <v>0</v>
      </c>
      <c r="EL78" s="185">
        <v>0</v>
      </c>
      <c r="EM78" s="185">
        <v>0</v>
      </c>
      <c r="EN78" s="185">
        <v>0</v>
      </c>
      <c r="EO78" s="185"/>
      <c r="EP78" s="185">
        <v>0</v>
      </c>
      <c r="EQ78" s="185"/>
      <c r="ER78" s="194"/>
      <c r="ES78" s="185">
        <v>3551104.5104700001</v>
      </c>
      <c r="ET78" s="185">
        <v>2193618.2625600002</v>
      </c>
      <c r="EU78" s="185">
        <v>2349089.8012100002</v>
      </c>
      <c r="EV78" s="185">
        <v>3146588.5546300001</v>
      </c>
      <c r="EW78" s="185">
        <v>3504814.5287199998</v>
      </c>
      <c r="EX78" s="185">
        <v>3608077.4366700002</v>
      </c>
      <c r="EY78" s="185">
        <v>3724808.6750599998</v>
      </c>
      <c r="EZ78" s="185">
        <v>3700470.4766000002</v>
      </c>
      <c r="FA78" s="185">
        <v>3864288.8153599999</v>
      </c>
      <c r="FB78" s="185"/>
      <c r="FC78" s="185">
        <v>3876679.0301299999</v>
      </c>
      <c r="FD78" s="185"/>
      <c r="FE78" s="194"/>
      <c r="FF78" s="185"/>
      <c r="FG78" s="185"/>
      <c r="FH78" s="185"/>
      <c r="FI78" s="185"/>
      <c r="FJ78" s="185"/>
      <c r="FK78" s="185"/>
      <c r="FL78" s="185"/>
      <c r="FM78" s="185"/>
      <c r="FN78" s="185"/>
      <c r="FO78" s="185"/>
      <c r="FP78" s="185"/>
      <c r="FQ78" s="185"/>
      <c r="FR78" s="194"/>
    </row>
    <row r="79" spans="4:174" s="4" customFormat="1" x14ac:dyDescent="0.25">
      <c r="D79" s="92"/>
      <c r="E79" s="2" t="s">
        <v>164</v>
      </c>
      <c r="F79" s="184">
        <v>18.629010000000001</v>
      </c>
      <c r="G79" s="185">
        <v>14.66554</v>
      </c>
      <c r="H79" s="185">
        <v>16.694780000000002</v>
      </c>
      <c r="I79" s="185">
        <v>20.08427</v>
      </c>
      <c r="J79" s="185">
        <v>22.392969999999998</v>
      </c>
      <c r="K79" s="185">
        <v>24.489650000000001</v>
      </c>
      <c r="L79" s="185">
        <v>24.878160000000001</v>
      </c>
      <c r="M79" s="185">
        <v>24.874130000000001</v>
      </c>
      <c r="N79" s="185">
        <v>25.001259999999998</v>
      </c>
      <c r="O79" s="185"/>
      <c r="P79" s="185">
        <v>26.374110000000002</v>
      </c>
      <c r="Q79" s="185"/>
      <c r="R79" s="194"/>
      <c r="S79" s="185">
        <v>37.311039999999998</v>
      </c>
      <c r="T79" s="185">
        <v>38.392569999999999</v>
      </c>
      <c r="U79" s="185">
        <v>39.7517</v>
      </c>
      <c r="V79" s="185">
        <v>43.654649999999997</v>
      </c>
      <c r="W79" s="185">
        <v>45.526820000000001</v>
      </c>
      <c r="X79" s="185">
        <v>41.159059999999997</v>
      </c>
      <c r="Y79" s="185">
        <v>42.187710000000003</v>
      </c>
      <c r="Z79" s="185">
        <v>44.605170000000001</v>
      </c>
      <c r="AA79" s="185">
        <v>44.966470000000001</v>
      </c>
      <c r="AB79" s="185"/>
      <c r="AC79" s="185">
        <v>46.689390000000003</v>
      </c>
      <c r="AD79" s="185"/>
      <c r="AE79" s="194"/>
      <c r="AF79" s="185">
        <v>4.0976900000000001</v>
      </c>
      <c r="AG79" s="185">
        <v>4.56867</v>
      </c>
      <c r="AH79" s="185">
        <v>4.9119200000000003</v>
      </c>
      <c r="AI79" s="185">
        <v>4.7400099999999998</v>
      </c>
      <c r="AJ79" s="185">
        <v>4.96075</v>
      </c>
      <c r="AK79" s="185">
        <v>5.17577</v>
      </c>
      <c r="AL79" s="185">
        <v>5.3883900000000002</v>
      </c>
      <c r="AM79" s="185">
        <v>5.71089</v>
      </c>
      <c r="AN79" s="185">
        <v>5.62845</v>
      </c>
      <c r="AO79" s="185"/>
      <c r="AP79" s="185">
        <v>5.3984800000000002</v>
      </c>
      <c r="AQ79" s="185"/>
      <c r="AR79" s="194"/>
      <c r="AS79" s="185">
        <v>0.11763</v>
      </c>
      <c r="AT79" s="185">
        <v>0.12997</v>
      </c>
      <c r="AU79" s="185">
        <v>0.13492000000000001</v>
      </c>
      <c r="AV79" s="185">
        <v>0.13963999999999999</v>
      </c>
      <c r="AW79" s="185">
        <v>0.14521999999999999</v>
      </c>
      <c r="AX79" s="185">
        <v>0.15543000000000001</v>
      </c>
      <c r="AY79" s="185">
        <v>0.16681000000000001</v>
      </c>
      <c r="AZ79" s="185">
        <v>0.18723999999999999</v>
      </c>
      <c r="BA79" s="185">
        <v>0.17438999999999999</v>
      </c>
      <c r="BB79" s="185"/>
      <c r="BC79" s="185">
        <v>0.19253999999999999</v>
      </c>
      <c r="BD79" s="185"/>
      <c r="BE79" s="194"/>
      <c r="BF79" s="185">
        <v>0.15806000000000001</v>
      </c>
      <c r="BG79" s="185">
        <v>0.33812999999999999</v>
      </c>
      <c r="BH79" s="185">
        <v>7.059E-2</v>
      </c>
      <c r="BI79" s="185">
        <v>7.0080000000000003E-2</v>
      </c>
      <c r="BJ79" s="185">
        <v>0.12512000000000001</v>
      </c>
      <c r="BK79" s="185">
        <v>4.8840000000000001E-2</v>
      </c>
      <c r="BL79" s="185">
        <v>0.11758</v>
      </c>
      <c r="BM79" s="185">
        <v>3.107E-2</v>
      </c>
      <c r="BN79" s="185">
        <v>0.13416</v>
      </c>
      <c r="BO79" s="185"/>
      <c r="BP79" s="185">
        <v>-1.383E-2</v>
      </c>
      <c r="BQ79" s="185"/>
      <c r="BR79" s="194"/>
      <c r="BS79" s="185">
        <v>0</v>
      </c>
      <c r="BT79" s="185">
        <v>-5.2439799999999996</v>
      </c>
      <c r="BU79" s="185">
        <v>-4.1572500000000003</v>
      </c>
      <c r="BV79" s="185">
        <v>-0.28304000000000001</v>
      </c>
      <c r="BW79" s="185">
        <v>-0.63470000000000004</v>
      </c>
      <c r="BX79" s="185">
        <v>-2.196E-2</v>
      </c>
      <c r="BY79" s="185">
        <v>0</v>
      </c>
      <c r="BZ79" s="185">
        <v>0</v>
      </c>
      <c r="CA79" s="185">
        <v>0</v>
      </c>
      <c r="CB79" s="185"/>
      <c r="CC79" s="185">
        <v>0</v>
      </c>
      <c r="CD79" s="185"/>
      <c r="CE79" s="194"/>
      <c r="CF79" s="185">
        <v>41.684429999999999</v>
      </c>
      <c r="CG79" s="185">
        <v>43.429349999999999</v>
      </c>
      <c r="CH79" s="185">
        <v>44.869129999999998</v>
      </c>
      <c r="CI79" s="185">
        <v>48.604379999999999</v>
      </c>
      <c r="CJ79" s="185">
        <v>50.757910000000003</v>
      </c>
      <c r="CK79" s="185">
        <v>46.539090000000002</v>
      </c>
      <c r="CL79" s="185">
        <v>47.860500000000002</v>
      </c>
      <c r="CM79" s="185">
        <v>50.534370000000003</v>
      </c>
      <c r="CN79" s="185">
        <v>50.903460000000003</v>
      </c>
      <c r="CO79" s="185"/>
      <c r="CP79" s="185">
        <v>52.266579999999998</v>
      </c>
      <c r="CQ79" s="185"/>
      <c r="CR79" s="194"/>
      <c r="CS79" s="185">
        <v>23.055420000000002</v>
      </c>
      <c r="CT79" s="185">
        <v>23.519819999999999</v>
      </c>
      <c r="CU79" s="185">
        <v>24.017099999999999</v>
      </c>
      <c r="CV79" s="185">
        <v>28.237069999999999</v>
      </c>
      <c r="CW79" s="185">
        <v>27.730229999999999</v>
      </c>
      <c r="CX79" s="185">
        <v>22.027480000000001</v>
      </c>
      <c r="CY79" s="185">
        <v>22.982330000000001</v>
      </c>
      <c r="CZ79" s="185">
        <v>25.660240000000002</v>
      </c>
      <c r="DA79" s="185">
        <v>25.902200000000001</v>
      </c>
      <c r="DB79" s="185"/>
      <c r="DC79" s="185">
        <v>25.892469999999999</v>
      </c>
      <c r="DD79" s="185"/>
      <c r="DE79" s="194"/>
      <c r="DF79" s="187">
        <v>9.8299999999999998E-2</v>
      </c>
      <c r="DG79" s="187">
        <v>0.1052</v>
      </c>
      <c r="DH79" s="187">
        <v>0.1095</v>
      </c>
      <c r="DI79" s="187">
        <v>9.7500000000000003E-2</v>
      </c>
      <c r="DJ79" s="187">
        <v>9.7699999999999995E-2</v>
      </c>
      <c r="DK79" s="187">
        <v>0.11119999999999999</v>
      </c>
      <c r="DL79" s="187">
        <v>0.11260000000000001</v>
      </c>
      <c r="DM79" s="187">
        <v>0.113</v>
      </c>
      <c r="DN79" s="187">
        <v>0.1106</v>
      </c>
      <c r="DO79" s="187"/>
      <c r="DP79" s="187">
        <v>0.1033</v>
      </c>
      <c r="DQ79" s="187"/>
      <c r="DR79" s="195"/>
      <c r="DS79" s="185">
        <v>44536.415860000001</v>
      </c>
      <c r="DT79" s="185">
        <v>45303.4</v>
      </c>
      <c r="DU79" s="185">
        <v>45279.633329999997</v>
      </c>
      <c r="DV79" s="185">
        <v>45799.033329999998</v>
      </c>
      <c r="DW79" s="185">
        <v>45769.166669999999</v>
      </c>
      <c r="DX79" s="185">
        <v>45878.082009999998</v>
      </c>
      <c r="DY79" s="185">
        <v>46202.041160000001</v>
      </c>
      <c r="DZ79" s="185">
        <v>48177.336360000001</v>
      </c>
      <c r="EA79" s="185">
        <v>48491.729910000002</v>
      </c>
      <c r="EB79" s="185"/>
      <c r="EC79" s="185">
        <v>49569.483330000003</v>
      </c>
      <c r="ED79" s="185"/>
      <c r="EE79" s="194"/>
      <c r="EF79" s="185">
        <v>0</v>
      </c>
      <c r="EG79" s="185">
        <v>0</v>
      </c>
      <c r="EH79" s="185">
        <v>0</v>
      </c>
      <c r="EI79" s="185">
        <v>0</v>
      </c>
      <c r="EJ79" s="185">
        <v>0</v>
      </c>
      <c r="EK79" s="185">
        <v>0</v>
      </c>
      <c r="EL79" s="185">
        <v>0</v>
      </c>
      <c r="EM79" s="185">
        <v>0</v>
      </c>
      <c r="EN79" s="185">
        <v>0</v>
      </c>
      <c r="EO79" s="185"/>
      <c r="EP79" s="185">
        <v>0</v>
      </c>
      <c r="EQ79" s="185"/>
      <c r="ER79" s="194"/>
      <c r="ES79" s="185">
        <v>1770437.9639600001</v>
      </c>
      <c r="ET79" s="185">
        <v>1320598.0222199999</v>
      </c>
      <c r="EU79" s="185">
        <v>1321130.6113100001</v>
      </c>
      <c r="EV79" s="185">
        <v>1678426.2382</v>
      </c>
      <c r="EW79" s="185">
        <v>1798827.4176400001</v>
      </c>
      <c r="EX79" s="185">
        <v>1734950.03055</v>
      </c>
      <c r="EY79" s="185">
        <v>1832720.1537500001</v>
      </c>
      <c r="EZ79" s="185">
        <v>1830783.75128</v>
      </c>
      <c r="FA79" s="185">
        <v>1876889.84561</v>
      </c>
      <c r="FB79" s="185"/>
      <c r="FC79" s="185">
        <v>1895349.2033800001</v>
      </c>
      <c r="FD79" s="185"/>
      <c r="FE79" s="194"/>
      <c r="FF79" s="185"/>
      <c r="FG79" s="185"/>
      <c r="FH79" s="185"/>
      <c r="FI79" s="185"/>
      <c r="FJ79" s="185"/>
      <c r="FK79" s="185"/>
      <c r="FL79" s="185"/>
      <c r="FM79" s="185"/>
      <c r="FN79" s="185"/>
      <c r="FO79" s="185"/>
      <c r="FP79" s="185"/>
      <c r="FQ79" s="185"/>
      <c r="FR79" s="194"/>
    </row>
    <row r="80" spans="4:174" s="4" customFormat="1" x14ac:dyDescent="0.25">
      <c r="D80" s="92"/>
      <c r="E80" s="2" t="s">
        <v>165</v>
      </c>
      <c r="F80" s="184">
        <v>4.3364799999999999</v>
      </c>
      <c r="G80" s="185">
        <v>3.15402</v>
      </c>
      <c r="H80" s="185">
        <v>3.1603400000000001</v>
      </c>
      <c r="I80" s="185">
        <v>4.0987900000000002</v>
      </c>
      <c r="J80" s="185">
        <v>4.3298100000000002</v>
      </c>
      <c r="K80" s="185">
        <v>5.0889100000000003</v>
      </c>
      <c r="L80" s="185">
        <v>5.3684099999999999</v>
      </c>
      <c r="M80" s="185">
        <v>4.8482900000000004</v>
      </c>
      <c r="N80" s="185">
        <v>5.2549200000000003</v>
      </c>
      <c r="O80" s="185"/>
      <c r="P80" s="185">
        <v>5.4977299999999998</v>
      </c>
      <c r="Q80" s="185"/>
      <c r="R80" s="194"/>
      <c r="S80" s="185">
        <v>8.4807500000000005</v>
      </c>
      <c r="T80" s="185">
        <v>8.6470199999999995</v>
      </c>
      <c r="U80" s="185">
        <v>8.9391499999999997</v>
      </c>
      <c r="V80" s="185">
        <v>9.7554599999999994</v>
      </c>
      <c r="W80" s="185">
        <v>10.091710000000001</v>
      </c>
      <c r="X80" s="185">
        <v>9.5925899999999995</v>
      </c>
      <c r="Y80" s="185">
        <v>10.84986</v>
      </c>
      <c r="Z80" s="185">
        <v>11.763870000000001</v>
      </c>
      <c r="AA80" s="185">
        <v>11.947190000000001</v>
      </c>
      <c r="AB80" s="185"/>
      <c r="AC80" s="185">
        <v>12.184139999999999</v>
      </c>
      <c r="AD80" s="185"/>
      <c r="AE80" s="194"/>
      <c r="AF80" s="185">
        <v>0.85658000000000001</v>
      </c>
      <c r="AG80" s="185">
        <v>0.92298999999999998</v>
      </c>
      <c r="AH80" s="185">
        <v>0.94067000000000001</v>
      </c>
      <c r="AI80" s="185">
        <v>0.92279999999999995</v>
      </c>
      <c r="AJ80" s="185">
        <v>0.93698999999999999</v>
      </c>
      <c r="AK80" s="185">
        <v>1.0613900000000001</v>
      </c>
      <c r="AL80" s="185">
        <v>1.26379</v>
      </c>
      <c r="AM80" s="185">
        <v>1.3631500000000001</v>
      </c>
      <c r="AN80" s="185">
        <v>1.3812500000000001</v>
      </c>
      <c r="AO80" s="185"/>
      <c r="AP80" s="185">
        <v>1.27441</v>
      </c>
      <c r="AQ80" s="185"/>
      <c r="AR80" s="194"/>
      <c r="AS80" s="185">
        <v>2.2100000000000002E-2</v>
      </c>
      <c r="AT80" s="185">
        <v>2.4340000000000001E-2</v>
      </c>
      <c r="AU80" s="185">
        <v>2.5190000000000001E-2</v>
      </c>
      <c r="AV80" s="185">
        <v>2.5080000000000002E-2</v>
      </c>
      <c r="AW80" s="185">
        <v>2.5930000000000002E-2</v>
      </c>
      <c r="AX80" s="185">
        <v>3.0759999999999999E-2</v>
      </c>
      <c r="AY80" s="185">
        <v>4.172E-2</v>
      </c>
      <c r="AZ80" s="185">
        <v>5.0770000000000003E-2</v>
      </c>
      <c r="BA80" s="185">
        <v>4.7350000000000003E-2</v>
      </c>
      <c r="BB80" s="185"/>
      <c r="BC80" s="185">
        <v>5.1139999999999998E-2</v>
      </c>
      <c r="BD80" s="185"/>
      <c r="BE80" s="194"/>
      <c r="BF80" s="185">
        <v>2.9700000000000001E-2</v>
      </c>
      <c r="BG80" s="185">
        <v>6.3320000000000001E-2</v>
      </c>
      <c r="BH80" s="185">
        <v>1.3180000000000001E-2</v>
      </c>
      <c r="BI80" s="185">
        <v>1.259E-2</v>
      </c>
      <c r="BJ80" s="185">
        <v>2.2339999999999999E-2</v>
      </c>
      <c r="BK80" s="185">
        <v>9.6699999999999998E-3</v>
      </c>
      <c r="BL80" s="185">
        <v>2.9399999999999999E-2</v>
      </c>
      <c r="BM80" s="185">
        <v>8.4200000000000004E-3</v>
      </c>
      <c r="BN80" s="185">
        <v>3.6429999999999997E-2</v>
      </c>
      <c r="BO80" s="185"/>
      <c r="BP80" s="185">
        <v>-3.6700000000000001E-3</v>
      </c>
      <c r="BQ80" s="185"/>
      <c r="BR80" s="194"/>
      <c r="BS80" s="185">
        <v>0</v>
      </c>
      <c r="BT80" s="185">
        <v>-1.2170399999999999</v>
      </c>
      <c r="BU80" s="185">
        <v>-1.47194</v>
      </c>
      <c r="BV80" s="185">
        <v>-0.26477000000000001</v>
      </c>
      <c r="BW80" s="185">
        <v>-0.17313999999999999</v>
      </c>
      <c r="BX80" s="185">
        <v>-4.8700000000000002E-3</v>
      </c>
      <c r="BY80" s="185">
        <v>0</v>
      </c>
      <c r="BZ80" s="185">
        <v>0</v>
      </c>
      <c r="CA80" s="185">
        <v>0</v>
      </c>
      <c r="CB80" s="185"/>
      <c r="CC80" s="185">
        <v>0</v>
      </c>
      <c r="CD80" s="185"/>
      <c r="CE80" s="194"/>
      <c r="CF80" s="185">
        <v>9.3891299999999998</v>
      </c>
      <c r="CG80" s="185">
        <v>9.6576699999999995</v>
      </c>
      <c r="CH80" s="185">
        <v>9.9182000000000006</v>
      </c>
      <c r="CI80" s="185">
        <v>10.71593</v>
      </c>
      <c r="CJ80" s="185">
        <v>11.07696</v>
      </c>
      <c r="CK80" s="185">
        <v>10.69441</v>
      </c>
      <c r="CL80" s="185">
        <v>12.18477</v>
      </c>
      <c r="CM80" s="185">
        <v>13.186210000000001</v>
      </c>
      <c r="CN80" s="185">
        <v>13.41222</v>
      </c>
      <c r="CO80" s="185"/>
      <c r="CP80" s="185">
        <v>13.506019999999999</v>
      </c>
      <c r="CQ80" s="185"/>
      <c r="CR80" s="194"/>
      <c r="CS80" s="185">
        <v>5.0526499999999999</v>
      </c>
      <c r="CT80" s="185">
        <v>5.2866099999999996</v>
      </c>
      <c r="CU80" s="185">
        <v>5.28592</v>
      </c>
      <c r="CV80" s="185">
        <v>6.3523800000000001</v>
      </c>
      <c r="CW80" s="185">
        <v>6.5740100000000004</v>
      </c>
      <c r="CX80" s="185">
        <v>5.6006299999999998</v>
      </c>
      <c r="CY80" s="185">
        <v>6.8163600000000004</v>
      </c>
      <c r="CZ80" s="185">
        <v>8.3379200000000004</v>
      </c>
      <c r="DA80" s="185">
        <v>8.1572999999999993</v>
      </c>
      <c r="DB80" s="185"/>
      <c r="DC80" s="185">
        <v>8.0082900000000006</v>
      </c>
      <c r="DD80" s="185"/>
      <c r="DE80" s="194"/>
      <c r="DF80" s="187">
        <v>9.1200000000000003E-2</v>
      </c>
      <c r="DG80" s="187">
        <v>9.5600000000000004E-2</v>
      </c>
      <c r="DH80" s="187">
        <v>9.4799999999999995E-2</v>
      </c>
      <c r="DI80" s="187">
        <v>8.6099999999999996E-2</v>
      </c>
      <c r="DJ80" s="187">
        <v>8.4599999999999995E-2</v>
      </c>
      <c r="DK80" s="187">
        <v>9.9199999999999997E-2</v>
      </c>
      <c r="DL80" s="187">
        <v>0.1037</v>
      </c>
      <c r="DM80" s="187">
        <v>0.10340000000000001</v>
      </c>
      <c r="DN80" s="187">
        <v>0.10299999999999999</v>
      </c>
      <c r="DO80" s="187"/>
      <c r="DP80" s="187">
        <v>9.4399999999999998E-2</v>
      </c>
      <c r="DQ80" s="187"/>
      <c r="DR80" s="195"/>
      <c r="DS80" s="185">
        <v>8368.6778699999995</v>
      </c>
      <c r="DT80" s="185">
        <v>8483.9500000000007</v>
      </c>
      <c r="DU80" s="185">
        <v>8455.4583299999995</v>
      </c>
      <c r="DV80" s="185">
        <v>8226.4375</v>
      </c>
      <c r="DW80" s="185">
        <v>8171.0416699999996</v>
      </c>
      <c r="DX80" s="185">
        <v>9080.3931699999994</v>
      </c>
      <c r="DY80" s="185">
        <v>11554.24217</v>
      </c>
      <c r="DZ80" s="185">
        <v>13063.29624</v>
      </c>
      <c r="EA80" s="185">
        <v>13166.8125</v>
      </c>
      <c r="EB80" s="185"/>
      <c r="EC80" s="185">
        <v>13166.8125</v>
      </c>
      <c r="ED80" s="185"/>
      <c r="EE80" s="194"/>
      <c r="EF80" s="185">
        <v>0</v>
      </c>
      <c r="EG80" s="185">
        <v>0</v>
      </c>
      <c r="EH80" s="185">
        <v>0</v>
      </c>
      <c r="EI80" s="185">
        <v>0</v>
      </c>
      <c r="EJ80" s="185">
        <v>0</v>
      </c>
      <c r="EK80" s="185">
        <v>0</v>
      </c>
      <c r="EL80" s="185">
        <v>0</v>
      </c>
      <c r="EM80" s="185">
        <v>0</v>
      </c>
      <c r="EN80" s="185">
        <v>0</v>
      </c>
      <c r="EO80" s="185"/>
      <c r="EP80" s="185">
        <v>0</v>
      </c>
      <c r="EQ80" s="185"/>
      <c r="ER80" s="194"/>
      <c r="ES80" s="185">
        <v>273952.71516000002</v>
      </c>
      <c r="ET80" s="185">
        <v>225886.23271000001</v>
      </c>
      <c r="EU80" s="185">
        <v>176556.45869</v>
      </c>
      <c r="EV80" s="185">
        <v>236528.54740000001</v>
      </c>
      <c r="EW80" s="185">
        <v>223387.90239999999</v>
      </c>
      <c r="EX80" s="185">
        <v>251542.11460999999</v>
      </c>
      <c r="EY80" s="185">
        <v>320932.89484000002</v>
      </c>
      <c r="EZ80" s="185">
        <v>268178.49274999998</v>
      </c>
      <c r="FA80" s="185">
        <v>324356.85255000001</v>
      </c>
      <c r="FB80" s="185"/>
      <c r="FC80" s="185">
        <v>325570.06575000001</v>
      </c>
      <c r="FD80" s="185"/>
      <c r="FE80" s="194"/>
      <c r="FF80" s="185"/>
      <c r="FG80" s="185"/>
      <c r="FH80" s="185"/>
      <c r="FI80" s="185"/>
      <c r="FJ80" s="185"/>
      <c r="FK80" s="185"/>
      <c r="FL80" s="185"/>
      <c r="FM80" s="185"/>
      <c r="FN80" s="185"/>
      <c r="FO80" s="185"/>
      <c r="FP80" s="185"/>
      <c r="FQ80" s="185"/>
      <c r="FR80" s="194"/>
    </row>
    <row r="81" spans="4:174" s="4" customFormat="1" x14ac:dyDescent="0.25">
      <c r="D81" s="92"/>
      <c r="E81" s="2" t="s">
        <v>166</v>
      </c>
      <c r="F81" s="184">
        <v>10.76953</v>
      </c>
      <c r="G81" s="185">
        <v>7.7909600000000001</v>
      </c>
      <c r="H81" s="185">
        <v>8.2119900000000001</v>
      </c>
      <c r="I81" s="185">
        <v>9.7695500000000006</v>
      </c>
      <c r="J81" s="185">
        <v>10.91633</v>
      </c>
      <c r="K81" s="185">
        <v>12.338559999999999</v>
      </c>
      <c r="L81" s="185">
        <v>11.72892</v>
      </c>
      <c r="M81" s="185">
        <v>11.88424</v>
      </c>
      <c r="N81" s="185">
        <v>11.551640000000001</v>
      </c>
      <c r="O81" s="185"/>
      <c r="P81" s="185">
        <v>11.889340000000001</v>
      </c>
      <c r="Q81" s="185"/>
      <c r="R81" s="194"/>
      <c r="S81" s="185">
        <v>26.63073</v>
      </c>
      <c r="T81" s="185">
        <v>27.626799999999999</v>
      </c>
      <c r="U81" s="185">
        <v>28.857330000000001</v>
      </c>
      <c r="V81" s="185">
        <v>32.05368</v>
      </c>
      <c r="W81" s="185">
        <v>32.037170000000003</v>
      </c>
      <c r="X81" s="185">
        <v>31.360859999999999</v>
      </c>
      <c r="Y81" s="185">
        <v>31.39049</v>
      </c>
      <c r="Z81" s="185">
        <v>31.849340000000002</v>
      </c>
      <c r="AA81" s="185">
        <v>32.63476</v>
      </c>
      <c r="AB81" s="185"/>
      <c r="AC81" s="185">
        <v>29.987490000000001</v>
      </c>
      <c r="AD81" s="185"/>
      <c r="AE81" s="194"/>
      <c r="AF81" s="185">
        <v>2.79426</v>
      </c>
      <c r="AG81" s="185">
        <v>2.9487700000000001</v>
      </c>
      <c r="AH81" s="185">
        <v>3.1404899999999998</v>
      </c>
      <c r="AI81" s="185">
        <v>2.90699</v>
      </c>
      <c r="AJ81" s="185">
        <v>3.0899000000000001</v>
      </c>
      <c r="AK81" s="185">
        <v>3.31359</v>
      </c>
      <c r="AL81" s="185">
        <v>3.2953299999999999</v>
      </c>
      <c r="AM81" s="185">
        <v>3.4746899999999998</v>
      </c>
      <c r="AN81" s="185">
        <v>3.36226</v>
      </c>
      <c r="AO81" s="185"/>
      <c r="AP81" s="185">
        <v>3.08264</v>
      </c>
      <c r="AQ81" s="185"/>
      <c r="AR81" s="194"/>
      <c r="AS81" s="185">
        <v>8.9639999999999997E-2</v>
      </c>
      <c r="AT81" s="185">
        <v>9.8030000000000006E-2</v>
      </c>
      <c r="AU81" s="185">
        <v>0.10277</v>
      </c>
      <c r="AV81" s="185">
        <v>0.10485</v>
      </c>
      <c r="AW81" s="185">
        <v>0.10894</v>
      </c>
      <c r="AX81" s="185">
        <v>0.11622</v>
      </c>
      <c r="AY81" s="185">
        <v>0.12358</v>
      </c>
      <c r="AZ81" s="185">
        <v>0.13366</v>
      </c>
      <c r="BA81" s="185">
        <v>0.12293</v>
      </c>
      <c r="BB81" s="185"/>
      <c r="BC81" s="185">
        <v>0.13486000000000001</v>
      </c>
      <c r="BD81" s="185"/>
      <c r="BE81" s="194"/>
      <c r="BF81" s="185">
        <v>0.12045</v>
      </c>
      <c r="BG81" s="185">
        <v>0.25503999999999999</v>
      </c>
      <c r="BH81" s="185">
        <v>5.3769999999999998E-2</v>
      </c>
      <c r="BI81" s="185">
        <v>5.262E-2</v>
      </c>
      <c r="BJ81" s="185">
        <v>9.3859999999999999E-2</v>
      </c>
      <c r="BK81" s="185">
        <v>3.6519999999999997E-2</v>
      </c>
      <c r="BL81" s="185">
        <v>8.7099999999999997E-2</v>
      </c>
      <c r="BM81" s="185">
        <v>2.2179999999999998E-2</v>
      </c>
      <c r="BN81" s="185">
        <v>9.4570000000000001E-2</v>
      </c>
      <c r="BO81" s="185"/>
      <c r="BP81" s="185">
        <v>-9.6900000000000007E-3</v>
      </c>
      <c r="BQ81" s="185"/>
      <c r="BR81" s="194"/>
      <c r="BS81" s="185">
        <v>0</v>
      </c>
      <c r="BT81" s="185">
        <v>-2.9860000000000002</v>
      </c>
      <c r="BU81" s="185">
        <v>-3.02434</v>
      </c>
      <c r="BV81" s="185">
        <v>-0.70009999999999994</v>
      </c>
      <c r="BW81" s="185">
        <v>-0.52744000000000002</v>
      </c>
      <c r="BX81" s="185">
        <v>-1.545E-2</v>
      </c>
      <c r="BY81" s="185">
        <v>0</v>
      </c>
      <c r="BZ81" s="185">
        <v>0</v>
      </c>
      <c r="CA81" s="185">
        <v>0</v>
      </c>
      <c r="CB81" s="185"/>
      <c r="CC81" s="185">
        <v>0</v>
      </c>
      <c r="CD81" s="185"/>
      <c r="CE81" s="194"/>
      <c r="CF81" s="185">
        <v>29.635079999999999</v>
      </c>
      <c r="CG81" s="185">
        <v>30.928640000000001</v>
      </c>
      <c r="CH81" s="185">
        <v>32.154359999999997</v>
      </c>
      <c r="CI81" s="185">
        <v>35.118139999999997</v>
      </c>
      <c r="CJ81" s="185">
        <v>35.329880000000003</v>
      </c>
      <c r="CK81" s="185">
        <v>34.827190000000002</v>
      </c>
      <c r="CL81" s="185">
        <v>34.896500000000003</v>
      </c>
      <c r="CM81" s="185">
        <v>35.479860000000002</v>
      </c>
      <c r="CN81" s="185">
        <v>36.21452</v>
      </c>
      <c r="CO81" s="185"/>
      <c r="CP81" s="185">
        <v>33.195300000000003</v>
      </c>
      <c r="CQ81" s="185"/>
      <c r="CR81" s="194"/>
      <c r="CS81" s="185">
        <v>18.865549999999999</v>
      </c>
      <c r="CT81" s="185">
        <v>20.151669999999999</v>
      </c>
      <c r="CU81" s="185">
        <v>20.918030000000002</v>
      </c>
      <c r="CV81" s="185">
        <v>24.648489999999999</v>
      </c>
      <c r="CW81" s="185">
        <v>23.886109999999999</v>
      </c>
      <c r="CX81" s="185">
        <v>22.47317</v>
      </c>
      <c r="CY81" s="185">
        <v>23.167580000000001</v>
      </c>
      <c r="CZ81" s="185">
        <v>23.59562</v>
      </c>
      <c r="DA81" s="185">
        <v>24.662880000000001</v>
      </c>
      <c r="DB81" s="185"/>
      <c r="DC81" s="185">
        <v>21.305959999999999</v>
      </c>
      <c r="DD81" s="185"/>
      <c r="DE81" s="194"/>
      <c r="DF81" s="187">
        <v>9.4299999999999995E-2</v>
      </c>
      <c r="DG81" s="187">
        <v>9.5299999999999996E-2</v>
      </c>
      <c r="DH81" s="187">
        <v>9.7699999999999995E-2</v>
      </c>
      <c r="DI81" s="187">
        <v>8.2799999999999999E-2</v>
      </c>
      <c r="DJ81" s="187">
        <v>8.7499999999999994E-2</v>
      </c>
      <c r="DK81" s="187">
        <v>9.5100000000000004E-2</v>
      </c>
      <c r="DL81" s="187">
        <v>9.4399999999999998E-2</v>
      </c>
      <c r="DM81" s="187">
        <v>9.7900000000000001E-2</v>
      </c>
      <c r="DN81" s="187">
        <v>9.2799999999999994E-2</v>
      </c>
      <c r="DO81" s="187"/>
      <c r="DP81" s="187">
        <v>9.2899999999999996E-2</v>
      </c>
      <c r="DQ81" s="187"/>
      <c r="DR81" s="195"/>
      <c r="DS81" s="185">
        <v>33937.588020000003</v>
      </c>
      <c r="DT81" s="185">
        <v>34170.112820000002</v>
      </c>
      <c r="DU81" s="185">
        <v>34490.124049999999</v>
      </c>
      <c r="DV81" s="185">
        <v>34388.353880000002</v>
      </c>
      <c r="DW81" s="185">
        <v>34336.248520000001</v>
      </c>
      <c r="DX81" s="185">
        <v>34304.883240000003</v>
      </c>
      <c r="DY81" s="185">
        <v>34228.103479999998</v>
      </c>
      <c r="DZ81" s="185">
        <v>34389.671280000002</v>
      </c>
      <c r="EA81" s="185">
        <v>34183.458200000001</v>
      </c>
      <c r="EB81" s="185"/>
      <c r="EC81" s="185">
        <v>34720.527040000001</v>
      </c>
      <c r="ED81" s="185"/>
      <c r="EE81" s="194"/>
      <c r="EF81" s="185">
        <v>0</v>
      </c>
      <c r="EG81" s="185">
        <v>0</v>
      </c>
      <c r="EH81" s="185">
        <v>0</v>
      </c>
      <c r="EI81" s="185">
        <v>0</v>
      </c>
      <c r="EJ81" s="185">
        <v>0</v>
      </c>
      <c r="EK81" s="185">
        <v>0</v>
      </c>
      <c r="EL81" s="185">
        <v>0</v>
      </c>
      <c r="EM81" s="185">
        <v>0</v>
      </c>
      <c r="EN81" s="185">
        <v>0</v>
      </c>
      <c r="EO81" s="185"/>
      <c r="EP81" s="185">
        <v>0</v>
      </c>
      <c r="EQ81" s="185"/>
      <c r="ER81" s="194"/>
      <c r="ES81" s="185">
        <v>822494.47074000002</v>
      </c>
      <c r="ET81" s="185">
        <v>612254.69157000002</v>
      </c>
      <c r="EU81" s="185">
        <v>563420.93695999996</v>
      </c>
      <c r="EV81" s="185">
        <v>704059.53185999999</v>
      </c>
      <c r="EW81" s="185">
        <v>724890.38994999998</v>
      </c>
      <c r="EX81" s="185">
        <v>731915.07417000004</v>
      </c>
      <c r="EY81" s="185">
        <v>704036.87944000005</v>
      </c>
      <c r="EZ81" s="185">
        <v>733440.62595000002</v>
      </c>
      <c r="FA81" s="185">
        <v>696910.10901000001</v>
      </c>
      <c r="FB81" s="185"/>
      <c r="FC81" s="185">
        <v>700470.95762999996</v>
      </c>
      <c r="FD81" s="185"/>
      <c r="FE81" s="194"/>
      <c r="FF81" s="185"/>
      <c r="FG81" s="185"/>
      <c r="FH81" s="185"/>
      <c r="FI81" s="185"/>
      <c r="FJ81" s="185"/>
      <c r="FK81" s="185"/>
      <c r="FL81" s="185"/>
      <c r="FM81" s="185"/>
      <c r="FN81" s="185"/>
      <c r="FO81" s="185"/>
      <c r="FP81" s="185"/>
      <c r="FQ81" s="185"/>
      <c r="FR81" s="194"/>
    </row>
    <row r="82" spans="4:174" s="4" customFormat="1" x14ac:dyDescent="0.25">
      <c r="D82" s="92"/>
      <c r="E82" s="2" t="s">
        <v>167</v>
      </c>
      <c r="F82" s="184">
        <v>24.621739999999999</v>
      </c>
      <c r="G82" s="185">
        <v>17.20936</v>
      </c>
      <c r="H82" s="185">
        <v>17.734269999999999</v>
      </c>
      <c r="I82" s="185">
        <v>21.6615</v>
      </c>
      <c r="J82" s="185">
        <v>23.78182</v>
      </c>
      <c r="K82" s="185">
        <v>26.406330000000001</v>
      </c>
      <c r="L82" s="185">
        <v>25.59937</v>
      </c>
      <c r="M82" s="185">
        <v>22.648800000000001</v>
      </c>
      <c r="N82" s="185">
        <v>24.010570000000001</v>
      </c>
      <c r="O82" s="185"/>
      <c r="P82" s="185">
        <v>25.157800000000002</v>
      </c>
      <c r="Q82" s="185"/>
      <c r="R82" s="194"/>
      <c r="S82" s="185">
        <v>53.272210000000001</v>
      </c>
      <c r="T82" s="185">
        <v>54.149270000000001</v>
      </c>
      <c r="U82" s="185">
        <v>54.863900000000001</v>
      </c>
      <c r="V82" s="185">
        <v>58.170999999999999</v>
      </c>
      <c r="W82" s="185">
        <v>58.534219999999998</v>
      </c>
      <c r="X82" s="185">
        <v>55.033029999999997</v>
      </c>
      <c r="Y82" s="185">
        <v>57.011090000000003</v>
      </c>
      <c r="Z82" s="185">
        <v>46.829970000000003</v>
      </c>
      <c r="AA82" s="185">
        <v>50.211399999999998</v>
      </c>
      <c r="AB82" s="185"/>
      <c r="AC82" s="185">
        <v>46.093769999999999</v>
      </c>
      <c r="AD82" s="185"/>
      <c r="AE82" s="194"/>
      <c r="AF82" s="185">
        <v>5.5924899999999997</v>
      </c>
      <c r="AG82" s="185">
        <v>5.8872</v>
      </c>
      <c r="AH82" s="185">
        <v>6.0541700000000001</v>
      </c>
      <c r="AI82" s="185">
        <v>5.6786199999999996</v>
      </c>
      <c r="AJ82" s="185">
        <v>5.9094800000000003</v>
      </c>
      <c r="AK82" s="185">
        <v>6.2277199999999997</v>
      </c>
      <c r="AL82" s="185">
        <v>6.30002</v>
      </c>
      <c r="AM82" s="185">
        <v>5.7640399999999996</v>
      </c>
      <c r="AN82" s="185">
        <v>6.1452499999999999</v>
      </c>
      <c r="AO82" s="185"/>
      <c r="AP82" s="185">
        <v>5.8592000000000004</v>
      </c>
      <c r="AQ82" s="185"/>
      <c r="AR82" s="194"/>
      <c r="AS82" s="185">
        <v>0.16811999999999999</v>
      </c>
      <c r="AT82" s="185">
        <v>0.18334</v>
      </c>
      <c r="AU82" s="185">
        <v>0.18714</v>
      </c>
      <c r="AV82" s="185">
        <v>0.19267999999999999</v>
      </c>
      <c r="AW82" s="185">
        <v>0.19917000000000001</v>
      </c>
      <c r="AX82" s="185">
        <v>0.20871999999999999</v>
      </c>
      <c r="AY82" s="185">
        <v>0.22353000000000001</v>
      </c>
      <c r="AZ82" s="185">
        <v>0.20741999999999999</v>
      </c>
      <c r="BA82" s="185">
        <v>0.21298</v>
      </c>
      <c r="BB82" s="185"/>
      <c r="BC82" s="185">
        <v>0.23669000000000001</v>
      </c>
      <c r="BD82" s="185"/>
      <c r="BE82" s="194"/>
      <c r="BF82" s="185">
        <v>0.22591</v>
      </c>
      <c r="BG82" s="185">
        <v>0.47694999999999999</v>
      </c>
      <c r="BH82" s="185">
        <v>9.7919999999999993E-2</v>
      </c>
      <c r="BI82" s="185">
        <v>9.6699999999999994E-2</v>
      </c>
      <c r="BJ82" s="185">
        <v>0.1716</v>
      </c>
      <c r="BK82" s="185">
        <v>6.5589999999999996E-2</v>
      </c>
      <c r="BL82" s="185">
        <v>0.15755</v>
      </c>
      <c r="BM82" s="185">
        <v>3.4410000000000003E-2</v>
      </c>
      <c r="BN82" s="185">
        <v>0.16385</v>
      </c>
      <c r="BO82" s="185"/>
      <c r="BP82" s="185">
        <v>-1.7000000000000001E-2</v>
      </c>
      <c r="BQ82" s="185"/>
      <c r="BR82" s="194"/>
      <c r="BS82" s="185">
        <v>0</v>
      </c>
      <c r="BT82" s="185">
        <v>-7.9807199999999998</v>
      </c>
      <c r="BU82" s="185">
        <v>-9.3740600000000001</v>
      </c>
      <c r="BV82" s="185">
        <v>-2.2272500000000002</v>
      </c>
      <c r="BW82" s="185">
        <v>-1.115</v>
      </c>
      <c r="BX82" s="185">
        <v>-2.8240000000000001E-2</v>
      </c>
      <c r="BY82" s="185">
        <v>0</v>
      </c>
      <c r="BZ82" s="185">
        <v>0</v>
      </c>
      <c r="CA82" s="185">
        <v>0</v>
      </c>
      <c r="CB82" s="185"/>
      <c r="CC82" s="185">
        <v>0</v>
      </c>
      <c r="CD82" s="185"/>
      <c r="CE82" s="194"/>
      <c r="CF82" s="185">
        <v>59.25873</v>
      </c>
      <c r="CG82" s="185">
        <v>60.696750000000002</v>
      </c>
      <c r="CH82" s="185">
        <v>61.203139999999998</v>
      </c>
      <c r="CI82" s="185">
        <v>64.138990000000007</v>
      </c>
      <c r="CJ82" s="185">
        <v>64.81447</v>
      </c>
      <c r="CK82" s="185">
        <v>61.535060000000001</v>
      </c>
      <c r="CL82" s="185">
        <v>63.692189999999997</v>
      </c>
      <c r="CM82" s="185">
        <v>52.835839999999997</v>
      </c>
      <c r="CN82" s="185">
        <v>56.73348</v>
      </c>
      <c r="CO82" s="185"/>
      <c r="CP82" s="185">
        <v>52.172649999999997</v>
      </c>
      <c r="CQ82" s="185"/>
      <c r="CR82" s="194"/>
      <c r="CS82" s="185">
        <v>34.636989999999997</v>
      </c>
      <c r="CT82" s="185">
        <v>35.50667</v>
      </c>
      <c r="CU82" s="185">
        <v>34.094810000000003</v>
      </c>
      <c r="CV82" s="185">
        <v>40.250250000000001</v>
      </c>
      <c r="CW82" s="185">
        <v>39.917650000000002</v>
      </c>
      <c r="CX82" s="185">
        <v>35.100499999999997</v>
      </c>
      <c r="CY82" s="185">
        <v>38.092829999999999</v>
      </c>
      <c r="CZ82" s="185">
        <v>30.18703</v>
      </c>
      <c r="DA82" s="185">
        <v>32.722900000000003</v>
      </c>
      <c r="DB82" s="185"/>
      <c r="DC82" s="185">
        <v>27.014859999999999</v>
      </c>
      <c r="DD82" s="185"/>
      <c r="DE82" s="194"/>
      <c r="DF82" s="187">
        <v>9.4399999999999998E-2</v>
      </c>
      <c r="DG82" s="187">
        <v>9.7000000000000003E-2</v>
      </c>
      <c r="DH82" s="187">
        <v>9.8900000000000002E-2</v>
      </c>
      <c r="DI82" s="187">
        <v>8.8499999999999995E-2</v>
      </c>
      <c r="DJ82" s="187">
        <v>9.1200000000000003E-2</v>
      </c>
      <c r="DK82" s="187">
        <v>0.1012</v>
      </c>
      <c r="DL82" s="187">
        <v>9.8900000000000002E-2</v>
      </c>
      <c r="DM82" s="187">
        <v>0.1091</v>
      </c>
      <c r="DN82" s="187">
        <v>0.10829999999999999</v>
      </c>
      <c r="DO82" s="187"/>
      <c r="DP82" s="187">
        <v>0.1123</v>
      </c>
      <c r="DQ82" s="187"/>
      <c r="DR82" s="195"/>
      <c r="DS82" s="185">
        <v>63651.633159999998</v>
      </c>
      <c r="DT82" s="185">
        <v>63902.51756</v>
      </c>
      <c r="DU82" s="185">
        <v>62805.998780000002</v>
      </c>
      <c r="DV82" s="185">
        <v>63194.216740000003</v>
      </c>
      <c r="DW82" s="185">
        <v>62773.492100000003</v>
      </c>
      <c r="DX82" s="185">
        <v>61609.041499999999</v>
      </c>
      <c r="DY82" s="185">
        <v>61910.26571</v>
      </c>
      <c r="DZ82" s="185">
        <v>53368.762439999999</v>
      </c>
      <c r="EA82" s="185">
        <v>59223.319479999998</v>
      </c>
      <c r="EB82" s="185"/>
      <c r="EC82" s="185">
        <v>60935.309910000004</v>
      </c>
      <c r="ED82" s="185"/>
      <c r="EE82" s="194"/>
      <c r="EF82" s="185">
        <v>0</v>
      </c>
      <c r="EG82" s="185">
        <v>0</v>
      </c>
      <c r="EH82" s="185">
        <v>0</v>
      </c>
      <c r="EI82" s="185">
        <v>0</v>
      </c>
      <c r="EJ82" s="185">
        <v>0</v>
      </c>
      <c r="EK82" s="185">
        <v>0</v>
      </c>
      <c r="EL82" s="185">
        <v>0</v>
      </c>
      <c r="EM82" s="185">
        <v>0</v>
      </c>
      <c r="EN82" s="185">
        <v>0</v>
      </c>
      <c r="EO82" s="185"/>
      <c r="EP82" s="185">
        <v>0</v>
      </c>
      <c r="EQ82" s="185"/>
      <c r="ER82" s="194"/>
      <c r="ES82" s="185">
        <v>2593973.9051100002</v>
      </c>
      <c r="ET82" s="185">
        <v>1737385.7397100001</v>
      </c>
      <c r="EU82" s="185">
        <v>1604038.37145</v>
      </c>
      <c r="EV82" s="185">
        <v>2036774.70682</v>
      </c>
      <c r="EW82" s="185">
        <v>2092619.30938</v>
      </c>
      <c r="EX82" s="185">
        <v>2055404.0227399999</v>
      </c>
      <c r="EY82" s="185">
        <v>2040402.34754</v>
      </c>
      <c r="EZ82" s="185">
        <v>1838593.83687</v>
      </c>
      <c r="FA82" s="185">
        <v>2003106.6328799999</v>
      </c>
      <c r="FB82" s="185"/>
      <c r="FC82" s="185">
        <v>2027411.1107300001</v>
      </c>
      <c r="FD82" s="185"/>
      <c r="FE82" s="194"/>
      <c r="FF82" s="185"/>
      <c r="FG82" s="185"/>
      <c r="FH82" s="185"/>
      <c r="FI82" s="185"/>
      <c r="FJ82" s="185"/>
      <c r="FK82" s="185"/>
      <c r="FL82" s="185"/>
      <c r="FM82" s="185"/>
      <c r="FN82" s="185"/>
      <c r="FO82" s="185"/>
      <c r="FP82" s="185"/>
      <c r="FQ82" s="185"/>
      <c r="FR82" s="194"/>
    </row>
    <row r="83" spans="4:174" s="4" customFormat="1" x14ac:dyDescent="0.25">
      <c r="D83" s="92"/>
      <c r="E83" s="2" t="s">
        <v>168</v>
      </c>
      <c r="F83" s="184">
        <v>27.682600000000001</v>
      </c>
      <c r="G83" s="185">
        <v>16.710149999999999</v>
      </c>
      <c r="H83" s="185">
        <v>18.319649999999999</v>
      </c>
      <c r="I83" s="185">
        <v>21.50506</v>
      </c>
      <c r="J83" s="185">
        <v>25.31373</v>
      </c>
      <c r="K83" s="185">
        <v>28.944780000000002</v>
      </c>
      <c r="L83" s="185">
        <v>28.000820000000001</v>
      </c>
      <c r="M83" s="185">
        <v>29.872489999999999</v>
      </c>
      <c r="N83" s="185">
        <v>31.840530000000001</v>
      </c>
      <c r="O83" s="185"/>
      <c r="P83" s="185">
        <v>33.235880000000002</v>
      </c>
      <c r="Q83" s="185"/>
      <c r="R83" s="194"/>
      <c r="S83" s="185">
        <v>47.664650000000002</v>
      </c>
      <c r="T83" s="185">
        <v>48.72419</v>
      </c>
      <c r="U83" s="185">
        <v>50.44923</v>
      </c>
      <c r="V83" s="185">
        <v>55.18309</v>
      </c>
      <c r="W83" s="185">
        <v>55.32376</v>
      </c>
      <c r="X83" s="185">
        <v>52.899839999999998</v>
      </c>
      <c r="Y83" s="185">
        <v>53.772509999999997</v>
      </c>
      <c r="Z83" s="185">
        <v>57.00244</v>
      </c>
      <c r="AA83" s="185">
        <v>58.488520000000001</v>
      </c>
      <c r="AB83" s="185"/>
      <c r="AC83" s="185">
        <v>59.530540000000002</v>
      </c>
      <c r="AD83" s="185"/>
      <c r="AE83" s="194"/>
      <c r="AF83" s="185">
        <v>6.3748800000000001</v>
      </c>
      <c r="AG83" s="185">
        <v>6.2188999999999997</v>
      </c>
      <c r="AH83" s="185">
        <v>6.6118199999999998</v>
      </c>
      <c r="AI83" s="185">
        <v>6.1532400000000003</v>
      </c>
      <c r="AJ83" s="185">
        <v>6.6086400000000003</v>
      </c>
      <c r="AK83" s="185">
        <v>7.2126599999999996</v>
      </c>
      <c r="AL83" s="185">
        <v>7.0605399999999996</v>
      </c>
      <c r="AM83" s="185">
        <v>7.9912799999999997</v>
      </c>
      <c r="AN83" s="185">
        <v>8.1938300000000002</v>
      </c>
      <c r="AO83" s="185"/>
      <c r="AP83" s="185">
        <v>7.7205000000000004</v>
      </c>
      <c r="AQ83" s="185"/>
      <c r="AR83" s="194"/>
      <c r="AS83" s="185">
        <v>0.19919000000000001</v>
      </c>
      <c r="AT83" s="185">
        <v>0.21021999999999999</v>
      </c>
      <c r="AU83" s="185">
        <v>0.21745999999999999</v>
      </c>
      <c r="AV83" s="185">
        <v>0.22470000000000001</v>
      </c>
      <c r="AW83" s="185">
        <v>0.23122000000000001</v>
      </c>
      <c r="AX83" s="185">
        <v>0.24915999999999999</v>
      </c>
      <c r="AY83" s="185">
        <v>0.25439000000000001</v>
      </c>
      <c r="AZ83" s="185">
        <v>0.30007</v>
      </c>
      <c r="BA83" s="185">
        <v>0.28850999999999999</v>
      </c>
      <c r="BB83" s="185"/>
      <c r="BC83" s="185">
        <v>0.31154999999999999</v>
      </c>
      <c r="BD83" s="185"/>
      <c r="BE83" s="194"/>
      <c r="BF83" s="185">
        <v>0.26765</v>
      </c>
      <c r="BG83" s="185">
        <v>0.54690000000000005</v>
      </c>
      <c r="BH83" s="185">
        <v>0.11378000000000001</v>
      </c>
      <c r="BI83" s="185">
        <v>0.11277</v>
      </c>
      <c r="BJ83" s="185">
        <v>0.19922000000000001</v>
      </c>
      <c r="BK83" s="185">
        <v>7.8299999999999995E-2</v>
      </c>
      <c r="BL83" s="185">
        <v>0.17929999999999999</v>
      </c>
      <c r="BM83" s="185">
        <v>4.9790000000000001E-2</v>
      </c>
      <c r="BN83" s="185">
        <v>0.22195000000000001</v>
      </c>
      <c r="BO83" s="185"/>
      <c r="BP83" s="185">
        <v>-2.2380000000000001E-2</v>
      </c>
      <c r="BQ83" s="185"/>
      <c r="BR83" s="194"/>
      <c r="BS83" s="185">
        <v>0</v>
      </c>
      <c r="BT83" s="185">
        <v>-6.5917199999999996</v>
      </c>
      <c r="BU83" s="185">
        <v>-6.12784</v>
      </c>
      <c r="BV83" s="185">
        <v>-1.8650800000000001</v>
      </c>
      <c r="BW83" s="185">
        <v>-1.0153099999999999</v>
      </c>
      <c r="BX83" s="185">
        <v>-2.6689999999999998E-2</v>
      </c>
      <c r="BY83" s="185">
        <v>0</v>
      </c>
      <c r="BZ83" s="185">
        <v>0</v>
      </c>
      <c r="CA83" s="185">
        <v>0</v>
      </c>
      <c r="CB83" s="185"/>
      <c r="CC83" s="185">
        <v>0</v>
      </c>
      <c r="CD83" s="185"/>
      <c r="CE83" s="194"/>
      <c r="CF83" s="185">
        <v>54.506369999999997</v>
      </c>
      <c r="CG83" s="185">
        <v>55.700209999999998</v>
      </c>
      <c r="CH83" s="185">
        <v>57.39228</v>
      </c>
      <c r="CI83" s="185">
        <v>61.6738</v>
      </c>
      <c r="CJ83" s="185">
        <v>62.362839999999998</v>
      </c>
      <c r="CK83" s="185">
        <v>60.439959999999999</v>
      </c>
      <c r="CL83" s="185">
        <v>61.266739999999999</v>
      </c>
      <c r="CM83" s="185">
        <v>65.343580000000003</v>
      </c>
      <c r="CN83" s="185">
        <v>67.192809999999994</v>
      </c>
      <c r="CO83" s="185"/>
      <c r="CP83" s="185">
        <v>67.540199999999999</v>
      </c>
      <c r="CQ83" s="185"/>
      <c r="CR83" s="194"/>
      <c r="CS83" s="185">
        <v>26.82377</v>
      </c>
      <c r="CT83" s="185">
        <v>32.398339999999997</v>
      </c>
      <c r="CU83" s="185">
        <v>32.944789999999998</v>
      </c>
      <c r="CV83" s="185">
        <v>38.303660000000001</v>
      </c>
      <c r="CW83" s="185">
        <v>36.033790000000003</v>
      </c>
      <c r="CX83" s="185">
        <v>31.468489999999999</v>
      </c>
      <c r="CY83" s="185">
        <v>33.265920000000001</v>
      </c>
      <c r="CZ83" s="185">
        <v>35.471089999999997</v>
      </c>
      <c r="DA83" s="185">
        <v>35.35228</v>
      </c>
      <c r="DB83" s="185"/>
      <c r="DC83" s="185">
        <v>34.304319999999997</v>
      </c>
      <c r="DD83" s="185"/>
      <c r="DE83" s="194"/>
      <c r="DF83" s="187">
        <v>0.11700000000000001</v>
      </c>
      <c r="DG83" s="187">
        <v>0.1116</v>
      </c>
      <c r="DH83" s="187">
        <v>0.1152</v>
      </c>
      <c r="DI83" s="187">
        <v>9.98E-2</v>
      </c>
      <c r="DJ83" s="187">
        <v>0.106</v>
      </c>
      <c r="DK83" s="187">
        <v>0.1193</v>
      </c>
      <c r="DL83" s="187">
        <v>0.1152</v>
      </c>
      <c r="DM83" s="187">
        <v>0.12230000000000001</v>
      </c>
      <c r="DN83" s="187">
        <v>0.12189999999999999</v>
      </c>
      <c r="DO83" s="187"/>
      <c r="DP83" s="187">
        <v>0.1143</v>
      </c>
      <c r="DQ83" s="187"/>
      <c r="DR83" s="195"/>
      <c r="DS83" s="185">
        <v>75413.757280000005</v>
      </c>
      <c r="DT83" s="185">
        <v>73274.047720000002</v>
      </c>
      <c r="DU83" s="185">
        <v>72979.402440000005</v>
      </c>
      <c r="DV83" s="185">
        <v>73695.351120000007</v>
      </c>
      <c r="DW83" s="185">
        <v>72875.603619999994</v>
      </c>
      <c r="DX83" s="185">
        <v>73545.747510000001</v>
      </c>
      <c r="DY83" s="185">
        <v>70458.022559999998</v>
      </c>
      <c r="DZ83" s="185">
        <v>77208.082800000004</v>
      </c>
      <c r="EA83" s="185">
        <v>80226.019289999997</v>
      </c>
      <c r="EB83" s="185"/>
      <c r="EC83" s="185">
        <v>80207.633719999998</v>
      </c>
      <c r="ED83" s="185"/>
      <c r="EE83" s="194"/>
      <c r="EF83" s="185">
        <v>0</v>
      </c>
      <c r="EG83" s="185">
        <v>0</v>
      </c>
      <c r="EH83" s="185">
        <v>0</v>
      </c>
      <c r="EI83" s="185">
        <v>0</v>
      </c>
      <c r="EJ83" s="185">
        <v>0</v>
      </c>
      <c r="EK83" s="185">
        <v>0</v>
      </c>
      <c r="EL83" s="185">
        <v>0</v>
      </c>
      <c r="EM83" s="185">
        <v>0</v>
      </c>
      <c r="EN83" s="185">
        <v>0</v>
      </c>
      <c r="EO83" s="185"/>
      <c r="EP83" s="185">
        <v>0</v>
      </c>
      <c r="EQ83" s="185"/>
      <c r="ER83" s="194"/>
      <c r="ES83" s="185">
        <v>3916008.0736500002</v>
      </c>
      <c r="ET83" s="185">
        <v>2277025.02672</v>
      </c>
      <c r="EU83" s="185">
        <v>2323432.7743500001</v>
      </c>
      <c r="EV83" s="185">
        <v>2770092.7038599998</v>
      </c>
      <c r="EW83" s="185">
        <v>3107474.8583399998</v>
      </c>
      <c r="EX83" s="185">
        <v>3215629.1984100002</v>
      </c>
      <c r="EY83" s="185">
        <v>3186947.84197</v>
      </c>
      <c r="EZ83" s="185">
        <v>3430757.2835400002</v>
      </c>
      <c r="FA83" s="185">
        <v>3721199.4758199998</v>
      </c>
      <c r="FB83" s="185"/>
      <c r="FC83" s="185">
        <v>3726150.4635299998</v>
      </c>
      <c r="FD83" s="185"/>
      <c r="FE83" s="194"/>
      <c r="FF83" s="185"/>
      <c r="FG83" s="185"/>
      <c r="FH83" s="185"/>
      <c r="FI83" s="185"/>
      <c r="FJ83" s="185"/>
      <c r="FK83" s="185"/>
      <c r="FL83" s="185"/>
      <c r="FM83" s="185"/>
      <c r="FN83" s="185"/>
      <c r="FO83" s="185"/>
      <c r="FP83" s="185"/>
      <c r="FQ83" s="185"/>
      <c r="FR83" s="194"/>
    </row>
    <row r="84" spans="4:174" s="4" customFormat="1" x14ac:dyDescent="0.25">
      <c r="D84" s="92"/>
      <c r="E84" s="2" t="s">
        <v>169</v>
      </c>
      <c r="F84" s="184">
        <v>22.902629999999998</v>
      </c>
      <c r="G84" s="185">
        <v>16.221250000000001</v>
      </c>
      <c r="H84" s="185">
        <v>17.433579999999999</v>
      </c>
      <c r="I84" s="185">
        <v>20.949560000000002</v>
      </c>
      <c r="J84" s="185">
        <v>23.533639999999998</v>
      </c>
      <c r="K84" s="185">
        <v>26.426729999999999</v>
      </c>
      <c r="L84" s="185">
        <v>25.469429999999999</v>
      </c>
      <c r="M84" s="185">
        <v>26.127330000000001</v>
      </c>
      <c r="N84" s="185">
        <v>25.686039999999998</v>
      </c>
      <c r="O84" s="185"/>
      <c r="P84" s="185">
        <v>26.766559999999998</v>
      </c>
      <c r="Q84" s="185"/>
      <c r="R84" s="194"/>
      <c r="S84" s="185">
        <v>55.049259999999997</v>
      </c>
      <c r="T84" s="185">
        <v>55.341119999999997</v>
      </c>
      <c r="U84" s="185">
        <v>57.19135</v>
      </c>
      <c r="V84" s="185">
        <v>62.745930000000001</v>
      </c>
      <c r="W84" s="185">
        <v>61.291550000000001</v>
      </c>
      <c r="X84" s="185">
        <v>59.80527</v>
      </c>
      <c r="Y84" s="185">
        <v>60.839460000000003</v>
      </c>
      <c r="Z84" s="185">
        <v>57.325940000000003</v>
      </c>
      <c r="AA84" s="185">
        <v>62.093130000000002</v>
      </c>
      <c r="AB84" s="185"/>
      <c r="AC84" s="185">
        <v>53.425989999999999</v>
      </c>
      <c r="AD84" s="185"/>
      <c r="AE84" s="194"/>
      <c r="AF84" s="185">
        <v>5.5209700000000002</v>
      </c>
      <c r="AG84" s="185">
        <v>5.7650800000000002</v>
      </c>
      <c r="AH84" s="185">
        <v>6.0159500000000001</v>
      </c>
      <c r="AI84" s="185">
        <v>5.5467399999999998</v>
      </c>
      <c r="AJ84" s="185">
        <v>5.8806399999999996</v>
      </c>
      <c r="AK84" s="185">
        <v>6.2932699999999997</v>
      </c>
      <c r="AL84" s="185">
        <v>6.3692700000000002</v>
      </c>
      <c r="AM84" s="185">
        <v>6.8689600000000004</v>
      </c>
      <c r="AN84" s="185">
        <v>6.84762</v>
      </c>
      <c r="AO84" s="185"/>
      <c r="AP84" s="185">
        <v>6.42997</v>
      </c>
      <c r="AQ84" s="185"/>
      <c r="AR84" s="194"/>
      <c r="AS84" s="185">
        <v>0.17018</v>
      </c>
      <c r="AT84" s="185">
        <v>0.18365000000000001</v>
      </c>
      <c r="AU84" s="185">
        <v>0.18720999999999999</v>
      </c>
      <c r="AV84" s="185">
        <v>0.18698999999999999</v>
      </c>
      <c r="AW84" s="185">
        <v>0.19469</v>
      </c>
      <c r="AX84" s="185">
        <v>0.20766999999999999</v>
      </c>
      <c r="AY84" s="185">
        <v>0.22297</v>
      </c>
      <c r="AZ84" s="185">
        <v>0.25208999999999998</v>
      </c>
      <c r="BA84" s="185">
        <v>0.24227000000000001</v>
      </c>
      <c r="BB84" s="185"/>
      <c r="BC84" s="185">
        <v>0.26624999999999999</v>
      </c>
      <c r="BD84" s="185"/>
      <c r="BE84" s="194"/>
      <c r="BF84" s="185">
        <v>0.22867000000000001</v>
      </c>
      <c r="BG84" s="185">
        <v>0.47776999999999997</v>
      </c>
      <c r="BH84" s="185">
        <v>9.7949999999999995E-2</v>
      </c>
      <c r="BI84" s="185">
        <v>9.3850000000000003E-2</v>
      </c>
      <c r="BJ84" s="185">
        <v>0.16774</v>
      </c>
      <c r="BK84" s="185">
        <v>6.5259999999999999E-2</v>
      </c>
      <c r="BL84" s="185">
        <v>0.15715999999999999</v>
      </c>
      <c r="BM84" s="185">
        <v>4.1820000000000003E-2</v>
      </c>
      <c r="BN84" s="185">
        <v>0.18637999999999999</v>
      </c>
      <c r="BO84" s="185"/>
      <c r="BP84" s="185">
        <v>-1.9130000000000001E-2</v>
      </c>
      <c r="BQ84" s="185"/>
      <c r="BR84" s="194"/>
      <c r="BS84" s="185">
        <v>0</v>
      </c>
      <c r="BT84" s="185">
        <v>-6.4270300000000002</v>
      </c>
      <c r="BU84" s="185">
        <v>-5.9399899999999999</v>
      </c>
      <c r="BV84" s="185">
        <v>-0.76446000000000003</v>
      </c>
      <c r="BW84" s="185">
        <v>-0.91718999999999995</v>
      </c>
      <c r="BX84" s="185">
        <v>-2.9569999999999999E-2</v>
      </c>
      <c r="BY84" s="185">
        <v>0</v>
      </c>
      <c r="BZ84" s="185">
        <v>0</v>
      </c>
      <c r="CA84" s="185">
        <v>0</v>
      </c>
      <c r="CB84" s="185"/>
      <c r="CC84" s="185">
        <v>0</v>
      </c>
      <c r="CD84" s="185"/>
      <c r="CE84" s="194"/>
      <c r="CF84" s="185">
        <v>60.969079999999998</v>
      </c>
      <c r="CG84" s="185">
        <v>61.767620000000001</v>
      </c>
      <c r="CH84" s="185">
        <v>63.492449999999998</v>
      </c>
      <c r="CI84" s="185">
        <v>68.573509999999999</v>
      </c>
      <c r="CJ84" s="185">
        <v>67.534620000000004</v>
      </c>
      <c r="CK84" s="185">
        <v>66.371470000000002</v>
      </c>
      <c r="CL84" s="185">
        <v>67.588859999999997</v>
      </c>
      <c r="CM84" s="185">
        <v>64.488810000000001</v>
      </c>
      <c r="CN84" s="185">
        <v>69.369399999999999</v>
      </c>
      <c r="CO84" s="185"/>
      <c r="CP84" s="185">
        <v>60.103090000000002</v>
      </c>
      <c r="CQ84" s="185"/>
      <c r="CR84" s="194"/>
      <c r="CS84" s="185">
        <v>38.066450000000003</v>
      </c>
      <c r="CT84" s="185">
        <v>39.119340000000001</v>
      </c>
      <c r="CU84" s="185">
        <v>40.118879999999997</v>
      </c>
      <c r="CV84" s="185">
        <v>46.859479999999998</v>
      </c>
      <c r="CW84" s="185">
        <v>43.08379</v>
      </c>
      <c r="CX84" s="185">
        <v>39.915179999999999</v>
      </c>
      <c r="CY84" s="185">
        <v>42.119430000000001</v>
      </c>
      <c r="CZ84" s="185">
        <v>38.36148</v>
      </c>
      <c r="DA84" s="185">
        <v>43.68336</v>
      </c>
      <c r="DB84" s="185"/>
      <c r="DC84" s="185">
        <v>33.33652</v>
      </c>
      <c r="DD84" s="185"/>
      <c r="DE84" s="194"/>
      <c r="DF84" s="187">
        <v>9.06E-2</v>
      </c>
      <c r="DG84" s="187">
        <v>9.3299999999999994E-2</v>
      </c>
      <c r="DH84" s="187">
        <v>9.4799999999999995E-2</v>
      </c>
      <c r="DI84" s="187">
        <v>8.09E-2</v>
      </c>
      <c r="DJ84" s="187">
        <v>8.7099999999999997E-2</v>
      </c>
      <c r="DK84" s="187">
        <v>9.4799999999999995E-2</v>
      </c>
      <c r="DL84" s="187">
        <v>9.4200000000000006E-2</v>
      </c>
      <c r="DM84" s="187">
        <v>0.1065</v>
      </c>
      <c r="DN84" s="187">
        <v>9.8699999999999996E-2</v>
      </c>
      <c r="DO84" s="187"/>
      <c r="DP84" s="187">
        <v>0.107</v>
      </c>
      <c r="DQ84" s="187"/>
      <c r="DR84" s="195"/>
      <c r="DS84" s="185">
        <v>64430.290099999998</v>
      </c>
      <c r="DT84" s="185">
        <v>64012.170940000004</v>
      </c>
      <c r="DU84" s="185">
        <v>62826.95</v>
      </c>
      <c r="DV84" s="185">
        <v>61328.7575</v>
      </c>
      <c r="DW84" s="185">
        <v>61362.212549999997</v>
      </c>
      <c r="DX84" s="185">
        <v>61298.679530000001</v>
      </c>
      <c r="DY84" s="185">
        <v>61756.564659999996</v>
      </c>
      <c r="DZ84" s="185">
        <v>64862.254560000001</v>
      </c>
      <c r="EA84" s="185">
        <v>67368.322719999996</v>
      </c>
      <c r="EB84" s="185"/>
      <c r="EC84" s="185">
        <v>68546.227639999997</v>
      </c>
      <c r="ED84" s="185"/>
      <c r="EE84" s="194"/>
      <c r="EF84" s="185">
        <v>0</v>
      </c>
      <c r="EG84" s="185">
        <v>0</v>
      </c>
      <c r="EH84" s="185">
        <v>0</v>
      </c>
      <c r="EI84" s="185">
        <v>0</v>
      </c>
      <c r="EJ84" s="185">
        <v>0</v>
      </c>
      <c r="EK84" s="185">
        <v>0</v>
      </c>
      <c r="EL84" s="185">
        <v>0</v>
      </c>
      <c r="EM84" s="185">
        <v>0</v>
      </c>
      <c r="EN84" s="185">
        <v>0</v>
      </c>
      <c r="EO84" s="185"/>
      <c r="EP84" s="185">
        <v>0</v>
      </c>
      <c r="EQ84" s="185"/>
      <c r="ER84" s="194"/>
      <c r="ES84" s="185">
        <v>2207151.4776099999</v>
      </c>
      <c r="ET84" s="185">
        <v>1530657.7642699999</v>
      </c>
      <c r="EU84" s="185">
        <v>1496701.88662</v>
      </c>
      <c r="EV84" s="185">
        <v>1930054.8236100001</v>
      </c>
      <c r="EW84" s="185">
        <v>1999294.0323699999</v>
      </c>
      <c r="EX84" s="185">
        <v>2026869.0179699999</v>
      </c>
      <c r="EY84" s="185">
        <v>2003471.6802999999</v>
      </c>
      <c r="EZ84" s="185">
        <v>2163516.45359</v>
      </c>
      <c r="FA84" s="185">
        <v>2115013.7497200002</v>
      </c>
      <c r="FB84" s="185"/>
      <c r="FC84" s="185">
        <v>2135910.92576</v>
      </c>
      <c r="FD84" s="185"/>
      <c r="FE84" s="194"/>
      <c r="FF84" s="185"/>
      <c r="FG84" s="185"/>
      <c r="FH84" s="185"/>
      <c r="FI84" s="185"/>
      <c r="FJ84" s="185"/>
      <c r="FK84" s="185"/>
      <c r="FL84" s="185"/>
      <c r="FM84" s="185"/>
      <c r="FN84" s="185"/>
      <c r="FO84" s="185"/>
      <c r="FP84" s="185"/>
      <c r="FQ84" s="185"/>
      <c r="FR84" s="194"/>
    </row>
    <row r="85" spans="4:174" s="4" customFormat="1" x14ac:dyDescent="0.25">
      <c r="D85" s="92"/>
      <c r="E85" s="2" t="s">
        <v>170</v>
      </c>
      <c r="F85" s="184">
        <v>22.147490000000001</v>
      </c>
      <c r="G85" s="185">
        <v>15.15157</v>
      </c>
      <c r="H85" s="185">
        <v>17.349299999999999</v>
      </c>
      <c r="I85" s="185">
        <v>21.185559999999999</v>
      </c>
      <c r="J85" s="185">
        <v>24.319510000000001</v>
      </c>
      <c r="K85" s="185">
        <v>27.668009999999999</v>
      </c>
      <c r="L85" s="185">
        <v>27.1282</v>
      </c>
      <c r="M85" s="185">
        <v>26.50263</v>
      </c>
      <c r="N85" s="185">
        <v>26.27947</v>
      </c>
      <c r="O85" s="185"/>
      <c r="P85" s="185">
        <v>27.645099999999999</v>
      </c>
      <c r="Q85" s="185"/>
      <c r="R85" s="194"/>
      <c r="S85" s="185">
        <v>36.181800000000003</v>
      </c>
      <c r="T85" s="185">
        <v>37.181139999999999</v>
      </c>
      <c r="U85" s="185">
        <v>42.192219999999999</v>
      </c>
      <c r="V85" s="185">
        <v>47.845300000000002</v>
      </c>
      <c r="W85" s="185">
        <v>46.097099999999998</v>
      </c>
      <c r="X85" s="185">
        <v>44.223700000000001</v>
      </c>
      <c r="Y85" s="185">
        <v>45.127479999999998</v>
      </c>
      <c r="Z85" s="185">
        <v>45.17324</v>
      </c>
      <c r="AA85" s="185">
        <v>45.043590000000002</v>
      </c>
      <c r="AB85" s="185"/>
      <c r="AC85" s="185">
        <v>45.687510000000003</v>
      </c>
      <c r="AD85" s="185"/>
      <c r="AE85" s="194"/>
      <c r="AF85" s="185">
        <v>4.6390599999999997</v>
      </c>
      <c r="AG85" s="185">
        <v>4.7866600000000004</v>
      </c>
      <c r="AH85" s="185">
        <v>5.5183600000000004</v>
      </c>
      <c r="AI85" s="185">
        <v>5.2961</v>
      </c>
      <c r="AJ85" s="185">
        <v>5.5654899999999996</v>
      </c>
      <c r="AK85" s="185">
        <v>5.9263500000000002</v>
      </c>
      <c r="AL85" s="185">
        <v>6.0057799999999997</v>
      </c>
      <c r="AM85" s="185">
        <v>6.1772099999999996</v>
      </c>
      <c r="AN85" s="185">
        <v>5.9560899999999997</v>
      </c>
      <c r="AO85" s="185"/>
      <c r="AP85" s="185">
        <v>5.7076700000000002</v>
      </c>
      <c r="AQ85" s="185"/>
      <c r="AR85" s="194"/>
      <c r="AS85" s="185">
        <v>0.13424</v>
      </c>
      <c r="AT85" s="185">
        <v>0.14682999999999999</v>
      </c>
      <c r="AU85" s="185">
        <v>0.16965</v>
      </c>
      <c r="AV85" s="185">
        <v>0.17469999999999999</v>
      </c>
      <c r="AW85" s="185">
        <v>0.17743</v>
      </c>
      <c r="AX85" s="185">
        <v>0.18679999999999999</v>
      </c>
      <c r="AY85" s="185">
        <v>0.19766</v>
      </c>
      <c r="AZ85" s="185">
        <v>0.21360000000000001</v>
      </c>
      <c r="BA85" s="185">
        <v>0.19389999999999999</v>
      </c>
      <c r="BB85" s="185"/>
      <c r="BC85" s="185">
        <v>0.20998</v>
      </c>
      <c r="BD85" s="185"/>
      <c r="BE85" s="194"/>
      <c r="BF85" s="185">
        <v>0.18037</v>
      </c>
      <c r="BG85" s="185">
        <v>0.38199</v>
      </c>
      <c r="BH85" s="185">
        <v>8.8770000000000002E-2</v>
      </c>
      <c r="BI85" s="185">
        <v>8.7679999999999994E-2</v>
      </c>
      <c r="BJ85" s="185">
        <v>0.15287000000000001</v>
      </c>
      <c r="BK85" s="185">
        <v>5.8700000000000002E-2</v>
      </c>
      <c r="BL85" s="185">
        <v>0.13932</v>
      </c>
      <c r="BM85" s="185">
        <v>3.5439999999999999E-2</v>
      </c>
      <c r="BN85" s="185">
        <v>0.14917</v>
      </c>
      <c r="BO85" s="185"/>
      <c r="BP85" s="185">
        <v>-1.5089999999999999E-2</v>
      </c>
      <c r="BQ85" s="185"/>
      <c r="BR85" s="194"/>
      <c r="BS85" s="185">
        <v>0</v>
      </c>
      <c r="BT85" s="185">
        <v>-8.4004499999999993</v>
      </c>
      <c r="BU85" s="185">
        <v>-6.6708299999999996</v>
      </c>
      <c r="BV85" s="185">
        <v>-1.2067000000000001</v>
      </c>
      <c r="BW85" s="185">
        <v>-0.79035999999999995</v>
      </c>
      <c r="BX85" s="185">
        <v>-2.2239999999999999E-2</v>
      </c>
      <c r="BY85" s="185">
        <v>0</v>
      </c>
      <c r="BZ85" s="185">
        <v>0</v>
      </c>
      <c r="CA85" s="185">
        <v>0</v>
      </c>
      <c r="CB85" s="185"/>
      <c r="CC85" s="185">
        <v>0</v>
      </c>
      <c r="CD85" s="185"/>
      <c r="CE85" s="194"/>
      <c r="CF85" s="185">
        <v>41.135469999999998</v>
      </c>
      <c r="CG85" s="185">
        <v>42.49662</v>
      </c>
      <c r="CH85" s="185">
        <v>47.969000000000001</v>
      </c>
      <c r="CI85" s="185">
        <v>53.403779999999998</v>
      </c>
      <c r="CJ85" s="185">
        <v>51.99288</v>
      </c>
      <c r="CK85" s="185">
        <v>50.39555</v>
      </c>
      <c r="CL85" s="185">
        <v>51.470239999999997</v>
      </c>
      <c r="CM85" s="185">
        <v>51.599490000000003</v>
      </c>
      <c r="CN85" s="185">
        <v>51.342759999999998</v>
      </c>
      <c r="CO85" s="185"/>
      <c r="CP85" s="185">
        <v>51.59008</v>
      </c>
      <c r="CQ85" s="185"/>
      <c r="CR85" s="194"/>
      <c r="CS85" s="185">
        <v>18.98798</v>
      </c>
      <c r="CT85" s="185">
        <v>18.944610000000001</v>
      </c>
      <c r="CU85" s="185">
        <v>23.948869999999999</v>
      </c>
      <c r="CV85" s="185">
        <v>31.01153</v>
      </c>
      <c r="CW85" s="185">
        <v>26.883019999999998</v>
      </c>
      <c r="CX85" s="185">
        <v>22.705300000000001</v>
      </c>
      <c r="CY85" s="185">
        <v>24.342040000000001</v>
      </c>
      <c r="CZ85" s="185">
        <v>25.09686</v>
      </c>
      <c r="DA85" s="185">
        <v>25.063289999999999</v>
      </c>
      <c r="DB85" s="185"/>
      <c r="DC85" s="185">
        <v>23.944980000000001</v>
      </c>
      <c r="DD85" s="185"/>
      <c r="DE85" s="194"/>
      <c r="DF85" s="187">
        <v>0.1128</v>
      </c>
      <c r="DG85" s="187">
        <v>0.11260000000000001</v>
      </c>
      <c r="DH85" s="187">
        <v>0.115</v>
      </c>
      <c r="DI85" s="187">
        <v>9.9199999999999997E-2</v>
      </c>
      <c r="DJ85" s="187">
        <v>0.107</v>
      </c>
      <c r="DK85" s="187">
        <v>0.1176</v>
      </c>
      <c r="DL85" s="187">
        <v>0.1167</v>
      </c>
      <c r="DM85" s="187">
        <v>0.1197</v>
      </c>
      <c r="DN85" s="187">
        <v>0.11600000000000001</v>
      </c>
      <c r="DO85" s="187"/>
      <c r="DP85" s="187">
        <v>0.1106</v>
      </c>
      <c r="DQ85" s="187"/>
      <c r="DR85" s="195"/>
      <c r="DS85" s="185">
        <v>50821.533369999997</v>
      </c>
      <c r="DT85" s="185">
        <v>51179.833339999997</v>
      </c>
      <c r="DU85" s="185">
        <v>56936.731899999999</v>
      </c>
      <c r="DV85" s="185">
        <v>57296.591769999999</v>
      </c>
      <c r="DW85" s="185">
        <v>55921.083330000001</v>
      </c>
      <c r="DX85" s="185">
        <v>55139.68333</v>
      </c>
      <c r="DY85" s="185">
        <v>54744.773110000002</v>
      </c>
      <c r="DZ85" s="185">
        <v>54960.166680000002</v>
      </c>
      <c r="EA85" s="185">
        <v>53918.75</v>
      </c>
      <c r="EB85" s="185"/>
      <c r="EC85" s="185">
        <v>54059.53256</v>
      </c>
      <c r="ED85" s="185"/>
      <c r="EE85" s="194"/>
      <c r="EF85" s="185">
        <v>0</v>
      </c>
      <c r="EG85" s="185">
        <v>0</v>
      </c>
      <c r="EH85" s="185">
        <v>0</v>
      </c>
      <c r="EI85" s="185">
        <v>0</v>
      </c>
      <c r="EJ85" s="185">
        <v>0</v>
      </c>
      <c r="EK85" s="185">
        <v>0</v>
      </c>
      <c r="EL85" s="185">
        <v>0</v>
      </c>
      <c r="EM85" s="185">
        <v>0</v>
      </c>
      <c r="EN85" s="185">
        <v>0</v>
      </c>
      <c r="EO85" s="185"/>
      <c r="EP85" s="185">
        <v>0</v>
      </c>
      <c r="EQ85" s="185"/>
      <c r="ER85" s="194"/>
      <c r="ES85" s="185">
        <v>2785078.2176799998</v>
      </c>
      <c r="ET85" s="185">
        <v>1830901.9663499999</v>
      </c>
      <c r="EU85" s="185">
        <v>1993787.47187</v>
      </c>
      <c r="EV85" s="185">
        <v>2510909.2994400002</v>
      </c>
      <c r="EW85" s="185">
        <v>2776157.5964000002</v>
      </c>
      <c r="EX85" s="185">
        <v>2867870.3196800002</v>
      </c>
      <c r="EY85" s="185">
        <v>2867316.5740700001</v>
      </c>
      <c r="EZ85" s="185">
        <v>2835768.3767300001</v>
      </c>
      <c r="FA85" s="185">
        <v>2819314.8538000002</v>
      </c>
      <c r="FB85" s="185"/>
      <c r="FC85" s="185">
        <v>2843460.89964</v>
      </c>
      <c r="FD85" s="185"/>
      <c r="FE85" s="194"/>
      <c r="FF85" s="185"/>
      <c r="FG85" s="185"/>
      <c r="FH85" s="185"/>
      <c r="FI85" s="185"/>
      <c r="FJ85" s="185"/>
      <c r="FK85" s="185"/>
      <c r="FL85" s="185"/>
      <c r="FM85" s="185"/>
      <c r="FN85" s="185"/>
      <c r="FO85" s="185"/>
      <c r="FP85" s="185"/>
      <c r="FQ85" s="185"/>
      <c r="FR85" s="194"/>
    </row>
    <row r="86" spans="4:174" s="4" customFormat="1" x14ac:dyDescent="0.25">
      <c r="D86" s="92"/>
      <c r="E86" s="2" t="s">
        <v>171</v>
      </c>
      <c r="F86" s="184">
        <v>3.1517400000000002</v>
      </c>
      <c r="G86" s="185">
        <v>2.1945399999999999</v>
      </c>
      <c r="H86" s="185">
        <v>2.3394200000000001</v>
      </c>
      <c r="I86" s="185">
        <v>2.8997199999999999</v>
      </c>
      <c r="J86" s="185">
        <v>3.3773</v>
      </c>
      <c r="K86" s="185">
        <v>3.8584299999999998</v>
      </c>
      <c r="L86" s="185">
        <v>3.76722</v>
      </c>
      <c r="M86" s="185">
        <v>4.1038500000000004</v>
      </c>
      <c r="N86" s="185">
        <v>3.9651299999999998</v>
      </c>
      <c r="O86" s="185"/>
      <c r="P86" s="185">
        <v>4.18696</v>
      </c>
      <c r="Q86" s="185"/>
      <c r="R86" s="194"/>
      <c r="S86" s="185">
        <v>6.39053</v>
      </c>
      <c r="T86" s="185">
        <v>6.5101300000000002</v>
      </c>
      <c r="U86" s="185">
        <v>6.8161899999999997</v>
      </c>
      <c r="V86" s="185">
        <v>7.3779899999999996</v>
      </c>
      <c r="W86" s="185">
        <v>7.3721699999999997</v>
      </c>
      <c r="X86" s="185">
        <v>6.9503000000000004</v>
      </c>
      <c r="Y86" s="185">
        <v>6.9318799999999996</v>
      </c>
      <c r="Z86" s="185">
        <v>7.6713899999999997</v>
      </c>
      <c r="AA86" s="185">
        <v>8.2171699999999994</v>
      </c>
      <c r="AB86" s="185"/>
      <c r="AC86" s="185">
        <v>7.8744699999999996</v>
      </c>
      <c r="AD86" s="185"/>
      <c r="AE86" s="194"/>
      <c r="AF86" s="185">
        <v>0.67212000000000005</v>
      </c>
      <c r="AG86" s="185">
        <v>0.70111999999999997</v>
      </c>
      <c r="AH86" s="185">
        <v>0.73716999999999999</v>
      </c>
      <c r="AI86" s="185">
        <v>0.70889000000000002</v>
      </c>
      <c r="AJ86" s="185">
        <v>0.75619000000000003</v>
      </c>
      <c r="AK86" s="185">
        <v>0.81469999999999998</v>
      </c>
      <c r="AL86" s="185">
        <v>0.83233999999999997</v>
      </c>
      <c r="AM86" s="185">
        <v>0.94221999999999995</v>
      </c>
      <c r="AN86" s="185">
        <v>0.91330999999999996</v>
      </c>
      <c r="AO86" s="185"/>
      <c r="AP86" s="185">
        <v>0.86079000000000006</v>
      </c>
      <c r="AQ86" s="185"/>
      <c r="AR86" s="194"/>
      <c r="AS86" s="185">
        <v>1.8540000000000001E-2</v>
      </c>
      <c r="AT86" s="185">
        <v>2.0389999999999998E-2</v>
      </c>
      <c r="AU86" s="185">
        <v>2.121E-2</v>
      </c>
      <c r="AV86" s="185">
        <v>2.179E-2</v>
      </c>
      <c r="AW86" s="185">
        <v>2.2630000000000001E-2</v>
      </c>
      <c r="AX86" s="185">
        <v>2.4109999999999999E-2</v>
      </c>
      <c r="AY86" s="185">
        <v>2.5770000000000001E-2</v>
      </c>
      <c r="AZ86" s="185">
        <v>3.0700000000000002E-2</v>
      </c>
      <c r="BA86" s="185">
        <v>2.8539999999999999E-2</v>
      </c>
      <c r="BB86" s="185"/>
      <c r="BC86" s="185">
        <v>3.082E-2</v>
      </c>
      <c r="BD86" s="185"/>
      <c r="BE86" s="194"/>
      <c r="BF86" s="185">
        <v>2.4920000000000001E-2</v>
      </c>
      <c r="BG86" s="185">
        <v>5.3039999999999997E-2</v>
      </c>
      <c r="BH86" s="185">
        <v>1.11E-2</v>
      </c>
      <c r="BI86" s="185">
        <v>1.093E-2</v>
      </c>
      <c r="BJ86" s="185">
        <v>1.949E-2</v>
      </c>
      <c r="BK86" s="185">
        <v>7.5799999999999999E-3</v>
      </c>
      <c r="BL86" s="185">
        <v>1.8169999999999999E-2</v>
      </c>
      <c r="BM86" s="185">
        <v>5.0899999999999999E-3</v>
      </c>
      <c r="BN86" s="185">
        <v>2.1950000000000001E-2</v>
      </c>
      <c r="BO86" s="185"/>
      <c r="BP86" s="185">
        <v>-2.2100000000000002E-3</v>
      </c>
      <c r="BQ86" s="185"/>
      <c r="BR86" s="194"/>
      <c r="BS86" s="185">
        <v>0</v>
      </c>
      <c r="BT86" s="185">
        <v>-0.77468999999999999</v>
      </c>
      <c r="BU86" s="185">
        <v>-0.89668999999999999</v>
      </c>
      <c r="BV86" s="185">
        <v>-0.17025000000000001</v>
      </c>
      <c r="BW86" s="185">
        <v>-0.12257999999999999</v>
      </c>
      <c r="BX86" s="185">
        <v>-3.5599999999999998E-3</v>
      </c>
      <c r="BY86" s="185">
        <v>0</v>
      </c>
      <c r="BZ86" s="185">
        <v>0</v>
      </c>
      <c r="CA86" s="185">
        <v>0</v>
      </c>
      <c r="CB86" s="185"/>
      <c r="CC86" s="185">
        <v>0</v>
      </c>
      <c r="CD86" s="185"/>
      <c r="CE86" s="194"/>
      <c r="CF86" s="185">
        <v>7.1061100000000001</v>
      </c>
      <c r="CG86" s="185">
        <v>7.2846700000000002</v>
      </c>
      <c r="CH86" s="185">
        <v>7.5856700000000004</v>
      </c>
      <c r="CI86" s="185">
        <v>8.1196099999999998</v>
      </c>
      <c r="CJ86" s="185">
        <v>8.1704799999999995</v>
      </c>
      <c r="CK86" s="185">
        <v>7.7966800000000003</v>
      </c>
      <c r="CL86" s="185">
        <v>7.80816</v>
      </c>
      <c r="CM86" s="185">
        <v>8.6494</v>
      </c>
      <c r="CN86" s="185">
        <v>9.1809600000000007</v>
      </c>
      <c r="CO86" s="185"/>
      <c r="CP86" s="185">
        <v>8.7638700000000007</v>
      </c>
      <c r="CQ86" s="185"/>
      <c r="CR86" s="194"/>
      <c r="CS86" s="185">
        <v>3.9543699999999999</v>
      </c>
      <c r="CT86" s="185">
        <v>4.3154399999999997</v>
      </c>
      <c r="CU86" s="185">
        <v>4.3495600000000003</v>
      </c>
      <c r="CV86" s="185">
        <v>5.0496400000000001</v>
      </c>
      <c r="CW86" s="185">
        <v>4.6706000000000003</v>
      </c>
      <c r="CX86" s="185">
        <v>3.9346999999999999</v>
      </c>
      <c r="CY86" s="185">
        <v>4.04094</v>
      </c>
      <c r="CZ86" s="185">
        <v>4.5455500000000004</v>
      </c>
      <c r="DA86" s="185">
        <v>5.2158300000000004</v>
      </c>
      <c r="DB86" s="185"/>
      <c r="DC86" s="185">
        <v>4.5769099999999998</v>
      </c>
      <c r="DD86" s="185"/>
      <c r="DE86" s="194"/>
      <c r="DF86" s="187">
        <v>9.4600000000000004E-2</v>
      </c>
      <c r="DG86" s="187">
        <v>9.6199999999999994E-2</v>
      </c>
      <c r="DH86" s="187">
        <v>9.7199999999999995E-2</v>
      </c>
      <c r="DI86" s="187">
        <v>8.7300000000000003E-2</v>
      </c>
      <c r="DJ86" s="187">
        <v>9.2600000000000002E-2</v>
      </c>
      <c r="DK86" s="187">
        <v>0.1045</v>
      </c>
      <c r="DL86" s="187">
        <v>0.1066</v>
      </c>
      <c r="DM86" s="187">
        <v>0.1089</v>
      </c>
      <c r="DN86" s="187">
        <v>9.9500000000000005E-2</v>
      </c>
      <c r="DO86" s="187"/>
      <c r="DP86" s="187">
        <v>9.8199999999999996E-2</v>
      </c>
      <c r="DQ86" s="187"/>
      <c r="DR86" s="195"/>
      <c r="DS86" s="185">
        <v>7020.7521500000003</v>
      </c>
      <c r="DT86" s="185">
        <v>7105.9731899999997</v>
      </c>
      <c r="DU86" s="185">
        <v>7118.7701999999999</v>
      </c>
      <c r="DV86" s="185">
        <v>7145.4143800000002</v>
      </c>
      <c r="DW86" s="185">
        <v>7131.0018</v>
      </c>
      <c r="DX86" s="185">
        <v>7115.2913600000002</v>
      </c>
      <c r="DY86" s="185">
        <v>7138.5287200000002</v>
      </c>
      <c r="DZ86" s="185">
        <v>7898.5051199999998</v>
      </c>
      <c r="EA86" s="185">
        <v>7934.8824299999997</v>
      </c>
      <c r="EB86" s="185"/>
      <c r="EC86" s="185">
        <v>7934.8824299999997</v>
      </c>
      <c r="ED86" s="185"/>
      <c r="EE86" s="194"/>
      <c r="EF86" s="185">
        <v>0</v>
      </c>
      <c r="EG86" s="185">
        <v>0</v>
      </c>
      <c r="EH86" s="185">
        <v>0</v>
      </c>
      <c r="EI86" s="185">
        <v>0</v>
      </c>
      <c r="EJ86" s="185">
        <v>0</v>
      </c>
      <c r="EK86" s="185">
        <v>0</v>
      </c>
      <c r="EL86" s="185">
        <v>0</v>
      </c>
      <c r="EM86" s="185">
        <v>0</v>
      </c>
      <c r="EN86" s="185">
        <v>0</v>
      </c>
      <c r="EO86" s="185"/>
      <c r="EP86" s="185">
        <v>0</v>
      </c>
      <c r="EQ86" s="185"/>
      <c r="ER86" s="194"/>
      <c r="ES86" s="185">
        <v>222141.49918000001</v>
      </c>
      <c r="ET86" s="185">
        <v>166046.18502</v>
      </c>
      <c r="EU86" s="185">
        <v>160818.93376000001</v>
      </c>
      <c r="EV86" s="185">
        <v>198685.11965000001</v>
      </c>
      <c r="EW86" s="185">
        <v>215621.82573000001</v>
      </c>
      <c r="EX86" s="185">
        <v>230279.20751000001</v>
      </c>
      <c r="EY86" s="185">
        <v>232283.51759999999</v>
      </c>
      <c r="EZ86" s="185">
        <v>272280.64594999998</v>
      </c>
      <c r="FA86" s="185">
        <v>254047.77207000001</v>
      </c>
      <c r="FB86" s="185"/>
      <c r="FC86" s="185">
        <v>255479.64902000001</v>
      </c>
      <c r="FD86" s="185"/>
      <c r="FE86" s="194"/>
      <c r="FF86" s="185"/>
      <c r="FG86" s="185"/>
      <c r="FH86" s="185"/>
      <c r="FI86" s="185"/>
      <c r="FJ86" s="185"/>
      <c r="FK86" s="185"/>
      <c r="FL86" s="185"/>
      <c r="FM86" s="185"/>
      <c r="FN86" s="185"/>
      <c r="FO86" s="185"/>
      <c r="FP86" s="185"/>
      <c r="FQ86" s="185"/>
      <c r="FR86" s="194"/>
    </row>
    <row r="87" spans="4:174" s="4" customFormat="1" x14ac:dyDescent="0.25">
      <c r="D87" s="92"/>
      <c r="E87" s="2" t="s">
        <v>172</v>
      </c>
      <c r="F87" s="184">
        <v>10.073589999999999</v>
      </c>
      <c r="G87" s="185">
        <v>7.0099799999999997</v>
      </c>
      <c r="H87" s="185">
        <v>7.4332900000000004</v>
      </c>
      <c r="I87" s="185">
        <v>8.9430700000000005</v>
      </c>
      <c r="J87" s="185">
        <v>9.9109700000000007</v>
      </c>
      <c r="K87" s="185">
        <v>12.18601</v>
      </c>
      <c r="L87" s="185">
        <v>11.98357</v>
      </c>
      <c r="M87" s="185">
        <v>11.75886</v>
      </c>
      <c r="N87" s="185">
        <v>11.75353</v>
      </c>
      <c r="O87" s="185"/>
      <c r="P87" s="185">
        <v>12.01778</v>
      </c>
      <c r="Q87" s="185"/>
      <c r="R87" s="194"/>
      <c r="S87" s="185">
        <v>27.522189999999998</v>
      </c>
      <c r="T87" s="185">
        <v>28.23874</v>
      </c>
      <c r="U87" s="185">
        <v>29.79879</v>
      </c>
      <c r="V87" s="185">
        <v>32.972050000000003</v>
      </c>
      <c r="W87" s="185">
        <v>31.914059999999999</v>
      </c>
      <c r="X87" s="185">
        <v>32.982190000000003</v>
      </c>
      <c r="Y87" s="185">
        <v>34.258069999999996</v>
      </c>
      <c r="Z87" s="185">
        <v>34.51614</v>
      </c>
      <c r="AA87" s="185">
        <v>35.433219999999999</v>
      </c>
      <c r="AB87" s="185"/>
      <c r="AC87" s="185">
        <v>32.272399999999998</v>
      </c>
      <c r="AD87" s="185"/>
      <c r="AE87" s="194"/>
      <c r="AF87" s="185">
        <v>2.5508999999999999</v>
      </c>
      <c r="AG87" s="185">
        <v>2.6861199999999998</v>
      </c>
      <c r="AH87" s="185">
        <v>2.8578299999999999</v>
      </c>
      <c r="AI87" s="185">
        <v>2.6795200000000001</v>
      </c>
      <c r="AJ87" s="185">
        <v>2.9229500000000002</v>
      </c>
      <c r="AK87" s="185">
        <v>3.39859</v>
      </c>
      <c r="AL87" s="185">
        <v>3.4996299999999998</v>
      </c>
      <c r="AM87" s="185">
        <v>3.57544</v>
      </c>
      <c r="AN87" s="185">
        <v>3.5289899999999998</v>
      </c>
      <c r="AO87" s="185"/>
      <c r="AP87" s="185">
        <v>3.1695099999999998</v>
      </c>
      <c r="AQ87" s="185"/>
      <c r="AR87" s="194"/>
      <c r="AS87" s="185">
        <v>7.9299999999999995E-2</v>
      </c>
      <c r="AT87" s="185">
        <v>8.7590000000000001E-2</v>
      </c>
      <c r="AU87" s="185">
        <v>9.2310000000000003E-2</v>
      </c>
      <c r="AV87" s="185">
        <v>9.579E-2</v>
      </c>
      <c r="AW87" s="185">
        <v>0.10353</v>
      </c>
      <c r="AX87" s="185">
        <v>0.12014</v>
      </c>
      <c r="AY87" s="185">
        <v>0.13203000000000001</v>
      </c>
      <c r="AZ87" s="185">
        <v>0.13889000000000001</v>
      </c>
      <c r="BA87" s="185">
        <v>0.12973999999999999</v>
      </c>
      <c r="BB87" s="185"/>
      <c r="BC87" s="185">
        <v>0.14013999999999999</v>
      </c>
      <c r="BD87" s="185"/>
      <c r="BE87" s="194"/>
      <c r="BF87" s="185">
        <v>0.10655000000000001</v>
      </c>
      <c r="BG87" s="185">
        <v>0.22786999999999999</v>
      </c>
      <c r="BH87" s="185">
        <v>4.8300000000000003E-2</v>
      </c>
      <c r="BI87" s="185">
        <v>4.8070000000000002E-2</v>
      </c>
      <c r="BJ87" s="185">
        <v>8.9200000000000002E-2</v>
      </c>
      <c r="BK87" s="185">
        <v>3.7749999999999999E-2</v>
      </c>
      <c r="BL87" s="185">
        <v>9.3060000000000004E-2</v>
      </c>
      <c r="BM87" s="185">
        <v>2.3040000000000001E-2</v>
      </c>
      <c r="BN87" s="185">
        <v>9.9809999999999996E-2</v>
      </c>
      <c r="BO87" s="185"/>
      <c r="BP87" s="185">
        <v>-1.0070000000000001E-2</v>
      </c>
      <c r="BQ87" s="185"/>
      <c r="BR87" s="194"/>
      <c r="BS87" s="185">
        <v>0</v>
      </c>
      <c r="BT87" s="185">
        <v>-3.17571</v>
      </c>
      <c r="BU87" s="185">
        <v>-2.9222899999999998</v>
      </c>
      <c r="BV87" s="185">
        <v>-0.65481</v>
      </c>
      <c r="BW87" s="185">
        <v>-0.51702000000000004</v>
      </c>
      <c r="BX87" s="185">
        <v>-1.54E-2</v>
      </c>
      <c r="BY87" s="185">
        <v>0</v>
      </c>
      <c r="BZ87" s="185">
        <v>0</v>
      </c>
      <c r="CA87" s="185">
        <v>0</v>
      </c>
      <c r="CB87" s="185"/>
      <c r="CC87" s="185">
        <v>0</v>
      </c>
      <c r="CD87" s="185"/>
      <c r="CE87" s="194"/>
      <c r="CF87" s="185">
        <v>30.258939999999999</v>
      </c>
      <c r="CG87" s="185">
        <v>31.240320000000001</v>
      </c>
      <c r="CH87" s="185">
        <v>32.797229999999999</v>
      </c>
      <c r="CI87" s="185">
        <v>35.795430000000003</v>
      </c>
      <c r="CJ87" s="185">
        <v>35.029739999999997</v>
      </c>
      <c r="CK87" s="185">
        <v>36.538679999999999</v>
      </c>
      <c r="CL87" s="185">
        <v>37.982779999999998</v>
      </c>
      <c r="CM87" s="185">
        <v>38.253509999999999</v>
      </c>
      <c r="CN87" s="185">
        <v>39.191769999999998</v>
      </c>
      <c r="CO87" s="185"/>
      <c r="CP87" s="185">
        <v>35.571980000000003</v>
      </c>
      <c r="CQ87" s="185"/>
      <c r="CR87" s="194"/>
      <c r="CS87" s="185">
        <v>20.18535</v>
      </c>
      <c r="CT87" s="185">
        <v>21.05463</v>
      </c>
      <c r="CU87" s="185">
        <v>22.441649999999999</v>
      </c>
      <c r="CV87" s="185">
        <v>26.19755</v>
      </c>
      <c r="CW87" s="185">
        <v>24.601759999999999</v>
      </c>
      <c r="CX87" s="185">
        <v>24.33727</v>
      </c>
      <c r="CY87" s="185">
        <v>25.999210000000001</v>
      </c>
      <c r="CZ87" s="185">
        <v>26.49464</v>
      </c>
      <c r="DA87" s="185">
        <v>27.43824</v>
      </c>
      <c r="DB87" s="185"/>
      <c r="DC87" s="185">
        <v>23.554210000000001</v>
      </c>
      <c r="DD87" s="185"/>
      <c r="DE87" s="194"/>
      <c r="DF87" s="187">
        <v>8.43E-2</v>
      </c>
      <c r="DG87" s="187">
        <v>8.5999999999999993E-2</v>
      </c>
      <c r="DH87" s="187">
        <v>8.7099999999999997E-2</v>
      </c>
      <c r="DI87" s="187">
        <v>7.4899999999999994E-2</v>
      </c>
      <c r="DJ87" s="187">
        <v>8.3400000000000002E-2</v>
      </c>
      <c r="DK87" s="187">
        <v>9.2999999999999999E-2</v>
      </c>
      <c r="DL87" s="187">
        <v>9.2100000000000001E-2</v>
      </c>
      <c r="DM87" s="187">
        <v>9.35E-2</v>
      </c>
      <c r="DN87" s="187">
        <v>0.09</v>
      </c>
      <c r="DO87" s="187"/>
      <c r="DP87" s="187">
        <v>8.9099999999999999E-2</v>
      </c>
      <c r="DQ87" s="187"/>
      <c r="DR87" s="195"/>
      <c r="DS87" s="185">
        <v>30022.146079999999</v>
      </c>
      <c r="DT87" s="185">
        <v>30531.067569999999</v>
      </c>
      <c r="DU87" s="185">
        <v>30980.43374</v>
      </c>
      <c r="DV87" s="185">
        <v>31416.862730000001</v>
      </c>
      <c r="DW87" s="185">
        <v>32630.141739999999</v>
      </c>
      <c r="DX87" s="185">
        <v>35461.133609999997</v>
      </c>
      <c r="DY87" s="185">
        <v>36566.70291</v>
      </c>
      <c r="DZ87" s="185">
        <v>35735.697</v>
      </c>
      <c r="EA87" s="185">
        <v>36078.013590000002</v>
      </c>
      <c r="EB87" s="185"/>
      <c r="EC87" s="185">
        <v>36078.013590000002</v>
      </c>
      <c r="ED87" s="185"/>
      <c r="EE87" s="194"/>
      <c r="EF87" s="185">
        <v>0</v>
      </c>
      <c r="EG87" s="185">
        <v>0</v>
      </c>
      <c r="EH87" s="185">
        <v>0</v>
      </c>
      <c r="EI87" s="185">
        <v>0</v>
      </c>
      <c r="EJ87" s="185">
        <v>0</v>
      </c>
      <c r="EK87" s="185">
        <v>0</v>
      </c>
      <c r="EL87" s="185">
        <v>0</v>
      </c>
      <c r="EM87" s="185">
        <v>0</v>
      </c>
      <c r="EN87" s="185">
        <v>0</v>
      </c>
      <c r="EO87" s="185"/>
      <c r="EP87" s="185">
        <v>0</v>
      </c>
      <c r="EQ87" s="185"/>
      <c r="ER87" s="194"/>
      <c r="ES87" s="185">
        <v>870512.60978000006</v>
      </c>
      <c r="ET87" s="185">
        <v>632958.45056000003</v>
      </c>
      <c r="EU87" s="185">
        <v>608974.31314999994</v>
      </c>
      <c r="EV87" s="185">
        <v>777696.10508000001</v>
      </c>
      <c r="EW87" s="185">
        <v>768613.98415000003</v>
      </c>
      <c r="EX87" s="185">
        <v>898503.02673000004</v>
      </c>
      <c r="EY87" s="185">
        <v>910794.68128999998</v>
      </c>
      <c r="EZ87" s="185">
        <v>895251.22660000005</v>
      </c>
      <c r="FA87" s="185">
        <v>894376.04449</v>
      </c>
      <c r="FB87" s="185"/>
      <c r="FC87" s="185">
        <v>896062.86054000002</v>
      </c>
      <c r="FD87" s="185"/>
      <c r="FE87" s="194"/>
      <c r="FF87" s="185"/>
      <c r="FG87" s="185"/>
      <c r="FH87" s="185"/>
      <c r="FI87" s="185"/>
      <c r="FJ87" s="185"/>
      <c r="FK87" s="185"/>
      <c r="FL87" s="185"/>
      <c r="FM87" s="185"/>
      <c r="FN87" s="185"/>
      <c r="FO87" s="185"/>
      <c r="FP87" s="185"/>
      <c r="FQ87" s="185"/>
      <c r="FR87" s="194"/>
    </row>
    <row r="88" spans="4:174" s="4" customFormat="1" x14ac:dyDescent="0.25">
      <c r="D88" s="92"/>
      <c r="E88" s="2" t="s">
        <v>173</v>
      </c>
      <c r="F88" s="184">
        <v>9.5721500000000006</v>
      </c>
      <c r="G88" s="185">
        <v>6.8597799999999998</v>
      </c>
      <c r="H88" s="185">
        <v>7.1602699999999997</v>
      </c>
      <c r="I88" s="185">
        <v>8.6195900000000005</v>
      </c>
      <c r="J88" s="185">
        <v>9.5691500000000005</v>
      </c>
      <c r="K88" s="185">
        <v>11.561249999999999</v>
      </c>
      <c r="L88" s="185">
        <v>11.198729999999999</v>
      </c>
      <c r="M88" s="185">
        <v>11.06488</v>
      </c>
      <c r="N88" s="185">
        <v>11.09867</v>
      </c>
      <c r="O88" s="185"/>
      <c r="P88" s="185">
        <v>11.5603</v>
      </c>
      <c r="Q88" s="185"/>
      <c r="R88" s="194"/>
      <c r="S88" s="185">
        <v>25.381160000000001</v>
      </c>
      <c r="T88" s="185">
        <v>24.952459999999999</v>
      </c>
      <c r="U88" s="185">
        <v>25.14152</v>
      </c>
      <c r="V88" s="185">
        <v>27.27853</v>
      </c>
      <c r="W88" s="185">
        <v>24.000710000000002</v>
      </c>
      <c r="X88" s="185">
        <v>22.93158</v>
      </c>
      <c r="Y88" s="185">
        <v>23.7254</v>
      </c>
      <c r="Z88" s="185">
        <v>24.24062</v>
      </c>
      <c r="AA88" s="185">
        <v>24.274360000000001</v>
      </c>
      <c r="AB88" s="185"/>
      <c r="AC88" s="185">
        <v>23.989740000000001</v>
      </c>
      <c r="AD88" s="185"/>
      <c r="AE88" s="194"/>
      <c r="AF88" s="185">
        <v>2.4120200000000001</v>
      </c>
      <c r="AG88" s="185">
        <v>2.49688</v>
      </c>
      <c r="AH88" s="185">
        <v>2.5847799999999999</v>
      </c>
      <c r="AI88" s="185">
        <v>2.42984</v>
      </c>
      <c r="AJ88" s="185">
        <v>2.5278700000000001</v>
      </c>
      <c r="AK88" s="185">
        <v>2.7858299999999998</v>
      </c>
      <c r="AL88" s="185">
        <v>2.8247200000000001</v>
      </c>
      <c r="AM88" s="185">
        <v>2.9487800000000002</v>
      </c>
      <c r="AN88" s="185">
        <v>2.8932199999999999</v>
      </c>
      <c r="AO88" s="185"/>
      <c r="AP88" s="185">
        <v>2.6948400000000001</v>
      </c>
      <c r="AQ88" s="185"/>
      <c r="AR88" s="194"/>
      <c r="AS88" s="185">
        <v>7.646E-2</v>
      </c>
      <c r="AT88" s="185">
        <v>8.0750000000000002E-2</v>
      </c>
      <c r="AU88" s="185">
        <v>8.2419999999999993E-2</v>
      </c>
      <c r="AV88" s="185">
        <v>8.4720000000000004E-2</v>
      </c>
      <c r="AW88" s="185">
        <v>8.7169999999999997E-2</v>
      </c>
      <c r="AX88" s="185">
        <v>9.3210000000000001E-2</v>
      </c>
      <c r="AY88" s="185">
        <v>0.10006</v>
      </c>
      <c r="AZ88" s="185">
        <v>0.10845</v>
      </c>
      <c r="BA88" s="185">
        <v>0.10044</v>
      </c>
      <c r="BB88" s="185"/>
      <c r="BC88" s="185">
        <v>0.10884000000000001</v>
      </c>
      <c r="BD88" s="185"/>
      <c r="BE88" s="194"/>
      <c r="BF88" s="185">
        <v>0.10274</v>
      </c>
      <c r="BG88" s="185">
        <v>0.21006</v>
      </c>
      <c r="BH88" s="185">
        <v>4.3119999999999999E-2</v>
      </c>
      <c r="BI88" s="185">
        <v>4.2520000000000002E-2</v>
      </c>
      <c r="BJ88" s="185">
        <v>7.5109999999999996E-2</v>
      </c>
      <c r="BK88" s="185">
        <v>2.929E-2</v>
      </c>
      <c r="BL88" s="185">
        <v>7.0519999999999999E-2</v>
      </c>
      <c r="BM88" s="185">
        <v>1.7989999999999999E-2</v>
      </c>
      <c r="BN88" s="185">
        <v>7.7270000000000005E-2</v>
      </c>
      <c r="BO88" s="185"/>
      <c r="BP88" s="185">
        <v>-7.8200000000000006E-3</v>
      </c>
      <c r="BQ88" s="185"/>
      <c r="BR88" s="194"/>
      <c r="BS88" s="185">
        <v>0</v>
      </c>
      <c r="BT88" s="185">
        <v>-2.4907400000000002</v>
      </c>
      <c r="BU88" s="185">
        <v>-2.52312</v>
      </c>
      <c r="BV88" s="185">
        <v>-0.49621999999999999</v>
      </c>
      <c r="BW88" s="185">
        <v>-0.38780999999999999</v>
      </c>
      <c r="BX88" s="185">
        <v>-1.158E-2</v>
      </c>
      <c r="BY88" s="185">
        <v>0</v>
      </c>
      <c r="BZ88" s="185">
        <v>0</v>
      </c>
      <c r="CA88" s="185">
        <v>0</v>
      </c>
      <c r="CB88" s="185"/>
      <c r="CC88" s="185">
        <v>0</v>
      </c>
      <c r="CD88" s="185"/>
      <c r="CE88" s="194"/>
      <c r="CF88" s="185">
        <v>27.972380000000001</v>
      </c>
      <c r="CG88" s="185">
        <v>27.74015</v>
      </c>
      <c r="CH88" s="185">
        <v>27.851849999999999</v>
      </c>
      <c r="CI88" s="185">
        <v>29.835609999999999</v>
      </c>
      <c r="CJ88" s="185">
        <v>26.690860000000001</v>
      </c>
      <c r="CK88" s="185">
        <v>25.83991</v>
      </c>
      <c r="CL88" s="185">
        <v>26.720690000000001</v>
      </c>
      <c r="CM88" s="185">
        <v>27.315840000000001</v>
      </c>
      <c r="CN88" s="185">
        <v>27.345279999999999</v>
      </c>
      <c r="CO88" s="185"/>
      <c r="CP88" s="185">
        <v>26.785599999999999</v>
      </c>
      <c r="CQ88" s="185"/>
      <c r="CR88" s="194"/>
      <c r="CS88" s="185">
        <v>18.400230000000001</v>
      </c>
      <c r="CT88" s="185">
        <v>18.38963</v>
      </c>
      <c r="CU88" s="185">
        <v>18.16846</v>
      </c>
      <c r="CV88" s="185">
        <v>20.719799999999999</v>
      </c>
      <c r="CW88" s="185">
        <v>16.733899999999998</v>
      </c>
      <c r="CX88" s="185">
        <v>14.26708</v>
      </c>
      <c r="CY88" s="185">
        <v>15.52196</v>
      </c>
      <c r="CZ88" s="185">
        <v>16.250959999999999</v>
      </c>
      <c r="DA88" s="185">
        <v>16.24661</v>
      </c>
      <c r="DB88" s="185"/>
      <c r="DC88" s="185">
        <v>15.225300000000001</v>
      </c>
      <c r="DD88" s="185"/>
      <c r="DE88" s="194"/>
      <c r="DF88" s="187">
        <v>8.6199999999999999E-2</v>
      </c>
      <c r="DG88" s="187">
        <v>0.09</v>
      </c>
      <c r="DH88" s="187">
        <v>9.2799999999999994E-2</v>
      </c>
      <c r="DI88" s="187">
        <v>8.14E-2</v>
      </c>
      <c r="DJ88" s="187">
        <v>9.4700000000000006E-2</v>
      </c>
      <c r="DK88" s="187">
        <v>0.10780000000000001</v>
      </c>
      <c r="DL88" s="187">
        <v>0.1057</v>
      </c>
      <c r="DM88" s="187">
        <v>0.108</v>
      </c>
      <c r="DN88" s="187">
        <v>0.10580000000000001</v>
      </c>
      <c r="DO88" s="187"/>
      <c r="DP88" s="187">
        <v>0.10059999999999999</v>
      </c>
      <c r="DQ88" s="187"/>
      <c r="DR88" s="195"/>
      <c r="DS88" s="185">
        <v>28948.285459999999</v>
      </c>
      <c r="DT88" s="185">
        <v>28144.246289999999</v>
      </c>
      <c r="DU88" s="185">
        <v>27661.13147</v>
      </c>
      <c r="DV88" s="185">
        <v>27787.328519999999</v>
      </c>
      <c r="DW88" s="185">
        <v>27474.101879999998</v>
      </c>
      <c r="DX88" s="185">
        <v>27512.683949999999</v>
      </c>
      <c r="DY88" s="185">
        <v>27712.11752</v>
      </c>
      <c r="DZ88" s="185">
        <v>27903.028320000001</v>
      </c>
      <c r="EA88" s="185">
        <v>27929.159039999999</v>
      </c>
      <c r="EB88" s="185"/>
      <c r="EC88" s="185">
        <v>28020.642820000001</v>
      </c>
      <c r="ED88" s="185"/>
      <c r="EE88" s="194"/>
      <c r="EF88" s="185">
        <v>0</v>
      </c>
      <c r="EG88" s="185">
        <v>0</v>
      </c>
      <c r="EH88" s="185">
        <v>0</v>
      </c>
      <c r="EI88" s="185">
        <v>0</v>
      </c>
      <c r="EJ88" s="185">
        <v>0</v>
      </c>
      <c r="EK88" s="185">
        <v>0</v>
      </c>
      <c r="EL88" s="185">
        <v>0</v>
      </c>
      <c r="EM88" s="185">
        <v>0</v>
      </c>
      <c r="EN88" s="185">
        <v>0</v>
      </c>
      <c r="EO88" s="185"/>
      <c r="EP88" s="185">
        <v>0</v>
      </c>
      <c r="EQ88" s="185"/>
      <c r="ER88" s="194"/>
      <c r="ES88" s="185">
        <v>888483.85158999998</v>
      </c>
      <c r="ET88" s="185">
        <v>646177.36358999996</v>
      </c>
      <c r="EU88" s="185">
        <v>610681.19996999996</v>
      </c>
      <c r="EV88" s="185">
        <v>769609.36075999995</v>
      </c>
      <c r="EW88" s="185">
        <v>777022.97878999996</v>
      </c>
      <c r="EX88" s="185">
        <v>869619.39838000003</v>
      </c>
      <c r="EY88" s="185">
        <v>857978.74179999996</v>
      </c>
      <c r="EZ88" s="185">
        <v>862975.83739999996</v>
      </c>
      <c r="FA88" s="185">
        <v>873103.03026999999</v>
      </c>
      <c r="FB88" s="185"/>
      <c r="FC88" s="185">
        <v>878574.79891999997</v>
      </c>
      <c r="FD88" s="185"/>
      <c r="FE88" s="194"/>
      <c r="FF88" s="185"/>
      <c r="FG88" s="185"/>
      <c r="FH88" s="185"/>
      <c r="FI88" s="185"/>
      <c r="FJ88" s="185"/>
      <c r="FK88" s="185"/>
      <c r="FL88" s="185"/>
      <c r="FM88" s="185"/>
      <c r="FN88" s="185"/>
      <c r="FO88" s="185"/>
      <c r="FP88" s="185"/>
      <c r="FQ88" s="185"/>
      <c r="FR88" s="194"/>
    </row>
    <row r="89" spans="4:174" s="4" customFormat="1" x14ac:dyDescent="0.25">
      <c r="D89" s="92"/>
      <c r="E89" s="2" t="s">
        <v>174</v>
      </c>
      <c r="F89" s="184">
        <v>12.498889999999999</v>
      </c>
      <c r="G89" s="185">
        <v>8.9705700000000004</v>
      </c>
      <c r="H89" s="185">
        <v>9.8867700000000003</v>
      </c>
      <c r="I89" s="185">
        <v>11.996309999999999</v>
      </c>
      <c r="J89" s="185">
        <v>13.856479999999999</v>
      </c>
      <c r="K89" s="185">
        <v>15.31921</v>
      </c>
      <c r="L89" s="185">
        <v>14.807550000000001</v>
      </c>
      <c r="M89" s="185">
        <v>14.78842</v>
      </c>
      <c r="N89" s="185">
        <v>14.845269999999999</v>
      </c>
      <c r="O89" s="185"/>
      <c r="P89" s="185">
        <v>15.68374</v>
      </c>
      <c r="Q89" s="185"/>
      <c r="R89" s="194"/>
      <c r="S89" s="185">
        <v>26.92343</v>
      </c>
      <c r="T89" s="185">
        <v>27.413039999999999</v>
      </c>
      <c r="U89" s="185">
        <v>29.14378</v>
      </c>
      <c r="V89" s="185">
        <v>32.969410000000003</v>
      </c>
      <c r="W89" s="185">
        <v>33.42165</v>
      </c>
      <c r="X89" s="185">
        <v>32.760680000000001</v>
      </c>
      <c r="Y89" s="185">
        <v>33.867539999999998</v>
      </c>
      <c r="Z89" s="185">
        <v>34.10098</v>
      </c>
      <c r="AA89" s="185">
        <v>35.822290000000002</v>
      </c>
      <c r="AB89" s="185"/>
      <c r="AC89" s="185">
        <v>31.85624</v>
      </c>
      <c r="AD89" s="185"/>
      <c r="AE89" s="194"/>
      <c r="AF89" s="185">
        <v>2.8604099999999999</v>
      </c>
      <c r="AG89" s="185">
        <v>3.0770300000000002</v>
      </c>
      <c r="AH89" s="185">
        <v>3.3453400000000002</v>
      </c>
      <c r="AI89" s="185">
        <v>3.23645</v>
      </c>
      <c r="AJ89" s="185">
        <v>3.4533700000000001</v>
      </c>
      <c r="AK89" s="185">
        <v>3.64323</v>
      </c>
      <c r="AL89" s="185">
        <v>3.7652800000000002</v>
      </c>
      <c r="AM89" s="185">
        <v>3.8878200000000001</v>
      </c>
      <c r="AN89" s="185">
        <v>3.83229</v>
      </c>
      <c r="AO89" s="185"/>
      <c r="AP89" s="185">
        <v>3.6414300000000002</v>
      </c>
      <c r="AQ89" s="185"/>
      <c r="AR89" s="194"/>
      <c r="AS89" s="185">
        <v>8.5669999999999996E-2</v>
      </c>
      <c r="AT89" s="185">
        <v>9.4839999999999994E-2</v>
      </c>
      <c r="AU89" s="185">
        <v>0.1016</v>
      </c>
      <c r="AV89" s="185">
        <v>0.10792</v>
      </c>
      <c r="AW89" s="185">
        <v>0.11199000000000001</v>
      </c>
      <c r="AX89" s="185">
        <v>0.11805</v>
      </c>
      <c r="AY89" s="185">
        <v>0.13066</v>
      </c>
      <c r="AZ89" s="185">
        <v>0.14112</v>
      </c>
      <c r="BA89" s="185">
        <v>0.13156999999999999</v>
      </c>
      <c r="BB89" s="185"/>
      <c r="BC89" s="185">
        <v>0.14652000000000001</v>
      </c>
      <c r="BD89" s="185"/>
      <c r="BE89" s="194"/>
      <c r="BF89" s="185">
        <v>0.11512</v>
      </c>
      <c r="BG89" s="185">
        <v>0.24671999999999999</v>
      </c>
      <c r="BH89" s="185">
        <v>5.3159999999999999E-2</v>
      </c>
      <c r="BI89" s="185">
        <v>5.416E-2</v>
      </c>
      <c r="BJ89" s="185">
        <v>9.6490000000000006E-2</v>
      </c>
      <c r="BK89" s="185">
        <v>3.7100000000000001E-2</v>
      </c>
      <c r="BL89" s="185">
        <v>9.2090000000000005E-2</v>
      </c>
      <c r="BM89" s="185">
        <v>2.341E-2</v>
      </c>
      <c r="BN89" s="185">
        <v>0.10122</v>
      </c>
      <c r="BO89" s="185"/>
      <c r="BP89" s="185">
        <v>-1.0529999999999999E-2</v>
      </c>
      <c r="BQ89" s="185"/>
      <c r="BR89" s="194"/>
      <c r="BS89" s="185">
        <v>0</v>
      </c>
      <c r="BT89" s="185">
        <v>-3.5238399999999999</v>
      </c>
      <c r="BU89" s="185">
        <v>-3.5670000000000002</v>
      </c>
      <c r="BV89" s="185">
        <v>-0.85931999999999997</v>
      </c>
      <c r="BW89" s="185">
        <v>-0.57098000000000004</v>
      </c>
      <c r="BX89" s="185">
        <v>-1.6119999999999999E-2</v>
      </c>
      <c r="BY89" s="185">
        <v>0</v>
      </c>
      <c r="BZ89" s="185">
        <v>0</v>
      </c>
      <c r="CA89" s="185">
        <v>0</v>
      </c>
      <c r="CB89" s="185"/>
      <c r="CC89" s="185">
        <v>0</v>
      </c>
      <c r="CD89" s="185"/>
      <c r="CE89" s="194"/>
      <c r="CF89" s="185">
        <v>29.984629999999999</v>
      </c>
      <c r="CG89" s="185">
        <v>30.831630000000001</v>
      </c>
      <c r="CH89" s="185">
        <v>32.643880000000003</v>
      </c>
      <c r="CI89" s="185">
        <v>36.367930000000001</v>
      </c>
      <c r="CJ89" s="185">
        <v>37.083489999999998</v>
      </c>
      <c r="CK89" s="185">
        <v>36.559060000000002</v>
      </c>
      <c r="CL89" s="185">
        <v>37.85557</v>
      </c>
      <c r="CM89" s="185">
        <v>38.15334</v>
      </c>
      <c r="CN89" s="185">
        <v>39.887369999999997</v>
      </c>
      <c r="CO89" s="185"/>
      <c r="CP89" s="185">
        <v>35.633670000000002</v>
      </c>
      <c r="CQ89" s="185"/>
      <c r="CR89" s="194"/>
      <c r="CS89" s="185">
        <v>17.48574</v>
      </c>
      <c r="CT89" s="185">
        <v>18.337230000000002</v>
      </c>
      <c r="CU89" s="185">
        <v>19.190110000000001</v>
      </c>
      <c r="CV89" s="185">
        <v>23.5123</v>
      </c>
      <c r="CW89" s="185">
        <v>22.656020000000002</v>
      </c>
      <c r="CX89" s="185">
        <v>21.22373</v>
      </c>
      <c r="CY89" s="185">
        <v>23.048020000000001</v>
      </c>
      <c r="CZ89" s="185">
        <v>23.364920000000001</v>
      </c>
      <c r="DA89" s="185">
        <v>25.042100000000001</v>
      </c>
      <c r="DB89" s="185"/>
      <c r="DC89" s="185">
        <v>19.949929999999998</v>
      </c>
      <c r="DD89" s="185"/>
      <c r="DE89" s="194"/>
      <c r="DF89" s="187">
        <v>9.5399999999999999E-2</v>
      </c>
      <c r="DG89" s="187">
        <v>9.98E-2</v>
      </c>
      <c r="DH89" s="187">
        <v>0.10249999999999999</v>
      </c>
      <c r="DI89" s="187">
        <v>8.8999999999999996E-2</v>
      </c>
      <c r="DJ89" s="187">
        <v>9.3100000000000002E-2</v>
      </c>
      <c r="DK89" s="187">
        <v>9.9699999999999997E-2</v>
      </c>
      <c r="DL89" s="187">
        <v>9.9500000000000005E-2</v>
      </c>
      <c r="DM89" s="187">
        <v>0.1019</v>
      </c>
      <c r="DN89" s="187">
        <v>9.6100000000000005E-2</v>
      </c>
      <c r="DO89" s="187"/>
      <c r="DP89" s="187">
        <v>0.1022</v>
      </c>
      <c r="DQ89" s="187"/>
      <c r="DR89" s="195"/>
      <c r="DS89" s="185">
        <v>32435.300889999999</v>
      </c>
      <c r="DT89" s="185">
        <v>33055.93086</v>
      </c>
      <c r="DU89" s="185">
        <v>34099.012920000001</v>
      </c>
      <c r="DV89" s="185">
        <v>35393.119189999998</v>
      </c>
      <c r="DW89" s="185">
        <v>35295.678569999996</v>
      </c>
      <c r="DX89" s="185">
        <v>34844.495819999996</v>
      </c>
      <c r="DY89" s="185">
        <v>36187.46039</v>
      </c>
      <c r="DZ89" s="185">
        <v>36311.184359999999</v>
      </c>
      <c r="EA89" s="185">
        <v>36585.873299999999</v>
      </c>
      <c r="EB89" s="185"/>
      <c r="EC89" s="185">
        <v>37721.991009999998</v>
      </c>
      <c r="ED89" s="185"/>
      <c r="EE89" s="194"/>
      <c r="EF89" s="185">
        <v>0</v>
      </c>
      <c r="EG89" s="185">
        <v>0</v>
      </c>
      <c r="EH89" s="185">
        <v>0</v>
      </c>
      <c r="EI89" s="185">
        <v>0</v>
      </c>
      <c r="EJ89" s="185">
        <v>0</v>
      </c>
      <c r="EK89" s="185">
        <v>0</v>
      </c>
      <c r="EL89" s="185">
        <v>0</v>
      </c>
      <c r="EM89" s="185">
        <v>0</v>
      </c>
      <c r="EN89" s="185">
        <v>0</v>
      </c>
      <c r="EO89" s="185"/>
      <c r="EP89" s="185">
        <v>0</v>
      </c>
      <c r="EQ89" s="185"/>
      <c r="ER89" s="194"/>
      <c r="ES89" s="185">
        <v>1016890.02709</v>
      </c>
      <c r="ET89" s="185">
        <v>722331.06770999997</v>
      </c>
      <c r="EU89" s="185">
        <v>744438.65333</v>
      </c>
      <c r="EV89" s="185">
        <v>911364.66674000002</v>
      </c>
      <c r="EW89" s="185">
        <v>957528.82590000005</v>
      </c>
      <c r="EX89" s="185">
        <v>946556.62242000003</v>
      </c>
      <c r="EY89" s="185">
        <v>927558.39651999995</v>
      </c>
      <c r="EZ89" s="185">
        <v>945652.07892999996</v>
      </c>
      <c r="FA89" s="185">
        <v>953649.12540000002</v>
      </c>
      <c r="FB89" s="185"/>
      <c r="FC89" s="185">
        <v>983046.96805000002</v>
      </c>
      <c r="FD89" s="185"/>
      <c r="FE89" s="194"/>
      <c r="FF89" s="185"/>
      <c r="FG89" s="185"/>
      <c r="FH89" s="185"/>
      <c r="FI89" s="185"/>
      <c r="FJ89" s="185"/>
      <c r="FK89" s="185"/>
      <c r="FL89" s="185"/>
      <c r="FM89" s="185"/>
      <c r="FN89" s="185"/>
      <c r="FO89" s="185"/>
      <c r="FP89" s="185"/>
      <c r="FQ89" s="185"/>
      <c r="FR89" s="194"/>
    </row>
    <row r="90" spans="4:174" s="4" customFormat="1" x14ac:dyDescent="0.25">
      <c r="D90" s="92"/>
      <c r="E90" s="2" t="s">
        <v>175</v>
      </c>
      <c r="F90" s="184">
        <v>11.37185</v>
      </c>
      <c r="G90" s="185">
        <v>9.0139600000000009</v>
      </c>
      <c r="H90" s="185">
        <v>9.8477700000000006</v>
      </c>
      <c r="I90" s="185">
        <v>12.14889</v>
      </c>
      <c r="J90" s="185">
        <v>13.08023</v>
      </c>
      <c r="K90" s="185">
        <v>14.032400000000001</v>
      </c>
      <c r="L90" s="185">
        <v>13.409700000000001</v>
      </c>
      <c r="M90" s="185">
        <v>13.60942</v>
      </c>
      <c r="N90" s="185">
        <v>13.28327</v>
      </c>
      <c r="O90" s="185"/>
      <c r="P90" s="185">
        <v>13.6241</v>
      </c>
      <c r="Q90" s="185"/>
      <c r="R90" s="194"/>
      <c r="S90" s="185">
        <v>33.094650000000001</v>
      </c>
      <c r="T90" s="185">
        <v>33.072879999999998</v>
      </c>
      <c r="U90" s="185">
        <v>37.047260000000001</v>
      </c>
      <c r="V90" s="185">
        <v>41.564860000000003</v>
      </c>
      <c r="W90" s="185">
        <v>40.142569999999999</v>
      </c>
      <c r="X90" s="185">
        <v>38.739789999999999</v>
      </c>
      <c r="Y90" s="185">
        <v>39.571959999999997</v>
      </c>
      <c r="Z90" s="185">
        <v>42.016069999999999</v>
      </c>
      <c r="AA90" s="185">
        <v>42.149949999999997</v>
      </c>
      <c r="AB90" s="185"/>
      <c r="AC90" s="185">
        <v>40.589640000000003</v>
      </c>
      <c r="AD90" s="185"/>
      <c r="AE90" s="194"/>
      <c r="AF90" s="185">
        <v>2.9887700000000001</v>
      </c>
      <c r="AG90" s="185">
        <v>3.1955100000000001</v>
      </c>
      <c r="AH90" s="185">
        <v>3.57212</v>
      </c>
      <c r="AI90" s="185">
        <v>3.5088300000000001</v>
      </c>
      <c r="AJ90" s="185">
        <v>3.58894</v>
      </c>
      <c r="AK90" s="185">
        <v>3.76112</v>
      </c>
      <c r="AL90" s="185">
        <v>3.8057300000000001</v>
      </c>
      <c r="AM90" s="185">
        <v>4.0964200000000002</v>
      </c>
      <c r="AN90" s="185">
        <v>4.0179499999999999</v>
      </c>
      <c r="AO90" s="185"/>
      <c r="AP90" s="185">
        <v>3.5514800000000002</v>
      </c>
      <c r="AQ90" s="185"/>
      <c r="AR90" s="194"/>
      <c r="AS90" s="185">
        <v>9.3969999999999998E-2</v>
      </c>
      <c r="AT90" s="185">
        <v>9.8059999999999994E-2</v>
      </c>
      <c r="AU90" s="185">
        <v>0.1094</v>
      </c>
      <c r="AV90" s="185">
        <v>0.11860999999999999</v>
      </c>
      <c r="AW90" s="185">
        <v>0.12243999999999999</v>
      </c>
      <c r="AX90" s="185">
        <v>0.12995000000000001</v>
      </c>
      <c r="AY90" s="185">
        <v>0.14061999999999999</v>
      </c>
      <c r="AZ90" s="185">
        <v>0.157</v>
      </c>
      <c r="BA90" s="185">
        <v>0.14677000000000001</v>
      </c>
      <c r="BB90" s="185"/>
      <c r="BC90" s="185">
        <v>0.15562999999999999</v>
      </c>
      <c r="BD90" s="185"/>
      <c r="BE90" s="194"/>
      <c r="BF90" s="185">
        <v>0.12626000000000001</v>
      </c>
      <c r="BG90" s="185">
        <v>0.25509999999999999</v>
      </c>
      <c r="BH90" s="185">
        <v>5.7239999999999999E-2</v>
      </c>
      <c r="BI90" s="185">
        <v>5.953E-2</v>
      </c>
      <c r="BJ90" s="185">
        <v>0.10549</v>
      </c>
      <c r="BK90" s="185">
        <v>4.0840000000000001E-2</v>
      </c>
      <c r="BL90" s="185">
        <v>9.912E-2</v>
      </c>
      <c r="BM90" s="185">
        <v>2.605E-2</v>
      </c>
      <c r="BN90" s="185">
        <v>0.11291</v>
      </c>
      <c r="BO90" s="185"/>
      <c r="BP90" s="185">
        <v>-1.1180000000000001E-2</v>
      </c>
      <c r="BQ90" s="185"/>
      <c r="BR90" s="194"/>
      <c r="BS90" s="185">
        <v>0</v>
      </c>
      <c r="BT90" s="185">
        <v>-2.6874199999999999</v>
      </c>
      <c r="BU90" s="185">
        <v>-3.0980599999999998</v>
      </c>
      <c r="BV90" s="185">
        <v>-0.23597000000000001</v>
      </c>
      <c r="BW90" s="185">
        <v>-0.55152999999999996</v>
      </c>
      <c r="BX90" s="185">
        <v>-1.9359999999999999E-2</v>
      </c>
      <c r="BY90" s="185">
        <v>0</v>
      </c>
      <c r="BZ90" s="185">
        <v>0</v>
      </c>
      <c r="CA90" s="185">
        <v>0</v>
      </c>
      <c r="CB90" s="185"/>
      <c r="CC90" s="185">
        <v>0</v>
      </c>
      <c r="CD90" s="185"/>
      <c r="CE90" s="194"/>
      <c r="CF90" s="185">
        <v>36.303649999999998</v>
      </c>
      <c r="CG90" s="185">
        <v>36.621549999999999</v>
      </c>
      <c r="CH90" s="185">
        <v>40.786029999999997</v>
      </c>
      <c r="CI90" s="185">
        <v>45.251829999999998</v>
      </c>
      <c r="CJ90" s="185">
        <v>43.959440000000001</v>
      </c>
      <c r="CK90" s="185">
        <v>42.671709999999997</v>
      </c>
      <c r="CL90" s="185">
        <v>43.617440000000002</v>
      </c>
      <c r="CM90" s="185">
        <v>46.295529999999999</v>
      </c>
      <c r="CN90" s="185">
        <v>46.427579999999999</v>
      </c>
      <c r="CO90" s="185"/>
      <c r="CP90" s="185">
        <v>44.28557</v>
      </c>
      <c r="CQ90" s="185"/>
      <c r="CR90" s="194"/>
      <c r="CS90" s="185">
        <v>24.931809999999999</v>
      </c>
      <c r="CT90" s="185">
        <v>24.920169999999999</v>
      </c>
      <c r="CU90" s="185">
        <v>27.840199999999999</v>
      </c>
      <c r="CV90" s="185">
        <v>32.866970000000002</v>
      </c>
      <c r="CW90" s="185">
        <v>30.327680000000001</v>
      </c>
      <c r="CX90" s="185">
        <v>28.619949999999999</v>
      </c>
      <c r="CY90" s="185">
        <v>30.207730000000002</v>
      </c>
      <c r="CZ90" s="185">
        <v>32.686120000000003</v>
      </c>
      <c r="DA90" s="185">
        <v>33.144309999999997</v>
      </c>
      <c r="DB90" s="185"/>
      <c r="DC90" s="185">
        <v>30.661470000000001</v>
      </c>
      <c r="DD90" s="185"/>
      <c r="DE90" s="194"/>
      <c r="DF90" s="187">
        <v>8.2299999999999998E-2</v>
      </c>
      <c r="DG90" s="187">
        <v>8.7300000000000003E-2</v>
      </c>
      <c r="DH90" s="187">
        <v>8.7599999999999997E-2</v>
      </c>
      <c r="DI90" s="187">
        <v>7.7499999999999999E-2</v>
      </c>
      <c r="DJ90" s="187">
        <v>8.1600000000000006E-2</v>
      </c>
      <c r="DK90" s="187">
        <v>8.8099999999999998E-2</v>
      </c>
      <c r="DL90" s="187">
        <v>8.7300000000000003E-2</v>
      </c>
      <c r="DM90" s="187">
        <v>8.8499999999999995E-2</v>
      </c>
      <c r="DN90" s="187">
        <v>8.6499999999999994E-2</v>
      </c>
      <c r="DO90" s="187"/>
      <c r="DP90" s="187">
        <v>8.0199999999999994E-2</v>
      </c>
      <c r="DQ90" s="187"/>
      <c r="DR90" s="195"/>
      <c r="DS90" s="185">
        <v>35575.990149999998</v>
      </c>
      <c r="DT90" s="185">
        <v>34179.29032</v>
      </c>
      <c r="DU90" s="185">
        <v>36715.618280000002</v>
      </c>
      <c r="DV90" s="185">
        <v>38901.06667</v>
      </c>
      <c r="DW90" s="185">
        <v>38590.383329999997</v>
      </c>
      <c r="DX90" s="185">
        <v>38359.348599999998</v>
      </c>
      <c r="DY90" s="185">
        <v>38948.233560000001</v>
      </c>
      <c r="DZ90" s="185">
        <v>40396.655279999999</v>
      </c>
      <c r="EA90" s="185">
        <v>40812.876629999999</v>
      </c>
      <c r="EB90" s="185"/>
      <c r="EC90" s="185">
        <v>40065.661110000001</v>
      </c>
      <c r="ED90" s="185"/>
      <c r="EE90" s="194"/>
      <c r="EF90" s="185">
        <v>0</v>
      </c>
      <c r="EG90" s="185">
        <v>0</v>
      </c>
      <c r="EH90" s="185">
        <v>0</v>
      </c>
      <c r="EI90" s="185">
        <v>0</v>
      </c>
      <c r="EJ90" s="185">
        <v>0</v>
      </c>
      <c r="EK90" s="185">
        <v>0</v>
      </c>
      <c r="EL90" s="185">
        <v>0</v>
      </c>
      <c r="EM90" s="185">
        <v>0</v>
      </c>
      <c r="EN90" s="185">
        <v>0</v>
      </c>
      <c r="EO90" s="185"/>
      <c r="EP90" s="185">
        <v>0</v>
      </c>
      <c r="EQ90" s="185"/>
      <c r="ER90" s="194"/>
      <c r="ES90" s="185">
        <v>674285.44721000001</v>
      </c>
      <c r="ET90" s="185">
        <v>542395.84731999994</v>
      </c>
      <c r="EU90" s="185">
        <v>531935.41885999998</v>
      </c>
      <c r="EV90" s="185">
        <v>709097.29246000003</v>
      </c>
      <c r="EW90" s="185">
        <v>690623.37066999997</v>
      </c>
      <c r="EX90" s="185">
        <v>662062.76554000005</v>
      </c>
      <c r="EY90" s="185">
        <v>634990.58675000002</v>
      </c>
      <c r="EZ90" s="185">
        <v>672844.45418999996</v>
      </c>
      <c r="FA90" s="185">
        <v>633806.23118999996</v>
      </c>
      <c r="FB90" s="185"/>
      <c r="FC90" s="185">
        <v>636496.61508000002</v>
      </c>
      <c r="FD90" s="185"/>
      <c r="FE90" s="194"/>
      <c r="FF90" s="185"/>
      <c r="FG90" s="185"/>
      <c r="FH90" s="185"/>
      <c r="FI90" s="185"/>
      <c r="FJ90" s="185"/>
      <c r="FK90" s="185"/>
      <c r="FL90" s="185"/>
      <c r="FM90" s="185"/>
      <c r="FN90" s="185"/>
      <c r="FO90" s="185"/>
      <c r="FP90" s="185"/>
      <c r="FQ90" s="185"/>
      <c r="FR90" s="194"/>
    </row>
    <row r="91" spans="4:174" s="4" customFormat="1" x14ac:dyDescent="0.25">
      <c r="D91" s="92"/>
      <c r="E91" s="2" t="s">
        <v>176</v>
      </c>
      <c r="F91" s="184">
        <v>5.5221999999999998</v>
      </c>
      <c r="G91" s="185">
        <v>4.4026100000000001</v>
      </c>
      <c r="H91" s="185">
        <v>4.9021999999999997</v>
      </c>
      <c r="I91" s="185">
        <v>9.7701100000000007</v>
      </c>
      <c r="J91" s="185">
        <v>10.06762</v>
      </c>
      <c r="K91" s="185">
        <v>7.3695199999999996</v>
      </c>
      <c r="L91" s="185">
        <v>6.8077800000000002</v>
      </c>
      <c r="M91" s="185">
        <v>7.2215499999999997</v>
      </c>
      <c r="N91" s="185">
        <v>6.8845700000000001</v>
      </c>
      <c r="O91" s="185"/>
      <c r="P91" s="185">
        <v>6.9114800000000001</v>
      </c>
      <c r="Q91" s="185"/>
      <c r="R91" s="194"/>
      <c r="S91" s="185">
        <v>12.8805</v>
      </c>
      <c r="T91" s="185">
        <v>15.898820000000001</v>
      </c>
      <c r="U91" s="185">
        <v>15.01688</v>
      </c>
      <c r="V91" s="185">
        <v>20.023689999999998</v>
      </c>
      <c r="W91" s="185">
        <v>19.698450000000001</v>
      </c>
      <c r="X91" s="185">
        <v>19.297280000000001</v>
      </c>
      <c r="Y91" s="185">
        <v>19.512360000000001</v>
      </c>
      <c r="Z91" s="185">
        <v>19.540710000000001</v>
      </c>
      <c r="AA91" s="185">
        <v>20.033840000000001</v>
      </c>
      <c r="AB91" s="185"/>
      <c r="AC91" s="185">
        <v>19.71416</v>
      </c>
      <c r="AD91" s="185"/>
      <c r="AE91" s="194"/>
      <c r="AF91" s="185">
        <v>1.2460100000000001</v>
      </c>
      <c r="AG91" s="185">
        <v>1.6032900000000001</v>
      </c>
      <c r="AH91" s="185">
        <v>1.75522</v>
      </c>
      <c r="AI91" s="185">
        <v>1.72834</v>
      </c>
      <c r="AJ91" s="185">
        <v>1.75745</v>
      </c>
      <c r="AK91" s="185">
        <v>1.83206</v>
      </c>
      <c r="AL91" s="185">
        <v>1.8206899999999999</v>
      </c>
      <c r="AM91" s="185">
        <v>1.8469500000000001</v>
      </c>
      <c r="AN91" s="185">
        <v>1.7941499999999999</v>
      </c>
      <c r="AO91" s="185"/>
      <c r="AP91" s="185">
        <v>1.62931</v>
      </c>
      <c r="AQ91" s="185"/>
      <c r="AR91" s="194"/>
      <c r="AS91" s="185">
        <v>3.6569999999999998E-2</v>
      </c>
      <c r="AT91" s="185">
        <v>5.0220000000000001E-2</v>
      </c>
      <c r="AU91" s="185">
        <v>5.4089999999999999E-2</v>
      </c>
      <c r="AV91" s="185">
        <v>5.6590000000000001E-2</v>
      </c>
      <c r="AW91" s="185">
        <v>5.6989999999999999E-2</v>
      </c>
      <c r="AX91" s="185">
        <v>5.9389999999999998E-2</v>
      </c>
      <c r="AY91" s="185">
        <v>6.3579999999999998E-2</v>
      </c>
      <c r="AZ91" s="185">
        <v>6.5460000000000004E-2</v>
      </c>
      <c r="BA91" s="185">
        <v>6.132E-2</v>
      </c>
      <c r="BB91" s="185"/>
      <c r="BC91" s="185">
        <v>6.6229999999999997E-2</v>
      </c>
      <c r="BD91" s="185"/>
      <c r="BE91" s="194"/>
      <c r="BF91" s="185">
        <v>4.9140000000000003E-2</v>
      </c>
      <c r="BG91" s="185">
        <v>0.13064000000000001</v>
      </c>
      <c r="BH91" s="185">
        <v>2.8299999999999999E-2</v>
      </c>
      <c r="BI91" s="185">
        <v>2.8400000000000002E-2</v>
      </c>
      <c r="BJ91" s="185">
        <v>4.9099999999999998E-2</v>
      </c>
      <c r="BK91" s="185">
        <v>1.866E-2</v>
      </c>
      <c r="BL91" s="185">
        <v>4.4819999999999999E-2</v>
      </c>
      <c r="BM91" s="185">
        <v>1.086E-2</v>
      </c>
      <c r="BN91" s="185">
        <v>4.7169999999999997E-2</v>
      </c>
      <c r="BO91" s="185"/>
      <c r="BP91" s="185">
        <v>-4.7600000000000003E-3</v>
      </c>
      <c r="BQ91" s="185"/>
      <c r="BR91" s="194"/>
      <c r="BS91" s="185">
        <v>0</v>
      </c>
      <c r="BT91" s="185">
        <v>-0.75632999999999995</v>
      </c>
      <c r="BU91" s="185">
        <v>-1.05118</v>
      </c>
      <c r="BV91" s="185">
        <v>0.56345000000000001</v>
      </c>
      <c r="BW91" s="185">
        <v>-0.16238</v>
      </c>
      <c r="BX91" s="185">
        <v>-9.4999999999999998E-3</v>
      </c>
      <c r="BY91" s="185">
        <v>0</v>
      </c>
      <c r="BZ91" s="185">
        <v>0</v>
      </c>
      <c r="CA91" s="185">
        <v>0</v>
      </c>
      <c r="CB91" s="185"/>
      <c r="CC91" s="185">
        <v>0</v>
      </c>
      <c r="CD91" s="185"/>
      <c r="CE91" s="194"/>
      <c r="CF91" s="185">
        <v>14.21222</v>
      </c>
      <c r="CG91" s="185">
        <v>17.682970000000001</v>
      </c>
      <c r="CH91" s="185">
        <v>16.854500000000002</v>
      </c>
      <c r="CI91" s="185">
        <v>21.837019999999999</v>
      </c>
      <c r="CJ91" s="185">
        <v>21.562000000000001</v>
      </c>
      <c r="CK91" s="185">
        <v>21.20739</v>
      </c>
      <c r="CL91" s="185">
        <v>21.441459999999999</v>
      </c>
      <c r="CM91" s="185">
        <v>21.463989999999999</v>
      </c>
      <c r="CN91" s="185">
        <v>21.93648</v>
      </c>
      <c r="CO91" s="185"/>
      <c r="CP91" s="185">
        <v>21.404949999999999</v>
      </c>
      <c r="CQ91" s="185"/>
      <c r="CR91" s="194"/>
      <c r="CS91" s="185">
        <v>8.6900099999999991</v>
      </c>
      <c r="CT91" s="185">
        <v>12.52403</v>
      </c>
      <c r="CU91" s="185">
        <v>10.901120000000001</v>
      </c>
      <c r="CV91" s="185">
        <v>12.630369999999999</v>
      </c>
      <c r="CW91" s="185">
        <v>11.33201</v>
      </c>
      <c r="CX91" s="185">
        <v>13.82837</v>
      </c>
      <c r="CY91" s="185">
        <v>14.63367</v>
      </c>
      <c r="CZ91" s="185">
        <v>14.24244</v>
      </c>
      <c r="DA91" s="185">
        <v>15.051909999999999</v>
      </c>
      <c r="DB91" s="185"/>
      <c r="DC91" s="185">
        <v>14.493460000000001</v>
      </c>
      <c r="DD91" s="185"/>
      <c r="DE91" s="194"/>
      <c r="DF91" s="187">
        <v>8.77E-2</v>
      </c>
      <c r="DG91" s="187">
        <v>9.0700000000000003E-2</v>
      </c>
      <c r="DH91" s="187">
        <v>0.1041</v>
      </c>
      <c r="DI91" s="187">
        <v>7.9100000000000004E-2</v>
      </c>
      <c r="DJ91" s="187">
        <v>8.1500000000000003E-2</v>
      </c>
      <c r="DK91" s="187">
        <v>8.6400000000000005E-2</v>
      </c>
      <c r="DL91" s="187">
        <v>8.4900000000000003E-2</v>
      </c>
      <c r="DM91" s="187">
        <v>8.5999999999999993E-2</v>
      </c>
      <c r="DN91" s="187">
        <v>8.1799999999999998E-2</v>
      </c>
      <c r="DO91" s="187"/>
      <c r="DP91" s="187">
        <v>7.6100000000000001E-2</v>
      </c>
      <c r="DQ91" s="187"/>
      <c r="DR91" s="195"/>
      <c r="DS91" s="185">
        <v>13844.430909999999</v>
      </c>
      <c r="DT91" s="185">
        <v>17503.49123</v>
      </c>
      <c r="DU91" s="185">
        <v>18154.169880000001</v>
      </c>
      <c r="DV91" s="185">
        <v>18559.796119999999</v>
      </c>
      <c r="DW91" s="185">
        <v>17962.45678</v>
      </c>
      <c r="DX91" s="185">
        <v>17529.48918</v>
      </c>
      <c r="DY91" s="185">
        <v>17610.579659999999</v>
      </c>
      <c r="DZ91" s="185">
        <v>16841.938200000001</v>
      </c>
      <c r="EA91" s="185">
        <v>17050.43981</v>
      </c>
      <c r="EB91" s="185"/>
      <c r="EC91" s="185">
        <v>17050.43981</v>
      </c>
      <c r="ED91" s="185"/>
      <c r="EE91" s="194"/>
      <c r="EF91" s="185">
        <v>0</v>
      </c>
      <c r="EG91" s="185">
        <v>0</v>
      </c>
      <c r="EH91" s="185">
        <v>0</v>
      </c>
      <c r="EI91" s="185">
        <v>0</v>
      </c>
      <c r="EJ91" s="185">
        <v>0</v>
      </c>
      <c r="EK91" s="185">
        <v>0</v>
      </c>
      <c r="EL91" s="185">
        <v>0</v>
      </c>
      <c r="EM91" s="185">
        <v>0</v>
      </c>
      <c r="EN91" s="185">
        <v>0</v>
      </c>
      <c r="EO91" s="185"/>
      <c r="EP91" s="185">
        <v>0</v>
      </c>
      <c r="EQ91" s="185"/>
      <c r="ER91" s="194"/>
      <c r="ES91" s="185">
        <v>245516.85368</v>
      </c>
      <c r="ET91" s="185">
        <v>248123.63013999999</v>
      </c>
      <c r="EU91" s="185">
        <v>257409.47062000001</v>
      </c>
      <c r="EV91" s="185">
        <v>354473.50907999999</v>
      </c>
      <c r="EW91" s="185">
        <v>331795.42314000003</v>
      </c>
      <c r="EX91" s="185">
        <v>321270.87338</v>
      </c>
      <c r="EY91" s="185">
        <v>298434.19757999998</v>
      </c>
      <c r="EZ91" s="185">
        <v>313721.86586000002</v>
      </c>
      <c r="FA91" s="185">
        <v>283313.22315999999</v>
      </c>
      <c r="FB91" s="185"/>
      <c r="FC91" s="185">
        <v>283896.49128000002</v>
      </c>
      <c r="FD91" s="185"/>
      <c r="FE91" s="194"/>
      <c r="FF91" s="185"/>
      <c r="FG91" s="185"/>
      <c r="FH91" s="185"/>
      <c r="FI91" s="185"/>
      <c r="FJ91" s="185"/>
      <c r="FK91" s="185"/>
      <c r="FL91" s="185"/>
      <c r="FM91" s="185"/>
      <c r="FN91" s="185"/>
      <c r="FO91" s="185"/>
      <c r="FP91" s="185"/>
      <c r="FQ91" s="185"/>
      <c r="FR91" s="194"/>
    </row>
    <row r="92" spans="4:174" s="4" customFormat="1" x14ac:dyDescent="0.25">
      <c r="D92" s="92"/>
      <c r="E92" s="2" t="s">
        <v>177</v>
      </c>
      <c r="F92" s="184">
        <v>10.2273</v>
      </c>
      <c r="G92" s="185">
        <v>7.8961399999999999</v>
      </c>
      <c r="H92" s="185">
        <v>8.0986399999999996</v>
      </c>
      <c r="I92" s="185">
        <v>9.5334699999999994</v>
      </c>
      <c r="J92" s="185">
        <v>10.43746</v>
      </c>
      <c r="K92" s="185">
        <v>10.71097</v>
      </c>
      <c r="L92" s="185">
        <v>10.244630000000001</v>
      </c>
      <c r="M92" s="185">
        <v>10.32757</v>
      </c>
      <c r="N92" s="185">
        <v>10.21053</v>
      </c>
      <c r="O92" s="185"/>
      <c r="P92" s="185">
        <v>10.41865</v>
      </c>
      <c r="Q92" s="185"/>
      <c r="R92" s="194"/>
      <c r="S92" s="185">
        <v>28.44782</v>
      </c>
      <c r="T92" s="185">
        <v>28.63749</v>
      </c>
      <c r="U92" s="185">
        <v>29.923439999999999</v>
      </c>
      <c r="V92" s="185">
        <v>32.821260000000002</v>
      </c>
      <c r="W92" s="185">
        <v>31.537109999999998</v>
      </c>
      <c r="X92" s="185">
        <v>30.253609999999998</v>
      </c>
      <c r="Y92" s="185">
        <v>31.068169999999999</v>
      </c>
      <c r="Z92" s="185">
        <v>31.93291</v>
      </c>
      <c r="AA92" s="185">
        <v>32.345500000000001</v>
      </c>
      <c r="AB92" s="185"/>
      <c r="AC92" s="185">
        <v>32.813229999999997</v>
      </c>
      <c r="AD92" s="185"/>
      <c r="AE92" s="194"/>
      <c r="AF92" s="185">
        <v>2.5464199999999999</v>
      </c>
      <c r="AG92" s="185">
        <v>2.8113000000000001</v>
      </c>
      <c r="AH92" s="185">
        <v>2.9405399999999999</v>
      </c>
      <c r="AI92" s="185">
        <v>2.7557</v>
      </c>
      <c r="AJ92" s="185">
        <v>2.7147100000000002</v>
      </c>
      <c r="AK92" s="185">
        <v>2.7603</v>
      </c>
      <c r="AL92" s="185">
        <v>2.7636500000000002</v>
      </c>
      <c r="AM92" s="185">
        <v>2.96637</v>
      </c>
      <c r="AN92" s="185">
        <v>2.9096099999999998</v>
      </c>
      <c r="AO92" s="185"/>
      <c r="AP92" s="185">
        <v>2.5949499999999999</v>
      </c>
      <c r="AQ92" s="185"/>
      <c r="AR92" s="194"/>
      <c r="AS92" s="185">
        <v>7.6420000000000002E-2</v>
      </c>
      <c r="AT92" s="185">
        <v>8.3379999999999996E-2</v>
      </c>
      <c r="AU92" s="185">
        <v>8.7639999999999996E-2</v>
      </c>
      <c r="AV92" s="185">
        <v>9.0700000000000003E-2</v>
      </c>
      <c r="AW92" s="185">
        <v>9.1209999999999999E-2</v>
      </c>
      <c r="AX92" s="185">
        <v>9.4570000000000001E-2</v>
      </c>
      <c r="AY92" s="185">
        <v>0.10050000000000001</v>
      </c>
      <c r="AZ92" s="185">
        <v>0.10959000000000001</v>
      </c>
      <c r="BA92" s="185">
        <v>0.10179000000000001</v>
      </c>
      <c r="BB92" s="185"/>
      <c r="BC92" s="185">
        <v>0.10994</v>
      </c>
      <c r="BD92" s="185"/>
      <c r="BE92" s="194"/>
      <c r="BF92" s="185">
        <v>0.10269</v>
      </c>
      <c r="BG92" s="185">
        <v>0.21690999999999999</v>
      </c>
      <c r="BH92" s="185">
        <v>4.5859999999999998E-2</v>
      </c>
      <c r="BI92" s="185">
        <v>4.5519999999999998E-2</v>
      </c>
      <c r="BJ92" s="185">
        <v>7.8579999999999997E-2</v>
      </c>
      <c r="BK92" s="185">
        <v>2.972E-2</v>
      </c>
      <c r="BL92" s="185">
        <v>7.084E-2</v>
      </c>
      <c r="BM92" s="185">
        <v>1.8180000000000002E-2</v>
      </c>
      <c r="BN92" s="185">
        <v>7.8310000000000005E-2</v>
      </c>
      <c r="BO92" s="185"/>
      <c r="BP92" s="185">
        <v>-7.9000000000000008E-3</v>
      </c>
      <c r="BQ92" s="185"/>
      <c r="BR92" s="194"/>
      <c r="BS92" s="185">
        <v>0</v>
      </c>
      <c r="BT92" s="185">
        <v>-2.2656800000000001</v>
      </c>
      <c r="BU92" s="185">
        <v>-2.8094199999999998</v>
      </c>
      <c r="BV92" s="185">
        <v>-0.65969999999999995</v>
      </c>
      <c r="BW92" s="185">
        <v>-0.50892999999999999</v>
      </c>
      <c r="BX92" s="185">
        <v>-1.521E-2</v>
      </c>
      <c r="BY92" s="185">
        <v>0</v>
      </c>
      <c r="BZ92" s="185">
        <v>0</v>
      </c>
      <c r="CA92" s="185">
        <v>0</v>
      </c>
      <c r="CB92" s="185"/>
      <c r="CC92" s="185">
        <v>0</v>
      </c>
      <c r="CD92" s="185"/>
      <c r="CE92" s="194"/>
      <c r="CF92" s="185">
        <v>31.173349999999999</v>
      </c>
      <c r="CG92" s="185">
        <v>31.74907</v>
      </c>
      <c r="CH92" s="185">
        <v>32.997480000000003</v>
      </c>
      <c r="CI92" s="185">
        <v>35.713169999999998</v>
      </c>
      <c r="CJ92" s="185">
        <v>34.421610000000001</v>
      </c>
      <c r="CK92" s="185">
        <v>33.138199999999998</v>
      </c>
      <c r="CL92" s="185">
        <v>34.003160000000001</v>
      </c>
      <c r="CM92" s="185">
        <v>35.027059999999999</v>
      </c>
      <c r="CN92" s="185">
        <v>35.435209999999998</v>
      </c>
      <c r="CO92" s="185"/>
      <c r="CP92" s="185">
        <v>35.51023</v>
      </c>
      <c r="CQ92" s="185"/>
      <c r="CR92" s="194"/>
      <c r="CS92" s="185">
        <v>20.94605</v>
      </c>
      <c r="CT92" s="185">
        <v>21.587250000000001</v>
      </c>
      <c r="CU92" s="185">
        <v>22.08942</v>
      </c>
      <c r="CV92" s="185">
        <v>25.52</v>
      </c>
      <c r="CW92" s="185">
        <v>23.47522</v>
      </c>
      <c r="CX92" s="185">
        <v>22.412030000000001</v>
      </c>
      <c r="CY92" s="185">
        <v>23.75853</v>
      </c>
      <c r="CZ92" s="185">
        <v>24.699490000000001</v>
      </c>
      <c r="DA92" s="185">
        <v>25.224679999999999</v>
      </c>
      <c r="DB92" s="185"/>
      <c r="DC92" s="185">
        <v>25.09158</v>
      </c>
      <c r="DD92" s="185"/>
      <c r="DE92" s="194"/>
      <c r="DF92" s="187">
        <v>8.1699999999999995E-2</v>
      </c>
      <c r="DG92" s="187">
        <v>8.8499999999999995E-2</v>
      </c>
      <c r="DH92" s="187">
        <v>8.9099999999999999E-2</v>
      </c>
      <c r="DI92" s="187">
        <v>7.7200000000000005E-2</v>
      </c>
      <c r="DJ92" s="187">
        <v>7.8899999999999998E-2</v>
      </c>
      <c r="DK92" s="187">
        <v>8.3299999999999999E-2</v>
      </c>
      <c r="DL92" s="187">
        <v>8.1299999999999997E-2</v>
      </c>
      <c r="DM92" s="187">
        <v>8.4699999999999998E-2</v>
      </c>
      <c r="DN92" s="187">
        <v>8.2100000000000006E-2</v>
      </c>
      <c r="DO92" s="187"/>
      <c r="DP92" s="187">
        <v>7.3099999999999998E-2</v>
      </c>
      <c r="DQ92" s="187"/>
      <c r="DR92" s="195"/>
      <c r="DS92" s="185">
        <v>28933.37585</v>
      </c>
      <c r="DT92" s="185">
        <v>29061.4725</v>
      </c>
      <c r="DU92" s="185">
        <v>29412.96933</v>
      </c>
      <c r="DV92" s="185">
        <v>29746.04033</v>
      </c>
      <c r="DW92" s="185">
        <v>28746.073</v>
      </c>
      <c r="DX92" s="185">
        <v>27914.903249999999</v>
      </c>
      <c r="DY92" s="185">
        <v>27836.260999999999</v>
      </c>
      <c r="DZ92" s="185">
        <v>28198.701840000002</v>
      </c>
      <c r="EA92" s="185">
        <v>28304.782780000001</v>
      </c>
      <c r="EB92" s="185"/>
      <c r="EC92" s="185">
        <v>28304.782780000001</v>
      </c>
      <c r="ED92" s="185"/>
      <c r="EE92" s="194"/>
      <c r="EF92" s="185">
        <v>0</v>
      </c>
      <c r="EG92" s="185">
        <v>0</v>
      </c>
      <c r="EH92" s="185">
        <v>0</v>
      </c>
      <c r="EI92" s="185">
        <v>0</v>
      </c>
      <c r="EJ92" s="185">
        <v>0</v>
      </c>
      <c r="EK92" s="185">
        <v>0</v>
      </c>
      <c r="EL92" s="185">
        <v>0</v>
      </c>
      <c r="EM92" s="185">
        <v>0</v>
      </c>
      <c r="EN92" s="185">
        <v>0</v>
      </c>
      <c r="EO92" s="185"/>
      <c r="EP92" s="185">
        <v>0</v>
      </c>
      <c r="EQ92" s="185"/>
      <c r="ER92" s="194"/>
      <c r="ES92" s="185">
        <v>524584</v>
      </c>
      <c r="ET92" s="185">
        <v>430294.60055999999</v>
      </c>
      <c r="EU92" s="185">
        <v>392452.50375999999</v>
      </c>
      <c r="EV92" s="185">
        <v>467794.78982000001</v>
      </c>
      <c r="EW92" s="185">
        <v>469909.86664000002</v>
      </c>
      <c r="EX92" s="185">
        <v>411163.37829000002</v>
      </c>
      <c r="EY92" s="185">
        <v>400725.43443000002</v>
      </c>
      <c r="EZ92" s="185">
        <v>412259.64236</v>
      </c>
      <c r="FA92" s="185">
        <v>402469.98371</v>
      </c>
      <c r="FB92" s="185"/>
      <c r="FC92" s="185">
        <v>404425.78457000002</v>
      </c>
      <c r="FD92" s="185"/>
      <c r="FE92" s="194"/>
      <c r="FF92" s="185"/>
      <c r="FG92" s="185"/>
      <c r="FH92" s="185"/>
      <c r="FI92" s="185"/>
      <c r="FJ92" s="185"/>
      <c r="FK92" s="185"/>
      <c r="FL92" s="185"/>
      <c r="FM92" s="185"/>
      <c r="FN92" s="185"/>
      <c r="FO92" s="185"/>
      <c r="FP92" s="185"/>
      <c r="FQ92" s="185"/>
      <c r="FR92" s="194"/>
    </row>
    <row r="93" spans="4:174" s="4" customFormat="1" x14ac:dyDescent="0.25">
      <c r="D93" s="92"/>
      <c r="E93" s="2" t="s">
        <v>178</v>
      </c>
      <c r="F93" s="184">
        <v>26.26003</v>
      </c>
      <c r="G93" s="185">
        <v>19.286539999999999</v>
      </c>
      <c r="H93" s="185">
        <v>20.565919999999998</v>
      </c>
      <c r="I93" s="185">
        <v>26.219380000000001</v>
      </c>
      <c r="J93" s="185">
        <v>29.88541</v>
      </c>
      <c r="K93" s="185">
        <v>33.469169999999998</v>
      </c>
      <c r="L93" s="185">
        <v>30.967569999999998</v>
      </c>
      <c r="M93" s="185">
        <v>31.582519999999999</v>
      </c>
      <c r="N93" s="185">
        <v>30.465769999999999</v>
      </c>
      <c r="O93" s="185"/>
      <c r="P93" s="185">
        <v>32.352930000000001</v>
      </c>
      <c r="Q93" s="185"/>
      <c r="R93" s="194"/>
      <c r="S93" s="185">
        <v>58.826999999999998</v>
      </c>
      <c r="T93" s="185">
        <v>60.011290000000002</v>
      </c>
      <c r="U93" s="185">
        <v>62.194319999999998</v>
      </c>
      <c r="V93" s="185">
        <v>73.509789999999995</v>
      </c>
      <c r="W93" s="185">
        <v>74.07996</v>
      </c>
      <c r="X93" s="185">
        <v>71.715810000000005</v>
      </c>
      <c r="Y93" s="185">
        <v>72.651499999999999</v>
      </c>
      <c r="Z93" s="185">
        <v>72.642250000000004</v>
      </c>
      <c r="AA93" s="185">
        <v>74.352249999999998</v>
      </c>
      <c r="AB93" s="185"/>
      <c r="AC93" s="185">
        <v>75.570049999999995</v>
      </c>
      <c r="AD93" s="185"/>
      <c r="AE93" s="194"/>
      <c r="AF93" s="185">
        <v>6.2184200000000001</v>
      </c>
      <c r="AG93" s="185">
        <v>6.7408999999999999</v>
      </c>
      <c r="AH93" s="185">
        <v>7.1363500000000002</v>
      </c>
      <c r="AI93" s="185">
        <v>7.5224099999999998</v>
      </c>
      <c r="AJ93" s="185">
        <v>7.98468</v>
      </c>
      <c r="AK93" s="185">
        <v>8.5325500000000005</v>
      </c>
      <c r="AL93" s="185">
        <v>8.2774900000000002</v>
      </c>
      <c r="AM93" s="185">
        <v>8.6354699999999998</v>
      </c>
      <c r="AN93" s="185">
        <v>8.3840400000000006</v>
      </c>
      <c r="AO93" s="185"/>
      <c r="AP93" s="185">
        <v>8.0442300000000007</v>
      </c>
      <c r="AQ93" s="185"/>
      <c r="AR93" s="194"/>
      <c r="AS93" s="185">
        <v>0.18872</v>
      </c>
      <c r="AT93" s="185">
        <v>0.20629</v>
      </c>
      <c r="AU93" s="185">
        <v>0.21629999999999999</v>
      </c>
      <c r="AV93" s="185">
        <v>0.25445000000000001</v>
      </c>
      <c r="AW93" s="185">
        <v>0.26485999999999998</v>
      </c>
      <c r="AX93" s="185">
        <v>0.29126999999999997</v>
      </c>
      <c r="AY93" s="185">
        <v>0.30009000000000002</v>
      </c>
      <c r="AZ93" s="185">
        <v>0.31941000000000003</v>
      </c>
      <c r="BA93" s="185">
        <v>0.29681999999999997</v>
      </c>
      <c r="BB93" s="185"/>
      <c r="BC93" s="185">
        <v>0.34139999999999998</v>
      </c>
      <c r="BD93" s="185"/>
      <c r="BE93" s="194"/>
      <c r="BF93" s="185">
        <v>0.25358000000000003</v>
      </c>
      <c r="BG93" s="185">
        <v>0.53666000000000003</v>
      </c>
      <c r="BH93" s="185">
        <v>0.11317000000000001</v>
      </c>
      <c r="BI93" s="185">
        <v>0.12770000000000001</v>
      </c>
      <c r="BJ93" s="185">
        <v>0.22819999999999999</v>
      </c>
      <c r="BK93" s="185">
        <v>9.153E-2</v>
      </c>
      <c r="BL93" s="185">
        <v>0.21151</v>
      </c>
      <c r="BM93" s="185">
        <v>5.2990000000000002E-2</v>
      </c>
      <c r="BN93" s="185">
        <v>0.22835</v>
      </c>
      <c r="BO93" s="185"/>
      <c r="BP93" s="185">
        <v>-2.453E-2</v>
      </c>
      <c r="BQ93" s="185"/>
      <c r="BR93" s="194"/>
      <c r="BS93" s="185">
        <v>0</v>
      </c>
      <c r="BT93" s="185">
        <v>-7.6890900000000002</v>
      </c>
      <c r="BU93" s="185">
        <v>-6.9854200000000004</v>
      </c>
      <c r="BV93" s="185">
        <v>-2.9858199999999999</v>
      </c>
      <c r="BW93" s="185">
        <v>-1.43984</v>
      </c>
      <c r="BX93" s="185">
        <v>-3.5740000000000001E-2</v>
      </c>
      <c r="BY93" s="185">
        <v>0</v>
      </c>
      <c r="BZ93" s="185">
        <v>0</v>
      </c>
      <c r="CA93" s="185">
        <v>0</v>
      </c>
      <c r="CB93" s="185"/>
      <c r="CC93" s="185">
        <v>0</v>
      </c>
      <c r="CD93" s="185"/>
      <c r="CE93" s="194"/>
      <c r="CF93" s="185">
        <v>65.487729999999999</v>
      </c>
      <c r="CG93" s="185">
        <v>67.495149999999995</v>
      </c>
      <c r="CH93" s="185">
        <v>69.660139999999998</v>
      </c>
      <c r="CI93" s="185">
        <v>81.414339999999996</v>
      </c>
      <c r="CJ93" s="185">
        <v>82.557699999999997</v>
      </c>
      <c r="CK93" s="185">
        <v>80.631159999999994</v>
      </c>
      <c r="CL93" s="185">
        <v>81.44059</v>
      </c>
      <c r="CM93" s="185">
        <v>81.650130000000004</v>
      </c>
      <c r="CN93" s="185">
        <v>83.26146</v>
      </c>
      <c r="CO93" s="185"/>
      <c r="CP93" s="185">
        <v>83.931150000000002</v>
      </c>
      <c r="CQ93" s="185"/>
      <c r="CR93" s="194"/>
      <c r="CS93" s="185">
        <v>39.227699999999999</v>
      </c>
      <c r="CT93" s="185">
        <v>40.51952</v>
      </c>
      <c r="CU93" s="185">
        <v>42.108800000000002</v>
      </c>
      <c r="CV93" s="185">
        <v>52.209139999999998</v>
      </c>
      <c r="CW93" s="185">
        <v>51.23245</v>
      </c>
      <c r="CX93" s="185">
        <v>47.126249999999999</v>
      </c>
      <c r="CY93" s="185">
        <v>50.473019999999998</v>
      </c>
      <c r="CZ93" s="185">
        <v>50.067610000000002</v>
      </c>
      <c r="DA93" s="185">
        <v>52.795679999999997</v>
      </c>
      <c r="DB93" s="185"/>
      <c r="DC93" s="185">
        <v>51.578220000000002</v>
      </c>
      <c r="DD93" s="185"/>
      <c r="DE93" s="194"/>
      <c r="DF93" s="187">
        <v>9.5000000000000001E-2</v>
      </c>
      <c r="DG93" s="187">
        <v>9.9900000000000003E-2</v>
      </c>
      <c r="DH93" s="187">
        <v>0.1024</v>
      </c>
      <c r="DI93" s="187">
        <v>9.2399999999999996E-2</v>
      </c>
      <c r="DJ93" s="187">
        <v>9.6699999999999994E-2</v>
      </c>
      <c r="DK93" s="187">
        <v>0.10580000000000001</v>
      </c>
      <c r="DL93" s="187">
        <v>0.1016</v>
      </c>
      <c r="DM93" s="187">
        <v>0.10580000000000001</v>
      </c>
      <c r="DN93" s="187">
        <v>0.1007</v>
      </c>
      <c r="DO93" s="187"/>
      <c r="DP93" s="187">
        <v>9.5799999999999996E-2</v>
      </c>
      <c r="DQ93" s="187"/>
      <c r="DR93" s="195"/>
      <c r="DS93" s="185">
        <v>71450.24192</v>
      </c>
      <c r="DT93" s="185">
        <v>71903.336840000004</v>
      </c>
      <c r="DU93" s="185">
        <v>72589.43333</v>
      </c>
      <c r="DV93" s="185">
        <v>83450.884449999998</v>
      </c>
      <c r="DW93" s="185">
        <v>83479.033450000003</v>
      </c>
      <c r="DX93" s="185">
        <v>85974.275949999996</v>
      </c>
      <c r="DY93" s="185">
        <v>83115.714449999999</v>
      </c>
      <c r="DZ93" s="185">
        <v>82184.680319999999</v>
      </c>
      <c r="EA93" s="185">
        <v>82537.277730000002</v>
      </c>
      <c r="EB93" s="185"/>
      <c r="EC93" s="185">
        <v>87893.016669999997</v>
      </c>
      <c r="ED93" s="185"/>
      <c r="EE93" s="194"/>
      <c r="EF93" s="185">
        <v>0</v>
      </c>
      <c r="EG93" s="185">
        <v>0</v>
      </c>
      <c r="EH93" s="185">
        <v>0</v>
      </c>
      <c r="EI93" s="185">
        <v>0</v>
      </c>
      <c r="EJ93" s="185">
        <v>0</v>
      </c>
      <c r="EK93" s="185">
        <v>0</v>
      </c>
      <c r="EL93" s="185">
        <v>0</v>
      </c>
      <c r="EM93" s="185">
        <v>0</v>
      </c>
      <c r="EN93" s="185">
        <v>0</v>
      </c>
      <c r="EO93" s="185"/>
      <c r="EP93" s="185">
        <v>0</v>
      </c>
      <c r="EQ93" s="185"/>
      <c r="ER93" s="194"/>
      <c r="ES93" s="185">
        <v>2478576.3396100001</v>
      </c>
      <c r="ET93" s="185">
        <v>1786677.55443</v>
      </c>
      <c r="EU93" s="185">
        <v>1669427.1241200001</v>
      </c>
      <c r="EV93" s="185">
        <v>2166675.2719000001</v>
      </c>
      <c r="EW93" s="185">
        <v>2388323.60959</v>
      </c>
      <c r="EX93" s="185">
        <v>2407153.80962</v>
      </c>
      <c r="EY93" s="185">
        <v>2229046.5314000002</v>
      </c>
      <c r="EZ93" s="185">
        <v>2312001.3863400002</v>
      </c>
      <c r="FA93" s="185">
        <v>2211961.2735000001</v>
      </c>
      <c r="FB93" s="185"/>
      <c r="FC93" s="185">
        <v>2276367.8024400002</v>
      </c>
      <c r="FD93" s="185"/>
      <c r="FE93" s="194"/>
      <c r="FF93" s="185"/>
      <c r="FG93" s="185"/>
      <c r="FH93" s="185"/>
      <c r="FI93" s="185"/>
      <c r="FJ93" s="185"/>
      <c r="FK93" s="185"/>
      <c r="FL93" s="185"/>
      <c r="FM93" s="185"/>
      <c r="FN93" s="185"/>
      <c r="FO93" s="185"/>
      <c r="FP93" s="185"/>
      <c r="FQ93" s="185"/>
      <c r="FR93" s="194"/>
    </row>
    <row r="94" spans="4:174" s="4" customFormat="1" x14ac:dyDescent="0.25">
      <c r="D94" s="92"/>
      <c r="E94" s="2" t="s">
        <v>179</v>
      </c>
      <c r="F94" s="184">
        <v>23.97626</v>
      </c>
      <c r="G94" s="185">
        <v>17.918949999999999</v>
      </c>
      <c r="H94" s="185">
        <v>18.741160000000001</v>
      </c>
      <c r="I94" s="185">
        <v>23.305499999999999</v>
      </c>
      <c r="J94" s="185">
        <v>26.35979</v>
      </c>
      <c r="K94" s="185">
        <v>30.49372</v>
      </c>
      <c r="L94" s="185">
        <v>28.786719999999999</v>
      </c>
      <c r="M94" s="185">
        <v>29.513349999999999</v>
      </c>
      <c r="N94" s="185">
        <v>28.580819999999999</v>
      </c>
      <c r="O94" s="185"/>
      <c r="P94" s="185">
        <v>30.069130000000001</v>
      </c>
      <c r="Q94" s="185"/>
      <c r="R94" s="194"/>
      <c r="S94" s="185">
        <v>50.905439999999999</v>
      </c>
      <c r="T94" s="185">
        <v>51.619210000000002</v>
      </c>
      <c r="U94" s="185">
        <v>54.42859</v>
      </c>
      <c r="V94" s="185">
        <v>59.367820000000002</v>
      </c>
      <c r="W94" s="185">
        <v>60.418300000000002</v>
      </c>
      <c r="X94" s="185">
        <v>55.575020000000002</v>
      </c>
      <c r="Y94" s="185">
        <v>60.965519999999998</v>
      </c>
      <c r="Z94" s="185">
        <v>65.968389999999999</v>
      </c>
      <c r="AA94" s="185">
        <v>66.810109999999995</v>
      </c>
      <c r="AB94" s="185"/>
      <c r="AC94" s="185">
        <v>67.378039999999999</v>
      </c>
      <c r="AD94" s="185"/>
      <c r="AE94" s="194"/>
      <c r="AF94" s="185">
        <v>5.5122</v>
      </c>
      <c r="AG94" s="185">
        <v>6.0412999999999997</v>
      </c>
      <c r="AH94" s="185">
        <v>6.3554300000000001</v>
      </c>
      <c r="AI94" s="185">
        <v>6.1265299999999998</v>
      </c>
      <c r="AJ94" s="185">
        <v>6.4960300000000002</v>
      </c>
      <c r="AK94" s="185">
        <v>6.9302900000000003</v>
      </c>
      <c r="AL94" s="185">
        <v>7.0689500000000001</v>
      </c>
      <c r="AM94" s="185">
        <v>7.7201399999999998</v>
      </c>
      <c r="AN94" s="185">
        <v>7.4699799999999996</v>
      </c>
      <c r="AO94" s="185"/>
      <c r="AP94" s="185">
        <v>7.0088900000000001</v>
      </c>
      <c r="AQ94" s="185"/>
      <c r="AR94" s="194"/>
      <c r="AS94" s="185">
        <v>0.16517999999999999</v>
      </c>
      <c r="AT94" s="185">
        <v>0.18243999999999999</v>
      </c>
      <c r="AU94" s="185">
        <v>0.19153000000000001</v>
      </c>
      <c r="AV94" s="185">
        <v>0.19772000000000001</v>
      </c>
      <c r="AW94" s="185">
        <v>0.20774999999999999</v>
      </c>
      <c r="AX94" s="185">
        <v>0.22400999999999999</v>
      </c>
      <c r="AY94" s="185">
        <v>0.24701999999999999</v>
      </c>
      <c r="AZ94" s="185">
        <v>0.27999000000000002</v>
      </c>
      <c r="BA94" s="185">
        <v>0.25857999999999998</v>
      </c>
      <c r="BB94" s="185"/>
      <c r="BC94" s="185">
        <v>0.28286</v>
      </c>
      <c r="BD94" s="185"/>
      <c r="BE94" s="194"/>
      <c r="BF94" s="185">
        <v>0.22195000000000001</v>
      </c>
      <c r="BG94" s="185">
        <v>0.47463</v>
      </c>
      <c r="BH94" s="185">
        <v>0.10020999999999999</v>
      </c>
      <c r="BI94" s="185">
        <v>9.9229999999999999E-2</v>
      </c>
      <c r="BJ94" s="185">
        <v>0.17899999999999999</v>
      </c>
      <c r="BK94" s="185">
        <v>7.0400000000000004E-2</v>
      </c>
      <c r="BL94" s="185">
        <v>0.1741</v>
      </c>
      <c r="BM94" s="185">
        <v>4.6449999999999998E-2</v>
      </c>
      <c r="BN94" s="185">
        <v>0.19893</v>
      </c>
      <c r="BO94" s="185"/>
      <c r="BP94" s="185">
        <v>-2.0320000000000001E-2</v>
      </c>
      <c r="BQ94" s="185"/>
      <c r="BR94" s="194"/>
      <c r="BS94" s="185">
        <v>0</v>
      </c>
      <c r="BT94" s="185">
        <v>-6.3552999999999997</v>
      </c>
      <c r="BU94" s="185">
        <v>-7.1466599999999998</v>
      </c>
      <c r="BV94" s="185">
        <v>-1.0884799999999999</v>
      </c>
      <c r="BW94" s="185">
        <v>-0.95643999999999996</v>
      </c>
      <c r="BX94" s="185">
        <v>-2.9149999999999999E-2</v>
      </c>
      <c r="BY94" s="185">
        <v>0</v>
      </c>
      <c r="BZ94" s="185">
        <v>0</v>
      </c>
      <c r="CA94" s="185">
        <v>0</v>
      </c>
      <c r="CB94" s="185"/>
      <c r="CC94" s="185">
        <v>0</v>
      </c>
      <c r="CD94" s="185"/>
      <c r="CE94" s="194"/>
      <c r="CF94" s="185">
        <v>56.804769999999998</v>
      </c>
      <c r="CG94" s="185">
        <v>58.317590000000003</v>
      </c>
      <c r="CH94" s="185">
        <v>61.075760000000002</v>
      </c>
      <c r="CI94" s="185">
        <v>65.791300000000007</v>
      </c>
      <c r="CJ94" s="185">
        <v>67.301079999999999</v>
      </c>
      <c r="CK94" s="185">
        <v>62.799720000000001</v>
      </c>
      <c r="CL94" s="185">
        <v>68.455590000000001</v>
      </c>
      <c r="CM94" s="185">
        <v>74.014970000000005</v>
      </c>
      <c r="CN94" s="185">
        <v>74.737610000000004</v>
      </c>
      <c r="CO94" s="185"/>
      <c r="CP94" s="185">
        <v>74.649479999999997</v>
      </c>
      <c r="CQ94" s="185"/>
      <c r="CR94" s="194"/>
      <c r="CS94" s="185">
        <v>32.828510000000001</v>
      </c>
      <c r="CT94" s="185">
        <v>34.043340000000001</v>
      </c>
      <c r="CU94" s="185">
        <v>35.187939999999998</v>
      </c>
      <c r="CV94" s="185">
        <v>41.397320000000001</v>
      </c>
      <c r="CW94" s="185">
        <v>39.984850000000002</v>
      </c>
      <c r="CX94" s="185">
        <v>32.276850000000003</v>
      </c>
      <c r="CY94" s="185">
        <v>39.668869999999998</v>
      </c>
      <c r="CZ94" s="185">
        <v>44.501620000000003</v>
      </c>
      <c r="DA94" s="185">
        <v>46.156790000000001</v>
      </c>
      <c r="DB94" s="185"/>
      <c r="DC94" s="185">
        <v>44.580350000000003</v>
      </c>
      <c r="DD94" s="185"/>
      <c r="DE94" s="194"/>
      <c r="DF94" s="187">
        <v>9.7000000000000003E-2</v>
      </c>
      <c r="DG94" s="187">
        <v>0.1036</v>
      </c>
      <c r="DH94" s="187">
        <v>0.1041</v>
      </c>
      <c r="DI94" s="187">
        <v>9.3100000000000002E-2</v>
      </c>
      <c r="DJ94" s="187">
        <v>9.6500000000000002E-2</v>
      </c>
      <c r="DK94" s="187">
        <v>0.1104</v>
      </c>
      <c r="DL94" s="187">
        <v>0.1033</v>
      </c>
      <c r="DM94" s="187">
        <v>0.1043</v>
      </c>
      <c r="DN94" s="187">
        <v>9.9900000000000003E-2</v>
      </c>
      <c r="DO94" s="187"/>
      <c r="DP94" s="187">
        <v>9.3899999999999997E-2</v>
      </c>
      <c r="DQ94" s="187"/>
      <c r="DR94" s="195"/>
      <c r="DS94" s="185">
        <v>62537.894899999999</v>
      </c>
      <c r="DT94" s="185">
        <v>63592.096279999998</v>
      </c>
      <c r="DU94" s="185">
        <v>64276.84347</v>
      </c>
      <c r="DV94" s="185">
        <v>64845.528989999999</v>
      </c>
      <c r="DW94" s="185">
        <v>65478.638570000003</v>
      </c>
      <c r="DX94" s="185">
        <v>66122.362200000003</v>
      </c>
      <c r="DY94" s="185">
        <v>68415.289980000001</v>
      </c>
      <c r="DZ94" s="185">
        <v>72040.734240000005</v>
      </c>
      <c r="EA94" s="185">
        <v>71904.417310000004</v>
      </c>
      <c r="EB94" s="185"/>
      <c r="EC94" s="185">
        <v>72822.785040000002</v>
      </c>
      <c r="ED94" s="185"/>
      <c r="EE94" s="194"/>
      <c r="EF94" s="185">
        <v>0</v>
      </c>
      <c r="EG94" s="185">
        <v>0</v>
      </c>
      <c r="EH94" s="185">
        <v>0</v>
      </c>
      <c r="EI94" s="185">
        <v>0</v>
      </c>
      <c r="EJ94" s="185">
        <v>0</v>
      </c>
      <c r="EK94" s="185">
        <v>0</v>
      </c>
      <c r="EL94" s="185">
        <v>0</v>
      </c>
      <c r="EM94" s="185">
        <v>0</v>
      </c>
      <c r="EN94" s="185">
        <v>0</v>
      </c>
      <c r="EO94" s="185"/>
      <c r="EP94" s="185">
        <v>0</v>
      </c>
      <c r="EQ94" s="185"/>
      <c r="ER94" s="194"/>
      <c r="ES94" s="185">
        <v>2620939.8436400001</v>
      </c>
      <c r="ET94" s="185">
        <v>1932726.23331</v>
      </c>
      <c r="EU94" s="185">
        <v>1808370.4425900001</v>
      </c>
      <c r="EV94" s="185">
        <v>2356892.7194400001</v>
      </c>
      <c r="EW94" s="185">
        <v>2550012.0884799999</v>
      </c>
      <c r="EX94" s="185">
        <v>2656820.57076</v>
      </c>
      <c r="EY94" s="185">
        <v>2528346.45731</v>
      </c>
      <c r="EZ94" s="185">
        <v>2645239.2933700001</v>
      </c>
      <c r="FA94" s="185">
        <v>2563784.8015399999</v>
      </c>
      <c r="FB94" s="185"/>
      <c r="FC94" s="185">
        <v>2637888.7709499998</v>
      </c>
      <c r="FD94" s="185"/>
      <c r="FE94" s="194"/>
      <c r="FF94" s="185"/>
      <c r="FG94" s="185"/>
      <c r="FH94" s="185"/>
      <c r="FI94" s="185"/>
      <c r="FJ94" s="185"/>
      <c r="FK94" s="185"/>
      <c r="FL94" s="185"/>
      <c r="FM94" s="185"/>
      <c r="FN94" s="185"/>
      <c r="FO94" s="185"/>
      <c r="FP94" s="185"/>
      <c r="FQ94" s="185"/>
      <c r="FR94" s="194"/>
    </row>
    <row r="95" spans="4:174" s="4" customFormat="1" x14ac:dyDescent="0.25">
      <c r="D95" s="92"/>
      <c r="E95" s="2" t="s">
        <v>180</v>
      </c>
      <c r="F95" s="184">
        <v>8.6216500000000007</v>
      </c>
      <c r="G95" s="185">
        <v>6.1194499999999996</v>
      </c>
      <c r="H95" s="185">
        <v>6.4437699999999998</v>
      </c>
      <c r="I95" s="185">
        <v>7.9630200000000002</v>
      </c>
      <c r="J95" s="185">
        <v>8.6775300000000009</v>
      </c>
      <c r="K95" s="185">
        <v>10.00737</v>
      </c>
      <c r="L95" s="185">
        <v>9.93337</v>
      </c>
      <c r="M95" s="185">
        <v>9.9554600000000004</v>
      </c>
      <c r="N95" s="185">
        <v>10.02107</v>
      </c>
      <c r="O95" s="185"/>
      <c r="P95" s="185">
        <v>10.657500000000001</v>
      </c>
      <c r="Q95" s="185"/>
      <c r="R95" s="194"/>
      <c r="S95" s="185">
        <v>21.02891</v>
      </c>
      <c r="T95" s="185">
        <v>20.961860000000001</v>
      </c>
      <c r="U95" s="185">
        <v>21.859570000000001</v>
      </c>
      <c r="V95" s="185">
        <v>24.256789999999999</v>
      </c>
      <c r="W95" s="185">
        <v>24.178380000000001</v>
      </c>
      <c r="X95" s="185">
        <v>22.567340000000002</v>
      </c>
      <c r="Y95" s="185">
        <v>22.197240000000001</v>
      </c>
      <c r="Z95" s="185">
        <v>24.02854</v>
      </c>
      <c r="AA95" s="185">
        <v>23.861979999999999</v>
      </c>
      <c r="AB95" s="185"/>
      <c r="AC95" s="185">
        <v>21.759360000000001</v>
      </c>
      <c r="AD95" s="185"/>
      <c r="AE95" s="194"/>
      <c r="AF95" s="185">
        <v>2.2189299999999998</v>
      </c>
      <c r="AG95" s="185">
        <v>2.32742</v>
      </c>
      <c r="AH95" s="185">
        <v>2.4535</v>
      </c>
      <c r="AI95" s="185">
        <v>2.3649499999999999</v>
      </c>
      <c r="AJ95" s="185">
        <v>2.42753</v>
      </c>
      <c r="AK95" s="185">
        <v>2.4963000000000002</v>
      </c>
      <c r="AL95" s="185">
        <v>2.5016799999999999</v>
      </c>
      <c r="AM95" s="185">
        <v>2.70797</v>
      </c>
      <c r="AN95" s="185">
        <v>2.5863100000000001</v>
      </c>
      <c r="AO95" s="185"/>
      <c r="AP95" s="185">
        <v>2.4798800000000001</v>
      </c>
      <c r="AQ95" s="185"/>
      <c r="AR95" s="194"/>
      <c r="AS95" s="185">
        <v>7.1720000000000006E-2</v>
      </c>
      <c r="AT95" s="185">
        <v>7.6920000000000002E-2</v>
      </c>
      <c r="AU95" s="185">
        <v>8.022E-2</v>
      </c>
      <c r="AV95" s="185">
        <v>8.523E-2</v>
      </c>
      <c r="AW95" s="185">
        <v>8.5360000000000005E-2</v>
      </c>
      <c r="AX95" s="185">
        <v>8.3970000000000003E-2</v>
      </c>
      <c r="AY95" s="185">
        <v>8.6749999999999994E-2</v>
      </c>
      <c r="AZ95" s="185">
        <v>0.10094</v>
      </c>
      <c r="BA95" s="185">
        <v>8.9359999999999995E-2</v>
      </c>
      <c r="BB95" s="185"/>
      <c r="BC95" s="185">
        <v>0.10002999999999999</v>
      </c>
      <c r="BD95" s="185"/>
      <c r="BE95" s="194"/>
      <c r="BF95" s="185">
        <v>9.6379999999999993E-2</v>
      </c>
      <c r="BG95" s="185">
        <v>0.20011000000000001</v>
      </c>
      <c r="BH95" s="185">
        <v>4.197E-2</v>
      </c>
      <c r="BI95" s="185">
        <v>4.2770000000000002E-2</v>
      </c>
      <c r="BJ95" s="185">
        <v>7.3539999999999994E-2</v>
      </c>
      <c r="BK95" s="185">
        <v>2.639E-2</v>
      </c>
      <c r="BL95" s="185">
        <v>6.1150000000000003E-2</v>
      </c>
      <c r="BM95" s="185">
        <v>1.6750000000000001E-2</v>
      </c>
      <c r="BN95" s="185">
        <v>6.8750000000000006E-2</v>
      </c>
      <c r="BO95" s="185"/>
      <c r="BP95" s="185">
        <v>-7.1900000000000002E-3</v>
      </c>
      <c r="BQ95" s="185"/>
      <c r="BR95" s="194"/>
      <c r="BS95" s="185">
        <v>0</v>
      </c>
      <c r="BT95" s="185">
        <v>-2.6210900000000001</v>
      </c>
      <c r="BU95" s="185">
        <v>-2.4663200000000001</v>
      </c>
      <c r="BV95" s="185">
        <v>-0.43029000000000001</v>
      </c>
      <c r="BW95" s="185">
        <v>-0.38231999999999999</v>
      </c>
      <c r="BX95" s="185">
        <v>-1.166E-2</v>
      </c>
      <c r="BY95" s="185">
        <v>0</v>
      </c>
      <c r="BZ95" s="185">
        <v>0</v>
      </c>
      <c r="CA95" s="185">
        <v>0</v>
      </c>
      <c r="CB95" s="185"/>
      <c r="CC95" s="185">
        <v>0</v>
      </c>
      <c r="CD95" s="185"/>
      <c r="CE95" s="194"/>
      <c r="CF95" s="185">
        <v>23.415939999999999</v>
      </c>
      <c r="CG95" s="185">
        <v>23.566310000000001</v>
      </c>
      <c r="CH95" s="185">
        <v>24.43526</v>
      </c>
      <c r="CI95" s="185">
        <v>26.749739999999999</v>
      </c>
      <c r="CJ95" s="185">
        <v>26.764810000000001</v>
      </c>
      <c r="CK95" s="185">
        <v>25.17399</v>
      </c>
      <c r="CL95" s="185">
        <v>24.846820000000001</v>
      </c>
      <c r="CM95" s="185">
        <v>26.854189999999999</v>
      </c>
      <c r="CN95" s="185">
        <v>26.606400000000001</v>
      </c>
      <c r="CO95" s="185"/>
      <c r="CP95" s="185">
        <v>24.332090000000001</v>
      </c>
      <c r="CQ95" s="185"/>
      <c r="CR95" s="194"/>
      <c r="CS95" s="185">
        <v>14.7943</v>
      </c>
      <c r="CT95" s="185">
        <v>14.82578</v>
      </c>
      <c r="CU95" s="185">
        <v>15.525169999999999</v>
      </c>
      <c r="CV95" s="185">
        <v>18.35643</v>
      </c>
      <c r="CW95" s="185">
        <v>17.70495</v>
      </c>
      <c r="CX95" s="185">
        <v>15.154960000000001</v>
      </c>
      <c r="CY95" s="185">
        <v>14.913449999999999</v>
      </c>
      <c r="CZ95" s="185">
        <v>16.89873</v>
      </c>
      <c r="DA95" s="185">
        <v>16.585329999999999</v>
      </c>
      <c r="DB95" s="185"/>
      <c r="DC95" s="185">
        <v>13.67459</v>
      </c>
      <c r="DD95" s="185"/>
      <c r="DE95" s="194"/>
      <c r="DF95" s="187">
        <v>9.4799999999999995E-2</v>
      </c>
      <c r="DG95" s="187">
        <v>9.8799999999999999E-2</v>
      </c>
      <c r="DH95" s="187">
        <v>0.1004</v>
      </c>
      <c r="DI95" s="187">
        <v>8.8400000000000006E-2</v>
      </c>
      <c r="DJ95" s="187">
        <v>9.0700000000000003E-2</v>
      </c>
      <c r="DK95" s="187">
        <v>9.9199999999999997E-2</v>
      </c>
      <c r="DL95" s="187">
        <v>0.1007</v>
      </c>
      <c r="DM95" s="187">
        <v>0.1008</v>
      </c>
      <c r="DN95" s="187">
        <v>9.7199999999999995E-2</v>
      </c>
      <c r="DO95" s="187"/>
      <c r="DP95" s="187">
        <v>0.1019</v>
      </c>
      <c r="DQ95" s="187"/>
      <c r="DR95" s="195"/>
      <c r="DS95" s="185">
        <v>27155.129099999998</v>
      </c>
      <c r="DT95" s="185">
        <v>26811.65641</v>
      </c>
      <c r="DU95" s="185">
        <v>26922.65583</v>
      </c>
      <c r="DV95" s="185">
        <v>27952.898130000001</v>
      </c>
      <c r="DW95" s="185">
        <v>26902.407370000001</v>
      </c>
      <c r="DX95" s="185">
        <v>24785.336380000001</v>
      </c>
      <c r="DY95" s="185">
        <v>24028.227080000001</v>
      </c>
      <c r="DZ95" s="185">
        <v>25970.960760000002</v>
      </c>
      <c r="EA95" s="185">
        <v>24849.098669999999</v>
      </c>
      <c r="EB95" s="185"/>
      <c r="EC95" s="185">
        <v>25752.527119999999</v>
      </c>
      <c r="ED95" s="185"/>
      <c r="EE95" s="194"/>
      <c r="EF95" s="185">
        <v>0</v>
      </c>
      <c r="EG95" s="185">
        <v>0</v>
      </c>
      <c r="EH95" s="185">
        <v>0</v>
      </c>
      <c r="EI95" s="185">
        <v>0</v>
      </c>
      <c r="EJ95" s="185">
        <v>0</v>
      </c>
      <c r="EK95" s="185">
        <v>0</v>
      </c>
      <c r="EL95" s="185">
        <v>0</v>
      </c>
      <c r="EM95" s="185">
        <v>0</v>
      </c>
      <c r="EN95" s="185">
        <v>0</v>
      </c>
      <c r="EO95" s="185"/>
      <c r="EP95" s="185">
        <v>0</v>
      </c>
      <c r="EQ95" s="185"/>
      <c r="ER95" s="194"/>
      <c r="ES95" s="185">
        <v>760551.57701999997</v>
      </c>
      <c r="ET95" s="185">
        <v>543693.12237999996</v>
      </c>
      <c r="EU95" s="185">
        <v>507963.65639999998</v>
      </c>
      <c r="EV95" s="185">
        <v>651196.18834999995</v>
      </c>
      <c r="EW95" s="185">
        <v>645285.67657999997</v>
      </c>
      <c r="EX95" s="185">
        <v>650778.34802000003</v>
      </c>
      <c r="EY95" s="185">
        <v>629755.60996999999</v>
      </c>
      <c r="EZ95" s="185">
        <v>644960.84557999996</v>
      </c>
      <c r="FA95" s="185">
        <v>659218.73172000004</v>
      </c>
      <c r="FB95" s="185"/>
      <c r="FC95" s="185">
        <v>681414.79093000002</v>
      </c>
      <c r="FD95" s="185"/>
      <c r="FE95" s="194"/>
      <c r="FF95" s="185"/>
      <c r="FG95" s="185"/>
      <c r="FH95" s="185"/>
      <c r="FI95" s="185"/>
      <c r="FJ95" s="185"/>
      <c r="FK95" s="185"/>
      <c r="FL95" s="185"/>
      <c r="FM95" s="185"/>
      <c r="FN95" s="185"/>
      <c r="FO95" s="185"/>
      <c r="FP95" s="185"/>
      <c r="FQ95" s="185"/>
      <c r="FR95" s="194"/>
    </row>
    <row r="96" spans="4:174" s="4" customFormat="1" x14ac:dyDescent="0.25">
      <c r="D96" s="92"/>
      <c r="E96" s="2" t="s">
        <v>181</v>
      </c>
      <c r="F96" s="184">
        <v>0</v>
      </c>
      <c r="G96" s="185">
        <v>0</v>
      </c>
      <c r="H96" s="185">
        <v>0</v>
      </c>
      <c r="I96" s="185">
        <v>0</v>
      </c>
      <c r="J96" s="185">
        <v>0</v>
      </c>
      <c r="K96" s="185">
        <v>0</v>
      </c>
      <c r="L96" s="185">
        <v>0</v>
      </c>
      <c r="M96" s="185">
        <v>0</v>
      </c>
      <c r="N96" s="185">
        <v>0</v>
      </c>
      <c r="O96" s="185"/>
      <c r="P96" s="185">
        <v>0</v>
      </c>
      <c r="Q96" s="185"/>
      <c r="R96" s="194"/>
      <c r="S96" s="185">
        <v>0</v>
      </c>
      <c r="T96" s="185">
        <v>0</v>
      </c>
      <c r="U96" s="185">
        <v>0</v>
      </c>
      <c r="V96" s="185">
        <v>0</v>
      </c>
      <c r="W96" s="185">
        <v>0</v>
      </c>
      <c r="X96" s="185">
        <v>0</v>
      </c>
      <c r="Y96" s="185">
        <v>0</v>
      </c>
      <c r="Z96" s="185">
        <v>0</v>
      </c>
      <c r="AA96" s="185">
        <v>0</v>
      </c>
      <c r="AB96" s="185"/>
      <c r="AC96" s="185">
        <v>0</v>
      </c>
      <c r="AD96" s="185"/>
      <c r="AE96" s="194"/>
      <c r="AF96" s="185">
        <v>0</v>
      </c>
      <c r="AG96" s="185">
        <v>0</v>
      </c>
      <c r="AH96" s="185">
        <v>0</v>
      </c>
      <c r="AI96" s="185">
        <v>0</v>
      </c>
      <c r="AJ96" s="185">
        <v>0</v>
      </c>
      <c r="AK96" s="185">
        <v>0</v>
      </c>
      <c r="AL96" s="185">
        <v>0</v>
      </c>
      <c r="AM96" s="185">
        <v>0</v>
      </c>
      <c r="AN96" s="185">
        <v>0</v>
      </c>
      <c r="AO96" s="185"/>
      <c r="AP96" s="185">
        <v>0</v>
      </c>
      <c r="AQ96" s="185"/>
      <c r="AR96" s="194"/>
      <c r="AS96" s="185">
        <v>0</v>
      </c>
      <c r="AT96" s="185">
        <v>0</v>
      </c>
      <c r="AU96" s="185">
        <v>0</v>
      </c>
      <c r="AV96" s="185">
        <v>0</v>
      </c>
      <c r="AW96" s="185">
        <v>0</v>
      </c>
      <c r="AX96" s="185">
        <v>0</v>
      </c>
      <c r="AY96" s="185">
        <v>0</v>
      </c>
      <c r="AZ96" s="185">
        <v>0</v>
      </c>
      <c r="BA96" s="185">
        <v>0</v>
      </c>
      <c r="BB96" s="185"/>
      <c r="BC96" s="185">
        <v>0</v>
      </c>
      <c r="BD96" s="185"/>
      <c r="BE96" s="194"/>
      <c r="BF96" s="185">
        <v>0</v>
      </c>
      <c r="BG96" s="185">
        <v>0</v>
      </c>
      <c r="BH96" s="185">
        <v>0</v>
      </c>
      <c r="BI96" s="185">
        <v>0</v>
      </c>
      <c r="BJ96" s="185">
        <v>0</v>
      </c>
      <c r="BK96" s="185">
        <v>0</v>
      </c>
      <c r="BL96" s="185">
        <v>0</v>
      </c>
      <c r="BM96" s="185">
        <v>0</v>
      </c>
      <c r="BN96" s="185">
        <v>0</v>
      </c>
      <c r="BO96" s="185"/>
      <c r="BP96" s="185">
        <v>0</v>
      </c>
      <c r="BQ96" s="185"/>
      <c r="BR96" s="194"/>
      <c r="BS96" s="185">
        <v>0</v>
      </c>
      <c r="BT96" s="185">
        <v>0</v>
      </c>
      <c r="BU96" s="185">
        <v>0</v>
      </c>
      <c r="BV96" s="185">
        <v>0</v>
      </c>
      <c r="BW96" s="185">
        <v>0</v>
      </c>
      <c r="BX96" s="185">
        <v>0</v>
      </c>
      <c r="BY96" s="185">
        <v>0</v>
      </c>
      <c r="BZ96" s="185">
        <v>0</v>
      </c>
      <c r="CA96" s="185">
        <v>0</v>
      </c>
      <c r="CB96" s="185"/>
      <c r="CC96" s="185">
        <v>0</v>
      </c>
      <c r="CD96" s="185"/>
      <c r="CE96" s="194"/>
      <c r="CF96" s="185">
        <v>0</v>
      </c>
      <c r="CG96" s="185">
        <v>0</v>
      </c>
      <c r="CH96" s="185">
        <v>0</v>
      </c>
      <c r="CI96" s="185">
        <v>0</v>
      </c>
      <c r="CJ96" s="185">
        <v>0</v>
      </c>
      <c r="CK96" s="185">
        <v>0</v>
      </c>
      <c r="CL96" s="185">
        <v>0</v>
      </c>
      <c r="CM96" s="185">
        <v>0</v>
      </c>
      <c r="CN96" s="185">
        <v>0</v>
      </c>
      <c r="CO96" s="185"/>
      <c r="CP96" s="185">
        <v>0</v>
      </c>
      <c r="CQ96" s="185"/>
      <c r="CR96" s="194"/>
      <c r="CS96" s="185">
        <v>0</v>
      </c>
      <c r="CT96" s="185">
        <v>0</v>
      </c>
      <c r="CU96" s="185">
        <v>0</v>
      </c>
      <c r="CV96" s="185">
        <v>0</v>
      </c>
      <c r="CW96" s="185">
        <v>0</v>
      </c>
      <c r="CX96" s="185">
        <v>0</v>
      </c>
      <c r="CY96" s="185">
        <v>0</v>
      </c>
      <c r="CZ96" s="185">
        <v>0</v>
      </c>
      <c r="DA96" s="185">
        <v>0</v>
      </c>
      <c r="DB96" s="185"/>
      <c r="DC96" s="185">
        <v>0</v>
      </c>
      <c r="DD96" s="185"/>
      <c r="DE96" s="194"/>
      <c r="DF96" s="187">
        <v>0</v>
      </c>
      <c r="DG96" s="187">
        <v>0</v>
      </c>
      <c r="DH96" s="187">
        <v>0</v>
      </c>
      <c r="DI96" s="187">
        <v>0</v>
      </c>
      <c r="DJ96" s="187">
        <v>0</v>
      </c>
      <c r="DK96" s="187">
        <v>0</v>
      </c>
      <c r="DL96" s="187">
        <v>0</v>
      </c>
      <c r="DM96" s="187">
        <v>0</v>
      </c>
      <c r="DN96" s="187">
        <v>0</v>
      </c>
      <c r="DO96" s="187"/>
      <c r="DP96" s="187">
        <v>0</v>
      </c>
      <c r="DQ96" s="187"/>
      <c r="DR96" s="195"/>
      <c r="DS96" s="185">
        <v>0</v>
      </c>
      <c r="DT96" s="185">
        <v>0</v>
      </c>
      <c r="DU96" s="185">
        <v>0</v>
      </c>
      <c r="DV96" s="185">
        <v>0</v>
      </c>
      <c r="DW96" s="185">
        <v>0</v>
      </c>
      <c r="DX96" s="185">
        <v>0</v>
      </c>
      <c r="DY96" s="185">
        <v>0</v>
      </c>
      <c r="DZ96" s="185">
        <v>0</v>
      </c>
      <c r="EA96" s="185">
        <v>0</v>
      </c>
      <c r="EB96" s="185"/>
      <c r="EC96" s="185">
        <v>0</v>
      </c>
      <c r="ED96" s="185"/>
      <c r="EE96" s="194"/>
      <c r="EF96" s="185">
        <v>0</v>
      </c>
      <c r="EG96" s="185">
        <v>0</v>
      </c>
      <c r="EH96" s="185">
        <v>0</v>
      </c>
      <c r="EI96" s="185">
        <v>0</v>
      </c>
      <c r="EJ96" s="185">
        <v>0</v>
      </c>
      <c r="EK96" s="185">
        <v>0</v>
      </c>
      <c r="EL96" s="185">
        <v>0</v>
      </c>
      <c r="EM96" s="185">
        <v>0</v>
      </c>
      <c r="EN96" s="185">
        <v>0</v>
      </c>
      <c r="EO96" s="185"/>
      <c r="EP96" s="185">
        <v>0</v>
      </c>
      <c r="EQ96" s="185"/>
      <c r="ER96" s="194"/>
      <c r="ES96" s="185">
        <v>0</v>
      </c>
      <c r="ET96" s="185">
        <v>0</v>
      </c>
      <c r="EU96" s="185">
        <v>0</v>
      </c>
      <c r="EV96" s="185">
        <v>0</v>
      </c>
      <c r="EW96" s="185">
        <v>0</v>
      </c>
      <c r="EX96" s="185">
        <v>0</v>
      </c>
      <c r="EY96" s="185">
        <v>0</v>
      </c>
      <c r="EZ96" s="185">
        <v>0</v>
      </c>
      <c r="FA96" s="185">
        <v>0</v>
      </c>
      <c r="FB96" s="185"/>
      <c r="FC96" s="185">
        <v>0</v>
      </c>
      <c r="FD96" s="185"/>
      <c r="FE96" s="194"/>
      <c r="FF96" s="185"/>
      <c r="FG96" s="185"/>
      <c r="FH96" s="185"/>
      <c r="FI96" s="185"/>
      <c r="FJ96" s="185"/>
      <c r="FK96" s="185"/>
      <c r="FL96" s="185"/>
      <c r="FM96" s="185"/>
      <c r="FN96" s="185"/>
      <c r="FO96" s="185"/>
      <c r="FP96" s="185"/>
      <c r="FQ96" s="185"/>
      <c r="FR96" s="194"/>
    </row>
    <row r="97" spans="4:174" s="4" customFormat="1" x14ac:dyDescent="0.25">
      <c r="D97" s="92"/>
      <c r="E97" s="2" t="s">
        <v>182</v>
      </c>
      <c r="F97" s="184">
        <v>380.85725000000002</v>
      </c>
      <c r="G97" s="185">
        <v>244.04139000000001</v>
      </c>
      <c r="H97" s="185">
        <v>259.88332000000003</v>
      </c>
      <c r="I97" s="185">
        <v>319.42257999999998</v>
      </c>
      <c r="J97" s="185">
        <v>365.55027999999999</v>
      </c>
      <c r="K97" s="185">
        <v>411.25020000000001</v>
      </c>
      <c r="L97" s="185">
        <v>420.59095000000002</v>
      </c>
      <c r="M97" s="185">
        <v>373.80655999999999</v>
      </c>
      <c r="N97" s="185">
        <v>374.74855000000002</v>
      </c>
      <c r="O97" s="185"/>
      <c r="P97" s="185">
        <v>399.77271000000002</v>
      </c>
      <c r="Q97" s="185"/>
      <c r="R97" s="194"/>
      <c r="S97" s="185">
        <v>562.17457999999999</v>
      </c>
      <c r="T97" s="185">
        <v>535.95881999999995</v>
      </c>
      <c r="U97" s="185">
        <v>544.98964999999998</v>
      </c>
      <c r="V97" s="185">
        <v>595.48379999999997</v>
      </c>
      <c r="W97" s="185">
        <v>611.10861</v>
      </c>
      <c r="X97" s="185">
        <v>591.21999000000005</v>
      </c>
      <c r="Y97" s="185">
        <v>596.57857999999999</v>
      </c>
      <c r="Z97" s="185">
        <v>526.90818999999999</v>
      </c>
      <c r="AA97" s="185">
        <v>537.01585999999998</v>
      </c>
      <c r="AB97" s="185"/>
      <c r="AC97" s="185">
        <v>512.34807000000001</v>
      </c>
      <c r="AD97" s="185"/>
      <c r="AE97" s="194"/>
      <c r="AF97" s="185">
        <v>51.802759999999999</v>
      </c>
      <c r="AG97" s="185">
        <v>55.349870000000003</v>
      </c>
      <c r="AH97" s="185">
        <v>56.963209999999997</v>
      </c>
      <c r="AI97" s="185">
        <v>53.4848</v>
      </c>
      <c r="AJ97" s="185">
        <v>57.973329999999997</v>
      </c>
      <c r="AK97" s="185">
        <v>59.635420000000003</v>
      </c>
      <c r="AL97" s="185">
        <v>65.596760000000003</v>
      </c>
      <c r="AM97" s="185">
        <v>54.738039999999998</v>
      </c>
      <c r="AN97" s="185">
        <v>52.243220000000001</v>
      </c>
      <c r="AO97" s="185"/>
      <c r="AP97" s="185">
        <v>51.128720000000001</v>
      </c>
      <c r="AQ97" s="185"/>
      <c r="AR97" s="194"/>
      <c r="AS97" s="185">
        <v>8.4817099999999996</v>
      </c>
      <c r="AT97" s="185">
        <v>10.186199999999999</v>
      </c>
      <c r="AU97" s="185">
        <v>10.42291</v>
      </c>
      <c r="AV97" s="185">
        <v>11.222530000000001</v>
      </c>
      <c r="AW97" s="185">
        <v>11.796849999999999</v>
      </c>
      <c r="AX97" s="185">
        <v>14.211180000000001</v>
      </c>
      <c r="AY97" s="185">
        <v>11.401579999999999</v>
      </c>
      <c r="AZ97" s="185">
        <v>15.53721</v>
      </c>
      <c r="BA97" s="185">
        <v>15.34064</v>
      </c>
      <c r="BB97" s="185"/>
      <c r="BC97" s="185">
        <v>15.77744</v>
      </c>
      <c r="BD97" s="185"/>
      <c r="BE97" s="194"/>
      <c r="BF97" s="185">
        <v>2.78579</v>
      </c>
      <c r="BG97" s="185">
        <v>5.6420500000000002</v>
      </c>
      <c r="BH97" s="185">
        <v>1.1506400000000001</v>
      </c>
      <c r="BI97" s="185">
        <v>1.13608</v>
      </c>
      <c r="BJ97" s="185">
        <v>2.0402900000000002</v>
      </c>
      <c r="BK97" s="185">
        <v>0.78195000000000003</v>
      </c>
      <c r="BL97" s="185">
        <v>1.8884799999999999</v>
      </c>
      <c r="BM97" s="185">
        <v>0.43224000000000001</v>
      </c>
      <c r="BN97" s="185">
        <v>1.85303</v>
      </c>
      <c r="BO97" s="185"/>
      <c r="BP97" s="185">
        <v>-0.18761</v>
      </c>
      <c r="BQ97" s="185"/>
      <c r="BR97" s="194"/>
      <c r="BS97" s="185">
        <v>0</v>
      </c>
      <c r="BT97" s="185">
        <v>-123.06592999999999</v>
      </c>
      <c r="BU97" s="185">
        <v>-105.1773</v>
      </c>
      <c r="BV97" s="185">
        <v>-23.439309999999999</v>
      </c>
      <c r="BW97" s="185">
        <v>-11.664479999999999</v>
      </c>
      <c r="BX97" s="185">
        <v>-0.29479</v>
      </c>
      <c r="BY97" s="185">
        <v>0</v>
      </c>
      <c r="BZ97" s="185">
        <v>0</v>
      </c>
      <c r="CA97" s="185">
        <v>0</v>
      </c>
      <c r="CB97" s="185"/>
      <c r="CC97" s="185">
        <v>0</v>
      </c>
      <c r="CD97" s="185"/>
      <c r="CE97" s="194"/>
      <c r="CF97" s="185">
        <v>625.24483999999995</v>
      </c>
      <c r="CG97" s="185">
        <v>607.13693999999998</v>
      </c>
      <c r="CH97" s="185">
        <v>613.52639999999997</v>
      </c>
      <c r="CI97" s="185">
        <v>661.32722000000001</v>
      </c>
      <c r="CJ97" s="185">
        <v>682.91908999999998</v>
      </c>
      <c r="CK97" s="185">
        <v>665.84852999999998</v>
      </c>
      <c r="CL97" s="185">
        <v>675.46540000000005</v>
      </c>
      <c r="CM97" s="185">
        <v>597.61567000000002</v>
      </c>
      <c r="CN97" s="185">
        <v>606.45275000000004</v>
      </c>
      <c r="CO97" s="185"/>
      <c r="CP97" s="185">
        <v>579.06661999999994</v>
      </c>
      <c r="CQ97" s="185"/>
      <c r="CR97" s="194"/>
      <c r="CS97" s="185">
        <v>244.38758999999999</v>
      </c>
      <c r="CT97" s="185">
        <v>240.02963</v>
      </c>
      <c r="CU97" s="185">
        <v>248.46578</v>
      </c>
      <c r="CV97" s="185">
        <v>318.46532999999999</v>
      </c>
      <c r="CW97" s="185">
        <v>305.70433000000003</v>
      </c>
      <c r="CX97" s="185">
        <v>254.30354</v>
      </c>
      <c r="CY97" s="185">
        <v>254.87445</v>
      </c>
      <c r="CZ97" s="185">
        <v>223.80911</v>
      </c>
      <c r="DA97" s="185">
        <v>231.70419999999999</v>
      </c>
      <c r="DB97" s="185"/>
      <c r="DC97" s="185">
        <v>179.29391000000001</v>
      </c>
      <c r="DD97" s="185"/>
      <c r="DE97" s="194"/>
      <c r="DF97" s="187">
        <v>8.2900000000000001E-2</v>
      </c>
      <c r="DG97" s="187">
        <v>9.1200000000000003E-2</v>
      </c>
      <c r="DH97" s="187">
        <v>9.2799999999999994E-2</v>
      </c>
      <c r="DI97" s="187">
        <v>8.09E-2</v>
      </c>
      <c r="DJ97" s="187">
        <v>8.4900000000000003E-2</v>
      </c>
      <c r="DK97" s="187">
        <v>8.9599999999999999E-2</v>
      </c>
      <c r="DL97" s="187">
        <v>9.7100000000000006E-2</v>
      </c>
      <c r="DM97" s="187">
        <v>9.1600000000000001E-2</v>
      </c>
      <c r="DN97" s="187">
        <v>8.6099999999999996E-2</v>
      </c>
      <c r="DO97" s="187"/>
      <c r="DP97" s="187">
        <v>8.8300000000000003E-2</v>
      </c>
      <c r="DQ97" s="187"/>
      <c r="DR97" s="195"/>
      <c r="DS97" s="185">
        <v>705216.10641000001</v>
      </c>
      <c r="DT97" s="185">
        <v>676030.58724999998</v>
      </c>
      <c r="DU97" s="185">
        <v>658944.59814000002</v>
      </c>
      <c r="DV97" s="185">
        <v>664530.07966000005</v>
      </c>
      <c r="DW97" s="185">
        <v>668975.07218999998</v>
      </c>
      <c r="DX97" s="185">
        <v>655688.26295</v>
      </c>
      <c r="DY97" s="185">
        <v>657773.60178999999</v>
      </c>
      <c r="DZ97" s="185">
        <v>578885.83091999998</v>
      </c>
      <c r="EA97" s="185">
        <v>579748.15049000003</v>
      </c>
      <c r="EB97" s="185"/>
      <c r="EC97" s="185">
        <v>579370.95591999998</v>
      </c>
      <c r="ED97" s="185"/>
      <c r="EE97" s="194"/>
      <c r="EF97" s="185">
        <v>0</v>
      </c>
      <c r="EG97" s="185">
        <v>0</v>
      </c>
      <c r="EH97" s="185">
        <v>0</v>
      </c>
      <c r="EI97" s="185">
        <v>0</v>
      </c>
      <c r="EJ97" s="185">
        <v>0</v>
      </c>
      <c r="EK97" s="185">
        <v>0</v>
      </c>
      <c r="EL97" s="185">
        <v>0</v>
      </c>
      <c r="EM97" s="185">
        <v>0</v>
      </c>
      <c r="EN97" s="185">
        <v>0</v>
      </c>
      <c r="EO97" s="185"/>
      <c r="EP97" s="185">
        <v>0</v>
      </c>
      <c r="EQ97" s="185"/>
      <c r="ER97" s="194"/>
      <c r="ES97" s="185">
        <v>34097950.700029999</v>
      </c>
      <c r="ET97" s="185">
        <v>20999464.228470001</v>
      </c>
      <c r="EU97" s="185">
        <v>20521182.710820001</v>
      </c>
      <c r="EV97" s="185">
        <v>25955955.830669999</v>
      </c>
      <c r="EW97" s="185">
        <v>27849423.936870001</v>
      </c>
      <c r="EX97" s="185">
        <v>28296683.387159999</v>
      </c>
      <c r="EY97" s="185">
        <v>29387182.656690001</v>
      </c>
      <c r="EZ97" s="185">
        <v>26106001.92368</v>
      </c>
      <c r="FA97" s="185">
        <v>26604561.88766</v>
      </c>
      <c r="FB97" s="185"/>
      <c r="FC97" s="185">
        <v>26932225.231339999</v>
      </c>
      <c r="FD97" s="185"/>
      <c r="FE97" s="194"/>
      <c r="FF97" s="185"/>
      <c r="FG97" s="185"/>
      <c r="FH97" s="185"/>
      <c r="FI97" s="185"/>
      <c r="FJ97" s="185"/>
      <c r="FK97" s="185"/>
      <c r="FL97" s="185"/>
      <c r="FM97" s="185"/>
      <c r="FN97" s="185"/>
      <c r="FO97" s="185"/>
      <c r="FP97" s="185"/>
      <c r="FQ97" s="185"/>
      <c r="FR97" s="194"/>
    </row>
    <row r="98" spans="4:174" s="4" customFormat="1" x14ac:dyDescent="0.25">
      <c r="D98" s="92"/>
      <c r="E98" s="2" t="s">
        <v>183</v>
      </c>
      <c r="F98" s="184">
        <v>125.76531</v>
      </c>
      <c r="G98" s="185">
        <v>90.110169999999997</v>
      </c>
      <c r="H98" s="185">
        <v>99.465450000000004</v>
      </c>
      <c r="I98" s="185">
        <v>113.09564</v>
      </c>
      <c r="J98" s="185">
        <v>125.08728000000001</v>
      </c>
      <c r="K98" s="185">
        <v>137.86919</v>
      </c>
      <c r="L98" s="185">
        <v>137.48894000000001</v>
      </c>
      <c r="M98" s="185">
        <v>144.89658</v>
      </c>
      <c r="N98" s="185">
        <v>137.79478</v>
      </c>
      <c r="O98" s="185"/>
      <c r="P98" s="185">
        <v>140.14923999999999</v>
      </c>
      <c r="Q98" s="185"/>
      <c r="R98" s="194"/>
      <c r="S98" s="185">
        <v>259.17039</v>
      </c>
      <c r="T98" s="185">
        <v>239.23672999999999</v>
      </c>
      <c r="U98" s="185">
        <v>243.79911999999999</v>
      </c>
      <c r="V98" s="185">
        <v>260.69522000000001</v>
      </c>
      <c r="W98" s="185">
        <v>263.41550999999998</v>
      </c>
      <c r="X98" s="185">
        <v>265.45746000000003</v>
      </c>
      <c r="Y98" s="185">
        <v>267.38234999999997</v>
      </c>
      <c r="Z98" s="185">
        <v>274.84320000000002</v>
      </c>
      <c r="AA98" s="185">
        <v>283.00002999999998</v>
      </c>
      <c r="AB98" s="185"/>
      <c r="AC98" s="185">
        <v>281.31380999999999</v>
      </c>
      <c r="AD98" s="185"/>
      <c r="AE98" s="194"/>
      <c r="AF98" s="185">
        <v>27.183319999999998</v>
      </c>
      <c r="AG98" s="185">
        <v>33.073549999999997</v>
      </c>
      <c r="AH98" s="185">
        <v>35.946120000000001</v>
      </c>
      <c r="AI98" s="185">
        <v>31.52514</v>
      </c>
      <c r="AJ98" s="185">
        <v>34.550049999999999</v>
      </c>
      <c r="AK98" s="185">
        <v>37.20626</v>
      </c>
      <c r="AL98" s="185">
        <v>38.171950000000002</v>
      </c>
      <c r="AM98" s="185">
        <v>40.402299999999997</v>
      </c>
      <c r="AN98" s="185">
        <v>39.405160000000002</v>
      </c>
      <c r="AO98" s="185"/>
      <c r="AP98" s="185">
        <v>36.149549999999998</v>
      </c>
      <c r="AQ98" s="185"/>
      <c r="AR98" s="194"/>
      <c r="AS98" s="185">
        <v>1.3598600000000001</v>
      </c>
      <c r="AT98" s="185">
        <v>1.3153600000000001</v>
      </c>
      <c r="AU98" s="185">
        <v>1.4019299999999999</v>
      </c>
      <c r="AV98" s="185">
        <v>1.4703900000000001</v>
      </c>
      <c r="AW98" s="185">
        <v>1.5453300000000001</v>
      </c>
      <c r="AX98" s="185">
        <v>1.6817</v>
      </c>
      <c r="AY98" s="185">
        <v>1.8424700000000001</v>
      </c>
      <c r="AZ98" s="185">
        <v>1.9631400000000001</v>
      </c>
      <c r="BA98" s="185">
        <v>1.86914</v>
      </c>
      <c r="BB98" s="185"/>
      <c r="BC98" s="185">
        <v>1.9917199999999999</v>
      </c>
      <c r="BD98" s="185"/>
      <c r="BE98" s="194"/>
      <c r="BF98" s="185">
        <v>1.8266199999999999</v>
      </c>
      <c r="BG98" s="185">
        <v>3.4207200000000002</v>
      </c>
      <c r="BH98" s="185">
        <v>0.73301000000000005</v>
      </c>
      <c r="BI98" s="185">
        <v>0.73794000000000004</v>
      </c>
      <c r="BJ98" s="185">
        <v>1.3310200000000001</v>
      </c>
      <c r="BK98" s="185">
        <v>0.52832999999999997</v>
      </c>
      <c r="BL98" s="185">
        <v>1.29844</v>
      </c>
      <c r="BM98" s="185">
        <v>0.32566000000000001</v>
      </c>
      <c r="BN98" s="185">
        <v>1.4377500000000001</v>
      </c>
      <c r="BO98" s="185"/>
      <c r="BP98" s="185">
        <v>-0.14305000000000001</v>
      </c>
      <c r="BQ98" s="185"/>
      <c r="BR98" s="194"/>
      <c r="BS98" s="185">
        <v>0</v>
      </c>
      <c r="BT98" s="185">
        <v>-40.803330000000003</v>
      </c>
      <c r="BU98" s="185">
        <v>-30.741029999999999</v>
      </c>
      <c r="BV98" s="185">
        <v>-8.5036799999999992</v>
      </c>
      <c r="BW98" s="185">
        <v>-4.7682700000000002</v>
      </c>
      <c r="BX98" s="185">
        <v>-0.12706999999999999</v>
      </c>
      <c r="BY98" s="185">
        <v>0</v>
      </c>
      <c r="BZ98" s="185">
        <v>0</v>
      </c>
      <c r="CA98" s="185">
        <v>0</v>
      </c>
      <c r="CB98" s="185"/>
      <c r="CC98" s="185">
        <v>0</v>
      </c>
      <c r="CD98" s="185"/>
      <c r="CE98" s="194"/>
      <c r="CF98" s="185">
        <v>289.54019</v>
      </c>
      <c r="CG98" s="185">
        <v>277.04635999999999</v>
      </c>
      <c r="CH98" s="185">
        <v>281.88017000000002</v>
      </c>
      <c r="CI98" s="185">
        <v>294.42869000000002</v>
      </c>
      <c r="CJ98" s="185">
        <v>300.84192000000002</v>
      </c>
      <c r="CK98" s="185">
        <v>304.87374</v>
      </c>
      <c r="CL98" s="185">
        <v>308.69520999999997</v>
      </c>
      <c r="CM98" s="185">
        <v>317.53429999999997</v>
      </c>
      <c r="CN98" s="185">
        <v>325.71208000000001</v>
      </c>
      <c r="CO98" s="185"/>
      <c r="CP98" s="185">
        <v>319.31202000000002</v>
      </c>
      <c r="CQ98" s="185"/>
      <c r="CR98" s="194"/>
      <c r="CS98" s="185">
        <v>163.77488</v>
      </c>
      <c r="CT98" s="185">
        <v>146.13287</v>
      </c>
      <c r="CU98" s="185">
        <v>151.6737</v>
      </c>
      <c r="CV98" s="185">
        <v>172.82937999999999</v>
      </c>
      <c r="CW98" s="185">
        <v>170.98636999999999</v>
      </c>
      <c r="CX98" s="185">
        <v>166.87748999999999</v>
      </c>
      <c r="CY98" s="185">
        <v>171.20626999999999</v>
      </c>
      <c r="CZ98" s="185">
        <v>172.63772</v>
      </c>
      <c r="DA98" s="185">
        <v>187.91730000000001</v>
      </c>
      <c r="DB98" s="185"/>
      <c r="DC98" s="185">
        <v>179.16278</v>
      </c>
      <c r="DD98" s="185"/>
      <c r="DE98" s="194"/>
      <c r="DF98" s="187">
        <v>9.3899999999999997E-2</v>
      </c>
      <c r="DG98" s="187">
        <v>0.11940000000000001</v>
      </c>
      <c r="DH98" s="187">
        <v>0.1275</v>
      </c>
      <c r="DI98" s="187">
        <v>0.1071</v>
      </c>
      <c r="DJ98" s="187">
        <v>0.1148</v>
      </c>
      <c r="DK98" s="187">
        <v>0.122</v>
      </c>
      <c r="DL98" s="187">
        <v>0.1237</v>
      </c>
      <c r="DM98" s="187">
        <v>0.12720000000000001</v>
      </c>
      <c r="DN98" s="187">
        <v>0.121</v>
      </c>
      <c r="DO98" s="187"/>
      <c r="DP98" s="187">
        <v>0.1132</v>
      </c>
      <c r="DQ98" s="187"/>
      <c r="DR98" s="195"/>
      <c r="DS98" s="185">
        <v>367373.36004</v>
      </c>
      <c r="DT98" s="185">
        <v>335204.05810999998</v>
      </c>
      <c r="DU98" s="185">
        <v>338782.83146999998</v>
      </c>
      <c r="DV98" s="185">
        <v>345060.81378000003</v>
      </c>
      <c r="DW98" s="185">
        <v>342353.35746999999</v>
      </c>
      <c r="DX98" s="185">
        <v>341123.60430000001</v>
      </c>
      <c r="DY98" s="185">
        <v>349157.34594000003</v>
      </c>
      <c r="DZ98" s="185">
        <v>363997.87031999999</v>
      </c>
      <c r="EA98" s="185">
        <v>367744.94016</v>
      </c>
      <c r="EB98" s="185"/>
      <c r="EC98" s="185">
        <v>370231.07663000003</v>
      </c>
      <c r="ED98" s="185"/>
      <c r="EE98" s="194"/>
      <c r="EF98" s="185">
        <v>0</v>
      </c>
      <c r="EG98" s="185">
        <v>0</v>
      </c>
      <c r="EH98" s="185">
        <v>0</v>
      </c>
      <c r="EI98" s="185">
        <v>0</v>
      </c>
      <c r="EJ98" s="185">
        <v>0</v>
      </c>
      <c r="EK98" s="185">
        <v>0</v>
      </c>
      <c r="EL98" s="185">
        <v>0</v>
      </c>
      <c r="EM98" s="185">
        <v>0</v>
      </c>
      <c r="EN98" s="185">
        <v>0</v>
      </c>
      <c r="EO98" s="185"/>
      <c r="EP98" s="185">
        <v>0</v>
      </c>
      <c r="EQ98" s="185"/>
      <c r="ER98" s="194"/>
      <c r="ES98" s="185">
        <v>8742573.6499700006</v>
      </c>
      <c r="ET98" s="185">
        <v>6216656.09607</v>
      </c>
      <c r="EU98" s="185">
        <v>6083217.0087700002</v>
      </c>
      <c r="EV98" s="185">
        <v>7486221.0738300001</v>
      </c>
      <c r="EW98" s="185">
        <v>7635954.1017300002</v>
      </c>
      <c r="EX98" s="185">
        <v>7749573.8992699999</v>
      </c>
      <c r="EY98" s="185">
        <v>7488823.5259100003</v>
      </c>
      <c r="EZ98" s="185">
        <v>8113396.4482699996</v>
      </c>
      <c r="FA98" s="185">
        <v>7703316.7289100001</v>
      </c>
      <c r="FB98" s="185"/>
      <c r="FC98" s="185">
        <v>7796469.8499499997</v>
      </c>
      <c r="FD98" s="185"/>
      <c r="FE98" s="194"/>
      <c r="FF98" s="185"/>
      <c r="FG98" s="185"/>
      <c r="FH98" s="185"/>
      <c r="FI98" s="185"/>
      <c r="FJ98" s="185"/>
      <c r="FK98" s="185"/>
      <c r="FL98" s="185"/>
      <c r="FM98" s="185"/>
      <c r="FN98" s="185"/>
      <c r="FO98" s="185"/>
      <c r="FP98" s="185"/>
      <c r="FQ98" s="185"/>
      <c r="FR98" s="194"/>
    </row>
    <row r="99" spans="4:174" s="4" customFormat="1" x14ac:dyDescent="0.25">
      <c r="D99" s="92"/>
      <c r="E99" s="2" t="s">
        <v>184</v>
      </c>
      <c r="F99" s="184">
        <v>9.2162500000000005</v>
      </c>
      <c r="G99" s="185">
        <v>7.2433100000000001</v>
      </c>
      <c r="H99" s="185">
        <v>7.3594400000000002</v>
      </c>
      <c r="I99" s="185">
        <v>8.5615699999999997</v>
      </c>
      <c r="J99" s="185">
        <v>9.3314699999999995</v>
      </c>
      <c r="K99" s="185">
        <v>7.8837000000000002</v>
      </c>
      <c r="L99" s="185">
        <v>7.3887900000000002</v>
      </c>
      <c r="M99" s="185">
        <v>7.6481199999999996</v>
      </c>
      <c r="N99" s="185">
        <v>7.1588599999999998</v>
      </c>
      <c r="O99" s="185"/>
      <c r="P99" s="185">
        <v>7.3522600000000002</v>
      </c>
      <c r="Q99" s="185"/>
      <c r="R99" s="194"/>
      <c r="S99" s="185">
        <v>27.511679999999998</v>
      </c>
      <c r="T99" s="185">
        <v>27.29185</v>
      </c>
      <c r="U99" s="185">
        <v>27.298369999999998</v>
      </c>
      <c r="V99" s="185">
        <v>29.266400000000001</v>
      </c>
      <c r="W99" s="185">
        <v>27.05142</v>
      </c>
      <c r="X99" s="185">
        <v>26.478169999999999</v>
      </c>
      <c r="Y99" s="185">
        <v>26.797519999999999</v>
      </c>
      <c r="Z99" s="185">
        <v>27.256769999999999</v>
      </c>
      <c r="AA99" s="185">
        <v>27.458909999999999</v>
      </c>
      <c r="AB99" s="185"/>
      <c r="AC99" s="185">
        <v>27.98537</v>
      </c>
      <c r="AD99" s="185"/>
      <c r="AE99" s="194"/>
      <c r="AF99" s="185">
        <v>2.9628000000000001</v>
      </c>
      <c r="AG99" s="185">
        <v>3.13707</v>
      </c>
      <c r="AH99" s="185">
        <v>3.15903</v>
      </c>
      <c r="AI99" s="185">
        <v>2.84436</v>
      </c>
      <c r="AJ99" s="185">
        <v>2.7527499999999998</v>
      </c>
      <c r="AK99" s="185">
        <v>2.9532799999999999</v>
      </c>
      <c r="AL99" s="185">
        <v>2.8291599999999999</v>
      </c>
      <c r="AM99" s="185">
        <v>3.0535600000000001</v>
      </c>
      <c r="AN99" s="185">
        <v>2.9967899999999998</v>
      </c>
      <c r="AO99" s="185"/>
      <c r="AP99" s="185">
        <v>2.7126199999999998</v>
      </c>
      <c r="AQ99" s="185"/>
      <c r="AR99" s="194"/>
      <c r="AS99" s="185">
        <v>0.11536</v>
      </c>
      <c r="AT99" s="185">
        <v>0.12105</v>
      </c>
      <c r="AU99" s="185">
        <v>0.12008000000000001</v>
      </c>
      <c r="AV99" s="185">
        <v>0.12241</v>
      </c>
      <c r="AW99" s="185">
        <v>0.12051000000000001</v>
      </c>
      <c r="AX99" s="185">
        <v>0.12963</v>
      </c>
      <c r="AY99" s="185">
        <v>0.13394</v>
      </c>
      <c r="AZ99" s="185">
        <v>0.13819000000000001</v>
      </c>
      <c r="BA99" s="185">
        <v>0.13119</v>
      </c>
      <c r="BB99" s="185"/>
      <c r="BC99" s="185">
        <v>0.14338999999999999</v>
      </c>
      <c r="BD99" s="185"/>
      <c r="BE99" s="194"/>
      <c r="BF99" s="185">
        <v>0.15501000000000001</v>
      </c>
      <c r="BG99" s="185">
        <v>0.31491000000000002</v>
      </c>
      <c r="BH99" s="185">
        <v>6.2829999999999997E-2</v>
      </c>
      <c r="BI99" s="185">
        <v>6.1429999999999998E-2</v>
      </c>
      <c r="BJ99" s="185">
        <v>0.10383000000000001</v>
      </c>
      <c r="BK99" s="185">
        <v>4.0739999999999998E-2</v>
      </c>
      <c r="BL99" s="185">
        <v>9.4399999999999998E-2</v>
      </c>
      <c r="BM99" s="185">
        <v>2.2929999999999999E-2</v>
      </c>
      <c r="BN99" s="185">
        <v>0.10093000000000001</v>
      </c>
      <c r="BO99" s="185"/>
      <c r="BP99" s="185">
        <v>-1.03E-2</v>
      </c>
      <c r="BQ99" s="185"/>
      <c r="BR99" s="194"/>
      <c r="BS99" s="185">
        <v>0</v>
      </c>
      <c r="BT99" s="185">
        <v>-2.2614200000000002</v>
      </c>
      <c r="BU99" s="185">
        <v>-2.3420399999999999</v>
      </c>
      <c r="BV99" s="185">
        <v>-0.46439999999999998</v>
      </c>
      <c r="BW99" s="185">
        <v>-0.41907</v>
      </c>
      <c r="BX99" s="185">
        <v>-1.3050000000000001E-2</v>
      </c>
      <c r="BY99" s="185">
        <v>0</v>
      </c>
      <c r="BZ99" s="185">
        <v>0</v>
      </c>
      <c r="CA99" s="185">
        <v>0</v>
      </c>
      <c r="CB99" s="185"/>
      <c r="CC99" s="185">
        <v>0</v>
      </c>
      <c r="CD99" s="185"/>
      <c r="CE99" s="194"/>
      <c r="CF99" s="185">
        <v>30.74485</v>
      </c>
      <c r="CG99" s="185">
        <v>30.864879999999999</v>
      </c>
      <c r="CH99" s="185">
        <v>30.6403</v>
      </c>
      <c r="CI99" s="185">
        <v>32.294589999999999</v>
      </c>
      <c r="CJ99" s="185">
        <v>30.02852</v>
      </c>
      <c r="CK99" s="185">
        <v>29.60181</v>
      </c>
      <c r="CL99" s="185">
        <v>29.85502</v>
      </c>
      <c r="CM99" s="185">
        <v>30.47146</v>
      </c>
      <c r="CN99" s="185">
        <v>30.687819999999999</v>
      </c>
      <c r="CO99" s="185"/>
      <c r="CP99" s="185">
        <v>30.83108</v>
      </c>
      <c r="CQ99" s="185"/>
      <c r="CR99" s="194"/>
      <c r="CS99" s="185">
        <v>21.528600000000001</v>
      </c>
      <c r="CT99" s="185">
        <v>21.360150000000001</v>
      </c>
      <c r="CU99" s="185">
        <v>20.93882</v>
      </c>
      <c r="CV99" s="185">
        <v>23.268609999999999</v>
      </c>
      <c r="CW99" s="185">
        <v>20.27797</v>
      </c>
      <c r="CX99" s="185">
        <v>21.70506</v>
      </c>
      <c r="CY99" s="185">
        <v>22.466229999999999</v>
      </c>
      <c r="CZ99" s="185">
        <v>22.823329999999999</v>
      </c>
      <c r="DA99" s="185">
        <v>23.528960000000001</v>
      </c>
      <c r="DB99" s="185"/>
      <c r="DC99" s="185">
        <v>23.478819999999999</v>
      </c>
      <c r="DD99" s="185"/>
      <c r="DE99" s="194"/>
      <c r="DF99" s="187">
        <v>9.64E-2</v>
      </c>
      <c r="DG99" s="187">
        <v>0.1016</v>
      </c>
      <c r="DH99" s="187">
        <v>0.1031</v>
      </c>
      <c r="DI99" s="187">
        <v>8.8099999999999998E-2</v>
      </c>
      <c r="DJ99" s="187">
        <v>9.1700000000000004E-2</v>
      </c>
      <c r="DK99" s="187">
        <v>9.98E-2</v>
      </c>
      <c r="DL99" s="187">
        <v>9.4799999999999995E-2</v>
      </c>
      <c r="DM99" s="187">
        <v>0.1002</v>
      </c>
      <c r="DN99" s="187">
        <v>9.7699999999999995E-2</v>
      </c>
      <c r="DO99" s="187"/>
      <c r="DP99" s="187">
        <v>8.7999999999999995E-2</v>
      </c>
      <c r="DQ99" s="187"/>
      <c r="DR99" s="195"/>
      <c r="DS99" s="185">
        <v>37295.683169999997</v>
      </c>
      <c r="DT99" s="185">
        <v>37463.049550000003</v>
      </c>
      <c r="DU99" s="185">
        <v>35812.563840000003</v>
      </c>
      <c r="DV99" s="185">
        <v>35293.269500000002</v>
      </c>
      <c r="DW99" s="185">
        <v>32758.093110000002</v>
      </c>
      <c r="DX99" s="185">
        <v>32383.59505</v>
      </c>
      <c r="DY99" s="185">
        <v>31427.563279999998</v>
      </c>
      <c r="DZ99" s="185">
        <v>31447.023239999999</v>
      </c>
      <c r="EA99" s="185">
        <v>31591.265589999999</v>
      </c>
      <c r="EB99" s="185"/>
      <c r="EC99" s="185">
        <v>34244.765590000003</v>
      </c>
      <c r="ED99" s="185"/>
      <c r="EE99" s="194"/>
      <c r="EF99" s="185">
        <v>0</v>
      </c>
      <c r="EG99" s="185">
        <v>0</v>
      </c>
      <c r="EH99" s="185">
        <v>0</v>
      </c>
      <c r="EI99" s="185">
        <v>0</v>
      </c>
      <c r="EJ99" s="185">
        <v>0</v>
      </c>
      <c r="EK99" s="185">
        <v>0</v>
      </c>
      <c r="EL99" s="185">
        <v>0</v>
      </c>
      <c r="EM99" s="185">
        <v>0</v>
      </c>
      <c r="EN99" s="185">
        <v>0</v>
      </c>
      <c r="EO99" s="185"/>
      <c r="EP99" s="185">
        <v>0</v>
      </c>
      <c r="EQ99" s="185"/>
      <c r="ER99" s="194"/>
      <c r="ES99" s="185">
        <v>694181.30599000002</v>
      </c>
      <c r="ET99" s="185">
        <v>489447.37893000001</v>
      </c>
      <c r="EU99" s="185">
        <v>449986.06261999998</v>
      </c>
      <c r="EV99" s="185">
        <v>566246.09193999995</v>
      </c>
      <c r="EW99" s="185">
        <v>572856.0845</v>
      </c>
      <c r="EX99" s="185">
        <v>569216.31709000003</v>
      </c>
      <c r="EY99" s="185">
        <v>529088.15214999998</v>
      </c>
      <c r="EZ99" s="185">
        <v>562502.79345999996</v>
      </c>
      <c r="FA99" s="185">
        <v>526000.14734000002</v>
      </c>
      <c r="FB99" s="185"/>
      <c r="FC99" s="185">
        <v>528571.12034000002</v>
      </c>
      <c r="FD99" s="185"/>
      <c r="FE99" s="194"/>
      <c r="FF99" s="185"/>
      <c r="FG99" s="185"/>
      <c r="FH99" s="185"/>
      <c r="FI99" s="185"/>
      <c r="FJ99" s="185"/>
      <c r="FK99" s="185"/>
      <c r="FL99" s="185"/>
      <c r="FM99" s="185"/>
      <c r="FN99" s="185"/>
      <c r="FO99" s="185"/>
      <c r="FP99" s="185"/>
      <c r="FQ99" s="185"/>
      <c r="FR99" s="194"/>
    </row>
    <row r="100" spans="4:174" s="4" customFormat="1" x14ac:dyDescent="0.25">
      <c r="D100" s="92"/>
      <c r="E100" s="2" t="s">
        <v>185</v>
      </c>
      <c r="F100" s="184">
        <v>5.6878200000000003</v>
      </c>
      <c r="G100" s="185">
        <v>4.8591800000000003</v>
      </c>
      <c r="H100" s="185">
        <v>5.0016400000000001</v>
      </c>
      <c r="I100" s="185">
        <v>5.7152799999999999</v>
      </c>
      <c r="J100" s="185">
        <v>6.5118499999999999</v>
      </c>
      <c r="K100" s="185">
        <v>6.2352600000000002</v>
      </c>
      <c r="L100" s="185">
        <v>6.0701700000000001</v>
      </c>
      <c r="M100" s="185">
        <v>6.0223699999999996</v>
      </c>
      <c r="N100" s="185">
        <v>5.9397500000000001</v>
      </c>
      <c r="O100" s="185"/>
      <c r="P100" s="185">
        <v>6.0644099999999996</v>
      </c>
      <c r="Q100" s="185"/>
      <c r="R100" s="194"/>
      <c r="S100" s="185">
        <v>17.69434</v>
      </c>
      <c r="T100" s="185">
        <v>18.849019999999999</v>
      </c>
      <c r="U100" s="185">
        <v>19.608809999999998</v>
      </c>
      <c r="V100" s="185">
        <v>21.55067</v>
      </c>
      <c r="W100" s="185">
        <v>22.177029999999998</v>
      </c>
      <c r="X100" s="185">
        <v>18.230889999999999</v>
      </c>
      <c r="Y100" s="185">
        <v>17.616399999999999</v>
      </c>
      <c r="Z100" s="185">
        <v>17.414850000000001</v>
      </c>
      <c r="AA100" s="185">
        <v>17.612939999999998</v>
      </c>
      <c r="AB100" s="185"/>
      <c r="AC100" s="185">
        <v>18.018899999999999</v>
      </c>
      <c r="AD100" s="185"/>
      <c r="AE100" s="194"/>
      <c r="AF100" s="185">
        <v>2.1458200000000001</v>
      </c>
      <c r="AG100" s="185">
        <v>2.4728699999999999</v>
      </c>
      <c r="AH100" s="185">
        <v>2.6173199999999999</v>
      </c>
      <c r="AI100" s="185">
        <v>2.3873899999999999</v>
      </c>
      <c r="AJ100" s="185">
        <v>2.6062699999999999</v>
      </c>
      <c r="AK100" s="185">
        <v>2.5819899999999998</v>
      </c>
      <c r="AL100" s="185">
        <v>2.4685899999999998</v>
      </c>
      <c r="AM100" s="185">
        <v>2.5633400000000002</v>
      </c>
      <c r="AN100" s="185">
        <v>2.5617000000000001</v>
      </c>
      <c r="AO100" s="185"/>
      <c r="AP100" s="185">
        <v>2.2443499999999998</v>
      </c>
      <c r="AQ100" s="185"/>
      <c r="AR100" s="194"/>
      <c r="AS100" s="185">
        <v>8.2519999999999996E-2</v>
      </c>
      <c r="AT100" s="185">
        <v>9.3310000000000004E-2</v>
      </c>
      <c r="AU100" s="185">
        <v>9.7559999999999994E-2</v>
      </c>
      <c r="AV100" s="185">
        <v>0.10191</v>
      </c>
      <c r="AW100" s="185">
        <v>0.1079</v>
      </c>
      <c r="AX100" s="185">
        <v>0.11375</v>
      </c>
      <c r="AY100" s="185">
        <v>0.11668000000000001</v>
      </c>
      <c r="AZ100" s="185">
        <v>0.11867</v>
      </c>
      <c r="BA100" s="185">
        <v>0.11353000000000001</v>
      </c>
      <c r="BB100" s="185"/>
      <c r="BC100" s="185">
        <v>0.11909</v>
      </c>
      <c r="BD100" s="185"/>
      <c r="BE100" s="194"/>
      <c r="BF100" s="185">
        <v>0.11088000000000001</v>
      </c>
      <c r="BG100" s="185">
        <v>0.24276</v>
      </c>
      <c r="BH100" s="185">
        <v>5.1049999999999998E-2</v>
      </c>
      <c r="BI100" s="185">
        <v>5.1139999999999998E-2</v>
      </c>
      <c r="BJ100" s="185">
        <v>9.2969999999999997E-2</v>
      </c>
      <c r="BK100" s="185">
        <v>3.5749999999999997E-2</v>
      </c>
      <c r="BL100" s="185">
        <v>8.2239999999999994E-2</v>
      </c>
      <c r="BM100" s="185">
        <v>1.9689999999999999E-2</v>
      </c>
      <c r="BN100" s="185">
        <v>8.7340000000000001E-2</v>
      </c>
      <c r="BO100" s="185"/>
      <c r="BP100" s="185">
        <v>-8.5599999999999999E-3</v>
      </c>
      <c r="BQ100" s="185"/>
      <c r="BR100" s="194"/>
      <c r="BS100" s="185">
        <v>0</v>
      </c>
      <c r="BT100" s="185">
        <v>-1.0935900000000001</v>
      </c>
      <c r="BU100" s="185">
        <v>-1.9363699999999999</v>
      </c>
      <c r="BV100" s="185">
        <v>-0.57343999999999995</v>
      </c>
      <c r="BW100" s="185">
        <v>-0.37931999999999999</v>
      </c>
      <c r="BX100" s="185">
        <v>-1.0699999999999999E-2</v>
      </c>
      <c r="BY100" s="185">
        <v>0</v>
      </c>
      <c r="BZ100" s="185">
        <v>0</v>
      </c>
      <c r="CA100" s="185">
        <v>0</v>
      </c>
      <c r="CB100" s="185"/>
      <c r="CC100" s="185">
        <v>0</v>
      </c>
      <c r="CD100" s="185"/>
      <c r="CE100" s="194"/>
      <c r="CF100" s="185">
        <v>20.033550000000002</v>
      </c>
      <c r="CG100" s="185">
        <v>21.657959999999999</v>
      </c>
      <c r="CH100" s="185">
        <v>22.374739999999999</v>
      </c>
      <c r="CI100" s="185">
        <v>24.09111</v>
      </c>
      <c r="CJ100" s="185">
        <v>24.984179999999999</v>
      </c>
      <c r="CK100" s="185">
        <v>20.96238</v>
      </c>
      <c r="CL100" s="185">
        <v>20.283909999999999</v>
      </c>
      <c r="CM100" s="185">
        <v>20.11655</v>
      </c>
      <c r="CN100" s="185">
        <v>20.375509999999998</v>
      </c>
      <c r="CO100" s="185"/>
      <c r="CP100" s="185">
        <v>20.37378</v>
      </c>
      <c r="CQ100" s="185"/>
      <c r="CR100" s="194"/>
      <c r="CS100" s="185">
        <v>14.34573</v>
      </c>
      <c r="CT100" s="185">
        <v>15.70519</v>
      </c>
      <c r="CU100" s="185">
        <v>15.436730000000001</v>
      </c>
      <c r="CV100" s="185">
        <v>17.802389999999999</v>
      </c>
      <c r="CW100" s="185">
        <v>18.09301</v>
      </c>
      <c r="CX100" s="185">
        <v>14.716419999999999</v>
      </c>
      <c r="CY100" s="185">
        <v>14.21373</v>
      </c>
      <c r="CZ100" s="185">
        <v>14.09418</v>
      </c>
      <c r="DA100" s="185">
        <v>14.43576</v>
      </c>
      <c r="DB100" s="185"/>
      <c r="DC100" s="185">
        <v>14.309380000000001</v>
      </c>
      <c r="DD100" s="185"/>
      <c r="DE100" s="194"/>
      <c r="DF100" s="187">
        <v>0.1071</v>
      </c>
      <c r="DG100" s="187">
        <v>0.1142</v>
      </c>
      <c r="DH100" s="187">
        <v>0.11700000000000001</v>
      </c>
      <c r="DI100" s="187">
        <v>9.9099999999999994E-2</v>
      </c>
      <c r="DJ100" s="187">
        <v>0.1043</v>
      </c>
      <c r="DK100" s="187">
        <v>0.1232</v>
      </c>
      <c r="DL100" s="187">
        <v>0.1217</v>
      </c>
      <c r="DM100" s="187">
        <v>0.12740000000000001</v>
      </c>
      <c r="DN100" s="187">
        <v>0.12570000000000001</v>
      </c>
      <c r="DO100" s="187"/>
      <c r="DP100" s="187">
        <v>0.11020000000000001</v>
      </c>
      <c r="DQ100" s="187"/>
      <c r="DR100" s="195"/>
      <c r="DS100" s="185">
        <v>26676.489610000001</v>
      </c>
      <c r="DT100" s="185">
        <v>28879.61666</v>
      </c>
      <c r="DU100" s="185">
        <v>29097.758330000001</v>
      </c>
      <c r="DV100" s="185">
        <v>29382.962500000001</v>
      </c>
      <c r="DW100" s="185">
        <v>29330.575000000001</v>
      </c>
      <c r="DX100" s="185">
        <v>28418.118930000001</v>
      </c>
      <c r="DY100" s="185">
        <v>27377.52016</v>
      </c>
      <c r="DZ100" s="185">
        <v>27003.39372</v>
      </c>
      <c r="EA100" s="185">
        <v>27337.25417</v>
      </c>
      <c r="EB100" s="185"/>
      <c r="EC100" s="185">
        <v>27337.25417</v>
      </c>
      <c r="ED100" s="185"/>
      <c r="EE100" s="194"/>
      <c r="EF100" s="185">
        <v>0</v>
      </c>
      <c r="EG100" s="185">
        <v>0</v>
      </c>
      <c r="EH100" s="185">
        <v>0</v>
      </c>
      <c r="EI100" s="185">
        <v>0</v>
      </c>
      <c r="EJ100" s="185">
        <v>0</v>
      </c>
      <c r="EK100" s="185">
        <v>0</v>
      </c>
      <c r="EL100" s="185">
        <v>0</v>
      </c>
      <c r="EM100" s="185">
        <v>0</v>
      </c>
      <c r="EN100" s="185">
        <v>0</v>
      </c>
      <c r="EO100" s="185"/>
      <c r="EP100" s="185">
        <v>0</v>
      </c>
      <c r="EQ100" s="185"/>
      <c r="ER100" s="194"/>
      <c r="ES100" s="185">
        <v>628052.32088000001</v>
      </c>
      <c r="ET100" s="185">
        <v>518789.1961</v>
      </c>
      <c r="EU100" s="185">
        <v>488638.41722</v>
      </c>
      <c r="EV100" s="185">
        <v>595495.57290999999</v>
      </c>
      <c r="EW100" s="185">
        <v>625564.01320000004</v>
      </c>
      <c r="EX100" s="185">
        <v>596055.87607</v>
      </c>
      <c r="EY100" s="185">
        <v>607979.65307999996</v>
      </c>
      <c r="EZ100" s="185">
        <v>608862.32502999995</v>
      </c>
      <c r="FA100" s="185">
        <v>616147.55140999996</v>
      </c>
      <c r="FB100" s="185"/>
      <c r="FC100" s="185">
        <v>619100.65324000001</v>
      </c>
      <c r="FD100" s="185"/>
      <c r="FE100" s="194"/>
      <c r="FF100" s="185"/>
      <c r="FG100" s="185"/>
      <c r="FH100" s="185"/>
      <c r="FI100" s="185"/>
      <c r="FJ100" s="185"/>
      <c r="FK100" s="185"/>
      <c r="FL100" s="185"/>
      <c r="FM100" s="185"/>
      <c r="FN100" s="185"/>
      <c r="FO100" s="185"/>
      <c r="FP100" s="185"/>
      <c r="FQ100" s="185"/>
      <c r="FR100" s="194"/>
    </row>
    <row r="101" spans="4:174" s="4" customFormat="1" x14ac:dyDescent="0.25">
      <c r="D101" s="92"/>
      <c r="E101" s="2" t="s">
        <v>186</v>
      </c>
      <c r="F101" s="184">
        <v>27.003630000000001</v>
      </c>
      <c r="G101" s="185">
        <v>22.48997</v>
      </c>
      <c r="H101" s="185">
        <v>22.98302</v>
      </c>
      <c r="I101" s="185">
        <v>27.724260000000001</v>
      </c>
      <c r="J101" s="185">
        <v>30.777560000000001</v>
      </c>
      <c r="K101" s="185">
        <v>33.824979999999996</v>
      </c>
      <c r="L101" s="185">
        <v>32.71199</v>
      </c>
      <c r="M101" s="185">
        <v>33.08699</v>
      </c>
      <c r="N101" s="185">
        <v>31.74643</v>
      </c>
      <c r="O101" s="185"/>
      <c r="P101" s="185">
        <v>32.839300000000001</v>
      </c>
      <c r="Q101" s="185"/>
      <c r="R101" s="194"/>
      <c r="S101" s="185">
        <v>66.645690000000002</v>
      </c>
      <c r="T101" s="185">
        <v>74.261150000000001</v>
      </c>
      <c r="U101" s="185">
        <v>74.769350000000003</v>
      </c>
      <c r="V101" s="185">
        <v>79.370729999999995</v>
      </c>
      <c r="W101" s="185">
        <v>81.223590000000002</v>
      </c>
      <c r="X101" s="185">
        <v>70.519589999999994</v>
      </c>
      <c r="Y101" s="185">
        <v>74.746390000000005</v>
      </c>
      <c r="Z101" s="185">
        <v>76.891750000000002</v>
      </c>
      <c r="AA101" s="185">
        <v>76.724469999999997</v>
      </c>
      <c r="AB101" s="185"/>
      <c r="AC101" s="185">
        <v>78.310910000000007</v>
      </c>
      <c r="AD101" s="185"/>
      <c r="AE101" s="194"/>
      <c r="AF101" s="185">
        <v>7.6868699999999999</v>
      </c>
      <c r="AG101" s="185">
        <v>8.8970800000000008</v>
      </c>
      <c r="AH101" s="185">
        <v>9.2455200000000008</v>
      </c>
      <c r="AI101" s="185">
        <v>8.5807500000000001</v>
      </c>
      <c r="AJ101" s="185">
        <v>9.2390299999999996</v>
      </c>
      <c r="AK101" s="185">
        <v>9.7785700000000002</v>
      </c>
      <c r="AL101" s="185">
        <v>9.7460599999999999</v>
      </c>
      <c r="AM101" s="185">
        <v>10.20167</v>
      </c>
      <c r="AN101" s="185">
        <v>9.9983199999999997</v>
      </c>
      <c r="AO101" s="185"/>
      <c r="AP101" s="185">
        <v>8.9928100000000004</v>
      </c>
      <c r="AQ101" s="185"/>
      <c r="AR101" s="194"/>
      <c r="AS101" s="185">
        <v>0.26878999999999997</v>
      </c>
      <c r="AT101" s="185">
        <v>0.31435999999999997</v>
      </c>
      <c r="AU101" s="185">
        <v>0.32330999999999999</v>
      </c>
      <c r="AV101" s="185">
        <v>0.33184999999999998</v>
      </c>
      <c r="AW101" s="185">
        <v>0.35197000000000001</v>
      </c>
      <c r="AX101" s="185">
        <v>0.38120999999999999</v>
      </c>
      <c r="AY101" s="185">
        <v>0.40489000000000003</v>
      </c>
      <c r="AZ101" s="185">
        <v>0.42085</v>
      </c>
      <c r="BA101" s="185">
        <v>0.39817999999999998</v>
      </c>
      <c r="BB101" s="185"/>
      <c r="BC101" s="185">
        <v>0.41766999999999999</v>
      </c>
      <c r="BD101" s="185"/>
      <c r="BE101" s="194"/>
      <c r="BF101" s="185">
        <v>0.36116999999999999</v>
      </c>
      <c r="BG101" s="185">
        <v>0.81781000000000004</v>
      </c>
      <c r="BH101" s="185">
        <v>0.16916</v>
      </c>
      <c r="BI101" s="185">
        <v>0.16653999999999999</v>
      </c>
      <c r="BJ101" s="185">
        <v>0.30325999999999997</v>
      </c>
      <c r="BK101" s="185">
        <v>0.1198</v>
      </c>
      <c r="BL101" s="185">
        <v>0.28538000000000002</v>
      </c>
      <c r="BM101" s="185">
        <v>6.9819999999999993E-2</v>
      </c>
      <c r="BN101" s="185">
        <v>0.30631999999999998</v>
      </c>
      <c r="BO101" s="185"/>
      <c r="BP101" s="185">
        <v>-3.0009999999999998E-2</v>
      </c>
      <c r="BQ101" s="185"/>
      <c r="BR101" s="194"/>
      <c r="BS101" s="185">
        <v>0</v>
      </c>
      <c r="BT101" s="185">
        <v>-9.5591399999999993</v>
      </c>
      <c r="BU101" s="185">
        <v>-9.3270900000000001</v>
      </c>
      <c r="BV101" s="185">
        <v>-1.9984900000000001</v>
      </c>
      <c r="BW101" s="185">
        <v>-1.3722799999999999</v>
      </c>
      <c r="BX101" s="185">
        <v>-3.918E-2</v>
      </c>
      <c r="BY101" s="185">
        <v>0</v>
      </c>
      <c r="BZ101" s="185">
        <v>0</v>
      </c>
      <c r="CA101" s="185">
        <v>0</v>
      </c>
      <c r="CB101" s="185"/>
      <c r="CC101" s="185">
        <v>0</v>
      </c>
      <c r="CD101" s="185"/>
      <c r="CE101" s="194"/>
      <c r="CF101" s="185">
        <v>74.962530000000001</v>
      </c>
      <c r="CG101" s="185">
        <v>84.290400000000005</v>
      </c>
      <c r="CH101" s="185">
        <v>84.507350000000002</v>
      </c>
      <c r="CI101" s="185">
        <v>88.449879999999993</v>
      </c>
      <c r="CJ101" s="185">
        <v>91.117850000000004</v>
      </c>
      <c r="CK101" s="185">
        <v>80.799170000000004</v>
      </c>
      <c r="CL101" s="185">
        <v>85.18271</v>
      </c>
      <c r="CM101" s="185">
        <v>87.584090000000003</v>
      </c>
      <c r="CN101" s="185">
        <v>87.427300000000002</v>
      </c>
      <c r="CO101" s="185"/>
      <c r="CP101" s="185">
        <v>87.691389999999998</v>
      </c>
      <c r="CQ101" s="185"/>
      <c r="CR101" s="194"/>
      <c r="CS101" s="185">
        <v>47.9589</v>
      </c>
      <c r="CT101" s="185">
        <v>52.241280000000003</v>
      </c>
      <c r="CU101" s="185">
        <v>52.197229999999998</v>
      </c>
      <c r="CV101" s="185">
        <v>58.727130000000002</v>
      </c>
      <c r="CW101" s="185">
        <v>58.96801</v>
      </c>
      <c r="CX101" s="185">
        <v>46.935009999999998</v>
      </c>
      <c r="CY101" s="185">
        <v>52.47072</v>
      </c>
      <c r="CZ101" s="185">
        <v>54.497100000000003</v>
      </c>
      <c r="DA101" s="185">
        <v>55.680869999999999</v>
      </c>
      <c r="DB101" s="185"/>
      <c r="DC101" s="185">
        <v>54.852080000000001</v>
      </c>
      <c r="DD101" s="185"/>
      <c r="DE101" s="194"/>
      <c r="DF101" s="187">
        <v>0.10249999999999999</v>
      </c>
      <c r="DG101" s="187">
        <v>0.1056</v>
      </c>
      <c r="DH101" s="187">
        <v>0.1094</v>
      </c>
      <c r="DI101" s="187">
        <v>9.7000000000000003E-2</v>
      </c>
      <c r="DJ101" s="187">
        <v>0.1014</v>
      </c>
      <c r="DK101" s="187">
        <v>0.121</v>
      </c>
      <c r="DL101" s="187">
        <v>0.1144</v>
      </c>
      <c r="DM101" s="187">
        <v>0.11650000000000001</v>
      </c>
      <c r="DN101" s="187">
        <v>0.1144</v>
      </c>
      <c r="DO101" s="187"/>
      <c r="DP101" s="187">
        <v>0.1026</v>
      </c>
      <c r="DQ101" s="187"/>
      <c r="DR101" s="195"/>
      <c r="DS101" s="185">
        <v>86897.305259999994</v>
      </c>
      <c r="DT101" s="185">
        <v>97290.288669999994</v>
      </c>
      <c r="DU101" s="185">
        <v>96426.887770000001</v>
      </c>
      <c r="DV101" s="185">
        <v>95682.416219999999</v>
      </c>
      <c r="DW101" s="185">
        <v>95673.571370000005</v>
      </c>
      <c r="DX101" s="185">
        <v>95233.501510000002</v>
      </c>
      <c r="DY101" s="185">
        <v>95004.629360000006</v>
      </c>
      <c r="DZ101" s="185">
        <v>95767.802639999994</v>
      </c>
      <c r="EA101" s="185">
        <v>95880.842000000004</v>
      </c>
      <c r="EB101" s="185"/>
      <c r="EC101" s="185">
        <v>95880.842000000004</v>
      </c>
      <c r="ED101" s="185"/>
      <c r="EE101" s="194"/>
      <c r="EF101" s="185">
        <v>0</v>
      </c>
      <c r="EG101" s="185">
        <v>0</v>
      </c>
      <c r="EH101" s="185">
        <v>0</v>
      </c>
      <c r="EI101" s="185">
        <v>0</v>
      </c>
      <c r="EJ101" s="185">
        <v>0</v>
      </c>
      <c r="EK101" s="185">
        <v>0</v>
      </c>
      <c r="EL101" s="185">
        <v>0</v>
      </c>
      <c r="EM101" s="185">
        <v>0</v>
      </c>
      <c r="EN101" s="185">
        <v>0</v>
      </c>
      <c r="EO101" s="185"/>
      <c r="EP101" s="185">
        <v>0</v>
      </c>
      <c r="EQ101" s="185"/>
      <c r="ER101" s="194"/>
      <c r="ES101" s="185">
        <v>2978204.4479</v>
      </c>
      <c r="ET101" s="185">
        <v>2187431.4206699999</v>
      </c>
      <c r="EU101" s="185">
        <v>2008943.70444</v>
      </c>
      <c r="EV101" s="185">
        <v>2528916.5695099998</v>
      </c>
      <c r="EW101" s="185">
        <v>2720835.52575</v>
      </c>
      <c r="EX101" s="185">
        <v>2683165.84876</v>
      </c>
      <c r="EY101" s="185">
        <v>2615112.5611100001</v>
      </c>
      <c r="EZ101" s="185">
        <v>2699310.4458699999</v>
      </c>
      <c r="FA101" s="185">
        <v>2607128.32755</v>
      </c>
      <c r="FB101" s="185"/>
      <c r="FC101" s="185">
        <v>2621420.8456700002</v>
      </c>
      <c r="FD101" s="185"/>
      <c r="FE101" s="194"/>
      <c r="FF101" s="185"/>
      <c r="FG101" s="185"/>
      <c r="FH101" s="185"/>
      <c r="FI101" s="185"/>
      <c r="FJ101" s="185"/>
      <c r="FK101" s="185"/>
      <c r="FL101" s="185"/>
      <c r="FM101" s="185"/>
      <c r="FN101" s="185"/>
      <c r="FO101" s="185"/>
      <c r="FP101" s="185"/>
      <c r="FQ101" s="185"/>
      <c r="FR101" s="194"/>
    </row>
    <row r="102" spans="4:174" s="4" customFormat="1" x14ac:dyDescent="0.25">
      <c r="D102" s="92"/>
      <c r="E102" s="2" t="s">
        <v>187</v>
      </c>
      <c r="F102" s="184">
        <v>29.3599</v>
      </c>
      <c r="G102" s="185">
        <v>21.455349999999999</v>
      </c>
      <c r="H102" s="185">
        <v>23.212720000000001</v>
      </c>
      <c r="I102" s="185">
        <v>28.975539999999999</v>
      </c>
      <c r="J102" s="185">
        <v>32.550600000000003</v>
      </c>
      <c r="K102" s="185">
        <v>36.019260000000003</v>
      </c>
      <c r="L102" s="185">
        <v>34.979439999999997</v>
      </c>
      <c r="M102" s="185">
        <v>36.280909999999999</v>
      </c>
      <c r="N102" s="185">
        <v>35.1</v>
      </c>
      <c r="O102" s="185"/>
      <c r="P102" s="185">
        <v>36.543210000000002</v>
      </c>
      <c r="Q102" s="185"/>
      <c r="R102" s="194"/>
      <c r="S102" s="185">
        <v>76.800600000000003</v>
      </c>
      <c r="T102" s="185">
        <v>78.971119999999999</v>
      </c>
      <c r="U102" s="185">
        <v>80.897310000000004</v>
      </c>
      <c r="V102" s="185">
        <v>89.147059999999996</v>
      </c>
      <c r="W102" s="185">
        <v>92.837980000000002</v>
      </c>
      <c r="X102" s="185">
        <v>89.286119999999997</v>
      </c>
      <c r="Y102" s="185">
        <v>90.376829999999998</v>
      </c>
      <c r="Z102" s="185">
        <v>93.056359999999998</v>
      </c>
      <c r="AA102" s="185">
        <v>94.452169999999995</v>
      </c>
      <c r="AB102" s="185"/>
      <c r="AC102" s="185">
        <v>96.166229999999999</v>
      </c>
      <c r="AD102" s="185"/>
      <c r="AE102" s="194"/>
      <c r="AF102" s="185">
        <v>8.8291900000000005</v>
      </c>
      <c r="AG102" s="185">
        <v>9.3950800000000001</v>
      </c>
      <c r="AH102" s="185">
        <v>10.00794</v>
      </c>
      <c r="AI102" s="185">
        <v>9.4826700000000006</v>
      </c>
      <c r="AJ102" s="185">
        <v>10.160170000000001</v>
      </c>
      <c r="AK102" s="185">
        <v>10.65591</v>
      </c>
      <c r="AL102" s="185">
        <v>10.558160000000001</v>
      </c>
      <c r="AM102" s="185">
        <v>11.149620000000001</v>
      </c>
      <c r="AN102" s="185">
        <v>10.99905</v>
      </c>
      <c r="AO102" s="185"/>
      <c r="AP102" s="185">
        <v>9.9940899999999999</v>
      </c>
      <c r="AQ102" s="185"/>
      <c r="AR102" s="194"/>
      <c r="AS102" s="185">
        <v>0.31622</v>
      </c>
      <c r="AT102" s="185">
        <v>0.33589999999999998</v>
      </c>
      <c r="AU102" s="185">
        <v>0.34982999999999997</v>
      </c>
      <c r="AV102" s="185">
        <v>0.36432999999999999</v>
      </c>
      <c r="AW102" s="185">
        <v>0.38489000000000001</v>
      </c>
      <c r="AX102" s="185">
        <v>0.40366000000000002</v>
      </c>
      <c r="AY102" s="185">
        <v>0.42596000000000001</v>
      </c>
      <c r="AZ102" s="185">
        <v>0.45345000000000002</v>
      </c>
      <c r="BA102" s="185">
        <v>0.43196000000000001</v>
      </c>
      <c r="BB102" s="185"/>
      <c r="BC102" s="185">
        <v>0.45458999999999999</v>
      </c>
      <c r="BD102" s="185"/>
      <c r="BE102" s="194"/>
      <c r="BF102" s="185">
        <v>0.4249</v>
      </c>
      <c r="BG102" s="185">
        <v>0.87385000000000002</v>
      </c>
      <c r="BH102" s="185">
        <v>0.18304000000000001</v>
      </c>
      <c r="BI102" s="185">
        <v>0.18284</v>
      </c>
      <c r="BJ102" s="185">
        <v>0.33162000000000003</v>
      </c>
      <c r="BK102" s="185">
        <v>0.12684999999999999</v>
      </c>
      <c r="BL102" s="185">
        <v>0.30023</v>
      </c>
      <c r="BM102" s="185">
        <v>7.5230000000000005E-2</v>
      </c>
      <c r="BN102" s="185">
        <v>0.33232</v>
      </c>
      <c r="BO102" s="185"/>
      <c r="BP102" s="185">
        <v>-3.2660000000000002E-2</v>
      </c>
      <c r="BQ102" s="185"/>
      <c r="BR102" s="194"/>
      <c r="BS102" s="185">
        <v>0</v>
      </c>
      <c r="BT102" s="185">
        <v>-8.7231299999999994</v>
      </c>
      <c r="BU102" s="185">
        <v>-8.5122499999999999</v>
      </c>
      <c r="BV102" s="185">
        <v>-0.99265999999999999</v>
      </c>
      <c r="BW102" s="185">
        <v>-1.3622700000000001</v>
      </c>
      <c r="BX102" s="185">
        <v>-4.478E-2</v>
      </c>
      <c r="BY102" s="185">
        <v>0</v>
      </c>
      <c r="BZ102" s="185">
        <v>0</v>
      </c>
      <c r="CA102" s="185">
        <v>0</v>
      </c>
      <c r="CB102" s="185"/>
      <c r="CC102" s="185">
        <v>0</v>
      </c>
      <c r="CD102" s="185"/>
      <c r="CE102" s="194"/>
      <c r="CF102" s="185">
        <v>86.370919999999998</v>
      </c>
      <c r="CG102" s="185">
        <v>89.575950000000006</v>
      </c>
      <c r="CH102" s="185">
        <v>91.438119999999998</v>
      </c>
      <c r="CI102" s="185">
        <v>99.17689</v>
      </c>
      <c r="CJ102" s="185">
        <v>103.71465999999999</v>
      </c>
      <c r="CK102" s="185">
        <v>100.47255</v>
      </c>
      <c r="CL102" s="185">
        <v>101.66117</v>
      </c>
      <c r="CM102" s="185">
        <v>104.73466000000001</v>
      </c>
      <c r="CN102" s="185">
        <v>106.21550000000001</v>
      </c>
      <c r="CO102" s="185"/>
      <c r="CP102" s="185">
        <v>106.58224</v>
      </c>
      <c r="CQ102" s="185"/>
      <c r="CR102" s="194"/>
      <c r="CS102" s="185">
        <v>57.011020000000002</v>
      </c>
      <c r="CT102" s="185">
        <v>59.397480000000002</v>
      </c>
      <c r="CU102" s="185">
        <v>59.713149999999999</v>
      </c>
      <c r="CV102" s="185">
        <v>69.208699999999993</v>
      </c>
      <c r="CW102" s="185">
        <v>69.801789999999997</v>
      </c>
      <c r="CX102" s="185">
        <v>64.408510000000007</v>
      </c>
      <c r="CY102" s="185">
        <v>66.681740000000005</v>
      </c>
      <c r="CZ102" s="185">
        <v>68.453749999999999</v>
      </c>
      <c r="DA102" s="185">
        <v>71.115499999999997</v>
      </c>
      <c r="DB102" s="185"/>
      <c r="DC102" s="185">
        <v>70.039029999999997</v>
      </c>
      <c r="DD102" s="185"/>
      <c r="DE102" s="194"/>
      <c r="DF102" s="187">
        <v>0.1022</v>
      </c>
      <c r="DG102" s="187">
        <v>0.10489999999999999</v>
      </c>
      <c r="DH102" s="187">
        <v>0.1095</v>
      </c>
      <c r="DI102" s="187">
        <v>9.5600000000000004E-2</v>
      </c>
      <c r="DJ102" s="187">
        <v>9.8000000000000004E-2</v>
      </c>
      <c r="DK102" s="187">
        <v>0.1061</v>
      </c>
      <c r="DL102" s="187">
        <v>0.10390000000000001</v>
      </c>
      <c r="DM102" s="187">
        <v>0.1065</v>
      </c>
      <c r="DN102" s="187">
        <v>0.1036</v>
      </c>
      <c r="DO102" s="187"/>
      <c r="DP102" s="187">
        <v>9.3799999999999994E-2</v>
      </c>
      <c r="DQ102" s="187"/>
      <c r="DR102" s="195"/>
      <c r="DS102" s="185">
        <v>102230.52168000001</v>
      </c>
      <c r="DT102" s="185">
        <v>103957.50661</v>
      </c>
      <c r="DU102" s="185">
        <v>104336.61554</v>
      </c>
      <c r="DV102" s="185">
        <v>105046.58464</v>
      </c>
      <c r="DW102" s="185">
        <v>104621.61538</v>
      </c>
      <c r="DX102" s="185">
        <v>100843.59428</v>
      </c>
      <c r="DY102" s="185">
        <v>99948.551760000002</v>
      </c>
      <c r="DZ102" s="185">
        <v>103185.41424</v>
      </c>
      <c r="EA102" s="185">
        <v>104015.98703</v>
      </c>
      <c r="EB102" s="185"/>
      <c r="EC102" s="185">
        <v>104355.18806</v>
      </c>
      <c r="ED102" s="185"/>
      <c r="EE102" s="194"/>
      <c r="EF102" s="185">
        <v>0</v>
      </c>
      <c r="EG102" s="185">
        <v>0</v>
      </c>
      <c r="EH102" s="185">
        <v>0</v>
      </c>
      <c r="EI102" s="185">
        <v>0</v>
      </c>
      <c r="EJ102" s="185">
        <v>0</v>
      </c>
      <c r="EK102" s="185">
        <v>0</v>
      </c>
      <c r="EL102" s="185">
        <v>0</v>
      </c>
      <c r="EM102" s="185">
        <v>0</v>
      </c>
      <c r="EN102" s="185">
        <v>0</v>
      </c>
      <c r="EO102" s="185"/>
      <c r="EP102" s="185">
        <v>0</v>
      </c>
      <c r="EQ102" s="185"/>
      <c r="ER102" s="194"/>
      <c r="ES102" s="185">
        <v>3745195.0318499999</v>
      </c>
      <c r="ET102" s="185">
        <v>2569731.0432899999</v>
      </c>
      <c r="EU102" s="185">
        <v>2462868.0434400002</v>
      </c>
      <c r="EV102" s="185">
        <v>3216944.5914099999</v>
      </c>
      <c r="EW102" s="185">
        <v>3485357.8281700001</v>
      </c>
      <c r="EX102" s="185">
        <v>3482757.3133700001</v>
      </c>
      <c r="EY102" s="185">
        <v>3421861.66983</v>
      </c>
      <c r="EZ102" s="185">
        <v>3632802.0124300001</v>
      </c>
      <c r="FA102" s="185">
        <v>3535177.2700399999</v>
      </c>
      <c r="FB102" s="185"/>
      <c r="FC102" s="185">
        <v>3563772.0733699999</v>
      </c>
      <c r="FD102" s="185"/>
      <c r="FE102" s="194"/>
      <c r="FF102" s="185"/>
      <c r="FG102" s="185"/>
      <c r="FH102" s="185"/>
      <c r="FI102" s="185"/>
      <c r="FJ102" s="185"/>
      <c r="FK102" s="185"/>
      <c r="FL102" s="185"/>
      <c r="FM102" s="185"/>
      <c r="FN102" s="185"/>
      <c r="FO102" s="185"/>
      <c r="FP102" s="185"/>
      <c r="FQ102" s="185"/>
      <c r="FR102" s="194"/>
    </row>
    <row r="103" spans="4:174" s="4" customFormat="1" x14ac:dyDescent="0.25">
      <c r="D103" s="92"/>
      <c r="E103" s="2" t="s">
        <v>188</v>
      </c>
      <c r="F103" s="184">
        <v>1.5326299999999999</v>
      </c>
      <c r="G103" s="185">
        <v>2.2273999999999998</v>
      </c>
      <c r="H103" s="185">
        <v>2.3233100000000002</v>
      </c>
      <c r="I103" s="185">
        <v>2.7859099999999999</v>
      </c>
      <c r="J103" s="185">
        <v>3.0061599999999999</v>
      </c>
      <c r="K103" s="185">
        <v>3.2314799999999999</v>
      </c>
      <c r="L103" s="185">
        <v>3.12737</v>
      </c>
      <c r="M103" s="185">
        <v>3.1191200000000001</v>
      </c>
      <c r="N103" s="185">
        <v>3.0937800000000002</v>
      </c>
      <c r="O103" s="185"/>
      <c r="P103" s="185">
        <v>3.1338200000000001</v>
      </c>
      <c r="Q103" s="185"/>
      <c r="R103" s="194"/>
      <c r="S103" s="185">
        <v>5.0447499999999996</v>
      </c>
      <c r="T103" s="185">
        <v>7.6082200000000002</v>
      </c>
      <c r="U103" s="185">
        <v>7.8182099999999997</v>
      </c>
      <c r="V103" s="185">
        <v>8.5276200000000006</v>
      </c>
      <c r="W103" s="185">
        <v>8.90625</v>
      </c>
      <c r="X103" s="185">
        <v>8.4379100000000005</v>
      </c>
      <c r="Y103" s="185">
        <v>8.6822599999999994</v>
      </c>
      <c r="Z103" s="185">
        <v>8.7132000000000005</v>
      </c>
      <c r="AA103" s="185">
        <v>8.8006799999999998</v>
      </c>
      <c r="AB103" s="185"/>
      <c r="AC103" s="185">
        <v>9.0101999999999993</v>
      </c>
      <c r="AD103" s="185"/>
      <c r="AE103" s="194"/>
      <c r="AF103" s="185">
        <v>0.57450999999999997</v>
      </c>
      <c r="AG103" s="185">
        <v>0.96792</v>
      </c>
      <c r="AH103" s="185">
        <v>1.0271600000000001</v>
      </c>
      <c r="AI103" s="185">
        <v>0.95294000000000001</v>
      </c>
      <c r="AJ103" s="185">
        <v>1.02969</v>
      </c>
      <c r="AK103" s="185">
        <v>1.10249</v>
      </c>
      <c r="AL103" s="185">
        <v>1.08097</v>
      </c>
      <c r="AM103" s="185">
        <v>1.1362000000000001</v>
      </c>
      <c r="AN103" s="185">
        <v>1.1350199999999999</v>
      </c>
      <c r="AO103" s="185"/>
      <c r="AP103" s="185">
        <v>0.98982000000000003</v>
      </c>
      <c r="AQ103" s="185"/>
      <c r="AR103" s="194"/>
      <c r="AS103" s="185">
        <v>2.24E-2</v>
      </c>
      <c r="AT103" s="185">
        <v>3.8219999999999997E-2</v>
      </c>
      <c r="AU103" s="185">
        <v>3.9919999999999997E-2</v>
      </c>
      <c r="AV103" s="185">
        <v>4.2180000000000002E-2</v>
      </c>
      <c r="AW103" s="185">
        <v>4.5150000000000003E-2</v>
      </c>
      <c r="AX103" s="185">
        <v>4.897E-2</v>
      </c>
      <c r="AY103" s="185">
        <v>5.1839999999999997E-2</v>
      </c>
      <c r="AZ103" s="185">
        <v>5.3089999999999998E-2</v>
      </c>
      <c r="BA103" s="185">
        <v>5.0680000000000003E-2</v>
      </c>
      <c r="BB103" s="185"/>
      <c r="BC103" s="185">
        <v>5.3159999999999999E-2</v>
      </c>
      <c r="BD103" s="185"/>
      <c r="BE103" s="194"/>
      <c r="BF103" s="185">
        <v>3.0089999999999999E-2</v>
      </c>
      <c r="BG103" s="185">
        <v>9.9419999999999994E-2</v>
      </c>
      <c r="BH103" s="185">
        <v>2.0889999999999999E-2</v>
      </c>
      <c r="BI103" s="185">
        <v>2.1170000000000001E-2</v>
      </c>
      <c r="BJ103" s="185">
        <v>3.8899999999999997E-2</v>
      </c>
      <c r="BK103" s="185">
        <v>1.5389999999999999E-2</v>
      </c>
      <c r="BL103" s="185">
        <v>3.6540000000000003E-2</v>
      </c>
      <c r="BM103" s="185">
        <v>8.8100000000000001E-3</v>
      </c>
      <c r="BN103" s="185">
        <v>3.8989999999999997E-2</v>
      </c>
      <c r="BO103" s="185"/>
      <c r="BP103" s="185">
        <v>-3.82E-3</v>
      </c>
      <c r="BQ103" s="185"/>
      <c r="BR103" s="194"/>
      <c r="BS103" s="185">
        <v>0</v>
      </c>
      <c r="BT103" s="185">
        <v>-0.87771999999999994</v>
      </c>
      <c r="BU103" s="185">
        <v>-0.72960999999999998</v>
      </c>
      <c r="BV103" s="185">
        <v>-0.12411999999999999</v>
      </c>
      <c r="BW103" s="185">
        <v>-0.13456000000000001</v>
      </c>
      <c r="BX103" s="185">
        <v>-4.3E-3</v>
      </c>
      <c r="BY103" s="185">
        <v>0</v>
      </c>
      <c r="BZ103" s="185">
        <v>0</v>
      </c>
      <c r="CA103" s="185">
        <v>0</v>
      </c>
      <c r="CB103" s="185"/>
      <c r="CC103" s="185">
        <v>0</v>
      </c>
      <c r="CD103" s="185"/>
      <c r="CE103" s="194"/>
      <c r="CF103" s="185">
        <v>5.6717500000000003</v>
      </c>
      <c r="CG103" s="185">
        <v>8.7137799999999999</v>
      </c>
      <c r="CH103" s="185">
        <v>8.9061699999999995</v>
      </c>
      <c r="CI103" s="185">
        <v>9.5439100000000003</v>
      </c>
      <c r="CJ103" s="185">
        <v>10.01998</v>
      </c>
      <c r="CK103" s="185">
        <v>9.6047600000000006</v>
      </c>
      <c r="CL103" s="185">
        <v>9.8515999999999995</v>
      </c>
      <c r="CM103" s="185">
        <v>9.9113000000000007</v>
      </c>
      <c r="CN103" s="185">
        <v>10.025370000000001</v>
      </c>
      <c r="CO103" s="185"/>
      <c r="CP103" s="185">
        <v>10.04936</v>
      </c>
      <c r="CQ103" s="185"/>
      <c r="CR103" s="194"/>
      <c r="CS103" s="185">
        <v>4.1391200000000001</v>
      </c>
      <c r="CT103" s="185">
        <v>5.60867</v>
      </c>
      <c r="CU103" s="185">
        <v>5.8532500000000001</v>
      </c>
      <c r="CV103" s="185">
        <v>6.6338800000000004</v>
      </c>
      <c r="CW103" s="185">
        <v>6.8792600000000004</v>
      </c>
      <c r="CX103" s="185">
        <v>6.3689799999999996</v>
      </c>
      <c r="CY103" s="185">
        <v>6.7242300000000004</v>
      </c>
      <c r="CZ103" s="185">
        <v>6.7921800000000001</v>
      </c>
      <c r="DA103" s="185">
        <v>6.9315899999999999</v>
      </c>
      <c r="DB103" s="185"/>
      <c r="DC103" s="185">
        <v>6.91554</v>
      </c>
      <c r="DD103" s="185"/>
      <c r="DE103" s="194"/>
      <c r="DF103" s="187">
        <v>0.1013</v>
      </c>
      <c r="DG103" s="187">
        <v>0.1111</v>
      </c>
      <c r="DH103" s="187">
        <v>0.1153</v>
      </c>
      <c r="DI103" s="187">
        <v>9.98E-2</v>
      </c>
      <c r="DJ103" s="187">
        <v>0.1028</v>
      </c>
      <c r="DK103" s="187">
        <v>0.1148</v>
      </c>
      <c r="DL103" s="187">
        <v>0.10970000000000001</v>
      </c>
      <c r="DM103" s="187">
        <v>0.11459999999999999</v>
      </c>
      <c r="DN103" s="187">
        <v>0.1132</v>
      </c>
      <c r="DO103" s="187"/>
      <c r="DP103" s="187">
        <v>9.8500000000000004E-2</v>
      </c>
      <c r="DQ103" s="187"/>
      <c r="DR103" s="195"/>
      <c r="DS103" s="185">
        <v>7240.6320999999998</v>
      </c>
      <c r="DT103" s="185">
        <v>11827.75445</v>
      </c>
      <c r="DU103" s="185">
        <v>11905.2176</v>
      </c>
      <c r="DV103" s="185">
        <v>12161.47525</v>
      </c>
      <c r="DW103" s="185">
        <v>12272.10478</v>
      </c>
      <c r="DX103" s="185">
        <v>12233.31199</v>
      </c>
      <c r="DY103" s="185">
        <v>12163.784589999999</v>
      </c>
      <c r="DZ103" s="185">
        <v>12081.7212</v>
      </c>
      <c r="EA103" s="185">
        <v>12202.821449999999</v>
      </c>
      <c r="EB103" s="185"/>
      <c r="EC103" s="185">
        <v>12202.821449999999</v>
      </c>
      <c r="ED103" s="185"/>
      <c r="EE103" s="194"/>
      <c r="EF103" s="185">
        <v>0</v>
      </c>
      <c r="EG103" s="185">
        <v>0</v>
      </c>
      <c r="EH103" s="185">
        <v>0</v>
      </c>
      <c r="EI103" s="185">
        <v>0</v>
      </c>
      <c r="EJ103" s="185">
        <v>0</v>
      </c>
      <c r="EK103" s="185">
        <v>0</v>
      </c>
      <c r="EL103" s="185">
        <v>0</v>
      </c>
      <c r="EM103" s="185">
        <v>0</v>
      </c>
      <c r="EN103" s="185">
        <v>0</v>
      </c>
      <c r="EO103" s="185"/>
      <c r="EP103" s="185">
        <v>0</v>
      </c>
      <c r="EQ103" s="185"/>
      <c r="ER103" s="194"/>
      <c r="ES103" s="185">
        <v>146631.0091</v>
      </c>
      <c r="ET103" s="185">
        <v>175745.32595999999</v>
      </c>
      <c r="EU103" s="185">
        <v>165530.62815999999</v>
      </c>
      <c r="EV103" s="185">
        <v>214585.92408</v>
      </c>
      <c r="EW103" s="185">
        <v>219591.579</v>
      </c>
      <c r="EX103" s="185">
        <v>214374.61037000001</v>
      </c>
      <c r="EY103" s="185">
        <v>208656.38664000001</v>
      </c>
      <c r="EZ103" s="185">
        <v>209743.80661999999</v>
      </c>
      <c r="FA103" s="185">
        <v>212322.79831000001</v>
      </c>
      <c r="FB103" s="185"/>
      <c r="FC103" s="185">
        <v>213310.53578999999</v>
      </c>
      <c r="FD103" s="185"/>
      <c r="FE103" s="194"/>
      <c r="FF103" s="185"/>
      <c r="FG103" s="185"/>
      <c r="FH103" s="185"/>
      <c r="FI103" s="185"/>
      <c r="FJ103" s="185"/>
      <c r="FK103" s="185"/>
      <c r="FL103" s="185"/>
      <c r="FM103" s="185"/>
      <c r="FN103" s="185"/>
      <c r="FO103" s="185"/>
      <c r="FP103" s="185"/>
      <c r="FQ103" s="185"/>
      <c r="FR103" s="194"/>
    </row>
    <row r="104" spans="4:174" s="4" customFormat="1" x14ac:dyDescent="0.25">
      <c r="D104" s="92"/>
      <c r="E104" s="2" t="s">
        <v>189</v>
      </c>
      <c r="F104" s="184">
        <v>4.2688100000000002</v>
      </c>
      <c r="G104" s="185">
        <v>3.7739199999999999</v>
      </c>
      <c r="H104" s="185">
        <v>3.6671200000000002</v>
      </c>
      <c r="I104" s="185">
        <v>4.5530600000000003</v>
      </c>
      <c r="J104" s="185">
        <v>4.4778900000000004</v>
      </c>
      <c r="K104" s="185">
        <v>5.04664</v>
      </c>
      <c r="L104" s="185">
        <v>4.6264500000000002</v>
      </c>
      <c r="M104" s="185">
        <v>5.1894499999999999</v>
      </c>
      <c r="N104" s="185">
        <v>4.73705</v>
      </c>
      <c r="O104" s="185"/>
      <c r="P104" s="185">
        <v>4.75359</v>
      </c>
      <c r="Q104" s="185"/>
      <c r="R104" s="194"/>
      <c r="S104" s="185">
        <v>17.638439999999999</v>
      </c>
      <c r="T104" s="185">
        <v>18.1677</v>
      </c>
      <c r="U104" s="185">
        <v>18.3508</v>
      </c>
      <c r="V104" s="185">
        <v>19.712060000000001</v>
      </c>
      <c r="W104" s="185">
        <v>18.266200000000001</v>
      </c>
      <c r="X104" s="185">
        <v>17.731110000000001</v>
      </c>
      <c r="Y104" s="185">
        <v>18.564499999999999</v>
      </c>
      <c r="Z104" s="185">
        <v>19.17098</v>
      </c>
      <c r="AA104" s="185">
        <v>19.625319999999999</v>
      </c>
      <c r="AB104" s="185"/>
      <c r="AC104" s="185">
        <v>19.652290000000001</v>
      </c>
      <c r="AD104" s="185"/>
      <c r="AE104" s="194"/>
      <c r="AF104" s="185">
        <v>1.7851699999999999</v>
      </c>
      <c r="AG104" s="185">
        <v>1.89419</v>
      </c>
      <c r="AH104" s="185">
        <v>1.9677800000000001</v>
      </c>
      <c r="AI104" s="185">
        <v>1.7712699999999999</v>
      </c>
      <c r="AJ104" s="185">
        <v>1.8476900000000001</v>
      </c>
      <c r="AK104" s="185">
        <v>2.00223</v>
      </c>
      <c r="AL104" s="185">
        <v>1.9538599999999999</v>
      </c>
      <c r="AM104" s="185">
        <v>2.1211799999999998</v>
      </c>
      <c r="AN104" s="185">
        <v>2.0615399999999999</v>
      </c>
      <c r="AO104" s="185"/>
      <c r="AP104" s="185">
        <v>1.7673300000000001</v>
      </c>
      <c r="AQ104" s="185"/>
      <c r="AR104" s="194"/>
      <c r="AS104" s="185">
        <v>7.077E-2</v>
      </c>
      <c r="AT104" s="185">
        <v>7.2669999999999998E-2</v>
      </c>
      <c r="AU104" s="185">
        <v>7.5270000000000004E-2</v>
      </c>
      <c r="AV104" s="185">
        <v>7.8140000000000001E-2</v>
      </c>
      <c r="AW104" s="185">
        <v>8.0670000000000006E-2</v>
      </c>
      <c r="AX104" s="185">
        <v>8.7959999999999997E-2</v>
      </c>
      <c r="AY104" s="185">
        <v>9.3340000000000006E-2</v>
      </c>
      <c r="AZ104" s="185">
        <v>9.6799999999999997E-2</v>
      </c>
      <c r="BA104" s="185">
        <v>9.1310000000000002E-2</v>
      </c>
      <c r="BB104" s="185"/>
      <c r="BC104" s="185">
        <v>9.4579999999999997E-2</v>
      </c>
      <c r="BD104" s="185"/>
      <c r="BE104" s="194"/>
      <c r="BF104" s="185">
        <v>9.5089999999999994E-2</v>
      </c>
      <c r="BG104" s="185">
        <v>0.18906000000000001</v>
      </c>
      <c r="BH104" s="185">
        <v>3.9379999999999998E-2</v>
      </c>
      <c r="BI104" s="185">
        <v>3.9210000000000002E-2</v>
      </c>
      <c r="BJ104" s="185">
        <v>6.9500000000000006E-2</v>
      </c>
      <c r="BK104" s="185">
        <v>2.7640000000000001E-2</v>
      </c>
      <c r="BL104" s="185">
        <v>6.5790000000000001E-2</v>
      </c>
      <c r="BM104" s="185">
        <v>1.6060000000000001E-2</v>
      </c>
      <c r="BN104" s="185">
        <v>7.0250000000000007E-2</v>
      </c>
      <c r="BO104" s="185"/>
      <c r="BP104" s="185">
        <v>-6.79E-3</v>
      </c>
      <c r="BQ104" s="185"/>
      <c r="BR104" s="194"/>
      <c r="BS104" s="185">
        <v>0</v>
      </c>
      <c r="BT104" s="185">
        <v>-1.07978</v>
      </c>
      <c r="BU104" s="185">
        <v>-1.51566</v>
      </c>
      <c r="BV104" s="185">
        <v>-0.24915000000000001</v>
      </c>
      <c r="BW104" s="185">
        <v>-0.27478000000000002</v>
      </c>
      <c r="BX104" s="185">
        <v>-8.8100000000000001E-3</v>
      </c>
      <c r="BY104" s="185">
        <v>0</v>
      </c>
      <c r="BZ104" s="185">
        <v>0</v>
      </c>
      <c r="CA104" s="185">
        <v>0</v>
      </c>
      <c r="CB104" s="185"/>
      <c r="CC104" s="185">
        <v>0</v>
      </c>
      <c r="CD104" s="185"/>
      <c r="CE104" s="194"/>
      <c r="CF104" s="185">
        <v>19.589469999999999</v>
      </c>
      <c r="CG104" s="185">
        <v>20.323619999999998</v>
      </c>
      <c r="CH104" s="185">
        <v>20.433229999999998</v>
      </c>
      <c r="CI104" s="185">
        <v>21.600680000000001</v>
      </c>
      <c r="CJ104" s="185">
        <v>20.264060000000001</v>
      </c>
      <c r="CK104" s="185">
        <v>19.848949999999999</v>
      </c>
      <c r="CL104" s="185">
        <v>20.677479999999999</v>
      </c>
      <c r="CM104" s="185">
        <v>21.40503</v>
      </c>
      <c r="CN104" s="185">
        <v>21.848420000000001</v>
      </c>
      <c r="CO104" s="185"/>
      <c r="CP104" s="185">
        <v>21.507400000000001</v>
      </c>
      <c r="CQ104" s="185"/>
      <c r="CR104" s="194"/>
      <c r="CS104" s="185">
        <v>15.32066</v>
      </c>
      <c r="CT104" s="185">
        <v>15.46992</v>
      </c>
      <c r="CU104" s="185">
        <v>15.250450000000001</v>
      </c>
      <c r="CV104" s="185">
        <v>16.798480000000001</v>
      </c>
      <c r="CW104" s="185">
        <v>15.511380000000001</v>
      </c>
      <c r="CX104" s="185">
        <v>14.7935</v>
      </c>
      <c r="CY104" s="185">
        <v>16.05104</v>
      </c>
      <c r="CZ104" s="185">
        <v>16.215579999999999</v>
      </c>
      <c r="DA104" s="185">
        <v>17.111370000000001</v>
      </c>
      <c r="DB104" s="185"/>
      <c r="DC104" s="185">
        <v>16.753810000000001</v>
      </c>
      <c r="DD104" s="185"/>
      <c r="DE104" s="194"/>
      <c r="DF104" s="187">
        <v>9.11E-2</v>
      </c>
      <c r="DG104" s="187">
        <v>9.3200000000000005E-2</v>
      </c>
      <c r="DH104" s="187">
        <v>9.6299999999999997E-2</v>
      </c>
      <c r="DI104" s="187">
        <v>8.2000000000000003E-2</v>
      </c>
      <c r="DJ104" s="187">
        <v>9.1200000000000003E-2</v>
      </c>
      <c r="DK104" s="187">
        <v>0.1009</v>
      </c>
      <c r="DL104" s="187">
        <v>9.4500000000000001E-2</v>
      </c>
      <c r="DM104" s="187">
        <v>9.9099999999999994E-2</v>
      </c>
      <c r="DN104" s="187">
        <v>9.4399999999999998E-2</v>
      </c>
      <c r="DO104" s="187"/>
      <c r="DP104" s="187">
        <v>8.2199999999999995E-2</v>
      </c>
      <c r="DQ104" s="187"/>
      <c r="DR104" s="195"/>
      <c r="DS104" s="185">
        <v>22878.039349999999</v>
      </c>
      <c r="DT104" s="185">
        <v>22491.207999999999</v>
      </c>
      <c r="DU104" s="185">
        <v>22449.360219999999</v>
      </c>
      <c r="DV104" s="185">
        <v>22529.429110000001</v>
      </c>
      <c r="DW104" s="185">
        <v>21927.024669999999</v>
      </c>
      <c r="DX104" s="185">
        <v>21975.397219999999</v>
      </c>
      <c r="DY104" s="185">
        <v>21901.453870000001</v>
      </c>
      <c r="DZ104" s="185">
        <v>22028.42844</v>
      </c>
      <c r="EA104" s="185">
        <v>21988.12745</v>
      </c>
      <c r="EB104" s="185"/>
      <c r="EC104" s="185">
        <v>21712.008000000002</v>
      </c>
      <c r="ED104" s="185"/>
      <c r="EE104" s="194"/>
      <c r="EF104" s="185">
        <v>0</v>
      </c>
      <c r="EG104" s="185">
        <v>0</v>
      </c>
      <c r="EH104" s="185">
        <v>0</v>
      </c>
      <c r="EI104" s="185">
        <v>0</v>
      </c>
      <c r="EJ104" s="185">
        <v>0</v>
      </c>
      <c r="EK104" s="185">
        <v>0</v>
      </c>
      <c r="EL104" s="185">
        <v>0</v>
      </c>
      <c r="EM104" s="185">
        <v>0</v>
      </c>
      <c r="EN104" s="185">
        <v>0</v>
      </c>
      <c r="EO104" s="185"/>
      <c r="EP104" s="185">
        <v>0</v>
      </c>
      <c r="EQ104" s="185"/>
      <c r="ER104" s="194"/>
      <c r="ES104" s="185">
        <v>393245.10793</v>
      </c>
      <c r="ET104" s="185">
        <v>297254.44751999999</v>
      </c>
      <c r="EU104" s="185">
        <v>261188.32175</v>
      </c>
      <c r="EV104" s="185">
        <v>350038.15833000001</v>
      </c>
      <c r="EW104" s="185">
        <v>345718.97973999998</v>
      </c>
      <c r="EX104" s="185">
        <v>346363.88458999997</v>
      </c>
      <c r="EY104" s="185">
        <v>312781.52054</v>
      </c>
      <c r="EZ104" s="185">
        <v>342022.91334999999</v>
      </c>
      <c r="FA104" s="185">
        <v>306538.21081000002</v>
      </c>
      <c r="FB104" s="185"/>
      <c r="FC104" s="185">
        <v>305122.49423000001</v>
      </c>
      <c r="FD104" s="185"/>
      <c r="FE104" s="194"/>
      <c r="FF104" s="185"/>
      <c r="FG104" s="185"/>
      <c r="FH104" s="185"/>
      <c r="FI104" s="185"/>
      <c r="FJ104" s="185"/>
      <c r="FK104" s="185"/>
      <c r="FL104" s="185"/>
      <c r="FM104" s="185"/>
      <c r="FN104" s="185"/>
      <c r="FO104" s="185"/>
      <c r="FP104" s="185"/>
      <c r="FQ104" s="185"/>
      <c r="FR104" s="194"/>
    </row>
    <row r="105" spans="4:174" s="4" customFormat="1" x14ac:dyDescent="0.25">
      <c r="D105" s="92"/>
      <c r="E105" s="2" t="s">
        <v>190</v>
      </c>
      <c r="F105" s="184">
        <v>10.21101</v>
      </c>
      <c r="G105" s="185">
        <v>7.05884</v>
      </c>
      <c r="H105" s="185">
        <v>8.5662599999999998</v>
      </c>
      <c r="I105" s="185">
        <v>8.2560300000000009</v>
      </c>
      <c r="J105" s="185">
        <v>9.3187599999999993</v>
      </c>
      <c r="K105" s="185">
        <v>10.26857</v>
      </c>
      <c r="L105" s="185">
        <v>9.8706999999999994</v>
      </c>
      <c r="M105" s="185">
        <v>10.334429999999999</v>
      </c>
      <c r="N105" s="185">
        <v>9.1387999999999998</v>
      </c>
      <c r="O105" s="185"/>
      <c r="P105" s="185">
        <v>9.1541800000000002</v>
      </c>
      <c r="Q105" s="185"/>
      <c r="R105" s="194"/>
      <c r="S105" s="185">
        <v>40.119160000000001</v>
      </c>
      <c r="T105" s="185">
        <v>40.471899999999998</v>
      </c>
      <c r="U105" s="185">
        <v>41.312950000000001</v>
      </c>
      <c r="V105" s="185">
        <v>44.972360000000002</v>
      </c>
      <c r="W105" s="185">
        <v>45.227649999999997</v>
      </c>
      <c r="X105" s="185">
        <v>43.720999999999997</v>
      </c>
      <c r="Y105" s="185">
        <v>44.774090000000001</v>
      </c>
      <c r="Z105" s="185">
        <v>43.327469999999998</v>
      </c>
      <c r="AA105" s="185">
        <v>43.318539999999999</v>
      </c>
      <c r="AB105" s="185"/>
      <c r="AC105" s="185">
        <v>43.465260000000001</v>
      </c>
      <c r="AD105" s="185"/>
      <c r="AE105" s="194"/>
      <c r="AF105" s="185">
        <v>4.8688000000000002</v>
      </c>
      <c r="AG105" s="185">
        <v>4.87845</v>
      </c>
      <c r="AH105" s="185">
        <v>5.1716499999999996</v>
      </c>
      <c r="AI105" s="185">
        <v>4.4650600000000003</v>
      </c>
      <c r="AJ105" s="185">
        <v>4.7544199999999996</v>
      </c>
      <c r="AK105" s="185">
        <v>4.9474799999999997</v>
      </c>
      <c r="AL105" s="185">
        <v>4.6006299999999998</v>
      </c>
      <c r="AM105" s="185">
        <v>5.0020600000000002</v>
      </c>
      <c r="AN105" s="185">
        <v>4.7833899999999998</v>
      </c>
      <c r="AO105" s="185"/>
      <c r="AP105" s="185">
        <v>4.1040400000000004</v>
      </c>
      <c r="AQ105" s="185"/>
      <c r="AR105" s="194"/>
      <c r="AS105" s="185">
        <v>0.19019</v>
      </c>
      <c r="AT105" s="185">
        <v>0.19655</v>
      </c>
      <c r="AU105" s="185">
        <v>0.19772000000000001</v>
      </c>
      <c r="AV105" s="185">
        <v>0.20374999999999999</v>
      </c>
      <c r="AW105" s="185">
        <v>0.20843</v>
      </c>
      <c r="AX105" s="185">
        <v>0.21615999999999999</v>
      </c>
      <c r="AY105" s="185">
        <v>0.21790999999999999</v>
      </c>
      <c r="AZ105" s="185">
        <v>0.23635999999999999</v>
      </c>
      <c r="BA105" s="185">
        <v>0.21676000000000001</v>
      </c>
      <c r="BB105" s="185"/>
      <c r="BC105" s="185">
        <v>0.22839000000000001</v>
      </c>
      <c r="BD105" s="185"/>
      <c r="BE105" s="194"/>
      <c r="BF105" s="185">
        <v>0.25556000000000001</v>
      </c>
      <c r="BG105" s="185">
        <v>0.51132999999999995</v>
      </c>
      <c r="BH105" s="185">
        <v>0.10345</v>
      </c>
      <c r="BI105" s="185">
        <v>0.10224999999999999</v>
      </c>
      <c r="BJ105" s="185">
        <v>0.17957999999999999</v>
      </c>
      <c r="BK105" s="185">
        <v>6.7930000000000004E-2</v>
      </c>
      <c r="BL105" s="185">
        <v>0.15359</v>
      </c>
      <c r="BM105" s="185">
        <v>3.9210000000000002E-2</v>
      </c>
      <c r="BN105" s="185">
        <v>0.16675999999999999</v>
      </c>
      <c r="BO105" s="185"/>
      <c r="BP105" s="185">
        <v>-1.6410000000000001E-2</v>
      </c>
      <c r="BQ105" s="185"/>
      <c r="BR105" s="194"/>
      <c r="BS105" s="185">
        <v>0</v>
      </c>
      <c r="BT105" s="185">
        <v>-5.00509</v>
      </c>
      <c r="BU105" s="185">
        <v>-2.3264999999999998</v>
      </c>
      <c r="BV105" s="185">
        <v>-1.1388499999999999</v>
      </c>
      <c r="BW105" s="185">
        <v>-0.76341000000000003</v>
      </c>
      <c r="BX105" s="185">
        <v>-2.1819999999999999E-2</v>
      </c>
      <c r="BY105" s="185">
        <v>0</v>
      </c>
      <c r="BZ105" s="185">
        <v>0</v>
      </c>
      <c r="CA105" s="185">
        <v>0</v>
      </c>
      <c r="CB105" s="185"/>
      <c r="CC105" s="185">
        <v>0</v>
      </c>
      <c r="CD105" s="185"/>
      <c r="CE105" s="194"/>
      <c r="CF105" s="185">
        <v>45.433700000000002</v>
      </c>
      <c r="CG105" s="185">
        <v>46.058239999999998</v>
      </c>
      <c r="CH105" s="185">
        <v>46.785769999999999</v>
      </c>
      <c r="CI105" s="185">
        <v>49.74342</v>
      </c>
      <c r="CJ105" s="185">
        <v>50.370089999999998</v>
      </c>
      <c r="CK105" s="185">
        <v>48.952579999999998</v>
      </c>
      <c r="CL105" s="185">
        <v>49.746220000000001</v>
      </c>
      <c r="CM105" s="185">
        <v>48.6051</v>
      </c>
      <c r="CN105" s="185">
        <v>48.48545</v>
      </c>
      <c r="CO105" s="185"/>
      <c r="CP105" s="185">
        <v>47.781289999999998</v>
      </c>
      <c r="CQ105" s="185"/>
      <c r="CR105" s="194"/>
      <c r="CS105" s="185">
        <v>35.22269</v>
      </c>
      <c r="CT105" s="185">
        <v>33.994320000000002</v>
      </c>
      <c r="CU105" s="185">
        <v>35.893009999999997</v>
      </c>
      <c r="CV105" s="185">
        <v>40.34854</v>
      </c>
      <c r="CW105" s="185">
        <v>40.287909999999997</v>
      </c>
      <c r="CX105" s="185">
        <v>38.662179999999999</v>
      </c>
      <c r="CY105" s="185">
        <v>39.875520000000002</v>
      </c>
      <c r="CZ105" s="185">
        <v>38.270670000000003</v>
      </c>
      <c r="DA105" s="185">
        <v>39.346649999999997</v>
      </c>
      <c r="DB105" s="185"/>
      <c r="DC105" s="185">
        <v>38.627099999999999</v>
      </c>
      <c r="DD105" s="185"/>
      <c r="DE105" s="194"/>
      <c r="DF105" s="187">
        <v>0.1072</v>
      </c>
      <c r="DG105" s="187">
        <v>0.10589999999999999</v>
      </c>
      <c r="DH105" s="187">
        <v>0.1105</v>
      </c>
      <c r="DI105" s="187">
        <v>8.9800000000000005E-2</v>
      </c>
      <c r="DJ105" s="187">
        <v>9.4399999999999998E-2</v>
      </c>
      <c r="DK105" s="187">
        <v>0.1011</v>
      </c>
      <c r="DL105" s="187">
        <v>9.2499999999999999E-2</v>
      </c>
      <c r="DM105" s="187">
        <v>0.10290000000000001</v>
      </c>
      <c r="DN105" s="187">
        <v>9.8699999999999996E-2</v>
      </c>
      <c r="DO105" s="187"/>
      <c r="DP105" s="187">
        <v>8.5900000000000004E-2</v>
      </c>
      <c r="DQ105" s="187"/>
      <c r="DR105" s="195"/>
      <c r="DS105" s="185">
        <v>61486.185640000003</v>
      </c>
      <c r="DT105" s="185">
        <v>60830.860090000002</v>
      </c>
      <c r="DU105" s="185">
        <v>58969.932159999997</v>
      </c>
      <c r="DV105" s="185">
        <v>58746.650150000001</v>
      </c>
      <c r="DW105" s="185">
        <v>56655.488669999999</v>
      </c>
      <c r="DX105" s="185">
        <v>54000.918810000003</v>
      </c>
      <c r="DY105" s="185">
        <v>51132.382740000001</v>
      </c>
      <c r="DZ105" s="185">
        <v>53784.845399999998</v>
      </c>
      <c r="EA105" s="185">
        <v>52196.185100000002</v>
      </c>
      <c r="EB105" s="185"/>
      <c r="EC105" s="185">
        <v>52430.454270000002</v>
      </c>
      <c r="ED105" s="185"/>
      <c r="EE105" s="194"/>
      <c r="EF105" s="185">
        <v>0</v>
      </c>
      <c r="EG105" s="185">
        <v>0</v>
      </c>
      <c r="EH105" s="185">
        <v>0</v>
      </c>
      <c r="EI105" s="185">
        <v>0</v>
      </c>
      <c r="EJ105" s="185">
        <v>0</v>
      </c>
      <c r="EK105" s="185">
        <v>0</v>
      </c>
      <c r="EL105" s="185">
        <v>0</v>
      </c>
      <c r="EM105" s="185">
        <v>0</v>
      </c>
      <c r="EN105" s="185">
        <v>0</v>
      </c>
      <c r="EO105" s="185"/>
      <c r="EP105" s="185">
        <v>0</v>
      </c>
      <c r="EQ105" s="185"/>
      <c r="ER105" s="194"/>
      <c r="ES105" s="185">
        <v>1122747.2520900001</v>
      </c>
      <c r="ET105" s="185">
        <v>824836.27361999999</v>
      </c>
      <c r="EU105" s="185">
        <v>730852.84360000002</v>
      </c>
      <c r="EV105" s="185">
        <v>864618.67582</v>
      </c>
      <c r="EW105" s="185">
        <v>836659.49225000001</v>
      </c>
      <c r="EX105" s="185">
        <v>890019.80208000005</v>
      </c>
      <c r="EY105" s="185">
        <v>776438.07359000004</v>
      </c>
      <c r="EZ105" s="185">
        <v>877364.53700000001</v>
      </c>
      <c r="FA105" s="185">
        <v>767709.06811999995</v>
      </c>
      <c r="FB105" s="185"/>
      <c r="FC105" s="185">
        <v>775364.42357999994</v>
      </c>
      <c r="FD105" s="185"/>
      <c r="FE105" s="194"/>
      <c r="FF105" s="185"/>
      <c r="FG105" s="185"/>
      <c r="FH105" s="185"/>
      <c r="FI105" s="185"/>
      <c r="FJ105" s="185"/>
      <c r="FK105" s="185"/>
      <c r="FL105" s="185"/>
      <c r="FM105" s="185"/>
      <c r="FN105" s="185"/>
      <c r="FO105" s="185"/>
      <c r="FP105" s="185"/>
      <c r="FQ105" s="185"/>
      <c r="FR105" s="194"/>
    </row>
    <row r="106" spans="4:174" x14ac:dyDescent="0.25">
      <c r="E106" s="2" t="s">
        <v>191</v>
      </c>
      <c r="F106" s="184">
        <v>5.9746899999999998</v>
      </c>
      <c r="G106" s="185">
        <v>4.3137499999999998</v>
      </c>
      <c r="H106" s="185">
        <v>4.7339500000000001</v>
      </c>
      <c r="I106" s="185">
        <v>4.7518500000000001</v>
      </c>
      <c r="J106" s="185">
        <v>5.3061800000000003</v>
      </c>
      <c r="K106" s="185">
        <v>4.75495</v>
      </c>
      <c r="L106" s="185">
        <v>4.4997699999999998</v>
      </c>
      <c r="M106" s="185">
        <v>3.3605800000000001</v>
      </c>
      <c r="N106" s="185">
        <v>3.1175299999999999</v>
      </c>
      <c r="O106" s="185"/>
      <c r="P106" s="185">
        <v>2.6063000000000001</v>
      </c>
      <c r="Q106" s="185"/>
      <c r="R106" s="194"/>
      <c r="S106" s="185">
        <v>19.026710000000001</v>
      </c>
      <c r="T106" s="185">
        <v>19.63908</v>
      </c>
      <c r="U106" s="185">
        <v>20.506150000000002</v>
      </c>
      <c r="V106" s="185">
        <v>22.091719999999999</v>
      </c>
      <c r="W106" s="185">
        <v>22.644120000000001</v>
      </c>
      <c r="X106" s="185">
        <v>18.97052</v>
      </c>
      <c r="Y106" s="185">
        <v>18.28021</v>
      </c>
      <c r="Z106" s="185">
        <v>19.12124</v>
      </c>
      <c r="AA106" s="185">
        <v>19.441960000000002</v>
      </c>
      <c r="AB106" s="185"/>
      <c r="AC106" s="185">
        <v>19.219280000000001</v>
      </c>
      <c r="AD106" s="185"/>
      <c r="AE106" s="194"/>
      <c r="AF106" s="185">
        <v>2.3105899999999999</v>
      </c>
      <c r="AG106" s="185">
        <v>2.42083</v>
      </c>
      <c r="AH106" s="185">
        <v>2.5682499999999999</v>
      </c>
      <c r="AI106" s="185">
        <v>2.3108499999999998</v>
      </c>
      <c r="AJ106" s="185">
        <v>2.52515</v>
      </c>
      <c r="AK106" s="185">
        <v>2.1890100000000001</v>
      </c>
      <c r="AL106" s="185">
        <v>2.0510000000000002</v>
      </c>
      <c r="AM106" s="185">
        <v>1.5160199999999999</v>
      </c>
      <c r="AN106" s="185">
        <v>1.52556</v>
      </c>
      <c r="AO106" s="185"/>
      <c r="AP106" s="185">
        <v>1.48742</v>
      </c>
      <c r="AQ106" s="185"/>
      <c r="AR106" s="194"/>
      <c r="AS106" s="185">
        <v>8.294E-2</v>
      </c>
      <c r="AT106" s="185">
        <v>8.7959999999999997E-2</v>
      </c>
      <c r="AU106" s="185">
        <v>9.0740000000000001E-2</v>
      </c>
      <c r="AV106" s="185">
        <v>9.6070000000000003E-2</v>
      </c>
      <c r="AW106" s="185">
        <v>0.10247000000000001</v>
      </c>
      <c r="AX106" s="185">
        <v>8.8169999999999998E-2</v>
      </c>
      <c r="AY106" s="185">
        <v>8.5750000000000007E-2</v>
      </c>
      <c r="AZ106" s="185">
        <v>6.7890000000000006E-2</v>
      </c>
      <c r="BA106" s="185">
        <v>6.5670000000000006E-2</v>
      </c>
      <c r="BB106" s="185"/>
      <c r="BC106" s="185">
        <v>8.0089999999999995E-2</v>
      </c>
      <c r="BD106" s="185"/>
      <c r="BE106" s="194"/>
      <c r="BF106" s="185">
        <v>0.11144</v>
      </c>
      <c r="BG106" s="185">
        <v>0.22883999999999999</v>
      </c>
      <c r="BH106" s="185">
        <v>4.7480000000000001E-2</v>
      </c>
      <c r="BI106" s="185">
        <v>4.8219999999999999E-2</v>
      </c>
      <c r="BJ106" s="185">
        <v>8.8289999999999993E-2</v>
      </c>
      <c r="BK106" s="185">
        <v>2.7709999999999999E-2</v>
      </c>
      <c r="BL106" s="185">
        <v>6.0440000000000001E-2</v>
      </c>
      <c r="BM106" s="185">
        <v>1.1259999999999999E-2</v>
      </c>
      <c r="BN106" s="185">
        <v>5.0520000000000002E-2</v>
      </c>
      <c r="BO106" s="185"/>
      <c r="BP106" s="185">
        <v>-5.7499999999999999E-3</v>
      </c>
      <c r="BQ106" s="185"/>
      <c r="BR106" s="194"/>
      <c r="BS106" s="185">
        <v>0</v>
      </c>
      <c r="BT106" s="185">
        <v>-2.7244000000000002</v>
      </c>
      <c r="BU106" s="185">
        <v>-1.4054</v>
      </c>
      <c r="BV106" s="185">
        <v>-0.71333000000000002</v>
      </c>
      <c r="BW106" s="185">
        <v>-0.40350999999999998</v>
      </c>
      <c r="BX106" s="185">
        <v>-1.0919999999999999E-2</v>
      </c>
      <c r="BY106" s="185">
        <v>0</v>
      </c>
      <c r="BZ106" s="185">
        <v>0</v>
      </c>
      <c r="CA106" s="185">
        <v>0</v>
      </c>
      <c r="CB106" s="185"/>
      <c r="CC106" s="185">
        <v>0</v>
      </c>
      <c r="CD106" s="185"/>
      <c r="CE106" s="194"/>
      <c r="CF106" s="185">
        <v>21.531669999999998</v>
      </c>
      <c r="CG106" s="185">
        <v>22.376709999999999</v>
      </c>
      <c r="CH106" s="185">
        <v>23.212630000000001</v>
      </c>
      <c r="CI106" s="185">
        <v>24.546859999999999</v>
      </c>
      <c r="CJ106" s="185">
        <v>25.360029999999998</v>
      </c>
      <c r="CK106" s="185">
        <v>21.275410000000001</v>
      </c>
      <c r="CL106" s="185">
        <v>20.477399999999999</v>
      </c>
      <c r="CM106" s="185">
        <v>20.71641</v>
      </c>
      <c r="CN106" s="185">
        <v>21.08372</v>
      </c>
      <c r="CO106" s="185"/>
      <c r="CP106" s="185">
        <v>20.781030000000001</v>
      </c>
      <c r="CQ106" s="185"/>
      <c r="CR106" s="194"/>
      <c r="CS106" s="185">
        <v>15.556979999999999</v>
      </c>
      <c r="CT106" s="185">
        <v>15.338559999999999</v>
      </c>
      <c r="CU106" s="185">
        <v>17.07328</v>
      </c>
      <c r="CV106" s="185">
        <v>19.081679999999999</v>
      </c>
      <c r="CW106" s="185">
        <v>19.65033</v>
      </c>
      <c r="CX106" s="185">
        <v>16.509540000000001</v>
      </c>
      <c r="CY106" s="185">
        <v>15.97763</v>
      </c>
      <c r="CZ106" s="185">
        <v>17.355830000000001</v>
      </c>
      <c r="DA106" s="185">
        <v>17.966190000000001</v>
      </c>
      <c r="DB106" s="185"/>
      <c r="DC106" s="185">
        <v>18.17473</v>
      </c>
      <c r="DD106" s="185"/>
      <c r="DE106" s="194"/>
      <c r="DF106" s="187">
        <v>0.10730000000000001</v>
      </c>
      <c r="DG106" s="187">
        <v>0.1082</v>
      </c>
      <c r="DH106" s="187">
        <v>0.1106</v>
      </c>
      <c r="DI106" s="187">
        <v>9.4100000000000003E-2</v>
      </c>
      <c r="DJ106" s="187">
        <v>9.9599999999999994E-2</v>
      </c>
      <c r="DK106" s="187">
        <v>0.10290000000000001</v>
      </c>
      <c r="DL106" s="187">
        <v>0.1002</v>
      </c>
      <c r="DM106" s="187">
        <v>7.3200000000000001E-2</v>
      </c>
      <c r="DN106" s="187">
        <v>7.2400000000000006E-2</v>
      </c>
      <c r="DO106" s="187"/>
      <c r="DP106" s="187">
        <v>7.1599999999999997E-2</v>
      </c>
      <c r="DQ106" s="187"/>
      <c r="DR106" s="195"/>
      <c r="DS106" s="185">
        <v>26812.025860000002</v>
      </c>
      <c r="DT106" s="185">
        <v>27223.907309999999</v>
      </c>
      <c r="DU106" s="185">
        <v>27064.45333</v>
      </c>
      <c r="DV106" s="185">
        <v>27701.105319999999</v>
      </c>
      <c r="DW106" s="185">
        <v>27853.357390000001</v>
      </c>
      <c r="DX106" s="185">
        <v>22027.022690000002</v>
      </c>
      <c r="DY106" s="185">
        <v>20120.099999999999</v>
      </c>
      <c r="DZ106" s="185">
        <v>15448.58028</v>
      </c>
      <c r="EA106" s="185">
        <v>15814.174000000001</v>
      </c>
      <c r="EB106" s="185"/>
      <c r="EC106" s="185">
        <v>21585.268110000001</v>
      </c>
      <c r="ED106" s="185"/>
      <c r="EE106" s="194"/>
      <c r="EF106" s="185">
        <v>0</v>
      </c>
      <c r="EG106" s="185">
        <v>0</v>
      </c>
      <c r="EH106" s="185">
        <v>0</v>
      </c>
      <c r="EI106" s="185">
        <v>0</v>
      </c>
      <c r="EJ106" s="185">
        <v>0</v>
      </c>
      <c r="EK106" s="185">
        <v>0</v>
      </c>
      <c r="EL106" s="185">
        <v>0</v>
      </c>
      <c r="EM106" s="185">
        <v>0</v>
      </c>
      <c r="EN106" s="185">
        <v>0</v>
      </c>
      <c r="EO106" s="185"/>
      <c r="EP106" s="185">
        <v>0</v>
      </c>
      <c r="EQ106" s="185"/>
      <c r="ER106" s="194"/>
      <c r="ES106" s="185">
        <v>544954.13523000001</v>
      </c>
      <c r="ET106" s="185">
        <v>446922.13760000002</v>
      </c>
      <c r="EU106" s="185">
        <v>357894.56234</v>
      </c>
      <c r="EV106" s="185">
        <v>441185.35612000001</v>
      </c>
      <c r="EW106" s="185">
        <v>431087.67686000001</v>
      </c>
      <c r="EX106" s="185">
        <v>377008.82471000002</v>
      </c>
      <c r="EY106" s="185">
        <v>320947.23534999997</v>
      </c>
      <c r="EZ106" s="185">
        <v>297173.63996</v>
      </c>
      <c r="FA106" s="185">
        <v>276976.22272999998</v>
      </c>
      <c r="FB106" s="185"/>
      <c r="FC106" s="185">
        <v>270567.28824999998</v>
      </c>
      <c r="FD106" s="185"/>
      <c r="FE106" s="194"/>
      <c r="FF106" s="185"/>
      <c r="FG106" s="185"/>
      <c r="FH106" s="185"/>
      <c r="FI106" s="185"/>
      <c r="FJ106" s="185"/>
      <c r="FK106" s="185"/>
      <c r="FL106" s="185"/>
      <c r="FM106" s="185"/>
      <c r="FN106" s="185"/>
      <c r="FO106" s="185"/>
      <c r="FP106" s="185"/>
      <c r="FQ106" s="185"/>
      <c r="FR106" s="194"/>
    </row>
    <row r="107" spans="4:174" x14ac:dyDescent="0.25">
      <c r="E107" s="2" t="s">
        <v>192</v>
      </c>
      <c r="F107" s="184">
        <v>4.0221</v>
      </c>
      <c r="G107" s="185">
        <v>3.4342800000000002</v>
      </c>
      <c r="H107" s="185">
        <v>4.2120199999999999</v>
      </c>
      <c r="I107" s="185">
        <v>3.9608099999999999</v>
      </c>
      <c r="J107" s="185">
        <v>4.1703999999999999</v>
      </c>
      <c r="K107" s="185">
        <v>4.3942300000000003</v>
      </c>
      <c r="L107" s="185">
        <v>4.4590800000000002</v>
      </c>
      <c r="M107" s="185">
        <v>4.4584999999999999</v>
      </c>
      <c r="N107" s="185">
        <v>4.2215999999999996</v>
      </c>
      <c r="O107" s="185"/>
      <c r="P107" s="185">
        <v>4.0426500000000001</v>
      </c>
      <c r="Q107" s="185"/>
      <c r="R107" s="194"/>
      <c r="S107" s="185">
        <v>21.480920000000001</v>
      </c>
      <c r="T107" s="185">
        <v>21.91479</v>
      </c>
      <c r="U107" s="185">
        <v>22.797090000000001</v>
      </c>
      <c r="V107" s="185">
        <v>24.855799999999999</v>
      </c>
      <c r="W107" s="185">
        <v>25.308679999999999</v>
      </c>
      <c r="X107" s="185">
        <v>25.68768</v>
      </c>
      <c r="Y107" s="185">
        <v>26.511679999999998</v>
      </c>
      <c r="Z107" s="185">
        <v>27.083259999999999</v>
      </c>
      <c r="AA107" s="185">
        <v>27.648949999999999</v>
      </c>
      <c r="AB107" s="185"/>
      <c r="AC107" s="185">
        <v>27.917850000000001</v>
      </c>
      <c r="AD107" s="185"/>
      <c r="AE107" s="194"/>
      <c r="AF107" s="185">
        <v>2.3907400000000001</v>
      </c>
      <c r="AG107" s="185">
        <v>2.5424699999999998</v>
      </c>
      <c r="AH107" s="185">
        <v>2.7663199999999999</v>
      </c>
      <c r="AI107" s="185">
        <v>2.4037899999999999</v>
      </c>
      <c r="AJ107" s="185">
        <v>2.6125799999999999</v>
      </c>
      <c r="AK107" s="185">
        <v>2.8253499999999998</v>
      </c>
      <c r="AL107" s="185">
        <v>2.8245399999999998</v>
      </c>
      <c r="AM107" s="185">
        <v>2.81155</v>
      </c>
      <c r="AN107" s="185">
        <v>2.81759</v>
      </c>
      <c r="AO107" s="185"/>
      <c r="AP107" s="185">
        <v>2.3341699999999999</v>
      </c>
      <c r="AQ107" s="185"/>
      <c r="AR107" s="194"/>
      <c r="AS107" s="185">
        <v>9.6780000000000005E-2</v>
      </c>
      <c r="AT107" s="185">
        <v>0.10131999999999999</v>
      </c>
      <c r="AU107" s="185">
        <v>0.10516</v>
      </c>
      <c r="AV107" s="185">
        <v>0.10899</v>
      </c>
      <c r="AW107" s="185">
        <v>0.11538</v>
      </c>
      <c r="AX107" s="185">
        <v>0.12620000000000001</v>
      </c>
      <c r="AY107" s="185">
        <v>0.13389999999999999</v>
      </c>
      <c r="AZ107" s="185">
        <v>0.13836000000000001</v>
      </c>
      <c r="BA107" s="185">
        <v>0.13200000000000001</v>
      </c>
      <c r="BB107" s="185"/>
      <c r="BC107" s="185">
        <v>0.13811000000000001</v>
      </c>
      <c r="BD107" s="185"/>
      <c r="BE107" s="194"/>
      <c r="BF107" s="185">
        <v>0.13003999999999999</v>
      </c>
      <c r="BG107" s="185">
        <v>0.26358999999999999</v>
      </c>
      <c r="BH107" s="185">
        <v>5.5019999999999999E-2</v>
      </c>
      <c r="BI107" s="185">
        <v>5.4699999999999999E-2</v>
      </c>
      <c r="BJ107" s="185">
        <v>9.9409999999999998E-2</v>
      </c>
      <c r="BK107" s="185">
        <v>3.9660000000000001E-2</v>
      </c>
      <c r="BL107" s="185">
        <v>9.4369999999999996E-2</v>
      </c>
      <c r="BM107" s="185">
        <v>2.2960000000000001E-2</v>
      </c>
      <c r="BN107" s="185">
        <v>0.10155</v>
      </c>
      <c r="BO107" s="185"/>
      <c r="BP107" s="185">
        <v>-9.92E-3</v>
      </c>
      <c r="BQ107" s="185"/>
      <c r="BR107" s="194"/>
      <c r="BS107" s="185">
        <v>0</v>
      </c>
      <c r="BT107" s="185">
        <v>-1.28586</v>
      </c>
      <c r="BU107" s="185">
        <v>-0.64405999999999997</v>
      </c>
      <c r="BV107" s="185">
        <v>-0.33939999999999998</v>
      </c>
      <c r="BW107" s="185">
        <v>-0.37903999999999999</v>
      </c>
      <c r="BX107" s="185">
        <v>-1.221E-2</v>
      </c>
      <c r="BY107" s="185">
        <v>0</v>
      </c>
      <c r="BZ107" s="185">
        <v>0</v>
      </c>
      <c r="CA107" s="185">
        <v>0</v>
      </c>
      <c r="CB107" s="185"/>
      <c r="CC107" s="185">
        <v>0</v>
      </c>
      <c r="CD107" s="185"/>
      <c r="CE107" s="194"/>
      <c r="CF107" s="185">
        <v>24.098490000000002</v>
      </c>
      <c r="CG107" s="185">
        <v>24.82217</v>
      </c>
      <c r="CH107" s="185">
        <v>25.723590000000002</v>
      </c>
      <c r="CI107" s="185">
        <v>27.423269999999999</v>
      </c>
      <c r="CJ107" s="185">
        <v>28.136050000000001</v>
      </c>
      <c r="CK107" s="185">
        <v>28.678889999999999</v>
      </c>
      <c r="CL107" s="185">
        <v>29.564489999999999</v>
      </c>
      <c r="CM107" s="185">
        <v>30.05613</v>
      </c>
      <c r="CN107" s="185">
        <v>30.700099999999999</v>
      </c>
      <c r="CO107" s="185"/>
      <c r="CP107" s="185">
        <v>30.380210000000002</v>
      </c>
      <c r="CQ107" s="185"/>
      <c r="CR107" s="194"/>
      <c r="CS107" s="185">
        <v>20.07639</v>
      </c>
      <c r="CT107" s="185">
        <v>20.102029999999999</v>
      </c>
      <c r="CU107" s="185">
        <v>20.867509999999999</v>
      </c>
      <c r="CV107" s="185">
        <v>23.123059999999999</v>
      </c>
      <c r="CW107" s="185">
        <v>23.58661</v>
      </c>
      <c r="CX107" s="185">
        <v>24.272459999999999</v>
      </c>
      <c r="CY107" s="185">
        <v>25.105409999999999</v>
      </c>
      <c r="CZ107" s="185">
        <v>25.597629999999999</v>
      </c>
      <c r="DA107" s="185">
        <v>26.47851</v>
      </c>
      <c r="DB107" s="185"/>
      <c r="DC107" s="185">
        <v>26.33756</v>
      </c>
      <c r="DD107" s="185"/>
      <c r="DE107" s="194"/>
      <c r="DF107" s="187">
        <v>9.9199999999999997E-2</v>
      </c>
      <c r="DG107" s="187">
        <v>0.1024</v>
      </c>
      <c r="DH107" s="187">
        <v>0.1075</v>
      </c>
      <c r="DI107" s="187">
        <v>8.77E-2</v>
      </c>
      <c r="DJ107" s="187">
        <v>9.2899999999999996E-2</v>
      </c>
      <c r="DK107" s="187">
        <v>9.8500000000000004E-2</v>
      </c>
      <c r="DL107" s="187">
        <v>9.5500000000000002E-2</v>
      </c>
      <c r="DM107" s="187">
        <v>9.35E-2</v>
      </c>
      <c r="DN107" s="187">
        <v>9.1800000000000007E-2</v>
      </c>
      <c r="DO107" s="187"/>
      <c r="DP107" s="187">
        <v>7.6799999999999993E-2</v>
      </c>
      <c r="DQ107" s="187"/>
      <c r="DR107" s="195"/>
      <c r="DS107" s="185">
        <v>31288.12674</v>
      </c>
      <c r="DT107" s="185">
        <v>31358.275000000001</v>
      </c>
      <c r="DU107" s="185">
        <v>31362.516670000001</v>
      </c>
      <c r="DV107" s="185">
        <v>31424.44167</v>
      </c>
      <c r="DW107" s="185">
        <v>31362.08654</v>
      </c>
      <c r="DX107" s="185">
        <v>31527.503199999999</v>
      </c>
      <c r="DY107" s="185">
        <v>31418.096160000001</v>
      </c>
      <c r="DZ107" s="185">
        <v>31485.568800000001</v>
      </c>
      <c r="EA107" s="185">
        <v>31786.389319999998</v>
      </c>
      <c r="EB107" s="185"/>
      <c r="EC107" s="185">
        <v>31704.005990000001</v>
      </c>
      <c r="ED107" s="185"/>
      <c r="EE107" s="194"/>
      <c r="EF107" s="185">
        <v>0</v>
      </c>
      <c r="EG107" s="185">
        <v>0</v>
      </c>
      <c r="EH107" s="185">
        <v>0</v>
      </c>
      <c r="EI107" s="185">
        <v>0</v>
      </c>
      <c r="EJ107" s="185">
        <v>0</v>
      </c>
      <c r="EK107" s="185">
        <v>0</v>
      </c>
      <c r="EL107" s="185">
        <v>0</v>
      </c>
      <c r="EM107" s="185">
        <v>0</v>
      </c>
      <c r="EN107" s="185">
        <v>0</v>
      </c>
      <c r="EO107" s="185"/>
      <c r="EP107" s="185">
        <v>0</v>
      </c>
      <c r="EQ107" s="185"/>
      <c r="ER107" s="194"/>
      <c r="ES107" s="185">
        <v>414396.81816000002</v>
      </c>
      <c r="ET107" s="185">
        <v>356824.4327</v>
      </c>
      <c r="EU107" s="185">
        <v>315282.34795000002</v>
      </c>
      <c r="EV107" s="185">
        <v>354126.45079999999</v>
      </c>
      <c r="EW107" s="185">
        <v>321456.90289999999</v>
      </c>
      <c r="EX107" s="185">
        <v>332735.13205000001</v>
      </c>
      <c r="EY107" s="185">
        <v>315153.84242</v>
      </c>
      <c r="EZ107" s="185">
        <v>331149.18050000002</v>
      </c>
      <c r="FA107" s="185">
        <v>312843.70023000002</v>
      </c>
      <c r="FB107" s="185"/>
      <c r="FC107" s="185">
        <v>314725.49316999997</v>
      </c>
      <c r="FD107" s="185"/>
      <c r="FE107" s="194"/>
      <c r="FF107" s="185"/>
      <c r="FG107" s="185"/>
      <c r="FH107" s="185"/>
      <c r="FI107" s="185"/>
      <c r="FJ107" s="185"/>
      <c r="FK107" s="185"/>
      <c r="FL107" s="185"/>
      <c r="FM107" s="185"/>
      <c r="FN107" s="185"/>
      <c r="FO107" s="185"/>
      <c r="FP107" s="185"/>
      <c r="FQ107" s="185"/>
      <c r="FR107" s="194"/>
    </row>
    <row r="108" spans="4:174" x14ac:dyDescent="0.25">
      <c r="E108" s="2" t="s">
        <v>193</v>
      </c>
      <c r="F108" s="184">
        <v>23.149339999999999</v>
      </c>
      <c r="G108" s="185">
        <v>18.137090000000001</v>
      </c>
      <c r="H108" s="185">
        <v>16.938490000000002</v>
      </c>
      <c r="I108" s="185">
        <v>18.481200000000001</v>
      </c>
      <c r="J108" s="185">
        <v>21.907979999999998</v>
      </c>
      <c r="K108" s="185">
        <v>22.56344</v>
      </c>
      <c r="L108" s="185">
        <v>21.90382</v>
      </c>
      <c r="M108" s="185">
        <v>20.715160000000001</v>
      </c>
      <c r="N108" s="185">
        <v>19.508669999999999</v>
      </c>
      <c r="O108" s="185"/>
      <c r="P108" s="185">
        <v>18.804300000000001</v>
      </c>
      <c r="Q108" s="185"/>
      <c r="R108" s="194"/>
      <c r="S108" s="185">
        <v>57.515740000000001</v>
      </c>
      <c r="T108" s="185">
        <v>58.997369999999997</v>
      </c>
      <c r="U108" s="185">
        <v>61.486890000000002</v>
      </c>
      <c r="V108" s="185">
        <v>62.090420000000002</v>
      </c>
      <c r="W108" s="185">
        <v>63.993650000000002</v>
      </c>
      <c r="X108" s="185">
        <v>62.69164</v>
      </c>
      <c r="Y108" s="185">
        <v>63.442689999999999</v>
      </c>
      <c r="Z108" s="185">
        <v>63.584310000000002</v>
      </c>
      <c r="AA108" s="185">
        <v>64.446359999999999</v>
      </c>
      <c r="AB108" s="185"/>
      <c r="AC108" s="185">
        <v>63.566580000000002</v>
      </c>
      <c r="AD108" s="185"/>
      <c r="AE108" s="194"/>
      <c r="AF108" s="185">
        <v>6.7224300000000001</v>
      </c>
      <c r="AG108" s="185">
        <v>7.1890999999999998</v>
      </c>
      <c r="AH108" s="185">
        <v>7.2471399999999999</v>
      </c>
      <c r="AI108" s="185">
        <v>6.1469300000000002</v>
      </c>
      <c r="AJ108" s="185">
        <v>6.7621000000000002</v>
      </c>
      <c r="AK108" s="185">
        <v>7.0964999999999998</v>
      </c>
      <c r="AL108" s="185">
        <v>6.8507600000000002</v>
      </c>
      <c r="AM108" s="185">
        <v>6.8190999999999997</v>
      </c>
      <c r="AN108" s="185">
        <v>6.7390800000000004</v>
      </c>
      <c r="AO108" s="185"/>
      <c r="AP108" s="185">
        <v>5.9018100000000002</v>
      </c>
      <c r="AQ108" s="185"/>
      <c r="AR108" s="194"/>
      <c r="AS108" s="185">
        <v>0.22042</v>
      </c>
      <c r="AT108" s="185">
        <v>0.23019999999999999</v>
      </c>
      <c r="AU108" s="185">
        <v>0.23899999999999999</v>
      </c>
      <c r="AV108" s="185">
        <v>0.24432999999999999</v>
      </c>
      <c r="AW108" s="185">
        <v>0.26690000000000003</v>
      </c>
      <c r="AX108" s="185">
        <v>0.28338999999999998</v>
      </c>
      <c r="AY108" s="185">
        <v>0.28201999999999999</v>
      </c>
      <c r="AZ108" s="185">
        <v>0.2868</v>
      </c>
      <c r="BA108" s="185">
        <v>0.27118999999999999</v>
      </c>
      <c r="BB108" s="185"/>
      <c r="BC108" s="185">
        <v>0.28632999999999997</v>
      </c>
      <c r="BD108" s="185"/>
      <c r="BE108" s="194"/>
      <c r="BF108" s="185">
        <v>0.29618</v>
      </c>
      <c r="BG108" s="185">
        <v>0.59885999999999995</v>
      </c>
      <c r="BH108" s="185">
        <v>0.12504999999999999</v>
      </c>
      <c r="BI108" s="185">
        <v>0.12262000000000001</v>
      </c>
      <c r="BJ108" s="185">
        <v>0.22996</v>
      </c>
      <c r="BK108" s="185">
        <v>8.906E-2</v>
      </c>
      <c r="BL108" s="185">
        <v>0.19878000000000001</v>
      </c>
      <c r="BM108" s="185">
        <v>4.7579999999999997E-2</v>
      </c>
      <c r="BN108" s="185">
        <v>0.20863000000000001</v>
      </c>
      <c r="BO108" s="185"/>
      <c r="BP108" s="185">
        <v>-2.0570000000000001E-2</v>
      </c>
      <c r="BQ108" s="185"/>
      <c r="BR108" s="194"/>
      <c r="BS108" s="185">
        <v>0</v>
      </c>
      <c r="BT108" s="185">
        <v>-7.4901600000000004</v>
      </c>
      <c r="BU108" s="185">
        <v>-8.5843500000000006</v>
      </c>
      <c r="BV108" s="185">
        <v>-3.3928699999999998</v>
      </c>
      <c r="BW108" s="185">
        <v>-1.36866</v>
      </c>
      <c r="BX108" s="185">
        <v>-3.0870000000000002E-2</v>
      </c>
      <c r="BY108" s="185">
        <v>0</v>
      </c>
      <c r="BZ108" s="185">
        <v>0</v>
      </c>
      <c r="CA108" s="185">
        <v>0</v>
      </c>
      <c r="CB108" s="185"/>
      <c r="CC108" s="185">
        <v>0</v>
      </c>
      <c r="CD108" s="185"/>
      <c r="CE108" s="194"/>
      <c r="CF108" s="185">
        <v>64.754779999999997</v>
      </c>
      <c r="CG108" s="185">
        <v>67.015519999999995</v>
      </c>
      <c r="CH108" s="185">
        <v>69.098079999999996</v>
      </c>
      <c r="CI108" s="185">
        <v>68.604309999999998</v>
      </c>
      <c r="CJ108" s="185">
        <v>71.252610000000004</v>
      </c>
      <c r="CK108" s="185">
        <v>70.160579999999996</v>
      </c>
      <c r="CL108" s="185">
        <v>70.774249999999995</v>
      </c>
      <c r="CM108" s="185">
        <v>70.737780000000001</v>
      </c>
      <c r="CN108" s="185">
        <v>71.665270000000007</v>
      </c>
      <c r="CO108" s="185"/>
      <c r="CP108" s="185">
        <v>69.73415</v>
      </c>
      <c r="CQ108" s="185"/>
      <c r="CR108" s="194"/>
      <c r="CS108" s="185">
        <v>41.605429999999998</v>
      </c>
      <c r="CT108" s="185">
        <v>41.388269999999999</v>
      </c>
      <c r="CU108" s="185">
        <v>43.575240000000001</v>
      </c>
      <c r="CV108" s="185">
        <v>46.730240000000002</v>
      </c>
      <c r="CW108" s="185">
        <v>47.975960000000001</v>
      </c>
      <c r="CX108" s="185">
        <v>47.566270000000003</v>
      </c>
      <c r="CY108" s="185">
        <v>48.870420000000003</v>
      </c>
      <c r="CZ108" s="185">
        <v>50.022629999999999</v>
      </c>
      <c r="DA108" s="185">
        <v>52.156599999999997</v>
      </c>
      <c r="DB108" s="185"/>
      <c r="DC108" s="185">
        <v>50.929850000000002</v>
      </c>
      <c r="DD108" s="185"/>
      <c r="DE108" s="194"/>
      <c r="DF108" s="187">
        <v>0.1038</v>
      </c>
      <c r="DG108" s="187">
        <v>0.10730000000000001</v>
      </c>
      <c r="DH108" s="187">
        <v>0.10489999999999999</v>
      </c>
      <c r="DI108" s="187">
        <v>8.9599999999999999E-2</v>
      </c>
      <c r="DJ108" s="187">
        <v>9.4899999999999998E-2</v>
      </c>
      <c r="DK108" s="187">
        <v>0.1011</v>
      </c>
      <c r="DL108" s="187">
        <v>9.6799999999999997E-2</v>
      </c>
      <c r="DM108" s="187">
        <v>9.64E-2</v>
      </c>
      <c r="DN108" s="187">
        <v>9.4E-2</v>
      </c>
      <c r="DO108" s="187"/>
      <c r="DP108" s="187">
        <v>8.4599999999999995E-2</v>
      </c>
      <c r="DQ108" s="187"/>
      <c r="DR108" s="195"/>
      <c r="DS108" s="185">
        <v>71259.70938</v>
      </c>
      <c r="DT108" s="185">
        <v>71243.024560000005</v>
      </c>
      <c r="DU108" s="185">
        <v>71281.711920000002</v>
      </c>
      <c r="DV108" s="185">
        <v>70448.337090000001</v>
      </c>
      <c r="DW108" s="185">
        <v>72549.469570000001</v>
      </c>
      <c r="DX108" s="185">
        <v>70795.942720000006</v>
      </c>
      <c r="DY108" s="185">
        <v>66174.886570000002</v>
      </c>
      <c r="DZ108" s="185">
        <v>65262.615030000001</v>
      </c>
      <c r="EA108" s="185">
        <v>65302.767979999997</v>
      </c>
      <c r="EB108" s="185"/>
      <c r="EC108" s="185">
        <v>67013.23891</v>
      </c>
      <c r="ED108" s="185"/>
      <c r="EE108" s="194"/>
      <c r="EF108" s="185">
        <v>0</v>
      </c>
      <c r="EG108" s="185">
        <v>0</v>
      </c>
      <c r="EH108" s="185">
        <v>0</v>
      </c>
      <c r="EI108" s="185">
        <v>0</v>
      </c>
      <c r="EJ108" s="185">
        <v>0</v>
      </c>
      <c r="EK108" s="185">
        <v>0</v>
      </c>
      <c r="EL108" s="185">
        <v>0</v>
      </c>
      <c r="EM108" s="185">
        <v>0</v>
      </c>
      <c r="EN108" s="185">
        <v>0</v>
      </c>
      <c r="EO108" s="185"/>
      <c r="EP108" s="185">
        <v>0</v>
      </c>
      <c r="EQ108" s="185"/>
      <c r="ER108" s="194"/>
      <c r="ES108" s="185">
        <v>2033925.4879099999</v>
      </c>
      <c r="ET108" s="185">
        <v>1567300.3117899999</v>
      </c>
      <c r="EU108" s="185">
        <v>1393585.7816999999</v>
      </c>
      <c r="EV108" s="185">
        <v>1654314.91411</v>
      </c>
      <c r="EW108" s="185">
        <v>1775216.0856999999</v>
      </c>
      <c r="EX108" s="185">
        <v>1739514.2955199999</v>
      </c>
      <c r="EY108" s="185">
        <v>1657397.3237399999</v>
      </c>
      <c r="EZ108" s="185">
        <v>1630389.4589</v>
      </c>
      <c r="FA108" s="185">
        <v>1545967.3570900001</v>
      </c>
      <c r="FB108" s="185"/>
      <c r="FC108" s="185">
        <v>1477248.74627</v>
      </c>
      <c r="FD108" s="185"/>
      <c r="FE108" s="194"/>
      <c r="FF108" s="185"/>
      <c r="FG108" s="185"/>
      <c r="FH108" s="185"/>
      <c r="FI108" s="185"/>
      <c r="FJ108" s="185"/>
      <c r="FK108" s="185"/>
      <c r="FL108" s="185"/>
      <c r="FM108" s="185"/>
      <c r="FN108" s="185"/>
      <c r="FO108" s="185"/>
      <c r="FP108" s="185"/>
      <c r="FQ108" s="185"/>
      <c r="FR108" s="194"/>
    </row>
    <row r="109" spans="4:174" x14ac:dyDescent="0.25">
      <c r="E109" s="2" t="s">
        <v>194</v>
      </c>
      <c r="F109" s="184">
        <v>23.06381</v>
      </c>
      <c r="G109" s="185">
        <v>15.390510000000001</v>
      </c>
      <c r="H109" s="185">
        <v>19.16469</v>
      </c>
      <c r="I109" s="185">
        <v>19.123169999999998</v>
      </c>
      <c r="J109" s="185">
        <v>20.98826</v>
      </c>
      <c r="K109" s="185">
        <v>20.78398</v>
      </c>
      <c r="L109" s="185">
        <v>20.33286</v>
      </c>
      <c r="M109" s="185">
        <v>20.121739999999999</v>
      </c>
      <c r="N109" s="185">
        <v>19.761289999999999</v>
      </c>
      <c r="O109" s="185"/>
      <c r="P109" s="185">
        <v>20.531980000000001</v>
      </c>
      <c r="Q109" s="185"/>
      <c r="R109" s="194"/>
      <c r="S109" s="185">
        <v>56.971969999999999</v>
      </c>
      <c r="T109" s="185">
        <v>58.466239999999999</v>
      </c>
      <c r="U109" s="185">
        <v>58.094009999999997</v>
      </c>
      <c r="V109" s="185">
        <v>63.790869999999998</v>
      </c>
      <c r="W109" s="185">
        <v>62.780239999999999</v>
      </c>
      <c r="X109" s="185">
        <v>57.842509999999997</v>
      </c>
      <c r="Y109" s="185">
        <v>60.099240000000002</v>
      </c>
      <c r="Z109" s="185">
        <v>64.253519999999995</v>
      </c>
      <c r="AA109" s="185">
        <v>65.382649999999998</v>
      </c>
      <c r="AB109" s="185"/>
      <c r="AC109" s="185">
        <v>67.427459999999996</v>
      </c>
      <c r="AD109" s="185"/>
      <c r="AE109" s="194"/>
      <c r="AF109" s="185">
        <v>7.31088</v>
      </c>
      <c r="AG109" s="185">
        <v>7.2156000000000002</v>
      </c>
      <c r="AH109" s="185">
        <v>7.48447</v>
      </c>
      <c r="AI109" s="185">
        <v>6.3950300000000002</v>
      </c>
      <c r="AJ109" s="185">
        <v>6.4629000000000003</v>
      </c>
      <c r="AK109" s="185">
        <v>6.1595199999999997</v>
      </c>
      <c r="AL109" s="185">
        <v>6.2253800000000004</v>
      </c>
      <c r="AM109" s="185">
        <v>6.6650299999999998</v>
      </c>
      <c r="AN109" s="185">
        <v>6.8058199999999998</v>
      </c>
      <c r="AO109" s="185"/>
      <c r="AP109" s="185">
        <v>6.3524200000000004</v>
      </c>
      <c r="AQ109" s="185"/>
      <c r="AR109" s="194"/>
      <c r="AS109" s="185">
        <v>0.25929000000000002</v>
      </c>
      <c r="AT109" s="185">
        <v>0.26139000000000001</v>
      </c>
      <c r="AU109" s="185">
        <v>0.25308000000000003</v>
      </c>
      <c r="AV109" s="185">
        <v>0.25957000000000002</v>
      </c>
      <c r="AW109" s="185">
        <v>0.25502999999999998</v>
      </c>
      <c r="AX109" s="185">
        <v>0.24068999999999999</v>
      </c>
      <c r="AY109" s="185">
        <v>0.25530000000000003</v>
      </c>
      <c r="AZ109" s="185">
        <v>0.28097</v>
      </c>
      <c r="BA109" s="185">
        <v>0.27365</v>
      </c>
      <c r="BB109" s="185"/>
      <c r="BC109" s="185">
        <v>0.30556</v>
      </c>
      <c r="BD109" s="185"/>
      <c r="BE109" s="194"/>
      <c r="BF109" s="185">
        <v>0.34839999999999999</v>
      </c>
      <c r="BG109" s="185">
        <v>0.68</v>
      </c>
      <c r="BH109" s="185">
        <v>0.13242000000000001</v>
      </c>
      <c r="BI109" s="185">
        <v>0.13027</v>
      </c>
      <c r="BJ109" s="185">
        <v>0.21973000000000001</v>
      </c>
      <c r="BK109" s="185">
        <v>7.5639999999999999E-2</v>
      </c>
      <c r="BL109" s="185">
        <v>0.17993999999999999</v>
      </c>
      <c r="BM109" s="185">
        <v>4.6620000000000002E-2</v>
      </c>
      <c r="BN109" s="185">
        <v>0.21052000000000001</v>
      </c>
      <c r="BO109" s="185"/>
      <c r="BP109" s="185">
        <v>-2.1950000000000001E-2</v>
      </c>
      <c r="BQ109" s="185"/>
      <c r="BR109" s="194"/>
      <c r="BS109" s="185">
        <v>0</v>
      </c>
      <c r="BT109" s="185">
        <v>-9.0186200000000003</v>
      </c>
      <c r="BU109" s="185">
        <v>-1.9809600000000001</v>
      </c>
      <c r="BV109" s="185">
        <v>-0.76458000000000004</v>
      </c>
      <c r="BW109" s="185">
        <v>-0.93508000000000002</v>
      </c>
      <c r="BX109" s="185">
        <v>-3.0280000000000001E-2</v>
      </c>
      <c r="BY109" s="185">
        <v>0</v>
      </c>
      <c r="BZ109" s="185">
        <v>0</v>
      </c>
      <c r="CA109" s="185">
        <v>0</v>
      </c>
      <c r="CB109" s="185"/>
      <c r="CC109" s="185">
        <v>0</v>
      </c>
      <c r="CD109" s="185"/>
      <c r="CE109" s="194"/>
      <c r="CF109" s="185">
        <v>64.890540000000001</v>
      </c>
      <c r="CG109" s="185">
        <v>66.623230000000007</v>
      </c>
      <c r="CH109" s="185">
        <v>65.963980000000006</v>
      </c>
      <c r="CI109" s="185">
        <v>70.575729999999993</v>
      </c>
      <c r="CJ109" s="185">
        <v>69.717910000000003</v>
      </c>
      <c r="CK109" s="185">
        <v>64.318370000000002</v>
      </c>
      <c r="CL109" s="185">
        <v>66.759870000000006</v>
      </c>
      <c r="CM109" s="185">
        <v>71.246129999999994</v>
      </c>
      <c r="CN109" s="185">
        <v>72.672640000000001</v>
      </c>
      <c r="CO109" s="185"/>
      <c r="CP109" s="185">
        <v>74.063490000000002</v>
      </c>
      <c r="CQ109" s="185"/>
      <c r="CR109" s="194"/>
      <c r="CS109" s="185">
        <v>41.826729999999998</v>
      </c>
      <c r="CT109" s="185">
        <v>42.214100000000002</v>
      </c>
      <c r="CU109" s="185">
        <v>44.818339999999999</v>
      </c>
      <c r="CV109" s="185">
        <v>50.687980000000003</v>
      </c>
      <c r="CW109" s="185">
        <v>47.79457</v>
      </c>
      <c r="CX109" s="185">
        <v>43.504100000000001</v>
      </c>
      <c r="CY109" s="185">
        <v>46.427010000000003</v>
      </c>
      <c r="CZ109" s="185">
        <v>51.124389999999998</v>
      </c>
      <c r="DA109" s="185">
        <v>52.911349999999999</v>
      </c>
      <c r="DB109" s="185"/>
      <c r="DC109" s="185">
        <v>53.531500000000001</v>
      </c>
      <c r="DD109" s="185"/>
      <c r="DE109" s="194"/>
      <c r="DF109" s="187">
        <v>0.11269999999999999</v>
      </c>
      <c r="DG109" s="187">
        <v>0.10829999999999999</v>
      </c>
      <c r="DH109" s="187">
        <v>0.1135</v>
      </c>
      <c r="DI109" s="187">
        <v>9.06E-2</v>
      </c>
      <c r="DJ109" s="187">
        <v>9.2700000000000005E-2</v>
      </c>
      <c r="DK109" s="187">
        <v>9.5799999999999996E-2</v>
      </c>
      <c r="DL109" s="187">
        <v>9.3299999999999994E-2</v>
      </c>
      <c r="DM109" s="187">
        <v>9.35E-2</v>
      </c>
      <c r="DN109" s="187">
        <v>9.3700000000000006E-2</v>
      </c>
      <c r="DO109" s="187"/>
      <c r="DP109" s="187">
        <v>8.5800000000000001E-2</v>
      </c>
      <c r="DQ109" s="187"/>
      <c r="DR109" s="195"/>
      <c r="DS109" s="185">
        <v>83825.262579999995</v>
      </c>
      <c r="DT109" s="185">
        <v>80896.647190000003</v>
      </c>
      <c r="DU109" s="185">
        <v>75480.954610000001</v>
      </c>
      <c r="DV109" s="185">
        <v>74841.127590000004</v>
      </c>
      <c r="DW109" s="185">
        <v>69323.274690000006</v>
      </c>
      <c r="DX109" s="185">
        <v>60130.304360000002</v>
      </c>
      <c r="DY109" s="185">
        <v>59904.996760000002</v>
      </c>
      <c r="DZ109" s="185">
        <v>63936.06912</v>
      </c>
      <c r="EA109" s="185">
        <v>65893.686969999995</v>
      </c>
      <c r="EB109" s="185"/>
      <c r="EC109" s="185">
        <v>73783.481069999994</v>
      </c>
      <c r="ED109" s="185"/>
      <c r="EE109" s="194"/>
      <c r="EF109" s="185">
        <v>0</v>
      </c>
      <c r="EG109" s="185">
        <v>0</v>
      </c>
      <c r="EH109" s="185">
        <v>0</v>
      </c>
      <c r="EI109" s="185">
        <v>0</v>
      </c>
      <c r="EJ109" s="185">
        <v>0</v>
      </c>
      <c r="EK109" s="185">
        <v>0</v>
      </c>
      <c r="EL109" s="185">
        <v>0</v>
      </c>
      <c r="EM109" s="185">
        <v>0</v>
      </c>
      <c r="EN109" s="185">
        <v>0</v>
      </c>
      <c r="EO109" s="185"/>
      <c r="EP109" s="185">
        <v>0</v>
      </c>
      <c r="EQ109" s="185"/>
      <c r="ER109" s="194"/>
      <c r="ES109" s="185">
        <v>2213161.5317299999</v>
      </c>
      <c r="ET109" s="185">
        <v>1726372.81272</v>
      </c>
      <c r="EU109" s="185">
        <v>1547052.9749400001</v>
      </c>
      <c r="EV109" s="185">
        <v>1903009.87735</v>
      </c>
      <c r="EW109" s="185">
        <v>1805132.9287700001</v>
      </c>
      <c r="EX109" s="185">
        <v>1687687.3071600001</v>
      </c>
      <c r="EY109" s="185">
        <v>1558457.13408</v>
      </c>
      <c r="EZ109" s="185">
        <v>1646957.6492999999</v>
      </c>
      <c r="FA109" s="185">
        <v>1590564.9967700001</v>
      </c>
      <c r="FB109" s="185"/>
      <c r="FC109" s="185">
        <v>1609318.5730699999</v>
      </c>
      <c r="FD109" s="185"/>
      <c r="FE109" s="194"/>
      <c r="FF109" s="185"/>
      <c r="FG109" s="185"/>
      <c r="FH109" s="185"/>
      <c r="FI109" s="185"/>
      <c r="FJ109" s="185"/>
      <c r="FK109" s="185"/>
      <c r="FL109" s="185"/>
      <c r="FM109" s="185"/>
      <c r="FN109" s="185"/>
      <c r="FO109" s="185"/>
      <c r="FP109" s="185"/>
      <c r="FQ109" s="185"/>
      <c r="FR109" s="194"/>
    </row>
    <row r="110" spans="4:174" x14ac:dyDescent="0.25">
      <c r="E110" s="2" t="s">
        <v>195</v>
      </c>
      <c r="F110" s="184">
        <v>2.7407499999999998</v>
      </c>
      <c r="G110" s="185">
        <v>3.1770399999999999</v>
      </c>
      <c r="H110" s="185">
        <v>3.0961400000000001</v>
      </c>
      <c r="I110" s="185">
        <v>3.3138700000000001</v>
      </c>
      <c r="J110" s="185">
        <v>3.7457699999999998</v>
      </c>
      <c r="K110" s="185">
        <v>3.8538600000000001</v>
      </c>
      <c r="L110" s="185">
        <v>3.9843000000000002</v>
      </c>
      <c r="M110" s="185">
        <v>3.53356</v>
      </c>
      <c r="N110" s="185">
        <v>3.8688899999999999</v>
      </c>
      <c r="O110" s="185"/>
      <c r="P110" s="185">
        <v>3.9151899999999999</v>
      </c>
      <c r="Q110" s="185"/>
      <c r="R110" s="194"/>
      <c r="S110" s="185">
        <v>12.06457</v>
      </c>
      <c r="T110" s="185">
        <v>14.15479</v>
      </c>
      <c r="U110" s="185">
        <v>14.11553</v>
      </c>
      <c r="V110" s="185">
        <v>12.431699999999999</v>
      </c>
      <c r="W110" s="185">
        <v>12.011430000000001</v>
      </c>
      <c r="X110" s="185">
        <v>12.335430000000001</v>
      </c>
      <c r="Y110" s="185">
        <v>12.395910000000001</v>
      </c>
      <c r="Z110" s="185">
        <v>12.331860000000001</v>
      </c>
      <c r="AA110" s="185">
        <v>13.02582</v>
      </c>
      <c r="AB110" s="185"/>
      <c r="AC110" s="185">
        <v>15.50482</v>
      </c>
      <c r="AD110" s="185"/>
      <c r="AE110" s="194"/>
      <c r="AF110" s="185">
        <v>1.1459999999999999</v>
      </c>
      <c r="AG110" s="185">
        <v>1.5322</v>
      </c>
      <c r="AH110" s="185">
        <v>1.5642499999999999</v>
      </c>
      <c r="AI110" s="185">
        <v>1.2757700000000001</v>
      </c>
      <c r="AJ110" s="185">
        <v>1.3735299999999999</v>
      </c>
      <c r="AK110" s="185">
        <v>1.54088</v>
      </c>
      <c r="AL110" s="185">
        <v>1.73614</v>
      </c>
      <c r="AM110" s="185">
        <v>1.72265</v>
      </c>
      <c r="AN110" s="185">
        <v>1.69998</v>
      </c>
      <c r="AO110" s="185"/>
      <c r="AP110" s="185">
        <v>1.46288</v>
      </c>
      <c r="AQ110" s="185"/>
      <c r="AR110" s="194"/>
      <c r="AS110" s="185">
        <v>4.3139999999999998E-2</v>
      </c>
      <c r="AT110" s="185">
        <v>5.4760000000000003E-2</v>
      </c>
      <c r="AU110" s="185">
        <v>5.5930000000000001E-2</v>
      </c>
      <c r="AV110" s="185">
        <v>5.287E-2</v>
      </c>
      <c r="AW110" s="185">
        <v>5.6030000000000003E-2</v>
      </c>
      <c r="AX110" s="185">
        <v>6.4519999999999994E-2</v>
      </c>
      <c r="AY110" s="185">
        <v>7.7579999999999996E-2</v>
      </c>
      <c r="AZ110" s="185">
        <v>8.0280000000000004E-2</v>
      </c>
      <c r="BA110" s="185">
        <v>7.2840000000000002E-2</v>
      </c>
      <c r="BB110" s="185"/>
      <c r="BC110" s="185">
        <v>7.6410000000000006E-2</v>
      </c>
      <c r="BD110" s="185"/>
      <c r="BE110" s="194"/>
      <c r="BF110" s="185">
        <v>5.7959999999999998E-2</v>
      </c>
      <c r="BG110" s="185">
        <v>0.14247000000000001</v>
      </c>
      <c r="BH110" s="185">
        <v>2.9260000000000001E-2</v>
      </c>
      <c r="BI110" s="185">
        <v>2.6540000000000001E-2</v>
      </c>
      <c r="BJ110" s="185">
        <v>4.8280000000000003E-2</v>
      </c>
      <c r="BK110" s="185">
        <v>2.0279999999999999E-2</v>
      </c>
      <c r="BL110" s="185">
        <v>5.4679999999999999E-2</v>
      </c>
      <c r="BM110" s="185">
        <v>1.332E-2</v>
      </c>
      <c r="BN110" s="185">
        <v>5.604E-2</v>
      </c>
      <c r="BO110" s="185"/>
      <c r="BP110" s="185">
        <v>-5.4900000000000001E-3</v>
      </c>
      <c r="BQ110" s="185"/>
      <c r="BR110" s="194"/>
      <c r="BS110" s="185">
        <v>0</v>
      </c>
      <c r="BT110" s="185">
        <v>-1.06691</v>
      </c>
      <c r="BU110" s="185">
        <v>-0.84162999999999999</v>
      </c>
      <c r="BV110" s="185">
        <v>-0.14940000000000001</v>
      </c>
      <c r="BW110" s="185">
        <v>-0.17854</v>
      </c>
      <c r="BX110" s="185">
        <v>-5.79E-3</v>
      </c>
      <c r="BY110" s="185">
        <v>0</v>
      </c>
      <c r="BZ110" s="185">
        <v>0</v>
      </c>
      <c r="CA110" s="185">
        <v>0</v>
      </c>
      <c r="CB110" s="185"/>
      <c r="CC110" s="185">
        <v>0</v>
      </c>
      <c r="CD110" s="185"/>
      <c r="CE110" s="194"/>
      <c r="CF110" s="185">
        <v>13.31166</v>
      </c>
      <c r="CG110" s="185">
        <v>15.884230000000001</v>
      </c>
      <c r="CH110" s="185">
        <v>15.76498</v>
      </c>
      <c r="CI110" s="185">
        <v>13.78687</v>
      </c>
      <c r="CJ110" s="185">
        <v>13.489269999999999</v>
      </c>
      <c r="CK110" s="185">
        <v>13.9611</v>
      </c>
      <c r="CL110" s="185">
        <v>14.26431</v>
      </c>
      <c r="CM110" s="185">
        <v>14.148099999999999</v>
      </c>
      <c r="CN110" s="185">
        <v>14.85468</v>
      </c>
      <c r="CO110" s="185"/>
      <c r="CP110" s="185">
        <v>17.038620000000002</v>
      </c>
      <c r="CQ110" s="185"/>
      <c r="CR110" s="194"/>
      <c r="CS110" s="185">
        <v>10.57091</v>
      </c>
      <c r="CT110" s="185">
        <v>11.640269999999999</v>
      </c>
      <c r="CU110" s="185">
        <v>11.827199999999999</v>
      </c>
      <c r="CV110" s="185">
        <v>10.323600000000001</v>
      </c>
      <c r="CW110" s="185">
        <v>9.5649599999999992</v>
      </c>
      <c r="CX110" s="185">
        <v>10.10145</v>
      </c>
      <c r="CY110" s="185">
        <v>10.280010000000001</v>
      </c>
      <c r="CZ110" s="185">
        <v>10.61454</v>
      </c>
      <c r="DA110" s="185">
        <v>10.98578</v>
      </c>
      <c r="DB110" s="185"/>
      <c r="DC110" s="185">
        <v>13.123430000000001</v>
      </c>
      <c r="DD110" s="185"/>
      <c r="DE110" s="194"/>
      <c r="DF110" s="187">
        <v>8.6099999999999996E-2</v>
      </c>
      <c r="DG110" s="187">
        <v>9.6500000000000002E-2</v>
      </c>
      <c r="DH110" s="187">
        <v>9.9199999999999997E-2</v>
      </c>
      <c r="DI110" s="187">
        <v>9.2499999999999999E-2</v>
      </c>
      <c r="DJ110" s="187">
        <v>0.1018</v>
      </c>
      <c r="DK110" s="187">
        <v>0.1104</v>
      </c>
      <c r="DL110" s="187">
        <v>0.1217</v>
      </c>
      <c r="DM110" s="187">
        <v>0.12180000000000001</v>
      </c>
      <c r="DN110" s="187">
        <v>0.1144</v>
      </c>
      <c r="DO110" s="187"/>
      <c r="DP110" s="187">
        <v>8.5900000000000004E-2</v>
      </c>
      <c r="DQ110" s="187"/>
      <c r="DR110" s="195"/>
      <c r="DS110" s="185">
        <v>13945.133330000001</v>
      </c>
      <c r="DT110" s="185">
        <v>16949.123790000001</v>
      </c>
      <c r="DU110" s="185">
        <v>16681.666669999999</v>
      </c>
      <c r="DV110" s="185">
        <v>15245.18333</v>
      </c>
      <c r="DW110" s="185">
        <v>15230.28333</v>
      </c>
      <c r="DX110" s="185">
        <v>16118.666670000001</v>
      </c>
      <c r="DY110" s="185">
        <v>18203.18333</v>
      </c>
      <c r="DZ110" s="185">
        <v>18267.933359999999</v>
      </c>
      <c r="EA110" s="185">
        <v>17540.349999999999</v>
      </c>
      <c r="EB110" s="185"/>
      <c r="EC110" s="185">
        <v>17540.349999999999</v>
      </c>
      <c r="ED110" s="185"/>
      <c r="EE110" s="194"/>
      <c r="EF110" s="185">
        <v>0</v>
      </c>
      <c r="EG110" s="185">
        <v>0</v>
      </c>
      <c r="EH110" s="185">
        <v>0</v>
      </c>
      <c r="EI110" s="185">
        <v>0</v>
      </c>
      <c r="EJ110" s="185">
        <v>0</v>
      </c>
      <c r="EK110" s="185">
        <v>0</v>
      </c>
      <c r="EL110" s="185">
        <v>0</v>
      </c>
      <c r="EM110" s="185">
        <v>0</v>
      </c>
      <c r="EN110" s="185">
        <v>0</v>
      </c>
      <c r="EO110" s="185"/>
      <c r="EP110" s="185">
        <v>0</v>
      </c>
      <c r="EQ110" s="185"/>
      <c r="ER110" s="194"/>
      <c r="ES110" s="185">
        <v>188904.66</v>
      </c>
      <c r="ET110" s="185">
        <v>206164.18935</v>
      </c>
      <c r="EU110" s="185">
        <v>188889.27137999999</v>
      </c>
      <c r="EV110" s="185">
        <v>220521.39897000001</v>
      </c>
      <c r="EW110" s="185">
        <v>216378.86572</v>
      </c>
      <c r="EX110" s="185">
        <v>203280.45447999999</v>
      </c>
      <c r="EY110" s="185">
        <v>207336.86499999999</v>
      </c>
      <c r="EZ110" s="185">
        <v>182750.49648999999</v>
      </c>
      <c r="FA110" s="185">
        <v>208177.75416000001</v>
      </c>
      <c r="FB110" s="185"/>
      <c r="FC110" s="185">
        <v>209996.14608000001</v>
      </c>
      <c r="FD110" s="185"/>
      <c r="FE110" s="194"/>
      <c r="FF110" s="185"/>
      <c r="FG110" s="185"/>
      <c r="FH110" s="185"/>
      <c r="FI110" s="185"/>
      <c r="FJ110" s="185"/>
      <c r="FK110" s="185"/>
      <c r="FL110" s="185"/>
      <c r="FM110" s="185"/>
      <c r="FN110" s="185"/>
      <c r="FO110" s="185"/>
      <c r="FP110" s="185"/>
      <c r="FQ110" s="185"/>
      <c r="FR110" s="194"/>
    </row>
    <row r="111" spans="4:174" x14ac:dyDescent="0.25">
      <c r="E111" s="2" t="s">
        <v>196</v>
      </c>
      <c r="F111" s="184">
        <v>16.762280000000001</v>
      </c>
      <c r="G111" s="185">
        <v>12.96251</v>
      </c>
      <c r="H111" s="185">
        <v>15.63747</v>
      </c>
      <c r="I111" s="185">
        <v>15.47179</v>
      </c>
      <c r="J111" s="185">
        <v>17.651890000000002</v>
      </c>
      <c r="K111" s="185">
        <v>18.406559999999999</v>
      </c>
      <c r="L111" s="185">
        <v>17.993870000000001</v>
      </c>
      <c r="M111" s="185">
        <v>19.103190000000001</v>
      </c>
      <c r="N111" s="185">
        <v>17.452850000000002</v>
      </c>
      <c r="O111" s="185"/>
      <c r="P111" s="185">
        <v>18.900960000000001</v>
      </c>
      <c r="Q111" s="185"/>
      <c r="R111" s="194"/>
      <c r="S111" s="185">
        <v>39.431159999999998</v>
      </c>
      <c r="T111" s="185">
        <v>41.718600000000002</v>
      </c>
      <c r="U111" s="185">
        <v>43.083689999999997</v>
      </c>
      <c r="V111" s="185">
        <v>46.646059999999999</v>
      </c>
      <c r="W111" s="185">
        <v>48.501890000000003</v>
      </c>
      <c r="X111" s="185">
        <v>49.180149999999998</v>
      </c>
      <c r="Y111" s="185">
        <v>51.05639</v>
      </c>
      <c r="Z111" s="185">
        <v>51.849490000000003</v>
      </c>
      <c r="AA111" s="185">
        <v>52.288809999999998</v>
      </c>
      <c r="AB111" s="185"/>
      <c r="AC111" s="185">
        <v>53.83276</v>
      </c>
      <c r="AD111" s="185"/>
      <c r="AE111" s="194"/>
      <c r="AF111" s="185">
        <v>4.8620000000000001</v>
      </c>
      <c r="AG111" s="185">
        <v>5.2923</v>
      </c>
      <c r="AH111" s="185">
        <v>5.7763999999999998</v>
      </c>
      <c r="AI111" s="185">
        <v>5.0580299999999996</v>
      </c>
      <c r="AJ111" s="185">
        <v>5.4726900000000001</v>
      </c>
      <c r="AK111" s="185">
        <v>5.8669900000000004</v>
      </c>
      <c r="AL111" s="185">
        <v>5.6428700000000003</v>
      </c>
      <c r="AM111" s="185">
        <v>6.3611300000000002</v>
      </c>
      <c r="AN111" s="185">
        <v>6.2244299999999999</v>
      </c>
      <c r="AO111" s="185"/>
      <c r="AP111" s="185">
        <v>5.9760799999999996</v>
      </c>
      <c r="AQ111" s="185"/>
      <c r="AR111" s="194"/>
      <c r="AS111" s="185">
        <v>0.16836999999999999</v>
      </c>
      <c r="AT111" s="185">
        <v>0.18329000000000001</v>
      </c>
      <c r="AU111" s="185">
        <v>0.18942000000000001</v>
      </c>
      <c r="AV111" s="185">
        <v>0.19658</v>
      </c>
      <c r="AW111" s="185">
        <v>0.20777999999999999</v>
      </c>
      <c r="AX111" s="185">
        <v>0.22763</v>
      </c>
      <c r="AY111" s="185">
        <v>0.23457</v>
      </c>
      <c r="AZ111" s="185">
        <v>0.26849000000000001</v>
      </c>
      <c r="BA111" s="185">
        <v>0.25306000000000001</v>
      </c>
      <c r="BB111" s="185"/>
      <c r="BC111" s="185">
        <v>0.29049000000000003</v>
      </c>
      <c r="BD111" s="185"/>
      <c r="BE111" s="194"/>
      <c r="BF111" s="185">
        <v>0.22624</v>
      </c>
      <c r="BG111" s="185">
        <v>0.47682999999999998</v>
      </c>
      <c r="BH111" s="185">
        <v>9.9110000000000004E-2</v>
      </c>
      <c r="BI111" s="185">
        <v>9.8659999999999998E-2</v>
      </c>
      <c r="BJ111" s="185">
        <v>0.17902000000000001</v>
      </c>
      <c r="BK111" s="185">
        <v>7.1529999999999996E-2</v>
      </c>
      <c r="BL111" s="185">
        <v>0.16533999999999999</v>
      </c>
      <c r="BM111" s="185">
        <v>4.4549999999999999E-2</v>
      </c>
      <c r="BN111" s="185">
        <v>0.19467999999999999</v>
      </c>
      <c r="BO111" s="185"/>
      <c r="BP111" s="185">
        <v>-2.087E-2</v>
      </c>
      <c r="BQ111" s="185"/>
      <c r="BR111" s="194"/>
      <c r="BS111" s="185">
        <v>0</v>
      </c>
      <c r="BT111" s="185">
        <v>-5.1081700000000003</v>
      </c>
      <c r="BU111" s="185">
        <v>-3.0279500000000001</v>
      </c>
      <c r="BV111" s="185">
        <v>-1.4331499999999999</v>
      </c>
      <c r="BW111" s="185">
        <v>-0.85223000000000004</v>
      </c>
      <c r="BX111" s="185">
        <v>-2.3400000000000001E-2</v>
      </c>
      <c r="BY111" s="185">
        <v>0</v>
      </c>
      <c r="BZ111" s="185">
        <v>0</v>
      </c>
      <c r="CA111" s="185">
        <v>0</v>
      </c>
      <c r="CB111" s="185"/>
      <c r="CC111" s="185">
        <v>0</v>
      </c>
      <c r="CD111" s="185"/>
      <c r="CE111" s="194"/>
      <c r="CF111" s="185">
        <v>44.68777</v>
      </c>
      <c r="CG111" s="185">
        <v>47.671030000000002</v>
      </c>
      <c r="CH111" s="185">
        <v>49.148609999999998</v>
      </c>
      <c r="CI111" s="185">
        <v>51.99933</v>
      </c>
      <c r="CJ111" s="185">
        <v>54.361379999999997</v>
      </c>
      <c r="CK111" s="185">
        <v>55.346299999999999</v>
      </c>
      <c r="CL111" s="185">
        <v>57.099170000000001</v>
      </c>
      <c r="CM111" s="185">
        <v>58.523650000000004</v>
      </c>
      <c r="CN111" s="185">
        <v>58.960990000000002</v>
      </c>
      <c r="CO111" s="185"/>
      <c r="CP111" s="185">
        <v>60.078470000000003</v>
      </c>
      <c r="CQ111" s="185"/>
      <c r="CR111" s="194"/>
      <c r="CS111" s="185">
        <v>27.92549</v>
      </c>
      <c r="CT111" s="185">
        <v>29.600349999999999</v>
      </c>
      <c r="CU111" s="185">
        <v>30.48319</v>
      </c>
      <c r="CV111" s="185">
        <v>35.094380000000001</v>
      </c>
      <c r="CW111" s="185">
        <v>35.85727</v>
      </c>
      <c r="CX111" s="185">
        <v>36.916350000000001</v>
      </c>
      <c r="CY111" s="185">
        <v>39.1053</v>
      </c>
      <c r="CZ111" s="185">
        <v>39.420459999999999</v>
      </c>
      <c r="DA111" s="185">
        <v>41.508139999999997</v>
      </c>
      <c r="DB111" s="185"/>
      <c r="DC111" s="185">
        <v>41.177509999999998</v>
      </c>
      <c r="DD111" s="185"/>
      <c r="DE111" s="194"/>
      <c r="DF111" s="187">
        <v>0.10879999999999999</v>
      </c>
      <c r="DG111" s="187">
        <v>0.111</v>
      </c>
      <c r="DH111" s="187">
        <v>0.11749999999999999</v>
      </c>
      <c r="DI111" s="187">
        <v>9.7299999999999998E-2</v>
      </c>
      <c r="DJ111" s="187">
        <v>0.1007</v>
      </c>
      <c r="DK111" s="187">
        <v>0.106</v>
      </c>
      <c r="DL111" s="187">
        <v>9.8799999999999999E-2</v>
      </c>
      <c r="DM111" s="187">
        <v>0.1087</v>
      </c>
      <c r="DN111" s="187">
        <v>0.1056</v>
      </c>
      <c r="DO111" s="187"/>
      <c r="DP111" s="187">
        <v>9.9500000000000005E-2</v>
      </c>
      <c r="DQ111" s="187"/>
      <c r="DR111" s="195"/>
      <c r="DS111" s="185">
        <v>54433.309840000002</v>
      </c>
      <c r="DT111" s="185">
        <v>56726.57329</v>
      </c>
      <c r="DU111" s="185">
        <v>56494.431409999997</v>
      </c>
      <c r="DV111" s="185">
        <v>56681.19371</v>
      </c>
      <c r="DW111" s="185">
        <v>56478.4712</v>
      </c>
      <c r="DX111" s="185">
        <v>56867.012710000003</v>
      </c>
      <c r="DY111" s="185">
        <v>55041.813649999996</v>
      </c>
      <c r="DZ111" s="185">
        <v>61096.605839999997</v>
      </c>
      <c r="EA111" s="185">
        <v>60936.641300000003</v>
      </c>
      <c r="EB111" s="185"/>
      <c r="EC111" s="185">
        <v>69659.345409999994</v>
      </c>
      <c r="ED111" s="185"/>
      <c r="EE111" s="194"/>
      <c r="EF111" s="185">
        <v>0</v>
      </c>
      <c r="EG111" s="185">
        <v>0</v>
      </c>
      <c r="EH111" s="185">
        <v>0</v>
      </c>
      <c r="EI111" s="185">
        <v>0</v>
      </c>
      <c r="EJ111" s="185">
        <v>0</v>
      </c>
      <c r="EK111" s="185">
        <v>0</v>
      </c>
      <c r="EL111" s="185">
        <v>0</v>
      </c>
      <c r="EM111" s="185">
        <v>0</v>
      </c>
      <c r="EN111" s="185">
        <v>0</v>
      </c>
      <c r="EO111" s="185"/>
      <c r="EP111" s="185">
        <v>0</v>
      </c>
      <c r="EQ111" s="185"/>
      <c r="ER111" s="194"/>
      <c r="ES111" s="185">
        <v>1699787.4143999999</v>
      </c>
      <c r="ET111" s="185">
        <v>1374887.7980299999</v>
      </c>
      <c r="EU111" s="185">
        <v>1208157.6569999999</v>
      </c>
      <c r="EV111" s="185">
        <v>1445956.0974900001</v>
      </c>
      <c r="EW111" s="185">
        <v>1471197.03572</v>
      </c>
      <c r="EX111" s="185">
        <v>1450884.17973</v>
      </c>
      <c r="EY111" s="185">
        <v>1331692.88497</v>
      </c>
      <c r="EZ111" s="185">
        <v>1549417.7970400001</v>
      </c>
      <c r="FA111" s="185">
        <v>1457835.3491</v>
      </c>
      <c r="FB111" s="185"/>
      <c r="FC111" s="185">
        <v>1539619.5469599999</v>
      </c>
      <c r="FD111" s="185"/>
      <c r="FE111" s="194"/>
      <c r="FF111" s="185"/>
      <c r="FG111" s="185"/>
      <c r="FH111" s="185"/>
      <c r="FI111" s="185"/>
      <c r="FJ111" s="185"/>
      <c r="FK111" s="185"/>
      <c r="FL111" s="185"/>
      <c r="FM111" s="185"/>
      <c r="FN111" s="185"/>
      <c r="FO111" s="185"/>
      <c r="FP111" s="185"/>
      <c r="FQ111" s="185"/>
      <c r="FR111" s="194"/>
    </row>
    <row r="112" spans="4:174" x14ac:dyDescent="0.25">
      <c r="E112" s="2" t="s">
        <v>197</v>
      </c>
      <c r="F112" s="184">
        <v>10.993270000000001</v>
      </c>
      <c r="G112" s="185">
        <v>7.7738100000000001</v>
      </c>
      <c r="H112" s="185">
        <v>9.6244899999999998</v>
      </c>
      <c r="I112" s="185">
        <v>9.7847899999999992</v>
      </c>
      <c r="J112" s="185">
        <v>10.81216</v>
      </c>
      <c r="K112" s="185">
        <v>11.582079999999999</v>
      </c>
      <c r="L112" s="185">
        <v>11.799860000000001</v>
      </c>
      <c r="M112" s="185">
        <v>11.36177</v>
      </c>
      <c r="N112" s="185">
        <v>10.433299999999999</v>
      </c>
      <c r="O112" s="185"/>
      <c r="P112" s="185">
        <v>10.745850000000001</v>
      </c>
      <c r="Q112" s="185"/>
      <c r="R112" s="194"/>
      <c r="S112" s="185">
        <v>26.884170000000001</v>
      </c>
      <c r="T112" s="185">
        <v>28.33644</v>
      </c>
      <c r="U112" s="185">
        <v>29.00958</v>
      </c>
      <c r="V112" s="185">
        <v>33.86983</v>
      </c>
      <c r="W112" s="185">
        <v>33.510210000000001</v>
      </c>
      <c r="X112" s="185">
        <v>33.098799999999997</v>
      </c>
      <c r="Y112" s="185">
        <v>34.573270000000001</v>
      </c>
      <c r="Z112" s="185">
        <v>34.927720000000001</v>
      </c>
      <c r="AA112" s="185">
        <v>36.288460000000001</v>
      </c>
      <c r="AB112" s="185"/>
      <c r="AC112" s="185">
        <v>36.277700000000003</v>
      </c>
      <c r="AD112" s="185"/>
      <c r="AE112" s="194"/>
      <c r="AF112" s="185">
        <v>3.5064199999999999</v>
      </c>
      <c r="AG112" s="185">
        <v>3.6049899999999999</v>
      </c>
      <c r="AH112" s="185">
        <v>3.9954399999999999</v>
      </c>
      <c r="AI112" s="185">
        <v>3.42259</v>
      </c>
      <c r="AJ112" s="185">
        <v>3.6164100000000001</v>
      </c>
      <c r="AK112" s="185">
        <v>3.73387</v>
      </c>
      <c r="AL112" s="185">
        <v>3.9915400000000001</v>
      </c>
      <c r="AM112" s="185">
        <v>4.0594700000000001</v>
      </c>
      <c r="AN112" s="185">
        <v>3.9447299999999998</v>
      </c>
      <c r="AO112" s="185"/>
      <c r="AP112" s="185">
        <v>3.4883000000000002</v>
      </c>
      <c r="AQ112" s="185"/>
      <c r="AR112" s="194"/>
      <c r="AS112" s="185">
        <v>0.12284</v>
      </c>
      <c r="AT112" s="185">
        <v>0.13177</v>
      </c>
      <c r="AU112" s="185">
        <v>0.13827</v>
      </c>
      <c r="AV112" s="185">
        <v>0.14315</v>
      </c>
      <c r="AW112" s="185">
        <v>0.15156</v>
      </c>
      <c r="AX112" s="185">
        <v>0.15995999999999999</v>
      </c>
      <c r="AY112" s="185">
        <v>0.17834</v>
      </c>
      <c r="AZ112" s="185">
        <v>0.17623</v>
      </c>
      <c r="BA112" s="185">
        <v>0.16411999999999999</v>
      </c>
      <c r="BB112" s="185"/>
      <c r="BC112" s="185">
        <v>0.17216000000000001</v>
      </c>
      <c r="BD112" s="185"/>
      <c r="BE112" s="194"/>
      <c r="BF112" s="185">
        <v>0.16506000000000001</v>
      </c>
      <c r="BG112" s="185">
        <v>0.34279999999999999</v>
      </c>
      <c r="BH112" s="185">
        <v>7.2340000000000002E-2</v>
      </c>
      <c r="BI112" s="185">
        <v>7.1840000000000001E-2</v>
      </c>
      <c r="BJ112" s="185">
        <v>0.13058</v>
      </c>
      <c r="BK112" s="185">
        <v>5.0270000000000002E-2</v>
      </c>
      <c r="BL112" s="185">
        <v>0.12570000000000001</v>
      </c>
      <c r="BM112" s="185">
        <v>2.9239999999999999E-2</v>
      </c>
      <c r="BN112" s="185">
        <v>0.12626000000000001</v>
      </c>
      <c r="BO112" s="185"/>
      <c r="BP112" s="185">
        <v>-1.2370000000000001E-2</v>
      </c>
      <c r="BQ112" s="185"/>
      <c r="BR112" s="194"/>
      <c r="BS112" s="185">
        <v>0</v>
      </c>
      <c r="BT112" s="185">
        <v>-4.6647400000000001</v>
      </c>
      <c r="BU112" s="185">
        <v>-1.52291</v>
      </c>
      <c r="BV112" s="185">
        <v>-0.57589999999999997</v>
      </c>
      <c r="BW112" s="185">
        <v>-0.52363000000000004</v>
      </c>
      <c r="BX112" s="185">
        <v>-1.6160000000000001E-2</v>
      </c>
      <c r="BY112" s="185">
        <v>0</v>
      </c>
      <c r="BZ112" s="185">
        <v>0</v>
      </c>
      <c r="CA112" s="185">
        <v>0</v>
      </c>
      <c r="CB112" s="185"/>
      <c r="CC112" s="185">
        <v>0</v>
      </c>
      <c r="CD112" s="185"/>
      <c r="CE112" s="194"/>
      <c r="CF112" s="185">
        <v>30.67849</v>
      </c>
      <c r="CG112" s="185">
        <v>32.415999999999997</v>
      </c>
      <c r="CH112" s="185">
        <v>33.215629999999997</v>
      </c>
      <c r="CI112" s="185">
        <v>37.50741</v>
      </c>
      <c r="CJ112" s="185">
        <v>37.408760000000001</v>
      </c>
      <c r="CK112" s="185">
        <v>37.042900000000003</v>
      </c>
      <c r="CL112" s="185">
        <v>38.868839999999999</v>
      </c>
      <c r="CM112" s="185">
        <v>39.19267</v>
      </c>
      <c r="CN112" s="185">
        <v>40.523569999999999</v>
      </c>
      <c r="CO112" s="185"/>
      <c r="CP112" s="185">
        <v>39.925789999999999</v>
      </c>
      <c r="CQ112" s="185"/>
      <c r="CR112" s="194"/>
      <c r="CS112" s="185">
        <v>19.685220000000001</v>
      </c>
      <c r="CT112" s="185">
        <v>19.977440000000001</v>
      </c>
      <c r="CU112" s="185">
        <v>22.068239999999999</v>
      </c>
      <c r="CV112" s="185">
        <v>27.146719999999998</v>
      </c>
      <c r="CW112" s="185">
        <v>26.072970000000002</v>
      </c>
      <c r="CX112" s="185">
        <v>25.444659999999999</v>
      </c>
      <c r="CY112" s="185">
        <v>27.068989999999999</v>
      </c>
      <c r="CZ112" s="185">
        <v>27.8309</v>
      </c>
      <c r="DA112" s="185">
        <v>30.09027</v>
      </c>
      <c r="DB112" s="185"/>
      <c r="DC112" s="185">
        <v>29.179939999999998</v>
      </c>
      <c r="DD112" s="185"/>
      <c r="DE112" s="194"/>
      <c r="DF112" s="187">
        <v>0.1143</v>
      </c>
      <c r="DG112" s="187">
        <v>0.11119999999999999</v>
      </c>
      <c r="DH112" s="187">
        <v>0.1203</v>
      </c>
      <c r="DI112" s="187">
        <v>9.1300000000000006E-2</v>
      </c>
      <c r="DJ112" s="187">
        <v>9.6699999999999994E-2</v>
      </c>
      <c r="DK112" s="187">
        <v>0.1008</v>
      </c>
      <c r="DL112" s="187">
        <v>0.1027</v>
      </c>
      <c r="DM112" s="187">
        <v>0.1036</v>
      </c>
      <c r="DN112" s="187">
        <v>9.7299999999999998E-2</v>
      </c>
      <c r="DO112" s="187"/>
      <c r="DP112" s="187">
        <v>8.7400000000000005E-2</v>
      </c>
      <c r="DQ112" s="187"/>
      <c r="DR112" s="195"/>
      <c r="DS112" s="185">
        <v>39712.874380000001</v>
      </c>
      <c r="DT112" s="185">
        <v>40780.859550000001</v>
      </c>
      <c r="DU112" s="185">
        <v>41237.266669999997</v>
      </c>
      <c r="DV112" s="185">
        <v>41274.300000000003</v>
      </c>
      <c r="DW112" s="185">
        <v>41195.68333</v>
      </c>
      <c r="DX112" s="185">
        <v>39961.538780000003</v>
      </c>
      <c r="DY112" s="185">
        <v>41845.65</v>
      </c>
      <c r="DZ112" s="185">
        <v>40103.552519999997</v>
      </c>
      <c r="EA112" s="185">
        <v>39520.313889999998</v>
      </c>
      <c r="EB112" s="185"/>
      <c r="EC112" s="185">
        <v>39520.313889999998</v>
      </c>
      <c r="ED112" s="185"/>
      <c r="EE112" s="194"/>
      <c r="EF112" s="185">
        <v>0</v>
      </c>
      <c r="EG112" s="185">
        <v>0</v>
      </c>
      <c r="EH112" s="185">
        <v>0</v>
      </c>
      <c r="EI112" s="185">
        <v>0</v>
      </c>
      <c r="EJ112" s="185">
        <v>0</v>
      </c>
      <c r="EK112" s="185">
        <v>0</v>
      </c>
      <c r="EL112" s="185">
        <v>0</v>
      </c>
      <c r="EM112" s="185">
        <v>0</v>
      </c>
      <c r="EN112" s="185">
        <v>0</v>
      </c>
      <c r="EO112" s="185"/>
      <c r="EP112" s="185">
        <v>0</v>
      </c>
      <c r="EQ112" s="185"/>
      <c r="ER112" s="194"/>
      <c r="ES112" s="185">
        <v>1165538.24388</v>
      </c>
      <c r="ET112" s="185">
        <v>936558.95614000002</v>
      </c>
      <c r="EU112" s="185">
        <v>840292.42544000002</v>
      </c>
      <c r="EV112" s="185">
        <v>1098468.2410899999</v>
      </c>
      <c r="EW112" s="185">
        <v>1042982.38513</v>
      </c>
      <c r="EX112" s="185">
        <v>1089985.94154</v>
      </c>
      <c r="EY112" s="185">
        <v>1003587.00281</v>
      </c>
      <c r="EZ112" s="185">
        <v>1062760.98327</v>
      </c>
      <c r="FA112" s="185">
        <v>991270.68284999998</v>
      </c>
      <c r="FB112" s="185"/>
      <c r="FC112" s="185">
        <v>997704.3652</v>
      </c>
      <c r="FD112" s="185"/>
      <c r="FE112" s="194"/>
      <c r="FF112" s="185"/>
      <c r="FG112" s="185"/>
      <c r="FH112" s="185"/>
      <c r="FI112" s="185"/>
      <c r="FJ112" s="185"/>
      <c r="FK112" s="185"/>
      <c r="FL112" s="185"/>
      <c r="FM112" s="185"/>
      <c r="FN112" s="185"/>
      <c r="FO112" s="185"/>
      <c r="FP112" s="185"/>
      <c r="FQ112" s="185"/>
      <c r="FR112" s="194"/>
    </row>
    <row r="113" spans="1:174" x14ac:dyDescent="0.25">
      <c r="E113" s="2" t="s">
        <v>198</v>
      </c>
      <c r="F113" s="184">
        <v>8.2030700000000003</v>
      </c>
      <c r="G113" s="185">
        <v>7.9516299999999998</v>
      </c>
      <c r="H113" s="185">
        <v>7.36721</v>
      </c>
      <c r="I113" s="185">
        <v>7.42699</v>
      </c>
      <c r="J113" s="185">
        <v>7.5507099999999996</v>
      </c>
      <c r="K113" s="185">
        <v>8.1102500000000006</v>
      </c>
      <c r="L113" s="185">
        <v>6.84598</v>
      </c>
      <c r="M113" s="185">
        <v>7.1236300000000004</v>
      </c>
      <c r="N113" s="185">
        <v>6.5868700000000002</v>
      </c>
      <c r="O113" s="185"/>
      <c r="P113" s="185">
        <v>6.492</v>
      </c>
      <c r="Q113" s="185"/>
      <c r="R113" s="194"/>
      <c r="S113" s="185">
        <v>40.521949999999997</v>
      </c>
      <c r="T113" s="185">
        <v>42.699620000000003</v>
      </c>
      <c r="U113" s="185">
        <v>43.838059999999999</v>
      </c>
      <c r="V113" s="185">
        <v>49.295479999999998</v>
      </c>
      <c r="W113" s="185">
        <v>46.325490000000002</v>
      </c>
      <c r="X113" s="185">
        <v>44.613979999999998</v>
      </c>
      <c r="Y113" s="185">
        <v>40.419359999999998</v>
      </c>
      <c r="Z113" s="185">
        <v>40.008580000000002</v>
      </c>
      <c r="AA113" s="185">
        <v>40.171770000000002</v>
      </c>
      <c r="AB113" s="185"/>
      <c r="AC113" s="185">
        <v>40.925510000000003</v>
      </c>
      <c r="AD113" s="185"/>
      <c r="AE113" s="194"/>
      <c r="AF113" s="185">
        <v>4.0153299999999996</v>
      </c>
      <c r="AG113" s="185">
        <v>4.6072100000000002</v>
      </c>
      <c r="AH113" s="185">
        <v>4.4112900000000002</v>
      </c>
      <c r="AI113" s="185">
        <v>3.4144399999999999</v>
      </c>
      <c r="AJ113" s="185">
        <v>3.7206800000000002</v>
      </c>
      <c r="AK113" s="185">
        <v>3.8868499999999999</v>
      </c>
      <c r="AL113" s="185">
        <v>3.31359</v>
      </c>
      <c r="AM113" s="185">
        <v>3.8606099999999999</v>
      </c>
      <c r="AN113" s="185">
        <v>3.7245699999999999</v>
      </c>
      <c r="AO113" s="185"/>
      <c r="AP113" s="185">
        <v>3.1394099999999998</v>
      </c>
      <c r="AQ113" s="185"/>
      <c r="AR113" s="194"/>
      <c r="AS113" s="185">
        <v>0.15822</v>
      </c>
      <c r="AT113" s="185">
        <v>0.17457</v>
      </c>
      <c r="AU113" s="185">
        <v>0.17846999999999999</v>
      </c>
      <c r="AV113" s="185">
        <v>0.18118000000000001</v>
      </c>
      <c r="AW113" s="185">
        <v>0.18990000000000001</v>
      </c>
      <c r="AX113" s="185">
        <v>0.19664000000000001</v>
      </c>
      <c r="AY113" s="185">
        <v>0.18021999999999999</v>
      </c>
      <c r="AZ113" s="185">
        <v>0.18509999999999999</v>
      </c>
      <c r="BA113" s="185">
        <v>0.16974</v>
      </c>
      <c r="BB113" s="185"/>
      <c r="BC113" s="185">
        <v>0.17805000000000001</v>
      </c>
      <c r="BD113" s="185"/>
      <c r="BE113" s="194"/>
      <c r="BF113" s="185">
        <v>0.21260000000000001</v>
      </c>
      <c r="BG113" s="185">
        <v>0.45415</v>
      </c>
      <c r="BH113" s="185">
        <v>9.3380000000000005E-2</v>
      </c>
      <c r="BI113" s="185">
        <v>9.0929999999999997E-2</v>
      </c>
      <c r="BJ113" s="185">
        <v>0.16361999999999999</v>
      </c>
      <c r="BK113" s="185">
        <v>6.1800000000000001E-2</v>
      </c>
      <c r="BL113" s="185">
        <v>0.12701999999999999</v>
      </c>
      <c r="BM113" s="185">
        <v>3.0710000000000001E-2</v>
      </c>
      <c r="BN113" s="185">
        <v>0.13058</v>
      </c>
      <c r="BO113" s="185"/>
      <c r="BP113" s="185">
        <v>-1.2789999999999999E-2</v>
      </c>
      <c r="BQ113" s="185"/>
      <c r="BR113" s="194"/>
      <c r="BS113" s="185">
        <v>0</v>
      </c>
      <c r="BT113" s="185">
        <v>-2.99092</v>
      </c>
      <c r="BU113" s="185">
        <v>-2.7877000000000001</v>
      </c>
      <c r="BV113" s="185">
        <v>-1.0538700000000001</v>
      </c>
      <c r="BW113" s="185">
        <v>-0.76053000000000004</v>
      </c>
      <c r="BX113" s="185">
        <v>-2.2349999999999998E-2</v>
      </c>
      <c r="BY113" s="185">
        <v>0</v>
      </c>
      <c r="BZ113" s="185">
        <v>0</v>
      </c>
      <c r="CA113" s="185">
        <v>0</v>
      </c>
      <c r="CB113" s="185"/>
      <c r="CC113" s="185">
        <v>0</v>
      </c>
      <c r="CD113" s="185"/>
      <c r="CE113" s="194"/>
      <c r="CF113" s="185">
        <v>44.908110000000001</v>
      </c>
      <c r="CG113" s="185">
        <v>47.935560000000002</v>
      </c>
      <c r="CH113" s="185">
        <v>48.5212</v>
      </c>
      <c r="CI113" s="185">
        <v>52.982030000000002</v>
      </c>
      <c r="CJ113" s="185">
        <v>50.399679999999996</v>
      </c>
      <c r="CK113" s="185">
        <v>48.759259999999998</v>
      </c>
      <c r="CL113" s="185">
        <v>44.040190000000003</v>
      </c>
      <c r="CM113" s="185">
        <v>44.085009999999997</v>
      </c>
      <c r="CN113" s="185">
        <v>44.196669999999997</v>
      </c>
      <c r="CO113" s="185"/>
      <c r="CP113" s="185">
        <v>44.230170000000001</v>
      </c>
      <c r="CQ113" s="185"/>
      <c r="CR113" s="194"/>
      <c r="CS113" s="185">
        <v>36.705039999999997</v>
      </c>
      <c r="CT113" s="185">
        <v>36.993009999999998</v>
      </c>
      <c r="CU113" s="185">
        <v>38.366289999999999</v>
      </c>
      <c r="CV113" s="185">
        <v>44.501170000000002</v>
      </c>
      <c r="CW113" s="185">
        <v>42.088450000000002</v>
      </c>
      <c r="CX113" s="185">
        <v>40.626660000000001</v>
      </c>
      <c r="CY113" s="185">
        <v>37.194209999999998</v>
      </c>
      <c r="CZ113" s="185">
        <v>36.961379999999998</v>
      </c>
      <c r="DA113" s="185">
        <v>37.6098</v>
      </c>
      <c r="DB113" s="185"/>
      <c r="DC113" s="185">
        <v>37.73818</v>
      </c>
      <c r="DD113" s="185"/>
      <c r="DE113" s="194"/>
      <c r="DF113" s="187">
        <v>8.9399999999999993E-2</v>
      </c>
      <c r="DG113" s="187">
        <v>9.6100000000000005E-2</v>
      </c>
      <c r="DH113" s="187">
        <v>9.0899999999999995E-2</v>
      </c>
      <c r="DI113" s="187">
        <v>6.4399999999999999E-2</v>
      </c>
      <c r="DJ113" s="187">
        <v>7.3800000000000004E-2</v>
      </c>
      <c r="DK113" s="187">
        <v>7.9699999999999993E-2</v>
      </c>
      <c r="DL113" s="187">
        <v>7.5200000000000003E-2</v>
      </c>
      <c r="DM113" s="187">
        <v>8.7599999999999997E-2</v>
      </c>
      <c r="DN113" s="187">
        <v>8.43E-2</v>
      </c>
      <c r="DO113" s="187"/>
      <c r="DP113" s="187">
        <v>7.0999999999999994E-2</v>
      </c>
      <c r="DQ113" s="187"/>
      <c r="DR113" s="195"/>
      <c r="DS113" s="185">
        <v>51152.024850000002</v>
      </c>
      <c r="DT113" s="185">
        <v>54028.5</v>
      </c>
      <c r="DU113" s="185">
        <v>53226.883329999997</v>
      </c>
      <c r="DV113" s="185">
        <v>52240.130940000003</v>
      </c>
      <c r="DW113" s="185">
        <v>51618.45</v>
      </c>
      <c r="DX113" s="185">
        <v>49124.95</v>
      </c>
      <c r="DY113" s="185">
        <v>42287.65</v>
      </c>
      <c r="DZ113" s="185">
        <v>42121.583639999997</v>
      </c>
      <c r="EA113" s="185">
        <v>40873.583330000001</v>
      </c>
      <c r="EB113" s="185"/>
      <c r="EC113" s="185">
        <v>40873.583330000001</v>
      </c>
      <c r="ED113" s="185"/>
      <c r="EE113" s="194"/>
      <c r="EF113" s="185">
        <v>0</v>
      </c>
      <c r="EG113" s="185">
        <v>0</v>
      </c>
      <c r="EH113" s="185">
        <v>0</v>
      </c>
      <c r="EI113" s="185">
        <v>0</v>
      </c>
      <c r="EJ113" s="185">
        <v>0</v>
      </c>
      <c r="EK113" s="185">
        <v>0</v>
      </c>
      <c r="EL113" s="185">
        <v>0</v>
      </c>
      <c r="EM113" s="185">
        <v>0</v>
      </c>
      <c r="EN113" s="185">
        <v>0</v>
      </c>
      <c r="EO113" s="185"/>
      <c r="EP113" s="185">
        <v>0</v>
      </c>
      <c r="EQ113" s="185"/>
      <c r="ER113" s="194"/>
      <c r="ES113" s="185">
        <v>675022.28237000003</v>
      </c>
      <c r="ET113" s="185">
        <v>555723.18215000001</v>
      </c>
      <c r="EU113" s="185">
        <v>473298.42635000002</v>
      </c>
      <c r="EV113" s="185">
        <v>533204.11551000003</v>
      </c>
      <c r="EW113" s="185">
        <v>458826.73128000001</v>
      </c>
      <c r="EX113" s="185">
        <v>478466.37333999999</v>
      </c>
      <c r="EY113" s="185">
        <v>386277.55040000001</v>
      </c>
      <c r="EZ113" s="185">
        <v>409240.73284000001</v>
      </c>
      <c r="FA113" s="185">
        <v>371301.25276</v>
      </c>
      <c r="FB113" s="185"/>
      <c r="FC113" s="185">
        <v>374969.96438999998</v>
      </c>
      <c r="FD113" s="185"/>
      <c r="FE113" s="194"/>
      <c r="FF113" s="185"/>
      <c r="FG113" s="185"/>
      <c r="FH113" s="185"/>
      <c r="FI113" s="185"/>
      <c r="FJ113" s="185"/>
      <c r="FK113" s="185"/>
      <c r="FL113" s="185"/>
      <c r="FM113" s="185"/>
      <c r="FN113" s="185"/>
      <c r="FO113" s="185"/>
      <c r="FP113" s="185"/>
      <c r="FQ113" s="185"/>
      <c r="FR113" s="194"/>
    </row>
    <row r="114" spans="1:174" x14ac:dyDescent="0.25">
      <c r="E114" s="2" t="s">
        <v>199</v>
      </c>
      <c r="F114" s="184">
        <v>12.962719999999999</v>
      </c>
      <c r="G114" s="185">
        <v>11.40841</v>
      </c>
      <c r="H114" s="185">
        <v>11.16483</v>
      </c>
      <c r="I114" s="185">
        <v>12.24335</v>
      </c>
      <c r="J114" s="185">
        <v>13.666790000000001</v>
      </c>
      <c r="K114" s="185">
        <v>13.68838</v>
      </c>
      <c r="L114" s="185">
        <v>13.80167</v>
      </c>
      <c r="M114" s="185">
        <v>13.989990000000001</v>
      </c>
      <c r="N114" s="185">
        <v>13.47908</v>
      </c>
      <c r="O114" s="185"/>
      <c r="P114" s="185">
        <v>14.279579999999999</v>
      </c>
      <c r="Q114" s="185"/>
      <c r="R114" s="194"/>
      <c r="S114" s="185">
        <v>33.83764</v>
      </c>
      <c r="T114" s="185">
        <v>33.51538</v>
      </c>
      <c r="U114" s="185">
        <v>34.595320000000001</v>
      </c>
      <c r="V114" s="185">
        <v>36.755409999999998</v>
      </c>
      <c r="W114" s="185">
        <v>30.216909999999999</v>
      </c>
      <c r="X114" s="185">
        <v>29.000859999999999</v>
      </c>
      <c r="Y114" s="185">
        <v>30.808900000000001</v>
      </c>
      <c r="Z114" s="185">
        <v>33.711390000000002</v>
      </c>
      <c r="AA114" s="185">
        <v>33.764119999999998</v>
      </c>
      <c r="AB114" s="185"/>
      <c r="AC114" s="185">
        <v>35.792920000000002</v>
      </c>
      <c r="AD114" s="185"/>
      <c r="AE114" s="194"/>
      <c r="AF114" s="185">
        <v>4.2884500000000001</v>
      </c>
      <c r="AG114" s="185">
        <v>4.6391900000000001</v>
      </c>
      <c r="AH114" s="185">
        <v>4.76797</v>
      </c>
      <c r="AI114" s="185">
        <v>4.0867100000000001</v>
      </c>
      <c r="AJ114" s="185">
        <v>4.05098</v>
      </c>
      <c r="AK114" s="185">
        <v>4.10128</v>
      </c>
      <c r="AL114" s="185">
        <v>4.2933000000000003</v>
      </c>
      <c r="AM114" s="185">
        <v>4.8639900000000003</v>
      </c>
      <c r="AN114" s="185">
        <v>4.7562800000000003</v>
      </c>
      <c r="AO114" s="185"/>
      <c r="AP114" s="185">
        <v>4.5105300000000002</v>
      </c>
      <c r="AQ114" s="185"/>
      <c r="AR114" s="194"/>
      <c r="AS114" s="185">
        <v>0.15293000000000001</v>
      </c>
      <c r="AT114" s="185">
        <v>0.15809999999999999</v>
      </c>
      <c r="AU114" s="185">
        <v>0.16378999999999999</v>
      </c>
      <c r="AV114" s="185">
        <v>0.16614000000000001</v>
      </c>
      <c r="AW114" s="185">
        <v>0.15845999999999999</v>
      </c>
      <c r="AX114" s="185">
        <v>0.16187000000000001</v>
      </c>
      <c r="AY114" s="185">
        <v>0.17560000000000001</v>
      </c>
      <c r="AZ114" s="185">
        <v>0.20862</v>
      </c>
      <c r="BA114" s="185">
        <v>0.19289999999999999</v>
      </c>
      <c r="BB114" s="185"/>
      <c r="BC114" s="185">
        <v>0.21962999999999999</v>
      </c>
      <c r="BD114" s="185"/>
      <c r="BE114" s="194"/>
      <c r="BF114" s="185">
        <v>0.20549000000000001</v>
      </c>
      <c r="BG114" s="185">
        <v>0.41128999999999999</v>
      </c>
      <c r="BH114" s="185">
        <v>8.5699999999999998E-2</v>
      </c>
      <c r="BI114" s="185">
        <v>8.3379999999999996E-2</v>
      </c>
      <c r="BJ114" s="185">
        <v>0.13653000000000001</v>
      </c>
      <c r="BK114" s="185">
        <v>5.0869999999999999E-2</v>
      </c>
      <c r="BL114" s="185">
        <v>0.12377000000000001</v>
      </c>
      <c r="BM114" s="185">
        <v>3.4610000000000002E-2</v>
      </c>
      <c r="BN114" s="185">
        <v>0.1484</v>
      </c>
      <c r="BO114" s="185"/>
      <c r="BP114" s="185">
        <v>-1.5779999999999999E-2</v>
      </c>
      <c r="BQ114" s="185"/>
      <c r="BR114" s="194"/>
      <c r="BS114" s="185">
        <v>0</v>
      </c>
      <c r="BT114" s="185">
        <v>-4.2624300000000002</v>
      </c>
      <c r="BU114" s="185">
        <v>-2.82063</v>
      </c>
      <c r="BV114" s="185">
        <v>-0.54493999999999998</v>
      </c>
      <c r="BW114" s="185">
        <v>-0.47742000000000001</v>
      </c>
      <c r="BX114" s="185">
        <v>-1.4579999999999999E-2</v>
      </c>
      <c r="BY114" s="185">
        <v>0</v>
      </c>
      <c r="BZ114" s="185">
        <v>0</v>
      </c>
      <c r="CA114" s="185">
        <v>0</v>
      </c>
      <c r="CB114" s="185"/>
      <c r="CC114" s="185">
        <v>0</v>
      </c>
      <c r="CD114" s="185"/>
      <c r="CE114" s="194"/>
      <c r="CF114" s="185">
        <v>38.484520000000003</v>
      </c>
      <c r="CG114" s="185">
        <v>38.723959999999998</v>
      </c>
      <c r="CH114" s="185">
        <v>39.612780000000001</v>
      </c>
      <c r="CI114" s="185">
        <v>41.091639999999998</v>
      </c>
      <c r="CJ114" s="185">
        <v>34.56288</v>
      </c>
      <c r="CK114" s="185">
        <v>33.314880000000002</v>
      </c>
      <c r="CL114" s="185">
        <v>35.40157</v>
      </c>
      <c r="CM114" s="185">
        <v>38.818600000000004</v>
      </c>
      <c r="CN114" s="185">
        <v>38.861699999999999</v>
      </c>
      <c r="CO114" s="185"/>
      <c r="CP114" s="185">
        <v>40.507309999999997</v>
      </c>
      <c r="CQ114" s="185"/>
      <c r="CR114" s="194"/>
      <c r="CS114" s="185">
        <v>25.521799999999999</v>
      </c>
      <c r="CT114" s="185">
        <v>23.05312</v>
      </c>
      <c r="CU114" s="185">
        <v>25.627320000000001</v>
      </c>
      <c r="CV114" s="185">
        <v>28.303339999999999</v>
      </c>
      <c r="CW114" s="185">
        <v>20.418669999999999</v>
      </c>
      <c r="CX114" s="185">
        <v>19.611920000000001</v>
      </c>
      <c r="CY114" s="185">
        <v>21.599910000000001</v>
      </c>
      <c r="CZ114" s="185">
        <v>24.828620000000001</v>
      </c>
      <c r="DA114" s="185">
        <v>25.382619999999999</v>
      </c>
      <c r="DB114" s="185"/>
      <c r="DC114" s="185">
        <v>26.227730000000001</v>
      </c>
      <c r="DD114" s="185"/>
      <c r="DE114" s="194"/>
      <c r="DF114" s="187">
        <v>0.1114</v>
      </c>
      <c r="DG114" s="187">
        <v>0.1198</v>
      </c>
      <c r="DH114" s="187">
        <v>0.12039999999999999</v>
      </c>
      <c r="DI114" s="187">
        <v>9.9500000000000005E-2</v>
      </c>
      <c r="DJ114" s="187">
        <v>0.1172</v>
      </c>
      <c r="DK114" s="187">
        <v>0.1231</v>
      </c>
      <c r="DL114" s="187">
        <v>0.12130000000000001</v>
      </c>
      <c r="DM114" s="187">
        <v>0.12529999999999999</v>
      </c>
      <c r="DN114" s="187">
        <v>0.12239999999999999</v>
      </c>
      <c r="DO114" s="187"/>
      <c r="DP114" s="187">
        <v>0.1114</v>
      </c>
      <c r="DQ114" s="187"/>
      <c r="DR114" s="195"/>
      <c r="DS114" s="185">
        <v>49441.436999999998</v>
      </c>
      <c r="DT114" s="185">
        <v>48929.62</v>
      </c>
      <c r="DU114" s="185">
        <v>48849.61666</v>
      </c>
      <c r="DV114" s="185">
        <v>47902.833330000001</v>
      </c>
      <c r="DW114" s="185">
        <v>43072.666669999999</v>
      </c>
      <c r="DX114" s="185">
        <v>40437.583330000001</v>
      </c>
      <c r="DY114" s="185">
        <v>41204.5</v>
      </c>
      <c r="DZ114" s="185">
        <v>47472.88798</v>
      </c>
      <c r="EA114" s="185">
        <v>46449.927170000003</v>
      </c>
      <c r="EB114" s="185"/>
      <c r="EC114" s="185">
        <v>50419.083330000001</v>
      </c>
      <c r="ED114" s="185"/>
      <c r="EE114" s="194"/>
      <c r="EF114" s="185">
        <v>0</v>
      </c>
      <c r="EG114" s="185">
        <v>0</v>
      </c>
      <c r="EH114" s="185">
        <v>0</v>
      </c>
      <c r="EI114" s="185">
        <v>0</v>
      </c>
      <c r="EJ114" s="185">
        <v>0</v>
      </c>
      <c r="EK114" s="185">
        <v>0</v>
      </c>
      <c r="EL114" s="185">
        <v>0</v>
      </c>
      <c r="EM114" s="185">
        <v>0</v>
      </c>
      <c r="EN114" s="185">
        <v>0</v>
      </c>
      <c r="EO114" s="185"/>
      <c r="EP114" s="185">
        <v>0</v>
      </c>
      <c r="EQ114" s="185"/>
      <c r="ER114" s="194"/>
      <c r="ES114" s="185">
        <v>756842.61364999996</v>
      </c>
      <c r="ET114" s="185">
        <v>621656.04868000001</v>
      </c>
      <c r="EU114" s="185">
        <v>584908.74962000002</v>
      </c>
      <c r="EV114" s="185">
        <v>688944.78128999996</v>
      </c>
      <c r="EW114" s="185">
        <v>688829.20929000003</v>
      </c>
      <c r="EX114" s="185">
        <v>655923.41653000005</v>
      </c>
      <c r="EY114" s="185">
        <v>639811.76171999995</v>
      </c>
      <c r="EZ114" s="185">
        <v>683821.57191000006</v>
      </c>
      <c r="FA114" s="185">
        <v>666301.40743999998</v>
      </c>
      <c r="FB114" s="185"/>
      <c r="FC114" s="185">
        <v>695383.55652999994</v>
      </c>
      <c r="FD114" s="185"/>
      <c r="FE114" s="194"/>
      <c r="FF114" s="185"/>
      <c r="FG114" s="185"/>
      <c r="FH114" s="185"/>
      <c r="FI114" s="185"/>
      <c r="FJ114" s="185"/>
      <c r="FK114" s="185"/>
      <c r="FL114" s="185"/>
      <c r="FM114" s="185"/>
      <c r="FN114" s="185"/>
      <c r="FO114" s="185"/>
      <c r="FP114" s="185"/>
      <c r="FQ114" s="185"/>
      <c r="FR114" s="194"/>
    </row>
    <row r="115" spans="1:174" x14ac:dyDescent="0.25">
      <c r="E115" s="2" t="s">
        <v>200</v>
      </c>
      <c r="F115" s="184">
        <v>14.4864</v>
      </c>
      <c r="G115" s="185">
        <v>11.54257</v>
      </c>
      <c r="H115" s="185">
        <v>11.29044</v>
      </c>
      <c r="I115" s="185">
        <v>12.42573</v>
      </c>
      <c r="J115" s="185">
        <v>12.511670000000001</v>
      </c>
      <c r="K115" s="185">
        <v>13.51069</v>
      </c>
      <c r="L115" s="185">
        <v>13.6294</v>
      </c>
      <c r="M115" s="185">
        <v>12.974399999999999</v>
      </c>
      <c r="N115" s="185">
        <v>13.01947</v>
      </c>
      <c r="O115" s="185"/>
      <c r="P115" s="185">
        <v>13.37232</v>
      </c>
      <c r="Q115" s="185"/>
      <c r="R115" s="194"/>
      <c r="S115" s="185">
        <v>34.174399999999999</v>
      </c>
      <c r="T115" s="185">
        <v>34.143320000000003</v>
      </c>
      <c r="U115" s="185">
        <v>36.237659999999998</v>
      </c>
      <c r="V115" s="185">
        <v>39.629379999999998</v>
      </c>
      <c r="W115" s="185">
        <v>41.462589999999999</v>
      </c>
      <c r="X115" s="185">
        <v>40.209350000000001</v>
      </c>
      <c r="Y115" s="185">
        <v>40.345869999999998</v>
      </c>
      <c r="Z115" s="185">
        <v>40.624119999999998</v>
      </c>
      <c r="AA115" s="185">
        <v>41.030889999999999</v>
      </c>
      <c r="AB115" s="185"/>
      <c r="AC115" s="185">
        <v>41.886339999999997</v>
      </c>
      <c r="AD115" s="185"/>
      <c r="AE115" s="194"/>
      <c r="AF115" s="185">
        <v>4.4676299999999998</v>
      </c>
      <c r="AG115" s="185">
        <v>4.7605599999999999</v>
      </c>
      <c r="AH115" s="185">
        <v>4.6405799999999999</v>
      </c>
      <c r="AI115" s="185">
        <v>4.0656600000000003</v>
      </c>
      <c r="AJ115" s="185">
        <v>4.2880399999999996</v>
      </c>
      <c r="AK115" s="185">
        <v>4.5682799999999997</v>
      </c>
      <c r="AL115" s="185">
        <v>4.6145500000000004</v>
      </c>
      <c r="AM115" s="185">
        <v>4.72098</v>
      </c>
      <c r="AN115" s="185">
        <v>4.7483700000000004</v>
      </c>
      <c r="AO115" s="185"/>
      <c r="AP115" s="185">
        <v>4.2088799999999997</v>
      </c>
      <c r="AQ115" s="185"/>
      <c r="AR115" s="194"/>
      <c r="AS115" s="185">
        <v>0.15115999999999999</v>
      </c>
      <c r="AT115" s="185">
        <v>0.15712999999999999</v>
      </c>
      <c r="AU115" s="185">
        <v>0.16320999999999999</v>
      </c>
      <c r="AV115" s="185">
        <v>0.1694</v>
      </c>
      <c r="AW115" s="185">
        <v>0.17965999999999999</v>
      </c>
      <c r="AX115" s="185">
        <v>0.19134999999999999</v>
      </c>
      <c r="AY115" s="185">
        <v>0.19986999999999999</v>
      </c>
      <c r="AZ115" s="185">
        <v>0.20605999999999999</v>
      </c>
      <c r="BA115" s="185">
        <v>0.19528000000000001</v>
      </c>
      <c r="BB115" s="185"/>
      <c r="BC115" s="185">
        <v>0.20483999999999999</v>
      </c>
      <c r="BD115" s="185"/>
      <c r="BE115" s="194"/>
      <c r="BF115" s="185">
        <v>0.20311999999999999</v>
      </c>
      <c r="BG115" s="185">
        <v>0.40877999999999998</v>
      </c>
      <c r="BH115" s="185">
        <v>8.5400000000000004E-2</v>
      </c>
      <c r="BI115" s="185">
        <v>8.5019999999999998E-2</v>
      </c>
      <c r="BJ115" s="185">
        <v>0.15479999999999999</v>
      </c>
      <c r="BK115" s="185">
        <v>6.0130000000000003E-2</v>
      </c>
      <c r="BL115" s="185">
        <v>0.14088000000000001</v>
      </c>
      <c r="BM115" s="185">
        <v>3.4189999999999998E-2</v>
      </c>
      <c r="BN115" s="185">
        <v>0.15023</v>
      </c>
      <c r="BO115" s="185"/>
      <c r="BP115" s="185">
        <v>-1.472E-2</v>
      </c>
      <c r="BQ115" s="185"/>
      <c r="BR115" s="194"/>
      <c r="BS115" s="185">
        <v>0</v>
      </c>
      <c r="BT115" s="185">
        <v>-4.8405699999999996</v>
      </c>
      <c r="BU115" s="185">
        <v>-4.2432499999999997</v>
      </c>
      <c r="BV115" s="185">
        <v>-1.4764200000000001</v>
      </c>
      <c r="BW115" s="185">
        <v>-0.77349000000000001</v>
      </c>
      <c r="BX115" s="185">
        <v>-0.02</v>
      </c>
      <c r="BY115" s="185">
        <v>0</v>
      </c>
      <c r="BZ115" s="185">
        <v>0</v>
      </c>
      <c r="CA115" s="185">
        <v>0</v>
      </c>
      <c r="CB115" s="185"/>
      <c r="CC115" s="185">
        <v>0</v>
      </c>
      <c r="CD115" s="185"/>
      <c r="CE115" s="194"/>
      <c r="CF115" s="185">
        <v>38.996319999999997</v>
      </c>
      <c r="CG115" s="185">
        <v>39.469790000000003</v>
      </c>
      <c r="CH115" s="185">
        <v>41.126840000000001</v>
      </c>
      <c r="CI115" s="185">
        <v>43.949469999999998</v>
      </c>
      <c r="CJ115" s="185">
        <v>46.085099999999997</v>
      </c>
      <c r="CK115" s="185">
        <v>45.029119999999999</v>
      </c>
      <c r="CL115" s="185">
        <v>45.301169999999999</v>
      </c>
      <c r="CM115" s="185">
        <v>45.585340000000002</v>
      </c>
      <c r="CN115" s="185">
        <v>46.124780000000001</v>
      </c>
      <c r="CO115" s="185"/>
      <c r="CP115" s="185">
        <v>46.285339999999998</v>
      </c>
      <c r="CQ115" s="185"/>
      <c r="CR115" s="194"/>
      <c r="CS115" s="185">
        <v>24.509910000000001</v>
      </c>
      <c r="CT115" s="185">
        <v>23.086649999999999</v>
      </c>
      <c r="CU115" s="185">
        <v>25.593150000000001</v>
      </c>
      <c r="CV115" s="185">
        <v>30.04731</v>
      </c>
      <c r="CW115" s="185">
        <v>32.799939999999999</v>
      </c>
      <c r="CX115" s="185">
        <v>31.498419999999999</v>
      </c>
      <c r="CY115" s="185">
        <v>31.671779999999998</v>
      </c>
      <c r="CZ115" s="185">
        <v>32.610939999999999</v>
      </c>
      <c r="DA115" s="185">
        <v>33.105310000000003</v>
      </c>
      <c r="DB115" s="185"/>
      <c r="DC115" s="185">
        <v>32.913029999999999</v>
      </c>
      <c r="DD115" s="185"/>
      <c r="DE115" s="194"/>
      <c r="DF115" s="187">
        <v>0.11459999999999999</v>
      </c>
      <c r="DG115" s="187">
        <v>0.1206</v>
      </c>
      <c r="DH115" s="187">
        <v>0.1128</v>
      </c>
      <c r="DI115" s="187">
        <v>9.2499999999999999E-2</v>
      </c>
      <c r="DJ115" s="187">
        <v>9.2999999999999999E-2</v>
      </c>
      <c r="DK115" s="187">
        <v>0.10150000000000001</v>
      </c>
      <c r="DL115" s="187">
        <v>0.1019</v>
      </c>
      <c r="DM115" s="187">
        <v>0.1036</v>
      </c>
      <c r="DN115" s="187">
        <v>0.10290000000000001</v>
      </c>
      <c r="DO115" s="187"/>
      <c r="DP115" s="187">
        <v>9.0899999999999995E-2</v>
      </c>
      <c r="DQ115" s="187"/>
      <c r="DR115" s="195"/>
      <c r="DS115" s="185">
        <v>48869.65</v>
      </c>
      <c r="DT115" s="185">
        <v>48630.2</v>
      </c>
      <c r="DU115" s="185">
        <v>48678.355560000004</v>
      </c>
      <c r="DV115" s="185">
        <v>48843.78572</v>
      </c>
      <c r="DW115" s="185">
        <v>48835.81667</v>
      </c>
      <c r="DX115" s="185">
        <v>47802.741110000003</v>
      </c>
      <c r="DY115" s="185">
        <v>46899.233330000003</v>
      </c>
      <c r="DZ115" s="185">
        <v>46889.622239999997</v>
      </c>
      <c r="EA115" s="185">
        <v>47023.205560000002</v>
      </c>
      <c r="EB115" s="185"/>
      <c r="EC115" s="185">
        <v>47023.205560000002</v>
      </c>
      <c r="ED115" s="185"/>
      <c r="EE115" s="194"/>
      <c r="EF115" s="185">
        <v>0</v>
      </c>
      <c r="EG115" s="185">
        <v>0</v>
      </c>
      <c r="EH115" s="185">
        <v>0</v>
      </c>
      <c r="EI115" s="185">
        <v>0</v>
      </c>
      <c r="EJ115" s="185">
        <v>0</v>
      </c>
      <c r="EK115" s="185">
        <v>0</v>
      </c>
      <c r="EL115" s="185">
        <v>0</v>
      </c>
      <c r="EM115" s="185">
        <v>0</v>
      </c>
      <c r="EN115" s="185">
        <v>0</v>
      </c>
      <c r="EO115" s="185"/>
      <c r="EP115" s="185">
        <v>0</v>
      </c>
      <c r="EQ115" s="185"/>
      <c r="ER115" s="194"/>
      <c r="ES115" s="185">
        <v>912482.43762999994</v>
      </c>
      <c r="ET115" s="185">
        <v>723432.22057999996</v>
      </c>
      <c r="EU115" s="185">
        <v>681685.91472999996</v>
      </c>
      <c r="EV115" s="185">
        <v>801843.97079000005</v>
      </c>
      <c r="EW115" s="185">
        <v>737005.55189999996</v>
      </c>
      <c r="EX115" s="185">
        <v>775437.77500000002</v>
      </c>
      <c r="EY115" s="185">
        <v>773501.97293000005</v>
      </c>
      <c r="EZ115" s="185">
        <v>778239.19342999998</v>
      </c>
      <c r="FA115" s="185">
        <v>771782.27726</v>
      </c>
      <c r="FB115" s="185"/>
      <c r="FC115" s="185">
        <v>776164.07880000002</v>
      </c>
      <c r="FD115" s="185"/>
      <c r="FE115" s="194"/>
      <c r="FF115" s="185"/>
      <c r="FG115" s="185"/>
      <c r="FH115" s="185"/>
      <c r="FI115" s="185"/>
      <c r="FJ115" s="185"/>
      <c r="FK115" s="185"/>
      <c r="FL115" s="185"/>
      <c r="FM115" s="185"/>
      <c r="FN115" s="185"/>
      <c r="FO115" s="185"/>
      <c r="FP115" s="185"/>
      <c r="FQ115" s="185"/>
      <c r="FR115" s="194"/>
    </row>
    <row r="116" spans="1:174" x14ac:dyDescent="0.25">
      <c r="E116" s="2" t="s">
        <v>201</v>
      </c>
      <c r="F116" s="184">
        <v>0</v>
      </c>
      <c r="G116" s="185">
        <v>0</v>
      </c>
      <c r="H116" s="185">
        <v>0</v>
      </c>
      <c r="I116" s="185">
        <v>0</v>
      </c>
      <c r="J116" s="185">
        <v>0</v>
      </c>
      <c r="K116" s="185">
        <v>0</v>
      </c>
      <c r="L116" s="185">
        <v>0</v>
      </c>
      <c r="M116" s="185">
        <v>0</v>
      </c>
      <c r="N116" s="185">
        <v>0</v>
      </c>
      <c r="O116" s="185"/>
      <c r="P116" s="185">
        <v>0</v>
      </c>
      <c r="Q116" s="185"/>
      <c r="R116" s="194"/>
      <c r="S116" s="185">
        <v>0</v>
      </c>
      <c r="T116" s="185">
        <v>0</v>
      </c>
      <c r="U116" s="185">
        <v>0</v>
      </c>
      <c r="V116" s="185">
        <v>0</v>
      </c>
      <c r="W116" s="185">
        <v>0</v>
      </c>
      <c r="X116" s="185">
        <v>0</v>
      </c>
      <c r="Y116" s="185">
        <v>0</v>
      </c>
      <c r="Z116" s="185">
        <v>0</v>
      </c>
      <c r="AA116" s="185">
        <v>0</v>
      </c>
      <c r="AB116" s="185"/>
      <c r="AC116" s="185">
        <v>0</v>
      </c>
      <c r="AD116" s="185"/>
      <c r="AE116" s="194"/>
      <c r="AF116" s="185">
        <v>0</v>
      </c>
      <c r="AG116" s="185">
        <v>0</v>
      </c>
      <c r="AH116" s="185">
        <v>0</v>
      </c>
      <c r="AI116" s="185">
        <v>0</v>
      </c>
      <c r="AJ116" s="185">
        <v>0</v>
      </c>
      <c r="AK116" s="185">
        <v>0</v>
      </c>
      <c r="AL116" s="185">
        <v>0</v>
      </c>
      <c r="AM116" s="185">
        <v>0</v>
      </c>
      <c r="AN116" s="185">
        <v>0</v>
      </c>
      <c r="AO116" s="185"/>
      <c r="AP116" s="185">
        <v>0</v>
      </c>
      <c r="AQ116" s="185"/>
      <c r="AR116" s="194"/>
      <c r="AS116" s="185">
        <v>0</v>
      </c>
      <c r="AT116" s="185">
        <v>0</v>
      </c>
      <c r="AU116" s="185">
        <v>0</v>
      </c>
      <c r="AV116" s="185">
        <v>0</v>
      </c>
      <c r="AW116" s="185">
        <v>0</v>
      </c>
      <c r="AX116" s="185">
        <v>0</v>
      </c>
      <c r="AY116" s="185">
        <v>0</v>
      </c>
      <c r="AZ116" s="185">
        <v>0</v>
      </c>
      <c r="BA116" s="185">
        <v>0</v>
      </c>
      <c r="BB116" s="185"/>
      <c r="BC116" s="185">
        <v>0</v>
      </c>
      <c r="BD116" s="185"/>
      <c r="BE116" s="194"/>
      <c r="BF116" s="185">
        <v>0</v>
      </c>
      <c r="BG116" s="185">
        <v>0</v>
      </c>
      <c r="BH116" s="185">
        <v>0</v>
      </c>
      <c r="BI116" s="185">
        <v>0</v>
      </c>
      <c r="BJ116" s="185">
        <v>0</v>
      </c>
      <c r="BK116" s="185">
        <v>0</v>
      </c>
      <c r="BL116" s="185">
        <v>0</v>
      </c>
      <c r="BM116" s="185">
        <v>0</v>
      </c>
      <c r="BN116" s="185">
        <v>0</v>
      </c>
      <c r="BO116" s="185"/>
      <c r="BP116" s="185">
        <v>0</v>
      </c>
      <c r="BQ116" s="185"/>
      <c r="BR116" s="194"/>
      <c r="BS116" s="185">
        <v>0</v>
      </c>
      <c r="BT116" s="185">
        <v>0</v>
      </c>
      <c r="BU116" s="185">
        <v>0</v>
      </c>
      <c r="BV116" s="185">
        <v>0</v>
      </c>
      <c r="BW116" s="185">
        <v>0</v>
      </c>
      <c r="BX116" s="185">
        <v>0</v>
      </c>
      <c r="BY116" s="185">
        <v>0</v>
      </c>
      <c r="BZ116" s="185">
        <v>0</v>
      </c>
      <c r="CA116" s="185">
        <v>0</v>
      </c>
      <c r="CB116" s="185"/>
      <c r="CC116" s="185">
        <v>0</v>
      </c>
      <c r="CD116" s="185"/>
      <c r="CE116" s="194"/>
      <c r="CF116" s="185">
        <v>0</v>
      </c>
      <c r="CG116" s="185">
        <v>0</v>
      </c>
      <c r="CH116" s="185">
        <v>0</v>
      </c>
      <c r="CI116" s="185">
        <v>0</v>
      </c>
      <c r="CJ116" s="185">
        <v>0</v>
      </c>
      <c r="CK116" s="185">
        <v>0</v>
      </c>
      <c r="CL116" s="185">
        <v>0</v>
      </c>
      <c r="CM116" s="185">
        <v>0</v>
      </c>
      <c r="CN116" s="185">
        <v>0</v>
      </c>
      <c r="CO116" s="185"/>
      <c r="CP116" s="185">
        <v>0</v>
      </c>
      <c r="CQ116" s="185"/>
      <c r="CR116" s="194"/>
      <c r="CS116" s="185">
        <v>0</v>
      </c>
      <c r="CT116" s="185">
        <v>0</v>
      </c>
      <c r="CU116" s="185">
        <v>0</v>
      </c>
      <c r="CV116" s="185">
        <v>0</v>
      </c>
      <c r="CW116" s="185">
        <v>0</v>
      </c>
      <c r="CX116" s="185">
        <v>0</v>
      </c>
      <c r="CY116" s="185">
        <v>0</v>
      </c>
      <c r="CZ116" s="185">
        <v>0</v>
      </c>
      <c r="DA116" s="185">
        <v>0</v>
      </c>
      <c r="DB116" s="185"/>
      <c r="DC116" s="185">
        <v>0</v>
      </c>
      <c r="DD116" s="185"/>
      <c r="DE116" s="194"/>
      <c r="DF116" s="187">
        <v>0</v>
      </c>
      <c r="DG116" s="187">
        <v>0</v>
      </c>
      <c r="DH116" s="187">
        <v>0</v>
      </c>
      <c r="DI116" s="187">
        <v>0</v>
      </c>
      <c r="DJ116" s="187">
        <v>0</v>
      </c>
      <c r="DK116" s="187">
        <v>0</v>
      </c>
      <c r="DL116" s="187">
        <v>0</v>
      </c>
      <c r="DM116" s="187">
        <v>0</v>
      </c>
      <c r="DN116" s="187">
        <v>0</v>
      </c>
      <c r="DO116" s="187"/>
      <c r="DP116" s="187">
        <v>0</v>
      </c>
      <c r="DQ116" s="187"/>
      <c r="DR116" s="195"/>
      <c r="DS116" s="185">
        <v>0</v>
      </c>
      <c r="DT116" s="185">
        <v>0</v>
      </c>
      <c r="DU116" s="185">
        <v>0</v>
      </c>
      <c r="DV116" s="185">
        <v>0</v>
      </c>
      <c r="DW116" s="185">
        <v>0</v>
      </c>
      <c r="DX116" s="185">
        <v>0</v>
      </c>
      <c r="DY116" s="185">
        <v>0</v>
      </c>
      <c r="DZ116" s="185">
        <v>0</v>
      </c>
      <c r="EA116" s="185">
        <v>0</v>
      </c>
      <c r="EB116" s="185"/>
      <c r="EC116" s="185">
        <v>0</v>
      </c>
      <c r="ED116" s="185"/>
      <c r="EE116" s="194"/>
      <c r="EF116" s="185">
        <v>0</v>
      </c>
      <c r="EG116" s="185">
        <v>0</v>
      </c>
      <c r="EH116" s="185">
        <v>0</v>
      </c>
      <c r="EI116" s="185">
        <v>0</v>
      </c>
      <c r="EJ116" s="185">
        <v>0</v>
      </c>
      <c r="EK116" s="185">
        <v>0</v>
      </c>
      <c r="EL116" s="185">
        <v>0</v>
      </c>
      <c r="EM116" s="185">
        <v>0</v>
      </c>
      <c r="EN116" s="185">
        <v>0</v>
      </c>
      <c r="EO116" s="185"/>
      <c r="EP116" s="185">
        <v>0</v>
      </c>
      <c r="EQ116" s="185"/>
      <c r="ER116" s="194"/>
      <c r="ES116" s="185">
        <v>0</v>
      </c>
      <c r="ET116" s="185">
        <v>0</v>
      </c>
      <c r="EU116" s="185">
        <v>0</v>
      </c>
      <c r="EV116" s="185">
        <v>0</v>
      </c>
      <c r="EW116" s="185">
        <v>0</v>
      </c>
      <c r="EX116" s="185">
        <v>0</v>
      </c>
      <c r="EY116" s="185">
        <v>0</v>
      </c>
      <c r="EZ116" s="185">
        <v>0</v>
      </c>
      <c r="FA116" s="185">
        <v>0</v>
      </c>
      <c r="FB116" s="185"/>
      <c r="FC116" s="185">
        <v>0</v>
      </c>
      <c r="FD116" s="185"/>
      <c r="FE116" s="194"/>
      <c r="FF116" s="185"/>
      <c r="FG116" s="185"/>
      <c r="FH116" s="185"/>
      <c r="FI116" s="185"/>
      <c r="FJ116" s="185"/>
      <c r="FK116" s="185"/>
      <c r="FL116" s="185"/>
      <c r="FM116" s="185"/>
      <c r="FN116" s="185"/>
      <c r="FO116" s="185"/>
      <c r="FP116" s="185"/>
      <c r="FQ116" s="185"/>
      <c r="FR116" s="194"/>
    </row>
    <row r="117" spans="1:174" x14ac:dyDescent="0.25">
      <c r="E117" s="2" t="s">
        <v>202</v>
      </c>
      <c r="F117" s="184">
        <v>0</v>
      </c>
      <c r="G117" s="185">
        <v>0</v>
      </c>
      <c r="H117" s="185">
        <v>0</v>
      </c>
      <c r="I117" s="185">
        <v>0</v>
      </c>
      <c r="J117" s="185">
        <v>0</v>
      </c>
      <c r="K117" s="185">
        <v>0.33507999999999999</v>
      </c>
      <c r="L117" s="185">
        <v>0.43389</v>
      </c>
      <c r="M117" s="185">
        <v>0.35681000000000002</v>
      </c>
      <c r="N117" s="185">
        <v>0.40550999999999998</v>
      </c>
      <c r="O117" s="185"/>
      <c r="P117" s="185">
        <v>0.43269999999999997</v>
      </c>
      <c r="Q117" s="185"/>
      <c r="R117" s="194"/>
      <c r="S117" s="185">
        <v>0</v>
      </c>
      <c r="T117" s="185">
        <v>0</v>
      </c>
      <c r="U117" s="185">
        <v>0</v>
      </c>
      <c r="V117" s="185">
        <v>0</v>
      </c>
      <c r="W117" s="185">
        <v>0</v>
      </c>
      <c r="X117" s="185">
        <v>0.95377000000000001</v>
      </c>
      <c r="Y117" s="185">
        <v>1.16367</v>
      </c>
      <c r="Z117" s="185">
        <v>1.00912</v>
      </c>
      <c r="AA117" s="185">
        <v>1.16431</v>
      </c>
      <c r="AB117" s="185"/>
      <c r="AC117" s="185">
        <v>1.1677200000000001</v>
      </c>
      <c r="AD117" s="185"/>
      <c r="AE117" s="194"/>
      <c r="AF117" s="185">
        <v>0</v>
      </c>
      <c r="AG117" s="185">
        <v>0</v>
      </c>
      <c r="AH117" s="185">
        <v>0</v>
      </c>
      <c r="AI117" s="185">
        <v>0</v>
      </c>
      <c r="AJ117" s="185">
        <v>0</v>
      </c>
      <c r="AK117" s="185">
        <v>7.1150000000000005E-2</v>
      </c>
      <c r="AL117" s="185">
        <v>8.8459999999999997E-2</v>
      </c>
      <c r="AM117" s="185">
        <v>7.6929999999999998E-2</v>
      </c>
      <c r="AN117" s="185">
        <v>8.2390000000000005E-2</v>
      </c>
      <c r="AO117" s="185"/>
      <c r="AP117" s="185">
        <v>8.1309999999999993E-2</v>
      </c>
      <c r="AQ117" s="185"/>
      <c r="AR117" s="194"/>
      <c r="AS117" s="185">
        <v>0</v>
      </c>
      <c r="AT117" s="185">
        <v>0</v>
      </c>
      <c r="AU117" s="185">
        <v>0</v>
      </c>
      <c r="AV117" s="185">
        <v>0</v>
      </c>
      <c r="AW117" s="185">
        <v>0</v>
      </c>
      <c r="AX117" s="185">
        <v>2.0600000000000002E-3</v>
      </c>
      <c r="AY117" s="185">
        <v>2.48E-3</v>
      </c>
      <c r="AZ117" s="185">
        <v>2.48E-3</v>
      </c>
      <c r="BA117" s="185">
        <v>2.4399999999999999E-3</v>
      </c>
      <c r="BB117" s="185"/>
      <c r="BC117" s="185">
        <v>2.63E-3</v>
      </c>
      <c r="BD117" s="185"/>
      <c r="BE117" s="194"/>
      <c r="BF117" s="185">
        <v>0</v>
      </c>
      <c r="BG117" s="185">
        <v>0</v>
      </c>
      <c r="BH117" s="185">
        <v>0</v>
      </c>
      <c r="BI117" s="185">
        <v>0</v>
      </c>
      <c r="BJ117" s="185">
        <v>0</v>
      </c>
      <c r="BK117" s="185">
        <v>6.4999999999999997E-4</v>
      </c>
      <c r="BL117" s="185">
        <v>1.75E-3</v>
      </c>
      <c r="BM117" s="185">
        <v>4.0999999999999999E-4</v>
      </c>
      <c r="BN117" s="185">
        <v>1.8699999999999999E-3</v>
      </c>
      <c r="BO117" s="185"/>
      <c r="BP117" s="185">
        <v>-1.9000000000000001E-4</v>
      </c>
      <c r="BQ117" s="185"/>
      <c r="BR117" s="194"/>
      <c r="BS117" s="185">
        <v>0</v>
      </c>
      <c r="BT117" s="185">
        <v>0</v>
      </c>
      <c r="BU117" s="185">
        <v>0</v>
      </c>
      <c r="BV117" s="185">
        <v>0</v>
      </c>
      <c r="BW117" s="185">
        <v>0</v>
      </c>
      <c r="BX117" s="185">
        <v>0</v>
      </c>
      <c r="BY117" s="185">
        <v>0</v>
      </c>
      <c r="BZ117" s="185">
        <v>0</v>
      </c>
      <c r="CA117" s="185">
        <v>0</v>
      </c>
      <c r="CB117" s="185"/>
      <c r="CC117" s="185">
        <v>0</v>
      </c>
      <c r="CD117" s="185"/>
      <c r="CE117" s="194"/>
      <c r="CF117" s="185">
        <v>0</v>
      </c>
      <c r="CG117" s="185">
        <v>0</v>
      </c>
      <c r="CH117" s="185">
        <v>0</v>
      </c>
      <c r="CI117" s="185">
        <v>0</v>
      </c>
      <c r="CJ117" s="185">
        <v>0</v>
      </c>
      <c r="CK117" s="185">
        <v>1.02763</v>
      </c>
      <c r="CL117" s="185">
        <v>1.2563599999999999</v>
      </c>
      <c r="CM117" s="185">
        <v>1.08894</v>
      </c>
      <c r="CN117" s="185">
        <v>1.25102</v>
      </c>
      <c r="CO117" s="185"/>
      <c r="CP117" s="185">
        <v>1.25146</v>
      </c>
      <c r="CQ117" s="185"/>
      <c r="CR117" s="194"/>
      <c r="CS117" s="185">
        <v>0</v>
      </c>
      <c r="CT117" s="185">
        <v>0</v>
      </c>
      <c r="CU117" s="185">
        <v>0</v>
      </c>
      <c r="CV117" s="185">
        <v>0</v>
      </c>
      <c r="CW117" s="185">
        <v>0</v>
      </c>
      <c r="CX117" s="185">
        <v>0.69255999999999995</v>
      </c>
      <c r="CY117" s="185">
        <v>0.82247000000000003</v>
      </c>
      <c r="CZ117" s="185">
        <v>0.73211999999999999</v>
      </c>
      <c r="DA117" s="185">
        <v>0.84550999999999998</v>
      </c>
      <c r="DB117" s="185"/>
      <c r="DC117" s="185">
        <v>0.81877</v>
      </c>
      <c r="DD117" s="185"/>
      <c r="DE117" s="194"/>
      <c r="DF117" s="187">
        <v>0</v>
      </c>
      <c r="DG117" s="187">
        <v>0</v>
      </c>
      <c r="DH117" s="187">
        <v>0</v>
      </c>
      <c r="DI117" s="187">
        <v>0</v>
      </c>
      <c r="DJ117" s="187">
        <v>0</v>
      </c>
      <c r="DK117" s="187">
        <v>6.9199999999999998E-2</v>
      </c>
      <c r="DL117" s="187">
        <v>7.0400000000000004E-2</v>
      </c>
      <c r="DM117" s="187">
        <v>7.0599999999999996E-2</v>
      </c>
      <c r="DN117" s="187">
        <v>6.59E-2</v>
      </c>
      <c r="DO117" s="187"/>
      <c r="DP117" s="187">
        <v>6.5000000000000002E-2</v>
      </c>
      <c r="DQ117" s="187"/>
      <c r="DR117" s="195"/>
      <c r="DS117" s="185">
        <v>0</v>
      </c>
      <c r="DT117" s="185">
        <v>0</v>
      </c>
      <c r="DU117" s="185">
        <v>0</v>
      </c>
      <c r="DV117" s="185">
        <v>0</v>
      </c>
      <c r="DW117" s="185">
        <v>0</v>
      </c>
      <c r="DX117" s="185">
        <v>607.6</v>
      </c>
      <c r="DY117" s="185">
        <v>686.66666999999995</v>
      </c>
      <c r="DZ117" s="185">
        <v>637.13616000000002</v>
      </c>
      <c r="EA117" s="185">
        <v>677.62778000000003</v>
      </c>
      <c r="EB117" s="185"/>
      <c r="EC117" s="185">
        <v>677.62778000000003</v>
      </c>
      <c r="ED117" s="185"/>
      <c r="EE117" s="194"/>
      <c r="EF117" s="185">
        <v>0</v>
      </c>
      <c r="EG117" s="185">
        <v>0</v>
      </c>
      <c r="EH117" s="185">
        <v>0</v>
      </c>
      <c r="EI117" s="185">
        <v>0</v>
      </c>
      <c r="EJ117" s="185">
        <v>0</v>
      </c>
      <c r="EK117" s="185">
        <v>0</v>
      </c>
      <c r="EL117" s="185">
        <v>0</v>
      </c>
      <c r="EM117" s="185">
        <v>0</v>
      </c>
      <c r="EN117" s="185">
        <v>0</v>
      </c>
      <c r="EO117" s="185"/>
      <c r="EP117" s="185">
        <v>0</v>
      </c>
      <c r="EQ117" s="185"/>
      <c r="ER117" s="194"/>
      <c r="ES117" s="185">
        <v>0</v>
      </c>
      <c r="ET117" s="185">
        <v>0</v>
      </c>
      <c r="EU117" s="185">
        <v>0</v>
      </c>
      <c r="EV117" s="185">
        <v>0</v>
      </c>
      <c r="EW117" s="185">
        <v>0</v>
      </c>
      <c r="EX117" s="185">
        <v>19384.918860000002</v>
      </c>
      <c r="EY117" s="185">
        <v>25548.939050000001</v>
      </c>
      <c r="EZ117" s="185">
        <v>21389.85009</v>
      </c>
      <c r="FA117" s="185">
        <v>24638.061659999999</v>
      </c>
      <c r="FB117" s="185"/>
      <c r="FC117" s="185">
        <v>24947.11378</v>
      </c>
      <c r="FD117" s="185"/>
      <c r="FE117" s="194"/>
      <c r="FF117" s="185"/>
      <c r="FG117" s="185"/>
      <c r="FH117" s="185"/>
      <c r="FI117" s="185"/>
      <c r="FJ117" s="185"/>
      <c r="FK117" s="185"/>
      <c r="FL117" s="185"/>
      <c r="FM117" s="185"/>
      <c r="FN117" s="185"/>
      <c r="FO117" s="185"/>
      <c r="FP117" s="185"/>
      <c r="FQ117" s="185"/>
      <c r="FR117" s="194"/>
    </row>
    <row r="118" spans="1:174" x14ac:dyDescent="0.25">
      <c r="E118" s="2" t="s">
        <v>203</v>
      </c>
      <c r="F118" s="184">
        <v>0</v>
      </c>
      <c r="G118" s="185">
        <v>0</v>
      </c>
      <c r="H118" s="185">
        <v>0</v>
      </c>
      <c r="I118" s="185">
        <v>0</v>
      </c>
      <c r="J118" s="185">
        <v>0</v>
      </c>
      <c r="K118" s="185">
        <v>0.18733</v>
      </c>
      <c r="L118" s="185">
        <v>1.02833</v>
      </c>
      <c r="M118" s="185">
        <v>0</v>
      </c>
      <c r="N118" s="185">
        <v>0</v>
      </c>
      <c r="O118" s="185"/>
      <c r="P118" s="185">
        <v>0</v>
      </c>
      <c r="Q118" s="185"/>
      <c r="R118" s="194"/>
      <c r="S118" s="185">
        <v>0</v>
      </c>
      <c r="T118" s="185">
        <v>0</v>
      </c>
      <c r="U118" s="185">
        <v>0</v>
      </c>
      <c r="V118" s="185">
        <v>0</v>
      </c>
      <c r="W118" s="185">
        <v>0</v>
      </c>
      <c r="X118" s="185">
        <v>0.50422</v>
      </c>
      <c r="Y118" s="185">
        <v>2.2991999999999999</v>
      </c>
      <c r="Z118" s="185">
        <v>0</v>
      </c>
      <c r="AA118" s="185">
        <v>0</v>
      </c>
      <c r="AB118" s="185"/>
      <c r="AC118" s="185">
        <v>0</v>
      </c>
      <c r="AD118" s="185"/>
      <c r="AE118" s="194"/>
      <c r="AF118" s="185">
        <v>0</v>
      </c>
      <c r="AG118" s="185">
        <v>0</v>
      </c>
      <c r="AH118" s="185">
        <v>0</v>
      </c>
      <c r="AI118" s="185">
        <v>0</v>
      </c>
      <c r="AJ118" s="185">
        <v>0</v>
      </c>
      <c r="AK118" s="185">
        <v>3.6220000000000002E-2</v>
      </c>
      <c r="AL118" s="185">
        <v>0.18842</v>
      </c>
      <c r="AM118" s="185">
        <v>0</v>
      </c>
      <c r="AN118" s="185">
        <v>0</v>
      </c>
      <c r="AO118" s="185"/>
      <c r="AP118" s="185">
        <v>0</v>
      </c>
      <c r="AQ118" s="185"/>
      <c r="AR118" s="194"/>
      <c r="AS118" s="185">
        <v>0</v>
      </c>
      <c r="AT118" s="185">
        <v>0</v>
      </c>
      <c r="AU118" s="185">
        <v>0</v>
      </c>
      <c r="AV118" s="185">
        <v>0</v>
      </c>
      <c r="AW118" s="185">
        <v>0</v>
      </c>
      <c r="AX118" s="185">
        <v>9.7000000000000005E-4</v>
      </c>
      <c r="AY118" s="185">
        <v>4.7099999999999998E-3</v>
      </c>
      <c r="AZ118" s="185">
        <v>0</v>
      </c>
      <c r="BA118" s="185">
        <v>0</v>
      </c>
      <c r="BB118" s="185"/>
      <c r="BC118" s="185">
        <v>0</v>
      </c>
      <c r="BD118" s="185"/>
      <c r="BE118" s="194"/>
      <c r="BF118" s="185">
        <v>0</v>
      </c>
      <c r="BG118" s="185">
        <v>0</v>
      </c>
      <c r="BH118" s="185">
        <v>0</v>
      </c>
      <c r="BI118" s="185">
        <v>0</v>
      </c>
      <c r="BJ118" s="185">
        <v>0</v>
      </c>
      <c r="BK118" s="185">
        <v>3.1E-4</v>
      </c>
      <c r="BL118" s="185">
        <v>3.32E-3</v>
      </c>
      <c r="BM118" s="185">
        <v>0</v>
      </c>
      <c r="BN118" s="185">
        <v>0</v>
      </c>
      <c r="BO118" s="185"/>
      <c r="BP118" s="185">
        <v>0</v>
      </c>
      <c r="BQ118" s="185"/>
      <c r="BR118" s="194"/>
      <c r="BS118" s="185">
        <v>0</v>
      </c>
      <c r="BT118" s="185">
        <v>0</v>
      </c>
      <c r="BU118" s="185">
        <v>0</v>
      </c>
      <c r="BV118" s="185">
        <v>0</v>
      </c>
      <c r="BW118" s="185">
        <v>0</v>
      </c>
      <c r="BX118" s="185">
        <v>0</v>
      </c>
      <c r="BY118" s="185">
        <v>0</v>
      </c>
      <c r="BZ118" s="185">
        <v>0</v>
      </c>
      <c r="CA118" s="185">
        <v>0</v>
      </c>
      <c r="CB118" s="185"/>
      <c r="CC118" s="185">
        <v>0</v>
      </c>
      <c r="CD118" s="185"/>
      <c r="CE118" s="194"/>
      <c r="CF118" s="185">
        <v>0</v>
      </c>
      <c r="CG118" s="185">
        <v>0</v>
      </c>
      <c r="CH118" s="185">
        <v>0</v>
      </c>
      <c r="CI118" s="185">
        <v>0</v>
      </c>
      <c r="CJ118" s="185">
        <v>0</v>
      </c>
      <c r="CK118" s="185">
        <v>0.54171999999999998</v>
      </c>
      <c r="CL118" s="185">
        <v>2.4956499999999999</v>
      </c>
      <c r="CM118" s="185">
        <v>0</v>
      </c>
      <c r="CN118" s="185">
        <v>0</v>
      </c>
      <c r="CO118" s="185"/>
      <c r="CP118" s="185">
        <v>0</v>
      </c>
      <c r="CQ118" s="185"/>
      <c r="CR118" s="194"/>
      <c r="CS118" s="185">
        <v>0</v>
      </c>
      <c r="CT118" s="185">
        <v>0</v>
      </c>
      <c r="CU118" s="185">
        <v>0</v>
      </c>
      <c r="CV118" s="185">
        <v>0</v>
      </c>
      <c r="CW118" s="185">
        <v>0</v>
      </c>
      <c r="CX118" s="185">
        <v>0.35438999999999998</v>
      </c>
      <c r="CY118" s="185">
        <v>1.46733</v>
      </c>
      <c r="CZ118" s="185">
        <v>0</v>
      </c>
      <c r="DA118" s="185">
        <v>0</v>
      </c>
      <c r="DB118" s="185"/>
      <c r="DC118" s="185">
        <v>0</v>
      </c>
      <c r="DD118" s="185"/>
      <c r="DE118" s="194"/>
      <c r="DF118" s="187">
        <v>0</v>
      </c>
      <c r="DG118" s="187">
        <v>0</v>
      </c>
      <c r="DH118" s="187">
        <v>0</v>
      </c>
      <c r="DI118" s="187">
        <v>0</v>
      </c>
      <c r="DJ118" s="187">
        <v>0</v>
      </c>
      <c r="DK118" s="187">
        <v>6.6900000000000001E-2</v>
      </c>
      <c r="DL118" s="187">
        <v>7.5499999999999998E-2</v>
      </c>
      <c r="DM118" s="187">
        <v>0</v>
      </c>
      <c r="DN118" s="187">
        <v>0</v>
      </c>
      <c r="DO118" s="187"/>
      <c r="DP118" s="187">
        <v>0</v>
      </c>
      <c r="DQ118" s="187"/>
      <c r="DR118" s="195"/>
      <c r="DS118" s="185">
        <v>0</v>
      </c>
      <c r="DT118" s="185">
        <v>0</v>
      </c>
      <c r="DU118" s="185">
        <v>0</v>
      </c>
      <c r="DV118" s="185">
        <v>0</v>
      </c>
      <c r="DW118" s="185">
        <v>0</v>
      </c>
      <c r="DX118" s="185">
        <v>286.66667000000001</v>
      </c>
      <c r="DY118" s="185">
        <v>1304</v>
      </c>
      <c r="DZ118" s="185">
        <v>0</v>
      </c>
      <c r="EA118" s="185">
        <v>0</v>
      </c>
      <c r="EB118" s="185"/>
      <c r="EC118" s="185">
        <v>0</v>
      </c>
      <c r="ED118" s="185"/>
      <c r="EE118" s="194"/>
      <c r="EF118" s="185">
        <v>0</v>
      </c>
      <c r="EG118" s="185">
        <v>0</v>
      </c>
      <c r="EH118" s="185">
        <v>0</v>
      </c>
      <c r="EI118" s="185">
        <v>0</v>
      </c>
      <c r="EJ118" s="185">
        <v>0</v>
      </c>
      <c r="EK118" s="185">
        <v>0</v>
      </c>
      <c r="EL118" s="185">
        <v>0</v>
      </c>
      <c r="EM118" s="185">
        <v>0</v>
      </c>
      <c r="EN118" s="185">
        <v>0</v>
      </c>
      <c r="EO118" s="185"/>
      <c r="EP118" s="185">
        <v>0</v>
      </c>
      <c r="EQ118" s="185"/>
      <c r="ER118" s="194"/>
      <c r="ES118" s="185">
        <v>0</v>
      </c>
      <c r="ET118" s="185">
        <v>0</v>
      </c>
      <c r="EU118" s="185">
        <v>0</v>
      </c>
      <c r="EV118" s="185">
        <v>0</v>
      </c>
      <c r="EW118" s="185">
        <v>0</v>
      </c>
      <c r="EX118" s="185">
        <v>24431.298149999999</v>
      </c>
      <c r="EY118" s="185">
        <v>136290.58137</v>
      </c>
      <c r="EZ118" s="185">
        <v>0</v>
      </c>
      <c r="FA118" s="185">
        <v>0</v>
      </c>
      <c r="FB118" s="185"/>
      <c r="FC118" s="185">
        <v>0</v>
      </c>
      <c r="FD118" s="185"/>
      <c r="FE118" s="194"/>
      <c r="FF118" s="185"/>
      <c r="FG118" s="185"/>
      <c r="FH118" s="185"/>
      <c r="FI118" s="185"/>
      <c r="FJ118" s="185"/>
      <c r="FK118" s="185"/>
      <c r="FL118" s="185"/>
      <c r="FM118" s="185"/>
      <c r="FN118" s="185"/>
      <c r="FO118" s="185"/>
      <c r="FP118" s="185"/>
      <c r="FQ118" s="185"/>
      <c r="FR118" s="194"/>
    </row>
    <row r="119" spans="1:174" x14ac:dyDescent="0.25">
      <c r="E119" s="2" t="s">
        <v>204</v>
      </c>
      <c r="F119" s="184">
        <v>0</v>
      </c>
      <c r="G119" s="185">
        <v>0</v>
      </c>
      <c r="H119" s="185">
        <v>0</v>
      </c>
      <c r="I119" s="185">
        <v>0</v>
      </c>
      <c r="J119" s="185">
        <v>0</v>
      </c>
      <c r="K119" s="185">
        <v>0.10600999999999999</v>
      </c>
      <c r="L119" s="185">
        <v>0.56157000000000001</v>
      </c>
      <c r="M119" s="185">
        <v>0</v>
      </c>
      <c r="N119" s="185">
        <v>0</v>
      </c>
      <c r="O119" s="185"/>
      <c r="P119" s="185">
        <v>0</v>
      </c>
      <c r="Q119" s="185"/>
      <c r="R119" s="194"/>
      <c r="S119" s="185">
        <v>0</v>
      </c>
      <c r="T119" s="185">
        <v>0</v>
      </c>
      <c r="U119" s="185">
        <v>0</v>
      </c>
      <c r="V119" s="185">
        <v>0</v>
      </c>
      <c r="W119" s="185">
        <v>0</v>
      </c>
      <c r="X119" s="185">
        <v>0.49558000000000002</v>
      </c>
      <c r="Y119" s="185">
        <v>1.9552799999999999</v>
      </c>
      <c r="Z119" s="185">
        <v>0</v>
      </c>
      <c r="AA119" s="185">
        <v>0</v>
      </c>
      <c r="AB119" s="185"/>
      <c r="AC119" s="185">
        <v>0</v>
      </c>
      <c r="AD119" s="185"/>
      <c r="AE119" s="194"/>
      <c r="AF119" s="185">
        <v>0</v>
      </c>
      <c r="AG119" s="185">
        <v>0</v>
      </c>
      <c r="AH119" s="185">
        <v>0</v>
      </c>
      <c r="AI119" s="185">
        <v>0</v>
      </c>
      <c r="AJ119" s="185">
        <v>0</v>
      </c>
      <c r="AK119" s="185">
        <v>3.7319999999999999E-2</v>
      </c>
      <c r="AL119" s="185">
        <v>0.15953999999999999</v>
      </c>
      <c r="AM119" s="185">
        <v>0</v>
      </c>
      <c r="AN119" s="185">
        <v>0</v>
      </c>
      <c r="AO119" s="185"/>
      <c r="AP119" s="185">
        <v>0</v>
      </c>
      <c r="AQ119" s="185"/>
      <c r="AR119" s="194"/>
      <c r="AS119" s="185">
        <v>0</v>
      </c>
      <c r="AT119" s="185">
        <v>0</v>
      </c>
      <c r="AU119" s="185">
        <v>0</v>
      </c>
      <c r="AV119" s="185">
        <v>0</v>
      </c>
      <c r="AW119" s="185">
        <v>0</v>
      </c>
      <c r="AX119" s="185">
        <v>1.5399999999999999E-3</v>
      </c>
      <c r="AY119" s="185">
        <v>6.3299999999999997E-3</v>
      </c>
      <c r="AZ119" s="185">
        <v>0</v>
      </c>
      <c r="BA119" s="185">
        <v>0</v>
      </c>
      <c r="BB119" s="185"/>
      <c r="BC119" s="185">
        <v>0</v>
      </c>
      <c r="BD119" s="185"/>
      <c r="BE119" s="194"/>
      <c r="BF119" s="185">
        <v>0</v>
      </c>
      <c r="BG119" s="185">
        <v>0</v>
      </c>
      <c r="BH119" s="185">
        <v>0</v>
      </c>
      <c r="BI119" s="185">
        <v>0</v>
      </c>
      <c r="BJ119" s="185">
        <v>0</v>
      </c>
      <c r="BK119" s="185">
        <v>4.8000000000000001E-4</v>
      </c>
      <c r="BL119" s="185">
        <v>4.4600000000000004E-3</v>
      </c>
      <c r="BM119" s="185">
        <v>0</v>
      </c>
      <c r="BN119" s="185">
        <v>0</v>
      </c>
      <c r="BO119" s="185"/>
      <c r="BP119" s="185">
        <v>0</v>
      </c>
      <c r="BQ119" s="185"/>
      <c r="BR119" s="194"/>
      <c r="BS119" s="185">
        <v>0</v>
      </c>
      <c r="BT119" s="185">
        <v>0</v>
      </c>
      <c r="BU119" s="185">
        <v>0</v>
      </c>
      <c r="BV119" s="185">
        <v>0</v>
      </c>
      <c r="BW119" s="185">
        <v>0</v>
      </c>
      <c r="BX119" s="185">
        <v>0</v>
      </c>
      <c r="BY119" s="185">
        <v>0</v>
      </c>
      <c r="BZ119" s="185">
        <v>0</v>
      </c>
      <c r="CA119" s="185">
        <v>0</v>
      </c>
      <c r="CB119" s="185"/>
      <c r="CC119" s="185">
        <v>0</v>
      </c>
      <c r="CD119" s="185"/>
      <c r="CE119" s="194"/>
      <c r="CF119" s="185">
        <v>0</v>
      </c>
      <c r="CG119" s="185">
        <v>0</v>
      </c>
      <c r="CH119" s="185">
        <v>0</v>
      </c>
      <c r="CI119" s="185">
        <v>0</v>
      </c>
      <c r="CJ119" s="185">
        <v>0</v>
      </c>
      <c r="CK119" s="185">
        <v>0.53491999999999995</v>
      </c>
      <c r="CL119" s="185">
        <v>2.12561</v>
      </c>
      <c r="CM119" s="185">
        <v>0</v>
      </c>
      <c r="CN119" s="185">
        <v>0</v>
      </c>
      <c r="CO119" s="185"/>
      <c r="CP119" s="185">
        <v>0</v>
      </c>
      <c r="CQ119" s="185"/>
      <c r="CR119" s="194"/>
      <c r="CS119" s="185">
        <v>0</v>
      </c>
      <c r="CT119" s="185">
        <v>0</v>
      </c>
      <c r="CU119" s="185">
        <v>0</v>
      </c>
      <c r="CV119" s="185">
        <v>0</v>
      </c>
      <c r="CW119" s="185">
        <v>0</v>
      </c>
      <c r="CX119" s="185">
        <v>0.42891000000000001</v>
      </c>
      <c r="CY119" s="185">
        <v>1.5640400000000001</v>
      </c>
      <c r="CZ119" s="185">
        <v>0</v>
      </c>
      <c r="DA119" s="185">
        <v>0</v>
      </c>
      <c r="DB119" s="185"/>
      <c r="DC119" s="185">
        <v>0</v>
      </c>
      <c r="DD119" s="185"/>
      <c r="DE119" s="194"/>
      <c r="DF119" s="187">
        <v>0</v>
      </c>
      <c r="DG119" s="187">
        <v>0</v>
      </c>
      <c r="DH119" s="187">
        <v>0</v>
      </c>
      <c r="DI119" s="187">
        <v>0</v>
      </c>
      <c r="DJ119" s="187">
        <v>0</v>
      </c>
      <c r="DK119" s="187">
        <v>6.9800000000000001E-2</v>
      </c>
      <c r="DL119" s="187">
        <v>7.51E-2</v>
      </c>
      <c r="DM119" s="187">
        <v>0</v>
      </c>
      <c r="DN119" s="187">
        <v>0</v>
      </c>
      <c r="DO119" s="187"/>
      <c r="DP119" s="187">
        <v>0</v>
      </c>
      <c r="DQ119" s="187"/>
      <c r="DR119" s="195"/>
      <c r="DS119" s="185">
        <v>0</v>
      </c>
      <c r="DT119" s="185">
        <v>0</v>
      </c>
      <c r="DU119" s="185">
        <v>0</v>
      </c>
      <c r="DV119" s="185">
        <v>0</v>
      </c>
      <c r="DW119" s="185">
        <v>0</v>
      </c>
      <c r="DX119" s="185">
        <v>455</v>
      </c>
      <c r="DY119" s="185">
        <v>1753</v>
      </c>
      <c r="DZ119" s="185">
        <v>0</v>
      </c>
      <c r="EA119" s="185">
        <v>0</v>
      </c>
      <c r="EB119" s="185"/>
      <c r="EC119" s="185">
        <v>0</v>
      </c>
      <c r="ED119" s="185"/>
      <c r="EE119" s="194"/>
      <c r="EF119" s="185">
        <v>0</v>
      </c>
      <c r="EG119" s="185">
        <v>0</v>
      </c>
      <c r="EH119" s="185">
        <v>0</v>
      </c>
      <c r="EI119" s="185">
        <v>0</v>
      </c>
      <c r="EJ119" s="185">
        <v>0</v>
      </c>
      <c r="EK119" s="185">
        <v>0</v>
      </c>
      <c r="EL119" s="185">
        <v>0</v>
      </c>
      <c r="EM119" s="185">
        <v>0</v>
      </c>
      <c r="EN119" s="185">
        <v>0</v>
      </c>
      <c r="EO119" s="185"/>
      <c r="EP119" s="185">
        <v>0</v>
      </c>
      <c r="EQ119" s="185"/>
      <c r="ER119" s="194"/>
      <c r="ES119" s="185">
        <v>0</v>
      </c>
      <c r="ET119" s="185">
        <v>0</v>
      </c>
      <c r="EU119" s="185">
        <v>0</v>
      </c>
      <c r="EV119" s="185">
        <v>0</v>
      </c>
      <c r="EW119" s="185">
        <v>0</v>
      </c>
      <c r="EX119" s="185">
        <v>8511.4044099999992</v>
      </c>
      <c r="EY119" s="185">
        <v>46992.241730000002</v>
      </c>
      <c r="EZ119" s="185">
        <v>0</v>
      </c>
      <c r="FA119" s="185">
        <v>0</v>
      </c>
      <c r="FB119" s="185"/>
      <c r="FC119" s="185">
        <v>0</v>
      </c>
      <c r="FD119" s="185"/>
      <c r="FE119" s="194"/>
      <c r="FF119" s="185"/>
      <c r="FG119" s="185"/>
      <c r="FH119" s="185"/>
      <c r="FI119" s="185"/>
      <c r="FJ119" s="185"/>
      <c r="FK119" s="185"/>
      <c r="FL119" s="185"/>
      <c r="FM119" s="185"/>
      <c r="FN119" s="185"/>
      <c r="FO119" s="185"/>
      <c r="FP119" s="185"/>
      <c r="FQ119" s="185"/>
      <c r="FR119" s="194"/>
    </row>
    <row r="120" spans="1:174" x14ac:dyDescent="0.25">
      <c r="E120" s="2" t="s">
        <v>205</v>
      </c>
      <c r="F120" s="184">
        <v>0</v>
      </c>
      <c r="G120" s="185">
        <v>0</v>
      </c>
      <c r="H120" s="185">
        <v>0</v>
      </c>
      <c r="I120" s="185">
        <v>0</v>
      </c>
      <c r="J120" s="185">
        <v>0</v>
      </c>
      <c r="K120" s="185">
        <v>0</v>
      </c>
      <c r="L120" s="185">
        <v>0</v>
      </c>
      <c r="M120" s="185">
        <v>0</v>
      </c>
      <c r="N120" s="185">
        <v>23.161349999999999</v>
      </c>
      <c r="O120" s="185"/>
      <c r="P120" s="185">
        <v>0</v>
      </c>
      <c r="Q120" s="185"/>
      <c r="R120" s="194"/>
      <c r="S120" s="185">
        <v>0</v>
      </c>
      <c r="T120" s="185">
        <v>0</v>
      </c>
      <c r="U120" s="185">
        <v>0</v>
      </c>
      <c r="V120" s="185">
        <v>0</v>
      </c>
      <c r="W120" s="185">
        <v>0</v>
      </c>
      <c r="X120" s="185">
        <v>0</v>
      </c>
      <c r="Y120" s="185">
        <v>0</v>
      </c>
      <c r="Z120" s="185">
        <v>0</v>
      </c>
      <c r="AA120" s="185">
        <v>45.434730000000002</v>
      </c>
      <c r="AB120" s="185"/>
      <c r="AC120" s="185">
        <v>0</v>
      </c>
      <c r="AD120" s="185"/>
      <c r="AE120" s="194"/>
      <c r="AF120" s="185">
        <v>0</v>
      </c>
      <c r="AG120" s="185">
        <v>0</v>
      </c>
      <c r="AH120" s="185">
        <v>0</v>
      </c>
      <c r="AI120" s="185">
        <v>0</v>
      </c>
      <c r="AJ120" s="185">
        <v>0</v>
      </c>
      <c r="AK120" s="185">
        <v>0</v>
      </c>
      <c r="AL120" s="185">
        <v>0</v>
      </c>
      <c r="AM120" s="185">
        <v>0</v>
      </c>
      <c r="AN120" s="185">
        <v>5.22166</v>
      </c>
      <c r="AO120" s="185"/>
      <c r="AP120" s="185">
        <v>0</v>
      </c>
      <c r="AQ120" s="185"/>
      <c r="AR120" s="194"/>
      <c r="AS120" s="185">
        <v>0</v>
      </c>
      <c r="AT120" s="185">
        <v>0</v>
      </c>
      <c r="AU120" s="185">
        <v>0</v>
      </c>
      <c r="AV120" s="185">
        <v>0</v>
      </c>
      <c r="AW120" s="185">
        <v>0</v>
      </c>
      <c r="AX120" s="185">
        <v>0</v>
      </c>
      <c r="AY120" s="185">
        <v>0</v>
      </c>
      <c r="AZ120" s="185">
        <v>0</v>
      </c>
      <c r="BA120" s="185">
        <v>0.16707</v>
      </c>
      <c r="BB120" s="185"/>
      <c r="BC120" s="185">
        <v>0</v>
      </c>
      <c r="BD120" s="185"/>
      <c r="BE120" s="194"/>
      <c r="BF120" s="185">
        <v>0</v>
      </c>
      <c r="BG120" s="185">
        <v>0</v>
      </c>
      <c r="BH120" s="185">
        <v>0</v>
      </c>
      <c r="BI120" s="185">
        <v>0</v>
      </c>
      <c r="BJ120" s="185">
        <v>0</v>
      </c>
      <c r="BK120" s="185">
        <v>0</v>
      </c>
      <c r="BL120" s="185">
        <v>0</v>
      </c>
      <c r="BM120" s="185">
        <v>0</v>
      </c>
      <c r="BN120" s="185">
        <v>0.12853000000000001</v>
      </c>
      <c r="BO120" s="185"/>
      <c r="BP120" s="185">
        <v>0</v>
      </c>
      <c r="BQ120" s="185"/>
      <c r="BR120" s="194"/>
      <c r="BS120" s="185">
        <v>0</v>
      </c>
      <c r="BT120" s="185">
        <v>0</v>
      </c>
      <c r="BU120" s="185">
        <v>0</v>
      </c>
      <c r="BV120" s="185">
        <v>0</v>
      </c>
      <c r="BW120" s="185">
        <v>0</v>
      </c>
      <c r="BX120" s="185">
        <v>0</v>
      </c>
      <c r="BY120" s="185">
        <v>0</v>
      </c>
      <c r="BZ120" s="185">
        <v>0</v>
      </c>
      <c r="CA120" s="185">
        <v>0</v>
      </c>
      <c r="CB120" s="185"/>
      <c r="CC120" s="185">
        <v>0</v>
      </c>
      <c r="CD120" s="185"/>
      <c r="CE120" s="194"/>
      <c r="CF120" s="185">
        <v>0</v>
      </c>
      <c r="CG120" s="185">
        <v>0</v>
      </c>
      <c r="CH120" s="185">
        <v>0</v>
      </c>
      <c r="CI120" s="185">
        <v>0</v>
      </c>
      <c r="CJ120" s="185">
        <v>0</v>
      </c>
      <c r="CK120" s="185">
        <v>0</v>
      </c>
      <c r="CL120" s="185">
        <v>0</v>
      </c>
      <c r="CM120" s="185">
        <v>0</v>
      </c>
      <c r="CN120" s="185">
        <v>50.951990000000002</v>
      </c>
      <c r="CO120" s="185"/>
      <c r="CP120" s="185">
        <v>0</v>
      </c>
      <c r="CQ120" s="185"/>
      <c r="CR120" s="194"/>
      <c r="CS120" s="185">
        <v>0</v>
      </c>
      <c r="CT120" s="185">
        <v>0</v>
      </c>
      <c r="CU120" s="185">
        <v>0</v>
      </c>
      <c r="CV120" s="185">
        <v>0</v>
      </c>
      <c r="CW120" s="185">
        <v>0</v>
      </c>
      <c r="CX120" s="185">
        <v>0</v>
      </c>
      <c r="CY120" s="185">
        <v>0</v>
      </c>
      <c r="CZ120" s="185">
        <v>0</v>
      </c>
      <c r="DA120" s="185">
        <v>27.79064</v>
      </c>
      <c r="DB120" s="185"/>
      <c r="DC120" s="185">
        <v>0</v>
      </c>
      <c r="DD120" s="185"/>
      <c r="DE120" s="194"/>
      <c r="DF120" s="187">
        <v>0</v>
      </c>
      <c r="DG120" s="187">
        <v>0</v>
      </c>
      <c r="DH120" s="187">
        <v>0</v>
      </c>
      <c r="DI120" s="187">
        <v>0</v>
      </c>
      <c r="DJ120" s="187">
        <v>0</v>
      </c>
      <c r="DK120" s="187">
        <v>0</v>
      </c>
      <c r="DL120" s="187">
        <v>0</v>
      </c>
      <c r="DM120" s="187">
        <v>0</v>
      </c>
      <c r="DN120" s="187">
        <v>0.10249999999999999</v>
      </c>
      <c r="DO120" s="187"/>
      <c r="DP120" s="187">
        <v>0</v>
      </c>
      <c r="DQ120" s="187"/>
      <c r="DR120" s="195"/>
      <c r="DS120" s="185">
        <v>0</v>
      </c>
      <c r="DT120" s="185">
        <v>0</v>
      </c>
      <c r="DU120" s="185">
        <v>0</v>
      </c>
      <c r="DV120" s="185">
        <v>0</v>
      </c>
      <c r="DW120" s="185">
        <v>0</v>
      </c>
      <c r="DX120" s="185">
        <v>0</v>
      </c>
      <c r="DY120" s="185">
        <v>0</v>
      </c>
      <c r="DZ120" s="185">
        <v>0</v>
      </c>
      <c r="EA120" s="185">
        <v>46457.7</v>
      </c>
      <c r="EB120" s="185"/>
      <c r="EC120" s="185">
        <v>0</v>
      </c>
      <c r="ED120" s="185"/>
      <c r="EE120" s="194"/>
      <c r="EF120" s="185">
        <v>0</v>
      </c>
      <c r="EG120" s="185">
        <v>0</v>
      </c>
      <c r="EH120" s="185">
        <v>0</v>
      </c>
      <c r="EI120" s="185">
        <v>0</v>
      </c>
      <c r="EJ120" s="185">
        <v>0</v>
      </c>
      <c r="EK120" s="185">
        <v>0</v>
      </c>
      <c r="EL120" s="185">
        <v>0</v>
      </c>
      <c r="EM120" s="185">
        <v>0</v>
      </c>
      <c r="EN120" s="185">
        <v>0</v>
      </c>
      <c r="EO120" s="185"/>
      <c r="EP120" s="185">
        <v>0</v>
      </c>
      <c r="EQ120" s="185"/>
      <c r="ER120" s="194"/>
      <c r="ES120" s="185">
        <v>0</v>
      </c>
      <c r="ET120" s="185">
        <v>0</v>
      </c>
      <c r="EU120" s="185">
        <v>0</v>
      </c>
      <c r="EV120" s="185">
        <v>0</v>
      </c>
      <c r="EW120" s="185">
        <v>0</v>
      </c>
      <c r="EX120" s="185">
        <v>0</v>
      </c>
      <c r="EY120" s="185">
        <v>0</v>
      </c>
      <c r="EZ120" s="185">
        <v>0</v>
      </c>
      <c r="FA120" s="185">
        <v>1899999.4277900001</v>
      </c>
      <c r="FB120" s="185"/>
      <c r="FC120" s="185">
        <v>0</v>
      </c>
      <c r="FD120" s="185"/>
      <c r="FE120" s="194"/>
      <c r="FF120" s="185"/>
      <c r="FG120" s="185"/>
      <c r="FH120" s="185"/>
      <c r="FI120" s="185"/>
      <c r="FJ120" s="185"/>
      <c r="FK120" s="185"/>
      <c r="FL120" s="185"/>
      <c r="FM120" s="185"/>
      <c r="FN120" s="185"/>
      <c r="FO120" s="185"/>
      <c r="FP120" s="185"/>
      <c r="FQ120" s="185"/>
      <c r="FR120" s="194"/>
    </row>
    <row r="121" spans="1:174" s="4" customFormat="1" ht="18.75" customHeight="1" x14ac:dyDescent="0.3">
      <c r="B121" s="109"/>
      <c r="D121" s="92"/>
      <c r="E121" s="105" t="s">
        <v>207</v>
      </c>
      <c r="F121" s="189">
        <v>0</v>
      </c>
      <c r="G121" s="190">
        <v>0</v>
      </c>
      <c r="H121" s="190">
        <v>0</v>
      </c>
      <c r="I121" s="190">
        <v>0</v>
      </c>
      <c r="J121" s="190">
        <v>0</v>
      </c>
      <c r="K121" s="190">
        <v>0</v>
      </c>
      <c r="L121" s="190">
        <v>0</v>
      </c>
      <c r="M121" s="190">
        <v>0</v>
      </c>
      <c r="N121" s="190">
        <v>0</v>
      </c>
      <c r="O121" s="190"/>
      <c r="P121" s="190">
        <v>0</v>
      </c>
      <c r="Q121" s="190"/>
      <c r="R121" s="196"/>
      <c r="S121" s="190">
        <v>0</v>
      </c>
      <c r="T121" s="190">
        <v>0</v>
      </c>
      <c r="U121" s="190">
        <v>0</v>
      </c>
      <c r="V121" s="190">
        <v>0</v>
      </c>
      <c r="W121" s="190">
        <v>0</v>
      </c>
      <c r="X121" s="190">
        <v>0</v>
      </c>
      <c r="Y121" s="190">
        <v>0</v>
      </c>
      <c r="Z121" s="190">
        <v>0</v>
      </c>
      <c r="AA121" s="190">
        <v>0</v>
      </c>
      <c r="AB121" s="190"/>
      <c r="AC121" s="190">
        <v>0</v>
      </c>
      <c r="AD121" s="190"/>
      <c r="AE121" s="196"/>
      <c r="AF121" s="190">
        <v>107.56083</v>
      </c>
      <c r="AG121" s="190">
        <v>109.23421999999999</v>
      </c>
      <c r="AH121" s="190">
        <v>118.79003</v>
      </c>
      <c r="AI121" s="190">
        <v>104.85380000000001</v>
      </c>
      <c r="AJ121" s="190">
        <v>117.24673</v>
      </c>
      <c r="AK121" s="190">
        <v>127.08541</v>
      </c>
      <c r="AL121" s="190">
        <v>119.15272</v>
      </c>
      <c r="AM121" s="190">
        <v>137.52016</v>
      </c>
      <c r="AN121" s="190">
        <v>135.97278</v>
      </c>
      <c r="AO121" s="190"/>
      <c r="AP121" s="190">
        <v>127.54091</v>
      </c>
      <c r="AQ121" s="190"/>
      <c r="AR121" s="196"/>
      <c r="AS121" s="190">
        <v>5.6519500000000003</v>
      </c>
      <c r="AT121" s="190">
        <v>5.8646700000000003</v>
      </c>
      <c r="AU121" s="190">
        <v>6.05396</v>
      </c>
      <c r="AV121" s="190">
        <v>6.3472099999999996</v>
      </c>
      <c r="AW121" s="190">
        <v>6.5948399999999996</v>
      </c>
      <c r="AX121" s="190">
        <v>6.9969200000000003</v>
      </c>
      <c r="AY121" s="190">
        <v>7.4344599999999996</v>
      </c>
      <c r="AZ121" s="190">
        <v>7.8589900000000004</v>
      </c>
      <c r="BA121" s="190">
        <v>7.43994</v>
      </c>
      <c r="BB121" s="190"/>
      <c r="BC121" s="190">
        <v>7.9491699999999996</v>
      </c>
      <c r="BD121" s="190"/>
      <c r="BE121" s="196"/>
      <c r="BF121" s="190">
        <v>7.6390599999999997</v>
      </c>
      <c r="BG121" s="190">
        <v>15.3451</v>
      </c>
      <c r="BH121" s="190">
        <v>3.2044199999999998</v>
      </c>
      <c r="BI121" s="190">
        <v>3.1850299999999998</v>
      </c>
      <c r="BJ121" s="190">
        <v>5.7131600000000002</v>
      </c>
      <c r="BK121" s="190">
        <v>2.2105800000000002</v>
      </c>
      <c r="BL121" s="190">
        <v>5.2542099999999996</v>
      </c>
      <c r="BM121" s="190">
        <v>1.3070600000000001</v>
      </c>
      <c r="BN121" s="190">
        <v>5.73834</v>
      </c>
      <c r="BO121" s="190"/>
      <c r="BP121" s="190">
        <v>-0.57382999999999995</v>
      </c>
      <c r="BQ121" s="190"/>
      <c r="BR121" s="196"/>
      <c r="BS121" s="190">
        <v>0</v>
      </c>
      <c r="BT121" s="190">
        <v>0</v>
      </c>
      <c r="BU121" s="190">
        <v>0</v>
      </c>
      <c r="BV121" s="190">
        <v>0</v>
      </c>
      <c r="BW121" s="190">
        <v>0</v>
      </c>
      <c r="BX121" s="190">
        <v>0</v>
      </c>
      <c r="BY121" s="190">
        <v>0</v>
      </c>
      <c r="BZ121" s="190">
        <v>0</v>
      </c>
      <c r="CA121" s="190">
        <v>0</v>
      </c>
      <c r="CB121" s="190"/>
      <c r="CC121" s="190">
        <v>0</v>
      </c>
      <c r="CD121" s="190"/>
      <c r="CE121" s="196"/>
      <c r="CF121" s="190">
        <v>120.85184</v>
      </c>
      <c r="CG121" s="190">
        <v>130.44399000000001</v>
      </c>
      <c r="CH121" s="190">
        <v>128.04840999999999</v>
      </c>
      <c r="CI121" s="190">
        <v>114.38603999999999</v>
      </c>
      <c r="CJ121" s="190">
        <v>129.55474000000001</v>
      </c>
      <c r="CK121" s="190">
        <v>136.29291000000001</v>
      </c>
      <c r="CL121" s="190">
        <v>131.84139999999999</v>
      </c>
      <c r="CM121" s="190">
        <v>146.68620999999999</v>
      </c>
      <c r="CN121" s="190">
        <v>149.15106</v>
      </c>
      <c r="CO121" s="190"/>
      <c r="CP121" s="190">
        <v>134.91624999999999</v>
      </c>
      <c r="CQ121" s="190"/>
      <c r="CR121" s="196"/>
      <c r="CS121" s="190">
        <v>120.85184</v>
      </c>
      <c r="CT121" s="190">
        <v>130.44399000000001</v>
      </c>
      <c r="CU121" s="190">
        <v>128.04840999999999</v>
      </c>
      <c r="CV121" s="190">
        <v>114.38603999999999</v>
      </c>
      <c r="CW121" s="190">
        <v>129.55474000000001</v>
      </c>
      <c r="CX121" s="190">
        <v>136.29291000000001</v>
      </c>
      <c r="CY121" s="190">
        <v>131.84139999999999</v>
      </c>
      <c r="CZ121" s="190">
        <v>146.68620999999999</v>
      </c>
      <c r="DA121" s="190">
        <v>149.15106</v>
      </c>
      <c r="DB121" s="190"/>
      <c r="DC121" s="190">
        <v>134.91624999999999</v>
      </c>
      <c r="DD121" s="190"/>
      <c r="DE121" s="196"/>
      <c r="DF121" s="192">
        <v>0.89</v>
      </c>
      <c r="DG121" s="192">
        <v>0.83740000000000003</v>
      </c>
      <c r="DH121" s="192">
        <v>0.92769999999999997</v>
      </c>
      <c r="DI121" s="192">
        <v>0.91669999999999996</v>
      </c>
      <c r="DJ121" s="192">
        <v>0.90500000000000003</v>
      </c>
      <c r="DK121" s="192">
        <v>0.93240000000000001</v>
      </c>
      <c r="DL121" s="192">
        <v>0.90380000000000005</v>
      </c>
      <c r="DM121" s="192">
        <v>0.9375</v>
      </c>
      <c r="DN121" s="192">
        <v>0.91159999999999997</v>
      </c>
      <c r="DO121" s="192"/>
      <c r="DP121" s="192">
        <v>0.94530000000000003</v>
      </c>
      <c r="DQ121" s="192"/>
      <c r="DR121" s="197"/>
      <c r="DS121" s="190">
        <v>0</v>
      </c>
      <c r="DT121" s="190">
        <v>0</v>
      </c>
      <c r="DU121" s="190">
        <v>0</v>
      </c>
      <c r="DV121" s="190">
        <v>0</v>
      </c>
      <c r="DW121" s="190">
        <v>0</v>
      </c>
      <c r="DX121" s="190">
        <v>0</v>
      </c>
      <c r="DY121" s="190">
        <v>0</v>
      </c>
      <c r="DZ121" s="190">
        <v>0</v>
      </c>
      <c r="EA121" s="190">
        <v>0</v>
      </c>
      <c r="EB121" s="190"/>
      <c r="EC121" s="190">
        <v>0</v>
      </c>
      <c r="ED121" s="190"/>
      <c r="EE121" s="196"/>
      <c r="EF121" s="190">
        <v>0</v>
      </c>
      <c r="EG121" s="190">
        <v>0</v>
      </c>
      <c r="EH121" s="190">
        <v>0</v>
      </c>
      <c r="EI121" s="190">
        <v>0</v>
      </c>
      <c r="EJ121" s="190">
        <v>0</v>
      </c>
      <c r="EK121" s="190">
        <v>0</v>
      </c>
      <c r="EL121" s="190">
        <v>0</v>
      </c>
      <c r="EM121" s="190">
        <v>0</v>
      </c>
      <c r="EN121" s="190">
        <v>0</v>
      </c>
      <c r="EO121" s="190"/>
      <c r="EP121" s="190">
        <v>0</v>
      </c>
      <c r="EQ121" s="190"/>
      <c r="ER121" s="196"/>
      <c r="ES121" s="190">
        <v>0</v>
      </c>
      <c r="ET121" s="190">
        <v>0</v>
      </c>
      <c r="EU121" s="190">
        <v>0</v>
      </c>
      <c r="EV121" s="190">
        <v>0</v>
      </c>
      <c r="EW121" s="190">
        <v>0</v>
      </c>
      <c r="EX121" s="190">
        <v>0</v>
      </c>
      <c r="EY121" s="190">
        <v>0</v>
      </c>
      <c r="EZ121" s="190">
        <v>0</v>
      </c>
      <c r="FA121" s="190">
        <v>0</v>
      </c>
      <c r="FB121" s="190"/>
      <c r="FC121" s="190">
        <v>0</v>
      </c>
      <c r="FD121" s="190"/>
      <c r="FE121" s="196"/>
      <c r="FF121" s="190">
        <v>0</v>
      </c>
      <c r="FG121" s="190">
        <v>0</v>
      </c>
      <c r="FH121" s="190">
        <v>0</v>
      </c>
      <c r="FI121" s="190">
        <v>0</v>
      </c>
      <c r="FJ121" s="190">
        <v>0</v>
      </c>
      <c r="FK121" s="190">
        <v>0</v>
      </c>
      <c r="FL121" s="190">
        <v>0</v>
      </c>
      <c r="FM121" s="190">
        <v>0</v>
      </c>
      <c r="FN121" s="190">
        <v>0</v>
      </c>
      <c r="FO121" s="190"/>
      <c r="FP121" s="190">
        <v>0</v>
      </c>
      <c r="FQ121" s="190"/>
      <c r="FR121" s="196"/>
    </row>
    <row r="122" spans="1:174" x14ac:dyDescent="0.25">
      <c r="A122" s="113"/>
      <c r="B122" s="114"/>
      <c r="D122" s="114"/>
      <c r="E122" s="2" t="s">
        <v>182</v>
      </c>
      <c r="F122" s="184">
        <v>0</v>
      </c>
      <c r="G122" s="185">
        <v>0</v>
      </c>
      <c r="H122" s="185">
        <v>0</v>
      </c>
      <c r="I122" s="185">
        <v>0</v>
      </c>
      <c r="J122" s="185">
        <v>0</v>
      </c>
      <c r="K122" s="185">
        <v>0</v>
      </c>
      <c r="L122" s="185">
        <v>0</v>
      </c>
      <c r="M122" s="185">
        <v>0</v>
      </c>
      <c r="N122" s="185">
        <v>0</v>
      </c>
      <c r="O122" s="185"/>
      <c r="P122" s="185">
        <v>0</v>
      </c>
      <c r="Q122" s="185"/>
      <c r="R122" s="194"/>
      <c r="S122" s="185">
        <v>0</v>
      </c>
      <c r="T122" s="185">
        <v>0</v>
      </c>
      <c r="U122" s="185">
        <v>0</v>
      </c>
      <c r="V122" s="185">
        <v>0</v>
      </c>
      <c r="W122" s="185">
        <v>0</v>
      </c>
      <c r="X122" s="185">
        <v>0</v>
      </c>
      <c r="Y122" s="185">
        <v>0</v>
      </c>
      <c r="Z122" s="185">
        <v>0</v>
      </c>
      <c r="AA122" s="185">
        <v>0</v>
      </c>
      <c r="AB122" s="185"/>
      <c r="AC122" s="185">
        <v>0</v>
      </c>
      <c r="AD122" s="185"/>
      <c r="AE122" s="194"/>
      <c r="AF122" s="185">
        <v>106.18680999999999</v>
      </c>
      <c r="AG122" s="185">
        <v>107.85932</v>
      </c>
      <c r="AH122" s="185">
        <v>117.28769</v>
      </c>
      <c r="AI122" s="185">
        <v>103.55164000000001</v>
      </c>
      <c r="AJ122" s="185">
        <v>115.78216999999999</v>
      </c>
      <c r="AK122" s="185">
        <v>125.51837999999999</v>
      </c>
      <c r="AL122" s="185">
        <v>117.6529</v>
      </c>
      <c r="AM122" s="185">
        <v>135.82810000000001</v>
      </c>
      <c r="AN122" s="185">
        <v>134.30172999999999</v>
      </c>
      <c r="AO122" s="185"/>
      <c r="AP122" s="185">
        <v>125.98728</v>
      </c>
      <c r="AQ122" s="185"/>
      <c r="AR122" s="194"/>
      <c r="AS122" s="185">
        <v>5.5751999999999997</v>
      </c>
      <c r="AT122" s="185">
        <v>5.7850299999999999</v>
      </c>
      <c r="AU122" s="185">
        <v>5.9717500000000001</v>
      </c>
      <c r="AV122" s="185">
        <v>6.2610200000000003</v>
      </c>
      <c r="AW122" s="185">
        <v>6.5052899999999996</v>
      </c>
      <c r="AX122" s="185">
        <v>6.90191</v>
      </c>
      <c r="AY122" s="185">
        <v>7.3335100000000004</v>
      </c>
      <c r="AZ122" s="185">
        <v>7.7522700000000002</v>
      </c>
      <c r="BA122" s="185">
        <v>7.3389100000000003</v>
      </c>
      <c r="BB122" s="185"/>
      <c r="BC122" s="185">
        <v>7.8412300000000004</v>
      </c>
      <c r="BD122" s="185"/>
      <c r="BE122" s="194"/>
      <c r="BF122" s="185">
        <v>7.5353300000000001</v>
      </c>
      <c r="BG122" s="185">
        <v>15.13673</v>
      </c>
      <c r="BH122" s="185">
        <v>3.1608999999999998</v>
      </c>
      <c r="BI122" s="185">
        <v>3.1417799999999998</v>
      </c>
      <c r="BJ122" s="185">
        <v>5.63558</v>
      </c>
      <c r="BK122" s="185">
        <v>2.1805599999999998</v>
      </c>
      <c r="BL122" s="185">
        <v>5.1828700000000003</v>
      </c>
      <c r="BM122" s="185">
        <v>1.28931</v>
      </c>
      <c r="BN122" s="185">
        <v>5.6604200000000002</v>
      </c>
      <c r="BO122" s="185"/>
      <c r="BP122" s="185">
        <v>-0.56603999999999999</v>
      </c>
      <c r="BQ122" s="185"/>
      <c r="BR122" s="194"/>
      <c r="BS122" s="185">
        <v>0</v>
      </c>
      <c r="BT122" s="185">
        <v>0</v>
      </c>
      <c r="BU122" s="185">
        <v>0</v>
      </c>
      <c r="BV122" s="185">
        <v>0</v>
      </c>
      <c r="BW122" s="185">
        <v>0</v>
      </c>
      <c r="BX122" s="185">
        <v>0</v>
      </c>
      <c r="BY122" s="185">
        <v>0</v>
      </c>
      <c r="BZ122" s="185">
        <v>0</v>
      </c>
      <c r="CA122" s="185">
        <v>0</v>
      </c>
      <c r="CB122" s="185"/>
      <c r="CC122" s="185">
        <v>0</v>
      </c>
      <c r="CD122" s="185"/>
      <c r="CE122" s="194"/>
      <c r="CF122" s="185">
        <v>119.29734000000001</v>
      </c>
      <c r="CG122" s="185">
        <v>128.78108</v>
      </c>
      <c r="CH122" s="185">
        <v>126.42034</v>
      </c>
      <c r="CI122" s="185">
        <v>112.95443</v>
      </c>
      <c r="CJ122" s="185">
        <v>127.92304</v>
      </c>
      <c r="CK122" s="185">
        <v>134.60085000000001</v>
      </c>
      <c r="CL122" s="185">
        <v>130.16927000000001</v>
      </c>
      <c r="CM122" s="185">
        <v>144.86967999999999</v>
      </c>
      <c r="CN122" s="185">
        <v>147.30106000000001</v>
      </c>
      <c r="CO122" s="185"/>
      <c r="CP122" s="185">
        <v>133.26246</v>
      </c>
      <c r="CQ122" s="185"/>
      <c r="CR122" s="194"/>
      <c r="CS122" s="185">
        <v>119.29734000000001</v>
      </c>
      <c r="CT122" s="185">
        <v>128.78108</v>
      </c>
      <c r="CU122" s="185">
        <v>126.42034</v>
      </c>
      <c r="CV122" s="185">
        <v>112.95443</v>
      </c>
      <c r="CW122" s="185">
        <v>127.92304</v>
      </c>
      <c r="CX122" s="185">
        <v>134.60085000000001</v>
      </c>
      <c r="CY122" s="185">
        <v>130.16927000000001</v>
      </c>
      <c r="CZ122" s="185">
        <v>144.86967999999999</v>
      </c>
      <c r="DA122" s="185">
        <v>147.30106000000001</v>
      </c>
      <c r="DB122" s="185"/>
      <c r="DC122" s="185">
        <v>133.26246</v>
      </c>
      <c r="DD122" s="185"/>
      <c r="DE122" s="194"/>
      <c r="DF122" s="187">
        <v>0.8901</v>
      </c>
      <c r="DG122" s="187">
        <v>0.83750000000000002</v>
      </c>
      <c r="DH122" s="187">
        <v>0.92779999999999996</v>
      </c>
      <c r="DI122" s="187">
        <v>0.91679999999999995</v>
      </c>
      <c r="DJ122" s="187">
        <v>0.90510000000000002</v>
      </c>
      <c r="DK122" s="187">
        <v>0.9325</v>
      </c>
      <c r="DL122" s="187">
        <v>0.90380000000000005</v>
      </c>
      <c r="DM122" s="187">
        <v>0.93759999999999999</v>
      </c>
      <c r="DN122" s="187">
        <v>0.91169999999999995</v>
      </c>
      <c r="DO122" s="187"/>
      <c r="DP122" s="187">
        <v>0.94540000000000002</v>
      </c>
      <c r="DQ122" s="187"/>
      <c r="DR122" s="195"/>
      <c r="DS122" s="185">
        <v>0</v>
      </c>
      <c r="DT122" s="185">
        <v>0</v>
      </c>
      <c r="DU122" s="185">
        <v>0</v>
      </c>
      <c r="DV122" s="185">
        <v>0</v>
      </c>
      <c r="DW122" s="185">
        <v>0</v>
      </c>
      <c r="DX122" s="185">
        <v>0</v>
      </c>
      <c r="DY122" s="185">
        <v>0</v>
      </c>
      <c r="DZ122" s="185">
        <v>0</v>
      </c>
      <c r="EA122" s="185">
        <v>0</v>
      </c>
      <c r="EB122" s="185"/>
      <c r="EC122" s="185">
        <v>0</v>
      </c>
      <c r="ED122" s="185"/>
      <c r="EE122" s="194"/>
      <c r="EF122" s="185">
        <v>0</v>
      </c>
      <c r="EG122" s="185">
        <v>0</v>
      </c>
      <c r="EH122" s="185">
        <v>0</v>
      </c>
      <c r="EI122" s="185">
        <v>0</v>
      </c>
      <c r="EJ122" s="185">
        <v>0</v>
      </c>
      <c r="EK122" s="185">
        <v>0</v>
      </c>
      <c r="EL122" s="185">
        <v>0</v>
      </c>
      <c r="EM122" s="185">
        <v>0</v>
      </c>
      <c r="EN122" s="185">
        <v>0</v>
      </c>
      <c r="EO122" s="185"/>
      <c r="EP122" s="185">
        <v>0</v>
      </c>
      <c r="EQ122" s="185"/>
      <c r="ER122" s="194"/>
      <c r="ES122" s="185">
        <v>0</v>
      </c>
      <c r="ET122" s="185">
        <v>0</v>
      </c>
      <c r="EU122" s="185">
        <v>0</v>
      </c>
      <c r="EV122" s="185">
        <v>0</v>
      </c>
      <c r="EW122" s="185">
        <v>0</v>
      </c>
      <c r="EX122" s="185">
        <v>0</v>
      </c>
      <c r="EY122" s="185">
        <v>0</v>
      </c>
      <c r="EZ122" s="185">
        <v>0</v>
      </c>
      <c r="FA122" s="185">
        <v>0</v>
      </c>
      <c r="FB122" s="185"/>
      <c r="FC122" s="185">
        <v>0</v>
      </c>
      <c r="FD122" s="185"/>
      <c r="FE122" s="194"/>
      <c r="FF122" s="185">
        <v>0</v>
      </c>
      <c r="FG122" s="185">
        <v>0</v>
      </c>
      <c r="FH122" s="185">
        <v>0</v>
      </c>
      <c r="FI122" s="185">
        <v>0</v>
      </c>
      <c r="FJ122" s="185">
        <v>0</v>
      </c>
      <c r="FK122" s="185">
        <v>0</v>
      </c>
      <c r="FL122" s="185">
        <v>0</v>
      </c>
      <c r="FM122" s="185">
        <v>0</v>
      </c>
      <c r="FN122" s="185">
        <v>0</v>
      </c>
      <c r="FO122" s="185"/>
      <c r="FP122" s="185">
        <v>0</v>
      </c>
      <c r="FQ122" s="185"/>
      <c r="FR122" s="194"/>
    </row>
    <row r="123" spans="1:174" x14ac:dyDescent="0.25">
      <c r="A123" s="113"/>
      <c r="B123" s="114"/>
      <c r="D123" s="114"/>
      <c r="E123" s="2" t="s">
        <v>183</v>
      </c>
      <c r="F123" s="184">
        <v>0</v>
      </c>
      <c r="G123" s="185">
        <v>0</v>
      </c>
      <c r="H123" s="185">
        <v>0</v>
      </c>
      <c r="I123" s="185">
        <v>0</v>
      </c>
      <c r="J123" s="185">
        <v>0</v>
      </c>
      <c r="K123" s="185">
        <v>0</v>
      </c>
      <c r="L123" s="185">
        <v>0</v>
      </c>
      <c r="M123" s="185">
        <v>0</v>
      </c>
      <c r="N123" s="185">
        <v>0</v>
      </c>
      <c r="O123" s="185"/>
      <c r="P123" s="185">
        <v>0</v>
      </c>
      <c r="Q123" s="185"/>
      <c r="R123" s="194"/>
      <c r="S123" s="185">
        <v>0</v>
      </c>
      <c r="T123" s="185">
        <v>0</v>
      </c>
      <c r="U123" s="185">
        <v>0</v>
      </c>
      <c r="V123" s="185">
        <v>0</v>
      </c>
      <c r="W123" s="185">
        <v>0</v>
      </c>
      <c r="X123" s="185">
        <v>0</v>
      </c>
      <c r="Y123" s="185">
        <v>0</v>
      </c>
      <c r="Z123" s="185">
        <v>0</v>
      </c>
      <c r="AA123" s="185">
        <v>0</v>
      </c>
      <c r="AB123" s="185"/>
      <c r="AC123" s="185">
        <v>0</v>
      </c>
      <c r="AD123" s="185"/>
      <c r="AE123" s="194"/>
      <c r="AF123" s="185">
        <v>1.37401</v>
      </c>
      <c r="AG123" s="185">
        <v>1.3749</v>
      </c>
      <c r="AH123" s="185">
        <v>1.5023500000000001</v>
      </c>
      <c r="AI123" s="185">
        <v>1.30217</v>
      </c>
      <c r="AJ123" s="185">
        <v>1.4645600000000001</v>
      </c>
      <c r="AK123" s="185">
        <v>1.5670299999999999</v>
      </c>
      <c r="AL123" s="185">
        <v>1.49983</v>
      </c>
      <c r="AM123" s="185">
        <v>1.6920599999999999</v>
      </c>
      <c r="AN123" s="185">
        <v>1.6710499999999999</v>
      </c>
      <c r="AO123" s="185"/>
      <c r="AP123" s="185">
        <v>1.5536300000000001</v>
      </c>
      <c r="AQ123" s="185"/>
      <c r="AR123" s="194"/>
      <c r="AS123" s="185">
        <v>7.6749999999999999E-2</v>
      </c>
      <c r="AT123" s="185">
        <v>7.9640000000000002E-2</v>
      </c>
      <c r="AU123" s="185">
        <v>8.2210000000000005E-2</v>
      </c>
      <c r="AV123" s="185">
        <v>8.6190000000000003E-2</v>
      </c>
      <c r="AW123" s="185">
        <v>8.9550000000000005E-2</v>
      </c>
      <c r="AX123" s="185">
        <v>9.5009999999999997E-2</v>
      </c>
      <c r="AY123" s="185">
        <v>0.10095</v>
      </c>
      <c r="AZ123" s="185">
        <v>0.10672</v>
      </c>
      <c r="BA123" s="185">
        <v>0.10102999999999999</v>
      </c>
      <c r="BB123" s="185"/>
      <c r="BC123" s="185">
        <v>0.10793999999999999</v>
      </c>
      <c r="BD123" s="185"/>
      <c r="BE123" s="194"/>
      <c r="BF123" s="185">
        <v>0.10373</v>
      </c>
      <c r="BG123" s="185">
        <v>0.20837</v>
      </c>
      <c r="BH123" s="185">
        <v>4.351E-2</v>
      </c>
      <c r="BI123" s="185">
        <v>4.3249999999999997E-2</v>
      </c>
      <c r="BJ123" s="185">
        <v>7.7579999999999996E-2</v>
      </c>
      <c r="BK123" s="185">
        <v>3.0020000000000002E-2</v>
      </c>
      <c r="BL123" s="185">
        <v>7.1349999999999997E-2</v>
      </c>
      <c r="BM123" s="185">
        <v>1.7749999999999998E-2</v>
      </c>
      <c r="BN123" s="185">
        <v>7.7920000000000003E-2</v>
      </c>
      <c r="BO123" s="185"/>
      <c r="BP123" s="185">
        <v>-7.79E-3</v>
      </c>
      <c r="BQ123" s="185"/>
      <c r="BR123" s="194"/>
      <c r="BS123" s="185">
        <v>0</v>
      </c>
      <c r="BT123" s="185">
        <v>0</v>
      </c>
      <c r="BU123" s="185">
        <v>0</v>
      </c>
      <c r="BV123" s="185">
        <v>0</v>
      </c>
      <c r="BW123" s="185">
        <v>0</v>
      </c>
      <c r="BX123" s="185">
        <v>0</v>
      </c>
      <c r="BY123" s="185">
        <v>0</v>
      </c>
      <c r="BZ123" s="185">
        <v>0</v>
      </c>
      <c r="CA123" s="185">
        <v>0</v>
      </c>
      <c r="CB123" s="185"/>
      <c r="CC123" s="185">
        <v>0</v>
      </c>
      <c r="CD123" s="185"/>
      <c r="CE123" s="194"/>
      <c r="CF123" s="185">
        <v>1.5544899999999999</v>
      </c>
      <c r="CG123" s="185">
        <v>1.6629100000000001</v>
      </c>
      <c r="CH123" s="185">
        <v>1.6280699999999999</v>
      </c>
      <c r="CI123" s="185">
        <v>1.43161</v>
      </c>
      <c r="CJ123" s="185">
        <v>1.6316999999999999</v>
      </c>
      <c r="CK123" s="185">
        <v>1.6920599999999999</v>
      </c>
      <c r="CL123" s="185">
        <v>1.6721299999999999</v>
      </c>
      <c r="CM123" s="185">
        <v>1.81653</v>
      </c>
      <c r="CN123" s="185">
        <v>1.85</v>
      </c>
      <c r="CO123" s="185"/>
      <c r="CP123" s="185">
        <v>1.65378</v>
      </c>
      <c r="CQ123" s="185"/>
      <c r="CR123" s="194"/>
      <c r="CS123" s="185">
        <v>1.5544899999999999</v>
      </c>
      <c r="CT123" s="185">
        <v>1.6629100000000001</v>
      </c>
      <c r="CU123" s="185">
        <v>1.6280699999999999</v>
      </c>
      <c r="CV123" s="185">
        <v>1.43161</v>
      </c>
      <c r="CW123" s="185">
        <v>1.6316999999999999</v>
      </c>
      <c r="CX123" s="185">
        <v>1.6920599999999999</v>
      </c>
      <c r="CY123" s="185">
        <v>1.6721299999999999</v>
      </c>
      <c r="CZ123" s="185">
        <v>1.81653</v>
      </c>
      <c r="DA123" s="185">
        <v>1.85</v>
      </c>
      <c r="DB123" s="185"/>
      <c r="DC123" s="185">
        <v>1.65378</v>
      </c>
      <c r="DD123" s="185"/>
      <c r="DE123" s="194"/>
      <c r="DF123" s="187">
        <v>0.88390000000000002</v>
      </c>
      <c r="DG123" s="187">
        <v>0.82679999999999998</v>
      </c>
      <c r="DH123" s="187">
        <v>0.92279999999999995</v>
      </c>
      <c r="DI123" s="187">
        <v>0.90959999999999996</v>
      </c>
      <c r="DJ123" s="187">
        <v>0.89759999999999995</v>
      </c>
      <c r="DK123" s="187">
        <v>0.92610000000000003</v>
      </c>
      <c r="DL123" s="187">
        <v>0.89700000000000002</v>
      </c>
      <c r="DM123" s="187">
        <v>0.93149999999999999</v>
      </c>
      <c r="DN123" s="187">
        <v>0.90329999999999999</v>
      </c>
      <c r="DO123" s="187"/>
      <c r="DP123" s="187">
        <v>0.93940000000000001</v>
      </c>
      <c r="DQ123" s="187"/>
      <c r="DR123" s="195"/>
      <c r="DS123" s="185">
        <v>0</v>
      </c>
      <c r="DT123" s="185">
        <v>0</v>
      </c>
      <c r="DU123" s="185">
        <v>0</v>
      </c>
      <c r="DV123" s="185">
        <v>0</v>
      </c>
      <c r="DW123" s="185">
        <v>0</v>
      </c>
      <c r="DX123" s="185">
        <v>0</v>
      </c>
      <c r="DY123" s="185">
        <v>0</v>
      </c>
      <c r="DZ123" s="185">
        <v>0</v>
      </c>
      <c r="EA123" s="185">
        <v>0</v>
      </c>
      <c r="EB123" s="185"/>
      <c r="EC123" s="185">
        <v>0</v>
      </c>
      <c r="ED123" s="185"/>
      <c r="EE123" s="194"/>
      <c r="EF123" s="185">
        <v>0</v>
      </c>
      <c r="EG123" s="185">
        <v>0</v>
      </c>
      <c r="EH123" s="185">
        <v>0</v>
      </c>
      <c r="EI123" s="185">
        <v>0</v>
      </c>
      <c r="EJ123" s="185">
        <v>0</v>
      </c>
      <c r="EK123" s="185">
        <v>0</v>
      </c>
      <c r="EL123" s="185">
        <v>0</v>
      </c>
      <c r="EM123" s="185">
        <v>0</v>
      </c>
      <c r="EN123" s="185">
        <v>0</v>
      </c>
      <c r="EO123" s="185"/>
      <c r="EP123" s="185">
        <v>0</v>
      </c>
      <c r="EQ123" s="185"/>
      <c r="ER123" s="194"/>
      <c r="ES123" s="185">
        <v>0</v>
      </c>
      <c r="ET123" s="185">
        <v>0</v>
      </c>
      <c r="EU123" s="185">
        <v>0</v>
      </c>
      <c r="EV123" s="185">
        <v>0</v>
      </c>
      <c r="EW123" s="185">
        <v>0</v>
      </c>
      <c r="EX123" s="185">
        <v>0</v>
      </c>
      <c r="EY123" s="185">
        <v>0</v>
      </c>
      <c r="EZ123" s="185">
        <v>0</v>
      </c>
      <c r="FA123" s="185">
        <v>0</v>
      </c>
      <c r="FB123" s="185"/>
      <c r="FC123" s="185">
        <v>0</v>
      </c>
      <c r="FD123" s="185"/>
      <c r="FE123" s="194"/>
      <c r="FF123" s="185">
        <v>0</v>
      </c>
      <c r="FG123" s="185">
        <v>0</v>
      </c>
      <c r="FH123" s="185">
        <v>0</v>
      </c>
      <c r="FI123" s="185">
        <v>0</v>
      </c>
      <c r="FJ123" s="185">
        <v>0</v>
      </c>
      <c r="FK123" s="185">
        <v>0</v>
      </c>
      <c r="FL123" s="185">
        <v>0</v>
      </c>
      <c r="FM123" s="185">
        <v>0</v>
      </c>
      <c r="FN123" s="185">
        <v>0</v>
      </c>
      <c r="FO123" s="185"/>
      <c r="FP123" s="185">
        <v>0</v>
      </c>
      <c r="FQ123" s="185"/>
      <c r="FR123" s="194"/>
    </row>
    <row r="124" spans="1:174" ht="18.75" customHeight="1" x14ac:dyDescent="0.3">
      <c r="E124" s="105" t="s">
        <v>56</v>
      </c>
      <c r="F124" s="190">
        <f t="shared" ref="F124:N124" si="0">+F121+F67+F63+F9</f>
        <v>1930.1836000000001</v>
      </c>
      <c r="G124" s="190">
        <f t="shared" si="0"/>
        <v>1296.42174</v>
      </c>
      <c r="H124" s="190">
        <f t="shared" si="0"/>
        <v>1417.6207900000002</v>
      </c>
      <c r="I124" s="190">
        <f t="shared" si="0"/>
        <v>1696.1998699999999</v>
      </c>
      <c r="J124" s="190">
        <f t="shared" si="0"/>
        <v>1934.6117999999999</v>
      </c>
      <c r="K124" s="190">
        <f t="shared" si="0"/>
        <v>2142.7691799999998</v>
      </c>
      <c r="L124" s="190">
        <f t="shared" si="0"/>
        <v>2119.2034900000003</v>
      </c>
      <c r="M124" s="190">
        <f t="shared" si="0"/>
        <v>2058.2007399999998</v>
      </c>
      <c r="N124" s="190">
        <f t="shared" si="0"/>
        <v>2058.6657800000003</v>
      </c>
      <c r="O124" s="190"/>
      <c r="P124" s="190">
        <f>+P121+P67+P63+P9</f>
        <v>2130.6514199999997</v>
      </c>
      <c r="Q124" s="190"/>
      <c r="R124" s="190"/>
      <c r="S124" s="190">
        <f t="shared" ref="S124:AA124" si="1">+S121+S67+S63+S9</f>
        <v>4249.8940999999995</v>
      </c>
      <c r="T124" s="190">
        <f t="shared" si="1"/>
        <v>4154.2948200000001</v>
      </c>
      <c r="U124" s="190">
        <f t="shared" si="1"/>
        <v>4344.1483799999996</v>
      </c>
      <c r="V124" s="190">
        <f t="shared" si="1"/>
        <v>4825.1193499999999</v>
      </c>
      <c r="W124" s="190">
        <f t="shared" si="1"/>
        <v>4898.9098999999997</v>
      </c>
      <c r="X124" s="190">
        <f t="shared" si="1"/>
        <v>4794.7202900000002</v>
      </c>
      <c r="Y124" s="190">
        <f t="shared" si="1"/>
        <v>4865.2266900000004</v>
      </c>
      <c r="Z124" s="190">
        <f t="shared" si="1"/>
        <v>4852.9756899999993</v>
      </c>
      <c r="AA124" s="190">
        <f t="shared" si="1"/>
        <v>5020.1899300000005</v>
      </c>
      <c r="AB124" s="190"/>
      <c r="AC124" s="190">
        <f>+AC121+AC67+AC63+AC9</f>
        <v>4989.7258399999992</v>
      </c>
      <c r="AD124" s="190"/>
      <c r="AE124" s="190"/>
      <c r="AF124" s="190">
        <f t="shared" ref="AF124:AN124" si="2">+AF121+AF67+AF63+AF9</f>
        <v>566.78859999999997</v>
      </c>
      <c r="AG124" s="190">
        <f t="shared" si="2"/>
        <v>575.43636000000004</v>
      </c>
      <c r="AH124" s="190">
        <f t="shared" si="2"/>
        <v>613.56111999999996</v>
      </c>
      <c r="AI124" s="190">
        <f t="shared" si="2"/>
        <v>578.72373000000005</v>
      </c>
      <c r="AJ124" s="190">
        <f t="shared" si="2"/>
        <v>607.64706000000001</v>
      </c>
      <c r="AK124" s="190">
        <f t="shared" si="2"/>
        <v>657.84379000000001</v>
      </c>
      <c r="AL124" s="190">
        <f t="shared" si="2"/>
        <v>664.93849</v>
      </c>
      <c r="AM124" s="190">
        <f t="shared" si="2"/>
        <v>690.29998999999998</v>
      </c>
      <c r="AN124" s="190">
        <f t="shared" si="2"/>
        <v>688.28537000000006</v>
      </c>
      <c r="AO124" s="190"/>
      <c r="AP124" s="190">
        <f>+AP121+AP67+AP63+AP9</f>
        <v>682.50000999999997</v>
      </c>
      <c r="AQ124" s="190"/>
      <c r="AR124" s="190"/>
      <c r="AS124" s="190">
        <f t="shared" ref="AS124:BA124" si="3">+AS121+AS67+AS63+AS9</f>
        <v>24.208849999999998</v>
      </c>
      <c r="AT124" s="190">
        <f t="shared" si="3"/>
        <v>26.486530000000002</v>
      </c>
      <c r="AU124" s="190">
        <f t="shared" si="3"/>
        <v>27.36542</v>
      </c>
      <c r="AV124" s="190">
        <f t="shared" si="3"/>
        <v>28.866959999999999</v>
      </c>
      <c r="AW124" s="190">
        <f t="shared" si="3"/>
        <v>30.19312</v>
      </c>
      <c r="AX124" s="190">
        <f t="shared" si="3"/>
        <v>33.751220000000004</v>
      </c>
      <c r="AY124" s="190">
        <f t="shared" si="3"/>
        <v>32.085830000000001</v>
      </c>
      <c r="AZ124" s="190">
        <f t="shared" si="3"/>
        <v>37.625120000000003</v>
      </c>
      <c r="BA124" s="190">
        <f t="shared" si="3"/>
        <v>36.310649999999995</v>
      </c>
      <c r="BB124" s="190"/>
      <c r="BC124" s="190">
        <f>+BC121+BC67+BC63+BC9</f>
        <v>38.183230000000002</v>
      </c>
      <c r="BD124" s="190"/>
      <c r="BE124" s="190"/>
      <c r="BF124" s="190">
        <f t="shared" ref="BF124:BN124" si="4">+BF121+BF67+BF63+BF9</f>
        <v>24.966940000000001</v>
      </c>
      <c r="BG124" s="190">
        <f t="shared" si="4"/>
        <v>49.309490000000004</v>
      </c>
      <c r="BH124" s="190">
        <f t="shared" si="4"/>
        <v>10.05161</v>
      </c>
      <c r="BI124" s="190">
        <f t="shared" si="4"/>
        <v>9.9907799999999991</v>
      </c>
      <c r="BJ124" s="190">
        <f t="shared" si="4"/>
        <v>17.921030000000002</v>
      </c>
      <c r="BK124" s="190">
        <f t="shared" si="4"/>
        <v>6.9341400000000002</v>
      </c>
      <c r="BL124" s="190">
        <f t="shared" si="4"/>
        <v>16.481390000000001</v>
      </c>
      <c r="BM124" s="190">
        <f t="shared" si="4"/>
        <v>4.09999</v>
      </c>
      <c r="BN124" s="190">
        <f t="shared" si="4"/>
        <v>18</v>
      </c>
      <c r="BO124" s="190"/>
      <c r="BP124" s="190">
        <f>+BP121+BP67+BP63+BP9</f>
        <v>-1.7999999999999998</v>
      </c>
      <c r="BQ124" s="190"/>
      <c r="BR124" s="190"/>
      <c r="BS124" s="190">
        <f t="shared" ref="BS124:CA124" si="5">+BS121+BS67+BS63+BS9</f>
        <v>0</v>
      </c>
      <c r="BT124" s="190">
        <f t="shared" si="5"/>
        <v>-455.32421000000005</v>
      </c>
      <c r="BU124" s="190">
        <f t="shared" si="5"/>
        <v>-463.95718999999997</v>
      </c>
      <c r="BV124" s="190">
        <f t="shared" si="5"/>
        <v>-111.15259999999999</v>
      </c>
      <c r="BW124" s="190">
        <f t="shared" si="5"/>
        <v>-82.223019999999991</v>
      </c>
      <c r="BX124" s="190">
        <f t="shared" si="5"/>
        <v>-2.3631900000000003</v>
      </c>
      <c r="BY124" s="190">
        <f t="shared" si="5"/>
        <v>0</v>
      </c>
      <c r="BZ124" s="190">
        <f t="shared" si="5"/>
        <v>0</v>
      </c>
      <c r="CA124" s="190">
        <f t="shared" si="5"/>
        <v>0</v>
      </c>
      <c r="CB124" s="190"/>
      <c r="CC124" s="190">
        <f>+CC121+CC67+CC63+CC9</f>
        <v>0</v>
      </c>
      <c r="CD124" s="190"/>
      <c r="CE124" s="190"/>
      <c r="CF124" s="190">
        <f t="shared" ref="CF124:CN124" si="6">+CF121+CF67+CF63+CF9</f>
        <v>4865.8584799999999</v>
      </c>
      <c r="CG124" s="190">
        <f t="shared" si="6"/>
        <v>4805.5272100000002</v>
      </c>
      <c r="CH124" s="190">
        <f t="shared" si="6"/>
        <v>4995.1265199999998</v>
      </c>
      <c r="CI124" s="190">
        <f t="shared" si="6"/>
        <v>5442.70082</v>
      </c>
      <c r="CJ124" s="190">
        <f t="shared" si="6"/>
        <v>5554.6711400000004</v>
      </c>
      <c r="CK124" s="190">
        <f t="shared" si="6"/>
        <v>5493.2494400000005</v>
      </c>
      <c r="CL124" s="190">
        <f t="shared" si="6"/>
        <v>5578.7324099999996</v>
      </c>
      <c r="CM124" s="190">
        <f t="shared" si="6"/>
        <v>5585.0007900000001</v>
      </c>
      <c r="CN124" s="190">
        <f t="shared" si="6"/>
        <v>5762.7859399999998</v>
      </c>
      <c r="CO124" s="190"/>
      <c r="CP124" s="190">
        <f>+CP121+CP67+CP63+CP9</f>
        <v>5708.6090600000007</v>
      </c>
      <c r="CQ124" s="190"/>
      <c r="CR124" s="190"/>
      <c r="CS124" s="190">
        <f t="shared" ref="CS124:DA124" si="7">+CS121+CS67+CS63+CS9</f>
        <v>2935.6748900000002</v>
      </c>
      <c r="CT124" s="190">
        <f t="shared" si="7"/>
        <v>3053.78125</v>
      </c>
      <c r="CU124" s="190">
        <f t="shared" si="7"/>
        <v>3113.54853</v>
      </c>
      <c r="CV124" s="190">
        <f t="shared" si="7"/>
        <v>3635.3483700000002</v>
      </c>
      <c r="CW124" s="190">
        <f t="shared" si="7"/>
        <v>3537.8363299999996</v>
      </c>
      <c r="CX124" s="190">
        <f t="shared" si="7"/>
        <v>3348.11708</v>
      </c>
      <c r="CY124" s="190">
        <f t="shared" si="7"/>
        <v>3459.5289199999993</v>
      </c>
      <c r="CZ124" s="190">
        <f t="shared" si="7"/>
        <v>3526.8000499999998</v>
      </c>
      <c r="DA124" s="190">
        <f t="shared" si="7"/>
        <v>3704.1201599999999</v>
      </c>
      <c r="DB124" s="190"/>
      <c r="DC124" s="190">
        <f>+DC121+DC67+DC63+DC9</f>
        <v>3577.9576499999994</v>
      </c>
      <c r="DD124" s="190"/>
      <c r="DE124" s="190"/>
      <c r="DF124" s="192">
        <v>0.116483</v>
      </c>
      <c r="DG124" s="192">
        <v>0.119745</v>
      </c>
      <c r="DH124" s="192">
        <v>0.122832</v>
      </c>
      <c r="DI124" s="192">
        <v>0.10632999999999999</v>
      </c>
      <c r="DJ124" s="192">
        <v>0.10939400000000001</v>
      </c>
      <c r="DK124" s="192">
        <v>0.119755</v>
      </c>
      <c r="DL124" s="192">
        <v>0.11919200000000001</v>
      </c>
      <c r="DM124" s="192">
        <v>0.123599</v>
      </c>
      <c r="DN124" s="192">
        <v>0.119436</v>
      </c>
      <c r="DO124" s="192"/>
      <c r="DP124" s="192">
        <v>0.119556</v>
      </c>
      <c r="DQ124" s="192"/>
      <c r="DR124" s="192"/>
      <c r="DS124" s="190">
        <f t="shared" ref="DS124:EA124" si="8">+DS121+DS67+DS63+DS9</f>
        <v>4232703.6165399998</v>
      </c>
      <c r="DT124" s="190">
        <f t="shared" si="8"/>
        <v>4084195.89928</v>
      </c>
      <c r="DU124" s="190">
        <f t="shared" si="8"/>
        <v>4077598.3166200002</v>
      </c>
      <c r="DV124" s="190">
        <f t="shared" si="8"/>
        <v>4119023.9781499999</v>
      </c>
      <c r="DW124" s="190">
        <f t="shared" si="8"/>
        <v>4114493.9799700002</v>
      </c>
      <c r="DX124" s="190">
        <f t="shared" si="8"/>
        <v>4061247.3066400001</v>
      </c>
      <c r="DY124" s="190">
        <f t="shared" si="8"/>
        <v>4028943.2499799998</v>
      </c>
      <c r="DZ124" s="190">
        <f t="shared" si="8"/>
        <v>3997256.3989900001</v>
      </c>
      <c r="EA124" s="190">
        <f t="shared" si="8"/>
        <v>4069893.3491699998</v>
      </c>
      <c r="EB124" s="190"/>
      <c r="EC124" s="190">
        <f>+EC121+EC67+EC63+EC9</f>
        <v>4074529.8714299998</v>
      </c>
      <c r="ED124" s="190"/>
      <c r="EE124" s="190"/>
      <c r="EF124" s="190">
        <f t="shared" ref="EF124:EN124" si="9">+EF121+EF67+EF63+EF9</f>
        <v>151818</v>
      </c>
      <c r="EG124" s="190">
        <f t="shared" si="9"/>
        <v>151573</v>
      </c>
      <c r="EH124" s="190">
        <f t="shared" si="9"/>
        <v>158157</v>
      </c>
      <c r="EI124" s="190">
        <f t="shared" si="9"/>
        <v>156802</v>
      </c>
      <c r="EJ124" s="190">
        <f t="shared" si="9"/>
        <v>154941</v>
      </c>
      <c r="EK124" s="190">
        <f t="shared" si="9"/>
        <v>157654.07999999999</v>
      </c>
      <c r="EL124" s="190">
        <f t="shared" si="9"/>
        <v>167419.1</v>
      </c>
      <c r="EM124" s="190">
        <f t="shared" si="9"/>
        <v>173653</v>
      </c>
      <c r="EN124" s="190">
        <f t="shared" si="9"/>
        <v>172316.68</v>
      </c>
      <c r="EO124" s="190"/>
      <c r="EP124" s="190">
        <f>+EP121+EP67+EP63+EP9</f>
        <v>179803.34</v>
      </c>
      <c r="EQ124" s="190"/>
      <c r="ER124" s="190"/>
      <c r="ES124" s="190">
        <f t="shared" ref="ES124:FA124" si="10">+ES121+ES67+ES63+ES9</f>
        <v>201646717.99000001</v>
      </c>
      <c r="ET124" s="190">
        <f t="shared" si="10"/>
        <v>130191006.76046</v>
      </c>
      <c r="EU124" s="190">
        <f t="shared" si="10"/>
        <v>128773742.01592</v>
      </c>
      <c r="EV124" s="190">
        <f t="shared" si="10"/>
        <v>160129388.85870001</v>
      </c>
      <c r="EW124" s="190">
        <f t="shared" si="10"/>
        <v>173612062.22327</v>
      </c>
      <c r="EX124" s="190">
        <f t="shared" si="10"/>
        <v>175496165.10454997</v>
      </c>
      <c r="EY124" s="190">
        <f t="shared" si="10"/>
        <v>172816719.25653002</v>
      </c>
      <c r="EZ124" s="190">
        <f t="shared" si="10"/>
        <v>170314824.59626999</v>
      </c>
      <c r="FA124" s="190">
        <f t="shared" si="10"/>
        <v>173856015.70901999</v>
      </c>
      <c r="FB124" s="190"/>
      <c r="FC124" s="190">
        <f>+FC121+FC67+FC63+FC9</f>
        <v>172969831.23730004</v>
      </c>
      <c r="FD124" s="190"/>
      <c r="FE124" s="190"/>
      <c r="FF124" s="190">
        <f t="shared" ref="FF124:FN124" si="11">+FF121+FF67+FF63+FF9</f>
        <v>7825683</v>
      </c>
      <c r="FG124" s="190">
        <f t="shared" si="11"/>
        <v>7629001</v>
      </c>
      <c r="FH124" s="190">
        <f t="shared" si="11"/>
        <v>8034836</v>
      </c>
      <c r="FI124" s="190">
        <f t="shared" si="11"/>
        <v>7998171</v>
      </c>
      <c r="FJ124" s="190">
        <f t="shared" si="11"/>
        <v>7987375</v>
      </c>
      <c r="FK124" s="190">
        <f t="shared" si="11"/>
        <v>8076229</v>
      </c>
      <c r="FL124" s="190">
        <f t="shared" si="11"/>
        <v>8442977</v>
      </c>
      <c r="FM124" s="190">
        <f t="shared" si="11"/>
        <v>8932495.0099999998</v>
      </c>
      <c r="FN124" s="190">
        <f t="shared" si="11"/>
        <v>8657460</v>
      </c>
      <c r="FO124" s="190"/>
      <c r="FP124" s="190">
        <f>+FP121+FP67+FP63+FP9</f>
        <v>9116589.5999999996</v>
      </c>
      <c r="FQ124" s="190"/>
      <c r="FR124" s="190"/>
    </row>
    <row r="125" spans="1:174" x14ac:dyDescent="0.25">
      <c r="R125" s="190"/>
      <c r="Z125" s="103"/>
      <c r="AA125" s="103"/>
      <c r="AE125" s="103"/>
      <c r="AR125" s="103"/>
      <c r="BE125" s="103"/>
      <c r="BR125" s="103"/>
      <c r="BT125" s="4"/>
      <c r="BU125" s="4"/>
      <c r="BV125" s="4"/>
      <c r="BW125" s="4"/>
      <c r="CE125" s="103"/>
      <c r="CR125" s="103"/>
      <c r="DE125" s="103"/>
    </row>
    <row r="126" spans="1:174" ht="15.75" customHeight="1" x14ac:dyDescent="0.25">
      <c r="F126" s="165">
        <f t="shared" ref="F126:N126" si="12">+F124-F6</f>
        <v>0</v>
      </c>
      <c r="G126" s="165">
        <f t="shared" si="12"/>
        <v>0</v>
      </c>
      <c r="H126" s="165">
        <f t="shared" si="12"/>
        <v>0</v>
      </c>
      <c r="I126" s="165">
        <f t="shared" si="12"/>
        <v>9.9999999747524271E-6</v>
      </c>
      <c r="J126" s="165">
        <f t="shared" si="12"/>
        <v>9.9999999747524271E-6</v>
      </c>
      <c r="K126" s="165">
        <f t="shared" si="12"/>
        <v>0</v>
      </c>
      <c r="L126" s="165">
        <f t="shared" si="12"/>
        <v>0</v>
      </c>
      <c r="M126" s="165">
        <f t="shared" si="12"/>
        <v>-1.0000000202126103E-5</v>
      </c>
      <c r="N126" s="165">
        <f t="shared" si="12"/>
        <v>0</v>
      </c>
      <c r="O126" s="165"/>
      <c r="P126" s="165">
        <f t="shared" ref="P126:AU126" si="13">+P124-P6</f>
        <v>0</v>
      </c>
      <c r="Q126" s="165">
        <f t="shared" si="13"/>
        <v>0</v>
      </c>
      <c r="R126" s="165">
        <f t="shared" si="13"/>
        <v>0</v>
      </c>
      <c r="S126" s="165">
        <f t="shared" si="13"/>
        <v>-1.0000000656873453E-5</v>
      </c>
      <c r="T126" s="165">
        <f t="shared" si="13"/>
        <v>0</v>
      </c>
      <c r="U126" s="165">
        <f t="shared" si="13"/>
        <v>9.9999997473787516E-6</v>
      </c>
      <c r="V126" s="165">
        <f t="shared" si="13"/>
        <v>0</v>
      </c>
      <c r="W126" s="165">
        <f t="shared" si="13"/>
        <v>-1.0000000656873453E-5</v>
      </c>
      <c r="X126" s="165">
        <f t="shared" si="13"/>
        <v>0</v>
      </c>
      <c r="Y126" s="165">
        <f t="shared" si="13"/>
        <v>0</v>
      </c>
      <c r="Z126" s="165">
        <f t="shared" si="13"/>
        <v>0</v>
      </c>
      <c r="AA126" s="165">
        <f t="shared" si="13"/>
        <v>0</v>
      </c>
      <c r="AB126" s="165">
        <f t="shared" si="13"/>
        <v>0</v>
      </c>
      <c r="AC126" s="165">
        <f t="shared" si="13"/>
        <v>9.9999988378840499E-6</v>
      </c>
      <c r="AD126" s="165">
        <f t="shared" si="13"/>
        <v>0</v>
      </c>
      <c r="AE126" s="165">
        <f t="shared" si="13"/>
        <v>0</v>
      </c>
      <c r="AF126" s="165">
        <f t="shared" si="13"/>
        <v>9.9999999747524271E-6</v>
      </c>
      <c r="AG126" s="165">
        <f t="shared" si="13"/>
        <v>1.0000000088439265E-5</v>
      </c>
      <c r="AH126" s="165">
        <f t="shared" si="13"/>
        <v>-1.0000000088439265E-5</v>
      </c>
      <c r="AI126" s="165">
        <f t="shared" si="13"/>
        <v>0</v>
      </c>
      <c r="AJ126" s="165">
        <f t="shared" si="13"/>
        <v>0</v>
      </c>
      <c r="AK126" s="165">
        <f t="shared" si="13"/>
        <v>-9.9999999747524271E-6</v>
      </c>
      <c r="AL126" s="165">
        <f t="shared" si="13"/>
        <v>0</v>
      </c>
      <c r="AM126" s="165">
        <f t="shared" si="13"/>
        <v>0</v>
      </c>
      <c r="AN126" s="165">
        <f t="shared" si="13"/>
        <v>0</v>
      </c>
      <c r="AO126" s="165">
        <f t="shared" si="13"/>
        <v>0</v>
      </c>
      <c r="AP126" s="165">
        <f t="shared" si="13"/>
        <v>9.9999999747524271E-6</v>
      </c>
      <c r="AQ126" s="165">
        <f t="shared" si="13"/>
        <v>0</v>
      </c>
      <c r="AR126" s="165">
        <f t="shared" si="13"/>
        <v>0</v>
      </c>
      <c r="AS126" s="165">
        <f t="shared" si="13"/>
        <v>0</v>
      </c>
      <c r="AT126" s="165">
        <f t="shared" si="13"/>
        <v>0</v>
      </c>
      <c r="AU126" s="165">
        <f t="shared" si="13"/>
        <v>0</v>
      </c>
      <c r="AV126" s="165">
        <f t="shared" ref="AV126:BS126" si="14">+AV124-AV6</f>
        <v>0</v>
      </c>
      <c r="AW126" s="165">
        <f t="shared" si="14"/>
        <v>-9.9999999996214228E-6</v>
      </c>
      <c r="AX126" s="165">
        <f t="shared" si="14"/>
        <v>0</v>
      </c>
      <c r="AY126" s="165">
        <f t="shared" si="14"/>
        <v>0</v>
      </c>
      <c r="AZ126" s="165">
        <f t="shared" si="14"/>
        <v>0</v>
      </c>
      <c r="BA126" s="165">
        <f t="shared" si="14"/>
        <v>0</v>
      </c>
      <c r="BB126" s="165">
        <f t="shared" si="14"/>
        <v>0</v>
      </c>
      <c r="BC126" s="165">
        <f t="shared" si="14"/>
        <v>0</v>
      </c>
      <c r="BD126" s="165">
        <f t="shared" si="14"/>
        <v>0</v>
      </c>
      <c r="BE126" s="165">
        <f t="shared" si="14"/>
        <v>0</v>
      </c>
      <c r="BF126" s="165">
        <f t="shared" si="14"/>
        <v>0</v>
      </c>
      <c r="BG126" s="165">
        <f t="shared" si="14"/>
        <v>0</v>
      </c>
      <c r="BH126" s="165">
        <f t="shared" si="14"/>
        <v>9.9999999996214228E-6</v>
      </c>
      <c r="BI126" s="165">
        <f t="shared" si="14"/>
        <v>0</v>
      </c>
      <c r="BJ126" s="165">
        <f t="shared" si="14"/>
        <v>0</v>
      </c>
      <c r="BK126" s="165">
        <f t="shared" si="14"/>
        <v>0</v>
      </c>
      <c r="BL126" s="165">
        <f t="shared" si="14"/>
        <v>-9.9999999996214228E-6</v>
      </c>
      <c r="BM126" s="165">
        <f t="shared" si="14"/>
        <v>0</v>
      </c>
      <c r="BN126" s="165">
        <f t="shared" si="14"/>
        <v>0</v>
      </c>
      <c r="BO126" s="165">
        <f t="shared" si="14"/>
        <v>0</v>
      </c>
      <c r="BP126" s="165">
        <f t="shared" si="14"/>
        <v>0</v>
      </c>
      <c r="BQ126" s="165">
        <f t="shared" si="14"/>
        <v>0</v>
      </c>
      <c r="BR126" s="165">
        <f t="shared" si="14"/>
        <v>0</v>
      </c>
      <c r="BS126" s="165">
        <f t="shared" si="14"/>
        <v>0</v>
      </c>
      <c r="BT126" s="165">
        <f t="shared" ref="BT126:CE126" si="15">+BT124+BT6</f>
        <v>0</v>
      </c>
      <c r="BU126" s="165">
        <f t="shared" si="15"/>
        <v>0</v>
      </c>
      <c r="BV126" s="165">
        <f t="shared" si="15"/>
        <v>0</v>
      </c>
      <c r="BW126" s="165">
        <f t="shared" si="15"/>
        <v>-9.9999999889632818E-6</v>
      </c>
      <c r="BX126" s="165">
        <f t="shared" si="15"/>
        <v>0</v>
      </c>
      <c r="BY126" s="165">
        <f t="shared" si="15"/>
        <v>0</v>
      </c>
      <c r="BZ126" s="165">
        <f t="shared" si="15"/>
        <v>0</v>
      </c>
      <c r="CA126" s="165">
        <f t="shared" si="15"/>
        <v>0</v>
      </c>
      <c r="CB126" s="165">
        <f t="shared" si="15"/>
        <v>0</v>
      </c>
      <c r="CC126" s="165">
        <f t="shared" si="15"/>
        <v>0</v>
      </c>
      <c r="CD126" s="165">
        <f t="shared" si="15"/>
        <v>0</v>
      </c>
      <c r="CE126" s="165">
        <f t="shared" si="15"/>
        <v>0</v>
      </c>
      <c r="CF126" s="165">
        <f t="shared" ref="CF126:DA126" si="16">+CF124-CF6</f>
        <v>0</v>
      </c>
      <c r="CG126" s="165">
        <f t="shared" si="16"/>
        <v>9.9999997473787516E-6</v>
      </c>
      <c r="CH126" s="165">
        <f t="shared" si="16"/>
        <v>-9.9999997473787516E-6</v>
      </c>
      <c r="CI126" s="165">
        <f t="shared" si="16"/>
        <v>0</v>
      </c>
      <c r="CJ126" s="165">
        <f t="shared" si="16"/>
        <v>1.0000000656873453E-5</v>
      </c>
      <c r="CK126" s="165">
        <f t="shared" si="16"/>
        <v>-9.9999997473787516E-6</v>
      </c>
      <c r="CL126" s="165">
        <f t="shared" si="16"/>
        <v>0</v>
      </c>
      <c r="CM126" s="165">
        <f t="shared" si="16"/>
        <v>0</v>
      </c>
      <c r="CN126" s="165">
        <f t="shared" si="16"/>
        <v>0</v>
      </c>
      <c r="CO126" s="165">
        <f t="shared" si="16"/>
        <v>0</v>
      </c>
      <c r="CP126" s="165">
        <f t="shared" si="16"/>
        <v>0</v>
      </c>
      <c r="CQ126" s="165">
        <f t="shared" si="16"/>
        <v>0</v>
      </c>
      <c r="CR126" s="165">
        <f t="shared" si="16"/>
        <v>0</v>
      </c>
      <c r="CS126" s="165">
        <f t="shared" si="16"/>
        <v>1.0000000202126103E-5</v>
      </c>
      <c r="CT126" s="165">
        <f t="shared" si="16"/>
        <v>0</v>
      </c>
      <c r="CU126" s="165">
        <f t="shared" si="16"/>
        <v>-9.9999997473787516E-6</v>
      </c>
      <c r="CV126" s="165">
        <f t="shared" si="16"/>
        <v>1.0000000202126103E-5</v>
      </c>
      <c r="CW126" s="165">
        <f t="shared" si="16"/>
        <v>0</v>
      </c>
      <c r="CX126" s="165">
        <f t="shared" si="16"/>
        <v>0</v>
      </c>
      <c r="CY126" s="165">
        <f t="shared" si="16"/>
        <v>9.9999992926314007E-6</v>
      </c>
      <c r="CZ126" s="165">
        <f t="shared" si="16"/>
        <v>9.9999997473787516E-6</v>
      </c>
      <c r="DA126" s="165">
        <f t="shared" si="16"/>
        <v>0</v>
      </c>
      <c r="DB126" s="165"/>
      <c r="DC126" s="165">
        <f>+DC124-DC6</f>
        <v>9.9999992926314007E-6</v>
      </c>
      <c r="DD126" s="165"/>
      <c r="DE126" s="165"/>
      <c r="DS126" s="165">
        <f t="shared" ref="DS126:EX126" si="17">+DS124-DS6</f>
        <v>0</v>
      </c>
      <c r="DT126" s="165">
        <f t="shared" si="17"/>
        <v>0</v>
      </c>
      <c r="DU126" s="165">
        <f t="shared" si="17"/>
        <v>0</v>
      </c>
      <c r="DV126" s="165">
        <f t="shared" si="17"/>
        <v>0</v>
      </c>
      <c r="DW126" s="165">
        <f t="shared" si="17"/>
        <v>0</v>
      </c>
      <c r="DX126" s="165">
        <f t="shared" si="17"/>
        <v>0</v>
      </c>
      <c r="DY126" s="165">
        <f t="shared" si="17"/>
        <v>0</v>
      </c>
      <c r="DZ126" s="165">
        <f t="shared" si="17"/>
        <v>0</v>
      </c>
      <c r="EA126" s="165">
        <f t="shared" si="17"/>
        <v>0</v>
      </c>
      <c r="EB126" s="165">
        <f t="shared" si="17"/>
        <v>0</v>
      </c>
      <c r="EC126" s="165">
        <f t="shared" si="17"/>
        <v>0</v>
      </c>
      <c r="ED126" s="165">
        <f t="shared" si="17"/>
        <v>0</v>
      </c>
      <c r="EE126" s="165">
        <f t="shared" si="17"/>
        <v>0</v>
      </c>
      <c r="EF126" s="165">
        <f t="shared" si="17"/>
        <v>0</v>
      </c>
      <c r="EG126" s="165">
        <f t="shared" si="17"/>
        <v>0</v>
      </c>
      <c r="EH126" s="165">
        <f t="shared" si="17"/>
        <v>0</v>
      </c>
      <c r="EI126" s="165">
        <f t="shared" si="17"/>
        <v>0</v>
      </c>
      <c r="EJ126" s="165">
        <f t="shared" si="17"/>
        <v>0</v>
      </c>
      <c r="EK126" s="165">
        <f t="shared" si="17"/>
        <v>0</v>
      </c>
      <c r="EL126" s="165">
        <f t="shared" si="17"/>
        <v>0</v>
      </c>
      <c r="EM126" s="165">
        <f t="shared" si="17"/>
        <v>0</v>
      </c>
      <c r="EN126" s="165">
        <f t="shared" si="17"/>
        <v>0</v>
      </c>
      <c r="EO126" s="165">
        <f t="shared" si="17"/>
        <v>0</v>
      </c>
      <c r="EP126" s="165">
        <f t="shared" si="17"/>
        <v>0</v>
      </c>
      <c r="EQ126" s="165">
        <f t="shared" si="17"/>
        <v>0</v>
      </c>
      <c r="ER126" s="165">
        <f t="shared" si="17"/>
        <v>0</v>
      </c>
      <c r="ES126" s="165">
        <f t="shared" si="17"/>
        <v>0</v>
      </c>
      <c r="ET126" s="165">
        <f t="shared" si="17"/>
        <v>0</v>
      </c>
      <c r="EU126" s="165">
        <f t="shared" si="17"/>
        <v>0</v>
      </c>
      <c r="EV126" s="165">
        <f t="shared" si="17"/>
        <v>0</v>
      </c>
      <c r="EW126" s="165">
        <f t="shared" si="17"/>
        <v>0</v>
      </c>
      <c r="EX126" s="165">
        <f t="shared" si="17"/>
        <v>0</v>
      </c>
      <c r="EY126" s="165">
        <f t="shared" ref="EY126:FR126" si="18">+EY124-EY6</f>
        <v>1.0013580322265625E-5</v>
      </c>
      <c r="EZ126" s="165">
        <f t="shared" si="18"/>
        <v>-1.0013580322265625E-5</v>
      </c>
      <c r="FA126" s="165">
        <f t="shared" si="18"/>
        <v>0</v>
      </c>
      <c r="FB126" s="165">
        <f t="shared" si="18"/>
        <v>0</v>
      </c>
      <c r="FC126" s="165">
        <f t="shared" si="18"/>
        <v>0</v>
      </c>
      <c r="FD126" s="165">
        <f t="shared" si="18"/>
        <v>0</v>
      </c>
      <c r="FE126" s="165">
        <f t="shared" si="18"/>
        <v>0</v>
      </c>
      <c r="FF126" s="165">
        <f t="shared" si="18"/>
        <v>0</v>
      </c>
      <c r="FG126" s="165">
        <f t="shared" si="18"/>
        <v>0</v>
      </c>
      <c r="FH126" s="165">
        <f t="shared" si="18"/>
        <v>0</v>
      </c>
      <c r="FI126" s="165">
        <f t="shared" si="18"/>
        <v>0</v>
      </c>
      <c r="FJ126" s="165">
        <f t="shared" si="18"/>
        <v>0</v>
      </c>
      <c r="FK126" s="165">
        <f t="shared" si="18"/>
        <v>0</v>
      </c>
      <c r="FL126" s="165">
        <f t="shared" si="18"/>
        <v>0</v>
      </c>
      <c r="FM126" s="165">
        <f t="shared" si="18"/>
        <v>0</v>
      </c>
      <c r="FN126" s="165">
        <f t="shared" si="18"/>
        <v>0</v>
      </c>
      <c r="FO126" s="165">
        <f t="shared" si="18"/>
        <v>0</v>
      </c>
      <c r="FP126" s="165">
        <f t="shared" si="18"/>
        <v>0</v>
      </c>
      <c r="FQ126" s="165">
        <f t="shared" si="18"/>
        <v>0</v>
      </c>
      <c r="FR126" s="165">
        <f t="shared" si="18"/>
        <v>0</v>
      </c>
    </row>
    <row r="128" spans="1:174" x14ac:dyDescent="0.25">
      <c r="M128" s="103"/>
      <c r="N128" s="103"/>
      <c r="O128" s="103"/>
      <c r="P128" s="103"/>
      <c r="Q128" s="103"/>
      <c r="AB128" s="103"/>
      <c r="AC128" s="103"/>
      <c r="AD128" s="103"/>
      <c r="AO128" s="103"/>
      <c r="AP128" s="103"/>
      <c r="AQ128" s="103"/>
      <c r="BB128" s="103"/>
      <c r="BC128" s="103"/>
      <c r="BD128" s="103"/>
      <c r="BO128" s="103"/>
      <c r="BP128" s="103"/>
      <c r="BQ128" s="103"/>
      <c r="CB128" s="103"/>
      <c r="CC128" s="103"/>
      <c r="CD128" s="103"/>
      <c r="CO128" s="103"/>
      <c r="CP128" s="103"/>
      <c r="CQ128" s="103"/>
      <c r="DB128" s="103"/>
      <c r="DC128" s="103"/>
      <c r="DD128" s="103"/>
    </row>
    <row r="131" spans="13:108" x14ac:dyDescent="0.25">
      <c r="M131" s="103"/>
      <c r="N131" s="103"/>
      <c r="O131" s="103"/>
      <c r="P131" s="103"/>
      <c r="Q131" s="103"/>
      <c r="AB131" s="103"/>
      <c r="AC131" s="103"/>
      <c r="AD131" s="103"/>
      <c r="AO131" s="103"/>
      <c r="AP131" s="103"/>
      <c r="AQ131" s="103"/>
      <c r="BB131" s="103"/>
      <c r="BC131" s="103"/>
      <c r="BD131" s="103"/>
      <c r="BO131" s="103"/>
      <c r="BP131" s="103"/>
      <c r="BQ131" s="103"/>
      <c r="CB131" s="103"/>
      <c r="CC131" s="103"/>
      <c r="CD131" s="103"/>
      <c r="CO131" s="103"/>
      <c r="CP131" s="103"/>
      <c r="CQ131" s="103"/>
      <c r="DB131" s="103"/>
      <c r="DC131" s="103"/>
      <c r="DD131" s="103"/>
    </row>
  </sheetData>
  <mergeCells count="13">
    <mergeCell ref="EF4:ER4"/>
    <mergeCell ref="ES4:FE4"/>
    <mergeCell ref="FF4:FR4"/>
    <mergeCell ref="BS4:CE4"/>
    <mergeCell ref="CF4:CR4"/>
    <mergeCell ref="CS4:DE4"/>
    <mergeCell ref="DF4:DR4"/>
    <mergeCell ref="DS4:EE4"/>
    <mergeCell ref="F4:R4"/>
    <mergeCell ref="S4:AE4"/>
    <mergeCell ref="AF4:AR4"/>
    <mergeCell ref="AS4:BE4"/>
    <mergeCell ref="BF4:BR4"/>
  </mergeCells>
  <pageMargins left="0.7" right="0.7" top="0.75" bottom="0.75" header="0.511811023622047" footer="0.511811023622047"/>
  <pageSetup paperSize="8" scale="1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FR89"/>
  <sheetViews>
    <sheetView showGridLines="0" zoomScale="85" zoomScaleNormal="85" workbookViewId="0">
      <pane xSplit="5" ySplit="5" topLeftCell="AD6" activePane="bottomRight" state="frozen"/>
      <selection pane="topRight" activeCell="DO1" sqref="DO1"/>
      <selection pane="bottomLeft" activeCell="A6" sqref="A6"/>
      <selection pane="bottomRight" activeCell="EY32" sqref="EY32"/>
    </sheetView>
  </sheetViews>
  <sheetFormatPr defaultColWidth="9" defaultRowHeight="15.75" outlineLevelCol="1" x14ac:dyDescent="0.25"/>
  <cols>
    <col min="1" max="3" width="9" style="2" hidden="1" outlineLevel="1"/>
    <col min="4" max="4" width="9" style="75" hidden="1" outlineLevel="1"/>
    <col min="5" max="5" width="32.625" style="2" customWidth="1" collapsed="1"/>
    <col min="6" max="109" width="8.625" style="2" customWidth="1"/>
    <col min="110" max="110" width="12.375" style="2" customWidth="1"/>
    <col min="111" max="122" width="8.625" style="2" customWidth="1"/>
    <col min="123" max="123" width="12.375" style="2" customWidth="1"/>
    <col min="124" max="138" width="8.625" style="2" customWidth="1"/>
    <col min="139" max="140" width="10.625" style="2" customWidth="1"/>
    <col min="141" max="142" width="7.125" style="2" customWidth="1"/>
    <col min="143" max="143" width="8.125" style="2" customWidth="1"/>
    <col min="144" max="144" width="7.125" style="2" customWidth="1"/>
    <col min="145" max="146" width="7" style="2" customWidth="1"/>
    <col min="147" max="147" width="9.125" style="2" customWidth="1"/>
    <col min="148" max="148" width="9" style="2"/>
    <col min="149" max="155" width="14.375" style="2" customWidth="1"/>
    <col min="156" max="156" width="6.75" style="2" customWidth="1"/>
    <col min="157" max="157" width="7" style="2" customWidth="1"/>
    <col min="158" max="159" width="6.25" style="2" customWidth="1"/>
    <col min="160" max="160" width="7" style="2" customWidth="1"/>
    <col min="161" max="161" width="6.25" style="2" customWidth="1"/>
    <col min="162" max="170" width="14.75" style="2" customWidth="1"/>
    <col min="171" max="16384" width="9" style="2"/>
  </cols>
  <sheetData>
    <row r="1" spans="4:174" x14ac:dyDescent="0.25">
      <c r="E1" s="4"/>
      <c r="F1" s="165"/>
      <c r="G1" s="165"/>
      <c r="H1" s="165"/>
      <c r="I1" s="165"/>
      <c r="J1" s="165"/>
      <c r="K1" s="165"/>
      <c r="L1" s="165"/>
      <c r="M1" s="165"/>
      <c r="N1" s="165"/>
      <c r="S1" s="165"/>
      <c r="T1" s="165"/>
      <c r="U1" s="165"/>
      <c r="V1" s="165"/>
      <c r="W1" s="165"/>
      <c r="X1" s="165"/>
      <c r="Y1" s="165"/>
      <c r="Z1" s="165"/>
      <c r="AA1" s="165"/>
      <c r="AG1" s="165"/>
      <c r="AT1" s="165"/>
      <c r="BG1" s="165"/>
      <c r="CG1" s="165"/>
    </row>
    <row r="2" spans="4:174" x14ac:dyDescent="0.25">
      <c r="E2" s="198"/>
      <c r="F2" s="165"/>
      <c r="G2" s="165"/>
      <c r="H2" s="165"/>
      <c r="I2" s="165"/>
      <c r="J2" s="165"/>
      <c r="K2" s="165"/>
      <c r="L2" s="165"/>
      <c r="M2" s="165"/>
      <c r="N2" s="165"/>
      <c r="O2" s="76"/>
      <c r="P2" s="76"/>
      <c r="Q2" s="76"/>
      <c r="R2" s="76"/>
      <c r="S2" s="165"/>
      <c r="T2" s="165"/>
      <c r="U2" s="165"/>
      <c r="V2" s="165"/>
      <c r="W2" s="165"/>
      <c r="X2" s="165"/>
      <c r="Y2" s="165"/>
      <c r="Z2" s="165"/>
      <c r="AA2" s="165"/>
      <c r="AB2" s="76"/>
      <c r="AC2" s="76"/>
      <c r="AD2" s="76"/>
      <c r="AE2" s="76"/>
      <c r="AF2" s="76"/>
      <c r="AG2" s="199"/>
      <c r="AH2" s="76"/>
      <c r="AI2" s="76"/>
      <c r="AJ2" s="76"/>
      <c r="AK2" s="76"/>
      <c r="AL2" s="76"/>
      <c r="AM2" s="76"/>
      <c r="AN2" s="76"/>
      <c r="AO2" s="76"/>
      <c r="AP2" s="76"/>
      <c r="AQ2" s="76"/>
      <c r="AR2" s="76"/>
      <c r="AS2" s="76"/>
      <c r="AT2" s="199"/>
      <c r="AU2" s="76"/>
      <c r="AV2" s="76"/>
      <c r="AW2" s="76"/>
      <c r="AX2" s="76"/>
      <c r="AY2" s="76"/>
      <c r="AZ2" s="76"/>
      <c r="BA2" s="76"/>
      <c r="BB2" s="76"/>
      <c r="BC2" s="76"/>
      <c r="BD2" s="76"/>
      <c r="BE2" s="76"/>
      <c r="BF2" s="76"/>
      <c r="BG2" s="199"/>
      <c r="BH2" s="76"/>
      <c r="BI2" s="76"/>
      <c r="BJ2" s="76"/>
      <c r="BK2" s="76"/>
      <c r="BL2" s="76"/>
      <c r="BM2" s="76"/>
      <c r="BN2" s="76"/>
      <c r="BO2" s="76"/>
      <c r="BP2" s="76"/>
      <c r="BQ2" s="76"/>
      <c r="BR2" s="76"/>
      <c r="BS2" s="76"/>
      <c r="BU2" s="76"/>
      <c r="BV2" s="76"/>
      <c r="BW2" s="76"/>
      <c r="BX2" s="76"/>
      <c r="BY2" s="76"/>
      <c r="BZ2" s="76"/>
      <c r="CA2" s="76"/>
      <c r="CB2" s="76"/>
      <c r="CC2" s="76"/>
      <c r="CD2" s="76"/>
      <c r="CE2" s="76"/>
      <c r="CF2" s="76"/>
      <c r="CG2" s="199"/>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row>
    <row r="3" spans="4:174" x14ac:dyDescent="0.25">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row>
    <row r="4" spans="4:174" s="77" customFormat="1" ht="40.5" customHeight="1" x14ac:dyDescent="0.2">
      <c r="D4" s="78"/>
      <c r="E4" s="127" t="s">
        <v>14</v>
      </c>
      <c r="F4" s="322" t="s">
        <v>26</v>
      </c>
      <c r="G4" s="322"/>
      <c r="H4" s="322"/>
      <c r="I4" s="322"/>
      <c r="J4" s="322"/>
      <c r="K4" s="322"/>
      <c r="L4" s="322"/>
      <c r="M4" s="322"/>
      <c r="N4" s="322"/>
      <c r="O4" s="322"/>
      <c r="P4" s="322"/>
      <c r="Q4" s="322"/>
      <c r="R4" s="322"/>
      <c r="S4" s="321" t="s">
        <v>27</v>
      </c>
      <c r="T4" s="321"/>
      <c r="U4" s="321"/>
      <c r="V4" s="321"/>
      <c r="W4" s="321"/>
      <c r="X4" s="321"/>
      <c r="Y4" s="321"/>
      <c r="Z4" s="321"/>
      <c r="AA4" s="321"/>
      <c r="AB4" s="321"/>
      <c r="AC4" s="321"/>
      <c r="AD4" s="321"/>
      <c r="AE4" s="321"/>
      <c r="AF4" s="321" t="s">
        <v>28</v>
      </c>
      <c r="AG4" s="321"/>
      <c r="AH4" s="321"/>
      <c r="AI4" s="321"/>
      <c r="AJ4" s="321"/>
      <c r="AK4" s="321"/>
      <c r="AL4" s="321"/>
      <c r="AM4" s="321"/>
      <c r="AN4" s="321"/>
      <c r="AO4" s="321"/>
      <c r="AP4" s="321"/>
      <c r="AQ4" s="321"/>
      <c r="AR4" s="321"/>
      <c r="AS4" s="325" t="s">
        <v>29</v>
      </c>
      <c r="AT4" s="325"/>
      <c r="AU4" s="325"/>
      <c r="AV4" s="325"/>
      <c r="AW4" s="325"/>
      <c r="AX4" s="325"/>
      <c r="AY4" s="325"/>
      <c r="AZ4" s="325"/>
      <c r="BA4" s="325"/>
      <c r="BB4" s="325"/>
      <c r="BC4" s="325"/>
      <c r="BD4" s="325"/>
      <c r="BE4" s="325"/>
      <c r="BF4" s="321" t="s">
        <v>30</v>
      </c>
      <c r="BG4" s="321"/>
      <c r="BH4" s="321"/>
      <c r="BI4" s="321"/>
      <c r="BJ4" s="321"/>
      <c r="BK4" s="321"/>
      <c r="BL4" s="321"/>
      <c r="BM4" s="321"/>
      <c r="BN4" s="321"/>
      <c r="BO4" s="321"/>
      <c r="BP4" s="321"/>
      <c r="BQ4" s="321"/>
      <c r="BR4" s="321"/>
      <c r="BS4" s="325" t="s">
        <v>31</v>
      </c>
      <c r="BT4" s="325"/>
      <c r="BU4" s="325"/>
      <c r="BV4" s="325"/>
      <c r="BW4" s="325"/>
      <c r="BX4" s="325"/>
      <c r="BY4" s="325"/>
      <c r="BZ4" s="325"/>
      <c r="CA4" s="325"/>
      <c r="CB4" s="325"/>
      <c r="CC4" s="325"/>
      <c r="CD4" s="325"/>
      <c r="CE4" s="325"/>
      <c r="CF4" s="321" t="s">
        <v>32</v>
      </c>
      <c r="CG4" s="321"/>
      <c r="CH4" s="321"/>
      <c r="CI4" s="321"/>
      <c r="CJ4" s="321"/>
      <c r="CK4" s="321"/>
      <c r="CL4" s="321"/>
      <c r="CM4" s="321"/>
      <c r="CN4" s="321"/>
      <c r="CO4" s="321"/>
      <c r="CP4" s="321"/>
      <c r="CQ4" s="321"/>
      <c r="CR4" s="321"/>
      <c r="CS4" s="321" t="s">
        <v>33</v>
      </c>
      <c r="CT4" s="321"/>
      <c r="CU4" s="321"/>
      <c r="CV4" s="321"/>
      <c r="CW4" s="321"/>
      <c r="CX4" s="321"/>
      <c r="CY4" s="321"/>
      <c r="CZ4" s="321"/>
      <c r="DA4" s="321"/>
      <c r="DB4" s="321"/>
      <c r="DC4" s="321"/>
      <c r="DD4" s="321"/>
      <c r="DE4" s="321"/>
      <c r="DF4" s="321" t="s">
        <v>34</v>
      </c>
      <c r="DG4" s="321"/>
      <c r="DH4" s="321"/>
      <c r="DI4" s="321"/>
      <c r="DJ4" s="321"/>
      <c r="DK4" s="321"/>
      <c r="DL4" s="321"/>
      <c r="DM4" s="321"/>
      <c r="DN4" s="321"/>
      <c r="DO4" s="321"/>
      <c r="DP4" s="321"/>
      <c r="DQ4" s="321"/>
      <c r="DR4" s="321"/>
      <c r="DS4" s="321" t="s">
        <v>35</v>
      </c>
      <c r="DT4" s="321"/>
      <c r="DU4" s="321"/>
      <c r="DV4" s="321"/>
      <c r="DW4" s="321"/>
      <c r="DX4" s="321"/>
      <c r="DY4" s="321"/>
      <c r="DZ4" s="321"/>
      <c r="EA4" s="321"/>
      <c r="EB4" s="321"/>
      <c r="EC4" s="321"/>
      <c r="ED4" s="321"/>
      <c r="EE4" s="321"/>
      <c r="EF4" s="321" t="s">
        <v>36</v>
      </c>
      <c r="EG4" s="321"/>
      <c r="EH4" s="321"/>
      <c r="EI4" s="321"/>
      <c r="EJ4" s="321"/>
      <c r="EK4" s="321"/>
      <c r="EL4" s="321"/>
      <c r="EM4" s="321"/>
      <c r="EN4" s="321"/>
      <c r="EO4" s="321"/>
      <c r="EP4" s="321"/>
      <c r="EQ4" s="321"/>
      <c r="ER4" s="321"/>
      <c r="ES4" s="321" t="s">
        <v>49</v>
      </c>
      <c r="ET4" s="321"/>
      <c r="EU4" s="321"/>
      <c r="EV4" s="321"/>
      <c r="EW4" s="321"/>
      <c r="EX4" s="321"/>
      <c r="EY4" s="321"/>
      <c r="EZ4" s="321"/>
      <c r="FA4" s="321"/>
      <c r="FB4" s="321"/>
      <c r="FC4" s="321"/>
      <c r="FD4" s="321"/>
      <c r="FE4" s="321"/>
      <c r="FF4" s="321" t="s">
        <v>50</v>
      </c>
      <c r="FG4" s="321"/>
      <c r="FH4" s="321"/>
      <c r="FI4" s="321"/>
      <c r="FJ4" s="321"/>
      <c r="FK4" s="321"/>
      <c r="FL4" s="321"/>
      <c r="FM4" s="321"/>
      <c r="FN4" s="321"/>
      <c r="FO4" s="321"/>
      <c r="FP4" s="321"/>
      <c r="FQ4" s="321"/>
      <c r="FR4" s="321"/>
    </row>
    <row r="5" spans="4:174" x14ac:dyDescent="0.25">
      <c r="E5" s="128"/>
      <c r="F5" s="10" t="s">
        <v>310</v>
      </c>
      <c r="G5" s="80" t="s">
        <v>311</v>
      </c>
      <c r="H5" s="80" t="s">
        <v>312</v>
      </c>
      <c r="I5" s="10" t="s">
        <v>313</v>
      </c>
      <c r="J5" s="10" t="s">
        <v>314</v>
      </c>
      <c r="K5" s="10" t="s">
        <v>315</v>
      </c>
      <c r="L5" s="82" t="s">
        <v>42</v>
      </c>
      <c r="M5" s="82" t="s">
        <v>43</v>
      </c>
      <c r="N5" s="82" t="s">
        <v>37</v>
      </c>
      <c r="O5" s="10" t="s">
        <v>38</v>
      </c>
      <c r="P5" s="10" t="s">
        <v>39</v>
      </c>
      <c r="Q5" s="10" t="s">
        <v>40</v>
      </c>
      <c r="R5" s="11" t="s">
        <v>41</v>
      </c>
      <c r="S5" s="10" t="s">
        <v>310</v>
      </c>
      <c r="T5" s="80" t="s">
        <v>311</v>
      </c>
      <c r="U5" s="80" t="s">
        <v>312</v>
      </c>
      <c r="V5" s="10" t="s">
        <v>313</v>
      </c>
      <c r="W5" s="10" t="s">
        <v>314</v>
      </c>
      <c r="X5" s="10" t="s">
        <v>315</v>
      </c>
      <c r="Y5" s="82" t="s">
        <v>42</v>
      </c>
      <c r="Z5" s="82" t="s">
        <v>43</v>
      </c>
      <c r="AA5" s="82" t="s">
        <v>37</v>
      </c>
      <c r="AB5" s="10" t="s">
        <v>38</v>
      </c>
      <c r="AC5" s="10" t="s">
        <v>39</v>
      </c>
      <c r="AD5" s="10" t="s">
        <v>40</v>
      </c>
      <c r="AE5" s="11" t="s">
        <v>41</v>
      </c>
      <c r="AF5" s="10" t="s">
        <v>310</v>
      </c>
      <c r="AG5" s="80" t="s">
        <v>311</v>
      </c>
      <c r="AH5" s="80" t="s">
        <v>312</v>
      </c>
      <c r="AI5" s="10" t="s">
        <v>313</v>
      </c>
      <c r="AJ5" s="10" t="s">
        <v>314</v>
      </c>
      <c r="AK5" s="10" t="s">
        <v>315</v>
      </c>
      <c r="AL5" s="82" t="s">
        <v>42</v>
      </c>
      <c r="AM5" s="82" t="s">
        <v>43</v>
      </c>
      <c r="AN5" s="82" t="s">
        <v>37</v>
      </c>
      <c r="AO5" s="10" t="s">
        <v>38</v>
      </c>
      <c r="AP5" s="10" t="s">
        <v>39</v>
      </c>
      <c r="AQ5" s="10" t="s">
        <v>40</v>
      </c>
      <c r="AR5" s="11" t="s">
        <v>41</v>
      </c>
      <c r="AS5" s="10" t="s">
        <v>310</v>
      </c>
      <c r="AT5" s="80" t="s">
        <v>311</v>
      </c>
      <c r="AU5" s="80" t="s">
        <v>312</v>
      </c>
      <c r="AV5" s="10" t="s">
        <v>313</v>
      </c>
      <c r="AW5" s="10" t="s">
        <v>314</v>
      </c>
      <c r="AX5" s="10" t="s">
        <v>315</v>
      </c>
      <c r="AY5" s="82" t="s">
        <v>42</v>
      </c>
      <c r="AZ5" s="82" t="s">
        <v>43</v>
      </c>
      <c r="BA5" s="82" t="s">
        <v>37</v>
      </c>
      <c r="BB5" s="10" t="s">
        <v>38</v>
      </c>
      <c r="BC5" s="10" t="s">
        <v>39</v>
      </c>
      <c r="BD5" s="10" t="s">
        <v>40</v>
      </c>
      <c r="BE5" s="11" t="s">
        <v>41</v>
      </c>
      <c r="BF5" s="10" t="s">
        <v>310</v>
      </c>
      <c r="BG5" s="80" t="s">
        <v>311</v>
      </c>
      <c r="BH5" s="80" t="s">
        <v>312</v>
      </c>
      <c r="BI5" s="10" t="s">
        <v>313</v>
      </c>
      <c r="BJ5" s="10" t="s">
        <v>314</v>
      </c>
      <c r="BK5" s="10" t="s">
        <v>315</v>
      </c>
      <c r="BL5" s="82" t="s">
        <v>42</v>
      </c>
      <c r="BM5" s="82" t="s">
        <v>43</v>
      </c>
      <c r="BN5" s="82" t="s">
        <v>37</v>
      </c>
      <c r="BO5" s="10" t="s">
        <v>38</v>
      </c>
      <c r="BP5" s="10" t="s">
        <v>39</v>
      </c>
      <c r="BQ5" s="10" t="s">
        <v>40</v>
      </c>
      <c r="BR5" s="11" t="s">
        <v>41</v>
      </c>
      <c r="BS5" s="10" t="s">
        <v>310</v>
      </c>
      <c r="BT5" s="80" t="s">
        <v>311</v>
      </c>
      <c r="BU5" s="80" t="s">
        <v>312</v>
      </c>
      <c r="BV5" s="10" t="s">
        <v>313</v>
      </c>
      <c r="BW5" s="10" t="s">
        <v>314</v>
      </c>
      <c r="BX5" s="10" t="s">
        <v>315</v>
      </c>
      <c r="BY5" s="82" t="s">
        <v>42</v>
      </c>
      <c r="BZ5" s="82" t="s">
        <v>43</v>
      </c>
      <c r="CA5" s="82" t="s">
        <v>37</v>
      </c>
      <c r="CB5" s="10" t="s">
        <v>38</v>
      </c>
      <c r="CC5" s="10" t="s">
        <v>39</v>
      </c>
      <c r="CD5" s="10" t="s">
        <v>40</v>
      </c>
      <c r="CE5" s="11" t="s">
        <v>41</v>
      </c>
      <c r="CF5" s="10" t="s">
        <v>310</v>
      </c>
      <c r="CG5" s="80" t="s">
        <v>311</v>
      </c>
      <c r="CH5" s="80" t="s">
        <v>312</v>
      </c>
      <c r="CI5" s="10" t="s">
        <v>313</v>
      </c>
      <c r="CJ5" s="10" t="s">
        <v>314</v>
      </c>
      <c r="CK5" s="10" t="s">
        <v>315</v>
      </c>
      <c r="CL5" s="82" t="s">
        <v>42</v>
      </c>
      <c r="CM5" s="82" t="s">
        <v>43</v>
      </c>
      <c r="CN5" s="82" t="s">
        <v>37</v>
      </c>
      <c r="CO5" s="10" t="s">
        <v>38</v>
      </c>
      <c r="CP5" s="10" t="s">
        <v>39</v>
      </c>
      <c r="CQ5" s="10" t="s">
        <v>40</v>
      </c>
      <c r="CR5" s="11" t="s">
        <v>41</v>
      </c>
      <c r="CS5" s="10" t="s">
        <v>310</v>
      </c>
      <c r="CT5" s="80" t="s">
        <v>311</v>
      </c>
      <c r="CU5" s="80" t="s">
        <v>312</v>
      </c>
      <c r="CV5" s="10" t="s">
        <v>313</v>
      </c>
      <c r="CW5" s="10" t="s">
        <v>314</v>
      </c>
      <c r="CX5" s="10" t="s">
        <v>315</v>
      </c>
      <c r="CY5" s="82" t="s">
        <v>42</v>
      </c>
      <c r="CZ5" s="82" t="s">
        <v>43</v>
      </c>
      <c r="DA5" s="82" t="s">
        <v>37</v>
      </c>
      <c r="DB5" s="10" t="s">
        <v>38</v>
      </c>
      <c r="DC5" s="10" t="s">
        <v>39</v>
      </c>
      <c r="DD5" s="10" t="s">
        <v>40</v>
      </c>
      <c r="DE5" s="11" t="s">
        <v>41</v>
      </c>
      <c r="DF5" s="10" t="s">
        <v>310</v>
      </c>
      <c r="DG5" s="80" t="s">
        <v>311</v>
      </c>
      <c r="DH5" s="80" t="s">
        <v>312</v>
      </c>
      <c r="DI5" s="10" t="s">
        <v>313</v>
      </c>
      <c r="DJ5" s="10" t="s">
        <v>314</v>
      </c>
      <c r="DK5" s="10" t="s">
        <v>315</v>
      </c>
      <c r="DL5" s="82" t="s">
        <v>42</v>
      </c>
      <c r="DM5" s="82" t="s">
        <v>43</v>
      </c>
      <c r="DN5" s="82" t="s">
        <v>37</v>
      </c>
      <c r="DO5" s="10" t="s">
        <v>38</v>
      </c>
      <c r="DP5" s="10" t="s">
        <v>39</v>
      </c>
      <c r="DQ5" s="10" t="s">
        <v>40</v>
      </c>
      <c r="DR5" s="11" t="s">
        <v>41</v>
      </c>
      <c r="DS5" s="83" t="s">
        <v>310</v>
      </c>
      <c r="DT5" s="3" t="s">
        <v>311</v>
      </c>
      <c r="DU5" s="3" t="s">
        <v>312</v>
      </c>
      <c r="DV5" s="82" t="s">
        <v>313</v>
      </c>
      <c r="DW5" s="82" t="s">
        <v>314</v>
      </c>
      <c r="DX5" s="82" t="s">
        <v>315</v>
      </c>
      <c r="DY5" s="82" t="s">
        <v>42</v>
      </c>
      <c r="DZ5" s="82" t="s">
        <v>43</v>
      </c>
      <c r="EA5" s="82" t="s">
        <v>37</v>
      </c>
      <c r="EB5" s="82" t="s">
        <v>38</v>
      </c>
      <c r="EC5" s="82" t="s">
        <v>39</v>
      </c>
      <c r="ED5" s="82" t="s">
        <v>40</v>
      </c>
      <c r="EE5" s="11" t="s">
        <v>41</v>
      </c>
      <c r="EF5" s="81" t="s">
        <v>310</v>
      </c>
      <c r="EG5" s="80" t="s">
        <v>311</v>
      </c>
      <c r="EH5" s="80" t="s">
        <v>312</v>
      </c>
      <c r="EI5" s="10" t="s">
        <v>313</v>
      </c>
      <c r="EJ5" s="10" t="s">
        <v>314</v>
      </c>
      <c r="EK5" s="10" t="s">
        <v>315</v>
      </c>
      <c r="EL5" s="10" t="s">
        <v>42</v>
      </c>
      <c r="EM5" s="10" t="s">
        <v>43</v>
      </c>
      <c r="EN5" s="10" t="s">
        <v>37</v>
      </c>
      <c r="EO5" s="10" t="s">
        <v>38</v>
      </c>
      <c r="EP5" s="10" t="s">
        <v>39</v>
      </c>
      <c r="EQ5" s="10" t="s">
        <v>40</v>
      </c>
      <c r="ER5" s="11" t="s">
        <v>41</v>
      </c>
      <c r="ES5" s="83" t="s">
        <v>310</v>
      </c>
      <c r="ET5" s="3" t="s">
        <v>311</v>
      </c>
      <c r="EU5" s="3" t="s">
        <v>312</v>
      </c>
      <c r="EV5" s="82" t="s">
        <v>313</v>
      </c>
      <c r="EW5" s="82" t="s">
        <v>314</v>
      </c>
      <c r="EX5" s="82" t="s">
        <v>315</v>
      </c>
      <c r="EY5" s="82" t="s">
        <v>42</v>
      </c>
      <c r="EZ5" s="82" t="s">
        <v>43</v>
      </c>
      <c r="FA5" s="82" t="s">
        <v>37</v>
      </c>
      <c r="FB5" s="82" t="s">
        <v>38</v>
      </c>
      <c r="FC5" s="82" t="s">
        <v>39</v>
      </c>
      <c r="FD5" s="10" t="s">
        <v>40</v>
      </c>
      <c r="FE5" s="11" t="s">
        <v>41</v>
      </c>
      <c r="FF5" s="81" t="s">
        <v>310</v>
      </c>
      <c r="FG5" s="80" t="s">
        <v>311</v>
      </c>
      <c r="FH5" s="80" t="s">
        <v>312</v>
      </c>
      <c r="FI5" s="10" t="s">
        <v>313</v>
      </c>
      <c r="FJ5" s="10" t="s">
        <v>314</v>
      </c>
      <c r="FK5" s="10" t="s">
        <v>315</v>
      </c>
      <c r="FL5" s="10" t="s">
        <v>42</v>
      </c>
      <c r="FM5" s="10" t="s">
        <v>43</v>
      </c>
      <c r="FN5" s="10" t="s">
        <v>37</v>
      </c>
      <c r="FO5" s="10" t="s">
        <v>38</v>
      </c>
      <c r="FP5" s="10" t="s">
        <v>39</v>
      </c>
      <c r="FQ5" s="10" t="s">
        <v>40</v>
      </c>
      <c r="FR5" s="11" t="s">
        <v>41</v>
      </c>
    </row>
    <row r="6" spans="4:174" x14ac:dyDescent="0.25">
      <c r="E6" s="200" t="s">
        <v>44</v>
      </c>
      <c r="F6" s="201">
        <f t="shared" ref="F6:AK6" si="0">F9+F31+F35+F56</f>
        <v>382.59399579999996</v>
      </c>
      <c r="G6" s="201">
        <f t="shared" si="0"/>
        <v>265.2834987</v>
      </c>
      <c r="H6" s="201">
        <f t="shared" si="0"/>
        <v>276.69426269999997</v>
      </c>
      <c r="I6" s="201">
        <f t="shared" si="0"/>
        <v>351.11101689999998</v>
      </c>
      <c r="J6" s="201">
        <f t="shared" si="0"/>
        <v>395.21592520000002</v>
      </c>
      <c r="K6" s="201">
        <f t="shared" si="0"/>
        <v>411.49739269999998</v>
      </c>
      <c r="L6" s="201">
        <f t="shared" si="0"/>
        <v>423.43723040000003</v>
      </c>
      <c r="M6" s="201">
        <f t="shared" si="0"/>
        <v>454.69167009999995</v>
      </c>
      <c r="N6" s="201">
        <f t="shared" si="0"/>
        <v>424.88807270000001</v>
      </c>
      <c r="O6" s="201">
        <f t="shared" si="0"/>
        <v>0</v>
      </c>
      <c r="P6" s="201">
        <f t="shared" si="0"/>
        <v>0</v>
      </c>
      <c r="Q6" s="201">
        <f t="shared" si="0"/>
        <v>0</v>
      </c>
      <c r="R6" s="201">
        <f t="shared" si="0"/>
        <v>0</v>
      </c>
      <c r="S6" s="202">
        <f t="shared" si="0"/>
        <v>1136.2315403000002</v>
      </c>
      <c r="T6" s="201">
        <f t="shared" si="0"/>
        <v>1129.1949061999999</v>
      </c>
      <c r="U6" s="201">
        <f t="shared" si="0"/>
        <v>1208.8469077</v>
      </c>
      <c r="V6" s="201">
        <f t="shared" si="0"/>
        <v>1330.3607861</v>
      </c>
      <c r="W6" s="201">
        <f t="shared" si="0"/>
        <v>1352.8327611</v>
      </c>
      <c r="X6" s="201">
        <f t="shared" si="0"/>
        <v>1382.4130862</v>
      </c>
      <c r="Y6" s="201">
        <f t="shared" si="0"/>
        <v>1433.4751739000001</v>
      </c>
      <c r="Z6" s="201">
        <f t="shared" si="0"/>
        <v>1501.9012839000002</v>
      </c>
      <c r="AA6" s="201">
        <f t="shared" si="0"/>
        <v>1512.2329056000001</v>
      </c>
      <c r="AB6" s="201">
        <f t="shared" si="0"/>
        <v>0</v>
      </c>
      <c r="AC6" s="201">
        <f t="shared" si="0"/>
        <v>0</v>
      </c>
      <c r="AD6" s="201">
        <f t="shared" si="0"/>
        <v>0</v>
      </c>
      <c r="AE6" s="203">
        <f t="shared" si="0"/>
        <v>0</v>
      </c>
      <c r="AF6" s="202">
        <f t="shared" si="0"/>
        <v>137.13015569999999</v>
      </c>
      <c r="AG6" s="201">
        <f t="shared" si="0"/>
        <v>148.50274489999998</v>
      </c>
      <c r="AH6" s="201">
        <f t="shared" si="0"/>
        <v>139.05922329999999</v>
      </c>
      <c r="AI6" s="201">
        <f t="shared" si="0"/>
        <v>135.8396607</v>
      </c>
      <c r="AJ6" s="201">
        <f t="shared" si="0"/>
        <v>146.8299446</v>
      </c>
      <c r="AK6" s="201">
        <f t="shared" si="0"/>
        <v>152.58874119999999</v>
      </c>
      <c r="AL6" s="201">
        <f t="shared" ref="AL6:BQ6" si="1">AL9+AL31+AL35+AL56</f>
        <v>154.17390410000002</v>
      </c>
      <c r="AM6" s="201">
        <f t="shared" si="1"/>
        <v>174.59156680000001</v>
      </c>
      <c r="AN6" s="201">
        <f t="shared" si="1"/>
        <v>170.05830399999999</v>
      </c>
      <c r="AO6" s="201">
        <f t="shared" si="1"/>
        <v>0</v>
      </c>
      <c r="AP6" s="201">
        <f t="shared" si="1"/>
        <v>0</v>
      </c>
      <c r="AQ6" s="201">
        <f t="shared" si="1"/>
        <v>0</v>
      </c>
      <c r="AR6" s="203">
        <f t="shared" si="1"/>
        <v>0</v>
      </c>
      <c r="AS6" s="201">
        <f t="shared" si="1"/>
        <v>0</v>
      </c>
      <c r="AT6" s="201">
        <f t="shared" si="1"/>
        <v>0</v>
      </c>
      <c r="AU6" s="201">
        <f t="shared" si="1"/>
        <v>0</v>
      </c>
      <c r="AV6" s="201">
        <f t="shared" si="1"/>
        <v>0</v>
      </c>
      <c r="AW6" s="201">
        <f t="shared" si="1"/>
        <v>0</v>
      </c>
      <c r="AX6" s="201">
        <f t="shared" si="1"/>
        <v>0</v>
      </c>
      <c r="AY6" s="201">
        <f t="shared" si="1"/>
        <v>0</v>
      </c>
      <c r="AZ6" s="201">
        <f t="shared" si="1"/>
        <v>0</v>
      </c>
      <c r="BA6" s="201">
        <f t="shared" si="1"/>
        <v>0</v>
      </c>
      <c r="BB6" s="201">
        <f t="shared" si="1"/>
        <v>0</v>
      </c>
      <c r="BC6" s="201">
        <f t="shared" si="1"/>
        <v>0</v>
      </c>
      <c r="BD6" s="201">
        <f t="shared" si="1"/>
        <v>0</v>
      </c>
      <c r="BE6" s="201">
        <f t="shared" si="1"/>
        <v>0</v>
      </c>
      <c r="BF6" s="202">
        <f t="shared" si="1"/>
        <v>3.4847234999999999</v>
      </c>
      <c r="BG6" s="201">
        <f t="shared" si="1"/>
        <v>5.9209670000000001</v>
      </c>
      <c r="BH6" s="201">
        <f t="shared" si="1"/>
        <v>3.4310203000000001</v>
      </c>
      <c r="BI6" s="201">
        <f t="shared" si="1"/>
        <v>0.80615729999999997</v>
      </c>
      <c r="BJ6" s="201">
        <f t="shared" si="1"/>
        <v>6.4677214999999997</v>
      </c>
      <c r="BK6" s="201">
        <f t="shared" si="1"/>
        <v>3.7546423999999998</v>
      </c>
      <c r="BL6" s="201">
        <f t="shared" si="1"/>
        <v>5.1716785000000005</v>
      </c>
      <c r="BM6" s="201">
        <f t="shared" si="1"/>
        <v>6.4306089000000002</v>
      </c>
      <c r="BN6" s="201">
        <f t="shared" si="1"/>
        <v>5.6497071999999999</v>
      </c>
      <c r="BO6" s="201">
        <f t="shared" si="1"/>
        <v>0</v>
      </c>
      <c r="BP6" s="201">
        <f t="shared" si="1"/>
        <v>0</v>
      </c>
      <c r="BQ6" s="201">
        <f t="shared" si="1"/>
        <v>0</v>
      </c>
      <c r="BR6" s="203">
        <f t="shared" ref="BR6:CW6" si="2">BR9+BR31+BR35+BR56</f>
        <v>0</v>
      </c>
      <c r="BS6" s="204">
        <f t="shared" si="2"/>
        <v>0</v>
      </c>
      <c r="BT6" s="204">
        <f t="shared" si="2"/>
        <v>112.89835539999999</v>
      </c>
      <c r="BU6" s="204">
        <f t="shared" si="2"/>
        <v>156.26189970000001</v>
      </c>
      <c r="BV6" s="204">
        <f t="shared" si="2"/>
        <v>46.079558399999996</v>
      </c>
      <c r="BW6" s="204">
        <f t="shared" si="2"/>
        <v>18.767832599999998</v>
      </c>
      <c r="BX6" s="204">
        <f t="shared" si="2"/>
        <v>-0.94915799999999995</v>
      </c>
      <c r="BY6" s="204">
        <f t="shared" si="2"/>
        <v>0</v>
      </c>
      <c r="BZ6" s="204">
        <f t="shared" si="2"/>
        <v>0</v>
      </c>
      <c r="CA6" s="204">
        <f t="shared" si="2"/>
        <v>0</v>
      </c>
      <c r="CB6" s="204">
        <f t="shared" si="2"/>
        <v>0</v>
      </c>
      <c r="CC6" s="204">
        <f t="shared" si="2"/>
        <v>0</v>
      </c>
      <c r="CD6" s="204">
        <f t="shared" si="2"/>
        <v>0</v>
      </c>
      <c r="CE6" s="204">
        <f t="shared" si="2"/>
        <v>0</v>
      </c>
      <c r="CF6" s="205">
        <f t="shared" si="2"/>
        <v>1276.8464195000001</v>
      </c>
      <c r="CG6" s="204">
        <f t="shared" si="2"/>
        <v>1283.6186181</v>
      </c>
      <c r="CH6" s="204">
        <f t="shared" si="2"/>
        <v>1351.3371513000002</v>
      </c>
      <c r="CI6" s="204">
        <f t="shared" si="2"/>
        <v>1467.0066041</v>
      </c>
      <c r="CJ6" s="204">
        <f t="shared" si="2"/>
        <v>1506.1304272000002</v>
      </c>
      <c r="CK6" s="204">
        <f t="shared" si="2"/>
        <v>1538.7564698000001</v>
      </c>
      <c r="CL6" s="204">
        <f t="shared" si="2"/>
        <v>1592.8207565</v>
      </c>
      <c r="CM6" s="204">
        <f t="shared" si="2"/>
        <v>1682.9234596000001</v>
      </c>
      <c r="CN6" s="204">
        <f t="shared" si="2"/>
        <v>1687.9409168</v>
      </c>
      <c r="CO6" s="204">
        <f t="shared" si="2"/>
        <v>0</v>
      </c>
      <c r="CP6" s="204">
        <f t="shared" si="2"/>
        <v>0</v>
      </c>
      <c r="CQ6" s="204">
        <f t="shared" si="2"/>
        <v>0</v>
      </c>
      <c r="CR6" s="206">
        <f t="shared" si="2"/>
        <v>0</v>
      </c>
      <c r="CS6" s="207">
        <f t="shared" si="2"/>
        <v>894.25242370000001</v>
      </c>
      <c r="CT6" s="208">
        <f t="shared" si="2"/>
        <v>905.43676400000004</v>
      </c>
      <c r="CU6" s="208">
        <f t="shared" si="2"/>
        <v>918.38098889999992</v>
      </c>
      <c r="CV6" s="208">
        <f t="shared" si="2"/>
        <v>1069.8160288000001</v>
      </c>
      <c r="CW6" s="208">
        <f t="shared" si="2"/>
        <v>1092.1466694000001</v>
      </c>
      <c r="CX6" s="208">
        <f t="shared" ref="CX6:DE6" si="3">CX9+CX31+CX35+CX56</f>
        <v>1128.2082351000001</v>
      </c>
      <c r="CY6" s="208">
        <f t="shared" si="3"/>
        <v>1169.3835261000002</v>
      </c>
      <c r="CZ6" s="208">
        <f t="shared" si="3"/>
        <v>1228.2317895000001</v>
      </c>
      <c r="DA6" s="208">
        <f t="shared" si="3"/>
        <v>1263.0528440999999</v>
      </c>
      <c r="DB6" s="204">
        <f t="shared" si="3"/>
        <v>0</v>
      </c>
      <c r="DC6" s="204">
        <f t="shared" si="3"/>
        <v>0</v>
      </c>
      <c r="DD6" s="204">
        <f t="shared" si="3"/>
        <v>0</v>
      </c>
      <c r="DE6" s="206">
        <f t="shared" si="3"/>
        <v>0</v>
      </c>
      <c r="DF6" s="209">
        <f t="shared" ref="DF6:DR6" si="4">IFERROR(+AF6/CF6,0)</f>
        <v>0.10739753317685516</v>
      </c>
      <c r="DG6" s="210">
        <f t="shared" si="4"/>
        <v>0.11569070657436577</v>
      </c>
      <c r="DH6" s="210">
        <f t="shared" si="4"/>
        <v>0.1029049065706686</v>
      </c>
      <c r="DI6" s="210">
        <f t="shared" si="4"/>
        <v>9.2596488877660393E-2</v>
      </c>
      <c r="DJ6" s="210">
        <f t="shared" si="4"/>
        <v>9.7488200190581728E-2</v>
      </c>
      <c r="DK6" s="210">
        <f t="shared" si="4"/>
        <v>9.9163671571650777E-2</v>
      </c>
      <c r="DL6" s="210">
        <f t="shared" si="4"/>
        <v>9.6793002898063391E-2</v>
      </c>
      <c r="DM6" s="210">
        <f t="shared" si="4"/>
        <v>0.10374302277626887</v>
      </c>
      <c r="DN6" s="210">
        <f t="shared" si="4"/>
        <v>0.10074896716313785</v>
      </c>
      <c r="DO6" s="210">
        <f t="shared" si="4"/>
        <v>0</v>
      </c>
      <c r="DP6" s="210">
        <f t="shared" si="4"/>
        <v>0</v>
      </c>
      <c r="DQ6" s="210">
        <f t="shared" si="4"/>
        <v>0</v>
      </c>
      <c r="DR6" s="211">
        <f t="shared" si="4"/>
        <v>0</v>
      </c>
      <c r="DS6" s="35">
        <f t="shared" ref="DS6:ED6" si="5">DS35</f>
        <v>914096.1166666674</v>
      </c>
      <c r="DT6" s="35">
        <f t="shared" si="5"/>
        <v>908325.75999999989</v>
      </c>
      <c r="DU6" s="35">
        <f t="shared" si="5"/>
        <v>902110.55</v>
      </c>
      <c r="DV6" s="35">
        <f t="shared" si="5"/>
        <v>899044.10000000009</v>
      </c>
      <c r="DW6" s="35">
        <f t="shared" si="5"/>
        <v>863332.1</v>
      </c>
      <c r="DX6" s="35">
        <f t="shared" si="5"/>
        <v>840986</v>
      </c>
      <c r="DY6" s="35">
        <f t="shared" si="5"/>
        <v>844435</v>
      </c>
      <c r="DZ6" s="35">
        <f t="shared" si="5"/>
        <v>852061</v>
      </c>
      <c r="EA6" s="35">
        <f t="shared" si="5"/>
        <v>848772</v>
      </c>
      <c r="EB6" s="35">
        <f t="shared" si="5"/>
        <v>0</v>
      </c>
      <c r="EC6" s="35">
        <f t="shared" si="5"/>
        <v>0</v>
      </c>
      <c r="ED6" s="35">
        <f t="shared" si="5"/>
        <v>0</v>
      </c>
      <c r="EE6" s="90"/>
      <c r="EF6" s="139">
        <f t="shared" ref="EF6:EQ6" si="6">EF31</f>
        <v>44993</v>
      </c>
      <c r="EG6" s="35">
        <f t="shared" si="6"/>
        <v>43805</v>
      </c>
      <c r="EH6" s="35">
        <f t="shared" si="6"/>
        <v>43904</v>
      </c>
      <c r="EI6" s="35">
        <f t="shared" si="6"/>
        <v>45238</v>
      </c>
      <c r="EJ6" s="35">
        <f t="shared" si="6"/>
        <v>45238</v>
      </c>
      <c r="EK6" s="35">
        <f t="shared" si="6"/>
        <v>0</v>
      </c>
      <c r="EL6" s="35">
        <f t="shared" si="6"/>
        <v>0</v>
      </c>
      <c r="EM6" s="35">
        <f t="shared" si="6"/>
        <v>0</v>
      </c>
      <c r="EN6" s="35">
        <f t="shared" si="6"/>
        <v>0</v>
      </c>
      <c r="EO6" s="35">
        <f t="shared" si="6"/>
        <v>0</v>
      </c>
      <c r="EP6" s="35">
        <f t="shared" si="6"/>
        <v>0</v>
      </c>
      <c r="EQ6" s="35">
        <f t="shared" si="6"/>
        <v>0</v>
      </c>
      <c r="ER6" s="34"/>
      <c r="ES6" s="35">
        <f t="shared" ref="ES6:FC6" si="7">ES35+ES31</f>
        <v>24021490</v>
      </c>
      <c r="ET6" s="35">
        <f t="shared" si="7"/>
        <v>14430098</v>
      </c>
      <c r="EU6" s="35">
        <f t="shared" si="7"/>
        <v>13634360</v>
      </c>
      <c r="EV6" s="35">
        <f t="shared" si="7"/>
        <v>18523868</v>
      </c>
      <c r="EW6" s="35">
        <f t="shared" si="7"/>
        <v>20781764</v>
      </c>
      <c r="EX6" s="35">
        <f t="shared" si="7"/>
        <v>20736314</v>
      </c>
      <c r="EY6" s="35">
        <f t="shared" si="7"/>
        <v>21621168</v>
      </c>
      <c r="EZ6" s="35">
        <f t="shared" si="7"/>
        <v>0</v>
      </c>
      <c r="FA6" s="35">
        <f t="shared" si="7"/>
        <v>0</v>
      </c>
      <c r="FB6" s="35">
        <f t="shared" si="7"/>
        <v>0</v>
      </c>
      <c r="FC6" s="35">
        <f t="shared" si="7"/>
        <v>0</v>
      </c>
      <c r="FD6" s="89"/>
      <c r="FE6" s="90"/>
      <c r="FF6" s="212">
        <v>2978604</v>
      </c>
      <c r="FG6" s="213">
        <v>2785257</v>
      </c>
      <c r="FH6" s="213">
        <v>3095161.5</v>
      </c>
      <c r="FI6" s="213">
        <v>3070974</v>
      </c>
      <c r="FJ6" s="213">
        <v>3113098</v>
      </c>
      <c r="FK6" s="213">
        <v>2804180</v>
      </c>
      <c r="FL6" s="214">
        <v>3088580</v>
      </c>
      <c r="FM6" s="214">
        <v>3504902</v>
      </c>
      <c r="FN6" s="214">
        <v>3537578</v>
      </c>
      <c r="FO6" s="89"/>
      <c r="FP6" s="89"/>
      <c r="FQ6" s="89"/>
      <c r="FR6" s="34"/>
    </row>
    <row r="7" spans="4:174" x14ac:dyDescent="0.25">
      <c r="F7" s="165"/>
      <c r="G7" s="165"/>
      <c r="H7" s="165"/>
      <c r="I7" s="165"/>
      <c r="J7" s="165"/>
      <c r="K7" s="165"/>
      <c r="L7" s="165"/>
      <c r="M7" s="165"/>
      <c r="N7" s="165"/>
      <c r="O7" s="165"/>
      <c r="P7" s="165"/>
      <c r="Q7" s="165"/>
      <c r="R7" s="165"/>
      <c r="S7" s="215"/>
      <c r="T7" s="165"/>
      <c r="U7" s="165"/>
      <c r="V7" s="165"/>
      <c r="W7" s="165"/>
      <c r="X7" s="165"/>
      <c r="Y7" s="165"/>
      <c r="Z7" s="165"/>
      <c r="AA7" s="165"/>
      <c r="AB7" s="165"/>
      <c r="AC7" s="165"/>
      <c r="AD7" s="165"/>
      <c r="AE7" s="216"/>
      <c r="AF7" s="215"/>
      <c r="AG7" s="165"/>
      <c r="AH7" s="165"/>
      <c r="AI7" s="165"/>
      <c r="AJ7" s="165"/>
      <c r="AK7" s="165"/>
      <c r="AL7" s="165"/>
      <c r="AM7" s="165"/>
      <c r="AN7" s="165"/>
      <c r="AO7" s="165"/>
      <c r="AP7" s="165"/>
      <c r="AQ7" s="165"/>
      <c r="AR7" s="216"/>
      <c r="AS7" s="165"/>
      <c r="AT7" s="165"/>
      <c r="AU7" s="165"/>
      <c r="AV7" s="165"/>
      <c r="AW7" s="165"/>
      <c r="AX7" s="165"/>
      <c r="AY7" s="165"/>
      <c r="AZ7" s="165"/>
      <c r="BA7" s="165"/>
      <c r="BB7" s="165"/>
      <c r="BC7" s="165"/>
      <c r="BD7" s="165"/>
      <c r="BE7" s="165"/>
      <c r="BF7" s="215"/>
      <c r="BG7" s="165"/>
      <c r="BH7" s="165"/>
      <c r="BI7" s="165"/>
      <c r="BJ7" s="165"/>
      <c r="BK7" s="165"/>
      <c r="BL7" s="165"/>
      <c r="BM7" s="165"/>
      <c r="BN7" s="165"/>
      <c r="BO7" s="165"/>
      <c r="BP7" s="165"/>
      <c r="BQ7" s="165"/>
      <c r="BR7" s="216"/>
      <c r="BS7" s="165"/>
      <c r="BT7" s="165"/>
      <c r="BU7" s="165"/>
      <c r="BV7" s="165"/>
      <c r="BW7" s="165"/>
      <c r="BX7" s="165"/>
      <c r="BY7" s="165"/>
      <c r="BZ7" s="165"/>
      <c r="CA7" s="165"/>
      <c r="CB7" s="165"/>
      <c r="CC7" s="165"/>
      <c r="CD7" s="165"/>
      <c r="CE7" s="165"/>
      <c r="CF7" s="215"/>
      <c r="CG7" s="165"/>
      <c r="CH7" s="165"/>
      <c r="CI7" s="165"/>
      <c r="CJ7" s="165"/>
      <c r="CK7" s="165"/>
      <c r="CL7" s="165"/>
      <c r="CM7" s="165"/>
      <c r="CN7" s="165"/>
      <c r="CO7" s="165"/>
      <c r="CP7" s="165"/>
      <c r="CQ7" s="165"/>
      <c r="CR7" s="216"/>
      <c r="CS7" s="215"/>
      <c r="CT7" s="165"/>
      <c r="CU7" s="165"/>
      <c r="CV7" s="165"/>
      <c r="CW7" s="165"/>
      <c r="CX7" s="165"/>
      <c r="CY7" s="165"/>
      <c r="CZ7" s="165"/>
      <c r="DA7" s="165"/>
      <c r="DB7" s="165"/>
      <c r="DC7" s="165"/>
      <c r="DD7" s="165"/>
      <c r="DE7" s="216"/>
      <c r="DF7" s="17"/>
      <c r="DG7" s="18"/>
      <c r="DH7" s="18"/>
      <c r="DI7" s="18"/>
      <c r="DJ7" s="18"/>
      <c r="DK7" s="18"/>
      <c r="DL7" s="18"/>
      <c r="DM7" s="18"/>
      <c r="DN7" s="18"/>
      <c r="DO7" s="18"/>
      <c r="DP7" s="18"/>
      <c r="DQ7" s="18"/>
      <c r="DR7" s="217"/>
      <c r="DS7" s="91"/>
      <c r="EE7" s="13"/>
      <c r="EF7" s="91"/>
      <c r="ER7" s="13"/>
      <c r="ES7" s="91"/>
      <c r="FE7" s="13"/>
      <c r="FF7" s="91"/>
      <c r="FR7" s="13"/>
    </row>
    <row r="8" spans="4:174" x14ac:dyDescent="0.25">
      <c r="F8" s="165"/>
      <c r="G8" s="165"/>
      <c r="H8" s="165"/>
      <c r="I8" s="165"/>
      <c r="J8" s="165"/>
      <c r="K8" s="165"/>
      <c r="L8" s="165"/>
      <c r="M8" s="165"/>
      <c r="N8" s="165"/>
      <c r="O8" s="165"/>
      <c r="P8" s="165"/>
      <c r="Q8" s="165"/>
      <c r="R8" s="165"/>
      <c r="S8" s="215"/>
      <c r="T8" s="165"/>
      <c r="U8" s="165"/>
      <c r="V8" s="165"/>
      <c r="W8" s="165"/>
      <c r="X8" s="165"/>
      <c r="Y8" s="165"/>
      <c r="Z8" s="165"/>
      <c r="AA8" s="165"/>
      <c r="AB8" s="165"/>
      <c r="AC8" s="165"/>
      <c r="AD8" s="165"/>
      <c r="AE8" s="216"/>
      <c r="AF8" s="215"/>
      <c r="AG8" s="165"/>
      <c r="AH8" s="165"/>
      <c r="AI8" s="165"/>
      <c r="AJ8" s="165"/>
      <c r="AK8" s="165"/>
      <c r="AL8" s="165"/>
      <c r="AM8" s="165"/>
      <c r="AN8" s="165"/>
      <c r="AO8" s="165"/>
      <c r="AP8" s="165"/>
      <c r="AQ8" s="165"/>
      <c r="AR8" s="216"/>
      <c r="AS8" s="165"/>
      <c r="AT8" s="165"/>
      <c r="AU8" s="165"/>
      <c r="AV8" s="165"/>
      <c r="AW8" s="165"/>
      <c r="AX8" s="165"/>
      <c r="AY8" s="165"/>
      <c r="AZ8" s="165"/>
      <c r="BA8" s="165"/>
      <c r="BB8" s="165"/>
      <c r="BC8" s="165"/>
      <c r="BD8" s="165"/>
      <c r="BE8" s="165"/>
      <c r="BF8" s="215"/>
      <c r="BG8" s="165"/>
      <c r="BH8" s="165"/>
      <c r="BI8" s="165"/>
      <c r="BJ8" s="165"/>
      <c r="BK8" s="165"/>
      <c r="BL8" s="165"/>
      <c r="BM8" s="165"/>
      <c r="BN8" s="165"/>
      <c r="BO8" s="165"/>
      <c r="BP8" s="165"/>
      <c r="BQ8" s="165"/>
      <c r="BR8" s="216"/>
      <c r="BS8" s="165"/>
      <c r="BT8" s="165"/>
      <c r="BU8" s="165"/>
      <c r="BV8" s="165"/>
      <c r="BW8" s="165"/>
      <c r="BX8" s="165"/>
      <c r="BY8" s="165"/>
      <c r="BZ8" s="165"/>
      <c r="CA8" s="165"/>
      <c r="CB8" s="165"/>
      <c r="CC8" s="165"/>
      <c r="CD8" s="165"/>
      <c r="CE8" s="165"/>
      <c r="CF8" s="215"/>
      <c r="CG8" s="165"/>
      <c r="CH8" s="165"/>
      <c r="CI8" s="165"/>
      <c r="CJ8" s="165"/>
      <c r="CK8" s="165"/>
      <c r="CL8" s="165"/>
      <c r="CM8" s="165"/>
      <c r="CN8" s="165"/>
      <c r="CO8" s="165"/>
      <c r="CP8" s="165"/>
      <c r="CQ8" s="165"/>
      <c r="CR8" s="216"/>
      <c r="CS8" s="215"/>
      <c r="CT8" s="165"/>
      <c r="CU8" s="165"/>
      <c r="CV8" s="165"/>
      <c r="CW8" s="165"/>
      <c r="CX8" s="165"/>
      <c r="CY8" s="165"/>
      <c r="CZ8" s="165"/>
      <c r="DA8" s="165"/>
      <c r="DB8" s="165"/>
      <c r="DC8" s="165"/>
      <c r="DD8" s="165"/>
      <c r="DE8" s="216"/>
      <c r="DF8" s="17"/>
      <c r="DG8" s="18"/>
      <c r="DH8" s="18"/>
      <c r="DI8" s="18"/>
      <c r="DJ8" s="18"/>
      <c r="DK8" s="18"/>
      <c r="DL8" s="18"/>
      <c r="DM8" s="18"/>
      <c r="DN8" s="18"/>
      <c r="DO8" s="18"/>
      <c r="DP8" s="18"/>
      <c r="DQ8" s="18"/>
      <c r="DR8" s="217"/>
      <c r="DS8" s="91"/>
      <c r="EE8" s="13"/>
      <c r="EF8" s="91"/>
      <c r="ER8" s="13"/>
      <c r="ES8" s="91"/>
      <c r="FE8" s="13"/>
      <c r="FF8" s="91"/>
      <c r="FR8" s="13"/>
    </row>
    <row r="9" spans="4:174" s="4" customFormat="1" x14ac:dyDescent="0.25">
      <c r="D9" s="92"/>
      <c r="E9" s="218" t="s">
        <v>51</v>
      </c>
      <c r="F9" s="219">
        <f t="shared" ref="F9:AK9" si="8">SUM(F10:F30)</f>
        <v>11.252597899999998</v>
      </c>
      <c r="G9" s="220">
        <f t="shared" si="8"/>
        <v>7.1594537999999996</v>
      </c>
      <c r="H9" s="220">
        <f t="shared" si="8"/>
        <v>8.6459270000000004</v>
      </c>
      <c r="I9" s="220">
        <f t="shared" si="8"/>
        <v>9.5233076999999984</v>
      </c>
      <c r="J9" s="220">
        <f t="shared" si="8"/>
        <v>10.445222099999999</v>
      </c>
      <c r="K9" s="220">
        <f t="shared" si="8"/>
        <v>9.7435852000000001</v>
      </c>
      <c r="L9" s="220">
        <f t="shared" si="8"/>
        <v>11.703284099999999</v>
      </c>
      <c r="M9" s="220">
        <f t="shared" si="8"/>
        <v>13.099249400000001</v>
      </c>
      <c r="N9" s="220">
        <f t="shared" si="8"/>
        <v>12.225747500000001</v>
      </c>
      <c r="O9" s="220">
        <f t="shared" si="8"/>
        <v>0</v>
      </c>
      <c r="P9" s="220">
        <f t="shared" si="8"/>
        <v>0</v>
      </c>
      <c r="Q9" s="220">
        <f t="shared" si="8"/>
        <v>0</v>
      </c>
      <c r="R9" s="220">
        <f t="shared" si="8"/>
        <v>0</v>
      </c>
      <c r="S9" s="219">
        <f t="shared" si="8"/>
        <v>275.29150960000004</v>
      </c>
      <c r="T9" s="220">
        <f t="shared" si="8"/>
        <v>254.15928760000003</v>
      </c>
      <c r="U9" s="220">
        <f t="shared" si="8"/>
        <v>294.3627553</v>
      </c>
      <c r="V9" s="220">
        <f t="shared" si="8"/>
        <v>323.50508500000001</v>
      </c>
      <c r="W9" s="220">
        <f t="shared" si="8"/>
        <v>375.97763629999997</v>
      </c>
      <c r="X9" s="220">
        <f t="shared" si="8"/>
        <v>426.35200320000001</v>
      </c>
      <c r="Y9" s="220">
        <f t="shared" si="8"/>
        <v>427.48983159999995</v>
      </c>
      <c r="Z9" s="220">
        <f t="shared" si="8"/>
        <v>455.36805750000002</v>
      </c>
      <c r="AA9" s="220">
        <f t="shared" si="8"/>
        <v>444.58608670000001</v>
      </c>
      <c r="AB9" s="220">
        <f t="shared" si="8"/>
        <v>0</v>
      </c>
      <c r="AC9" s="220">
        <f t="shared" si="8"/>
        <v>0</v>
      </c>
      <c r="AD9" s="220">
        <f t="shared" si="8"/>
        <v>0</v>
      </c>
      <c r="AE9" s="220">
        <f t="shared" si="8"/>
        <v>0</v>
      </c>
      <c r="AF9" s="219">
        <f t="shared" si="8"/>
        <v>30.567560999999998</v>
      </c>
      <c r="AG9" s="220">
        <f t="shared" si="8"/>
        <v>31.5543932</v>
      </c>
      <c r="AH9" s="220">
        <f t="shared" si="8"/>
        <v>30.983213399999997</v>
      </c>
      <c r="AI9" s="220">
        <f t="shared" si="8"/>
        <v>31.033795899999994</v>
      </c>
      <c r="AJ9" s="220">
        <f t="shared" si="8"/>
        <v>35.366502699999998</v>
      </c>
      <c r="AK9" s="220">
        <f t="shared" si="8"/>
        <v>37.720362399999999</v>
      </c>
      <c r="AL9" s="220">
        <f t="shared" ref="AL9:BQ9" si="9">SUM(AL10:AL30)</f>
        <v>37.4049616</v>
      </c>
      <c r="AM9" s="220">
        <f t="shared" si="9"/>
        <v>47.710512999999999</v>
      </c>
      <c r="AN9" s="220">
        <f t="shared" si="9"/>
        <v>45.654205599999997</v>
      </c>
      <c r="AO9" s="220">
        <f t="shared" si="9"/>
        <v>0</v>
      </c>
      <c r="AP9" s="220">
        <f t="shared" si="9"/>
        <v>0</v>
      </c>
      <c r="AQ9" s="220">
        <f t="shared" si="9"/>
        <v>0</v>
      </c>
      <c r="AR9" s="220">
        <f t="shared" si="9"/>
        <v>0</v>
      </c>
      <c r="AS9" s="219">
        <f t="shared" si="9"/>
        <v>0</v>
      </c>
      <c r="AT9" s="220">
        <f t="shared" si="9"/>
        <v>0</v>
      </c>
      <c r="AU9" s="220">
        <f t="shared" si="9"/>
        <v>0</v>
      </c>
      <c r="AV9" s="220">
        <f t="shared" si="9"/>
        <v>0</v>
      </c>
      <c r="AW9" s="220">
        <f t="shared" si="9"/>
        <v>0</v>
      </c>
      <c r="AX9" s="220">
        <f t="shared" si="9"/>
        <v>0</v>
      </c>
      <c r="AY9" s="220">
        <f t="shared" si="9"/>
        <v>0</v>
      </c>
      <c r="AZ9" s="220">
        <f t="shared" si="9"/>
        <v>0</v>
      </c>
      <c r="BA9" s="220">
        <f t="shared" si="9"/>
        <v>0</v>
      </c>
      <c r="BB9" s="220">
        <f t="shared" si="9"/>
        <v>0</v>
      </c>
      <c r="BC9" s="220">
        <f t="shared" si="9"/>
        <v>0</v>
      </c>
      <c r="BD9" s="220">
        <f t="shared" si="9"/>
        <v>0</v>
      </c>
      <c r="BE9" s="220">
        <f t="shared" si="9"/>
        <v>0</v>
      </c>
      <c r="BF9" s="219">
        <f t="shared" si="9"/>
        <v>1.3655199999999999E-2</v>
      </c>
      <c r="BG9" s="220">
        <f t="shared" si="9"/>
        <v>3.5704800000000002E-2</v>
      </c>
      <c r="BH9" s="220">
        <f t="shared" si="9"/>
        <v>3.11793E-2</v>
      </c>
      <c r="BI9" s="220">
        <f t="shared" si="9"/>
        <v>5.7318499999999994E-2</v>
      </c>
      <c r="BJ9" s="220">
        <f t="shared" si="9"/>
        <v>2.7260000000000001E-3</v>
      </c>
      <c r="BK9" s="220">
        <f t="shared" si="9"/>
        <v>-0.51986249999999989</v>
      </c>
      <c r="BL9" s="220">
        <f t="shared" si="9"/>
        <v>-0.23641020000000001</v>
      </c>
      <c r="BM9" s="220">
        <f t="shared" si="9"/>
        <v>1.5422E-2</v>
      </c>
      <c r="BN9" s="220">
        <f t="shared" si="9"/>
        <v>-0.1407583</v>
      </c>
      <c r="BO9" s="220">
        <f t="shared" si="9"/>
        <v>0</v>
      </c>
      <c r="BP9" s="220">
        <f t="shared" si="9"/>
        <v>0</v>
      </c>
      <c r="BQ9" s="220">
        <f t="shared" si="9"/>
        <v>0</v>
      </c>
      <c r="BR9" s="220">
        <f t="shared" ref="BR9:CW9" si="10">SUM(BR10:BR30)</f>
        <v>0</v>
      </c>
      <c r="BS9" s="219">
        <f t="shared" si="10"/>
        <v>0</v>
      </c>
      <c r="BT9" s="220">
        <f t="shared" si="10"/>
        <v>-17.826548299999999</v>
      </c>
      <c r="BU9" s="220">
        <f t="shared" si="10"/>
        <v>27.5167693</v>
      </c>
      <c r="BV9" s="220">
        <f t="shared" si="10"/>
        <v>4.7362508999999999</v>
      </c>
      <c r="BW9" s="220">
        <f t="shared" si="10"/>
        <v>4.5120069000000012</v>
      </c>
      <c r="BX9" s="220">
        <f t="shared" si="10"/>
        <v>-0.2238213</v>
      </c>
      <c r="BY9" s="220">
        <f t="shared" si="10"/>
        <v>0</v>
      </c>
      <c r="BZ9" s="220">
        <f t="shared" si="10"/>
        <v>0</v>
      </c>
      <c r="CA9" s="220">
        <f t="shared" si="10"/>
        <v>0</v>
      </c>
      <c r="CB9" s="220">
        <f t="shared" si="10"/>
        <v>0</v>
      </c>
      <c r="CC9" s="220">
        <f t="shared" si="10"/>
        <v>0</v>
      </c>
      <c r="CD9" s="220">
        <f t="shared" si="10"/>
        <v>0</v>
      </c>
      <c r="CE9" s="220">
        <f t="shared" si="10"/>
        <v>0</v>
      </c>
      <c r="CF9" s="219">
        <f t="shared" si="10"/>
        <v>305.87272580000001</v>
      </c>
      <c r="CG9" s="220">
        <f t="shared" si="10"/>
        <v>285.74938560000004</v>
      </c>
      <c r="CH9" s="220">
        <f t="shared" si="10"/>
        <v>325.37714800000003</v>
      </c>
      <c r="CI9" s="220">
        <f t="shared" si="10"/>
        <v>354.59619939999999</v>
      </c>
      <c r="CJ9" s="220">
        <f t="shared" si="10"/>
        <v>411.34686500000004</v>
      </c>
      <c r="CK9" s="220">
        <f t="shared" si="10"/>
        <v>463.55250310000002</v>
      </c>
      <c r="CL9" s="220">
        <f t="shared" si="10"/>
        <v>464.65838300000001</v>
      </c>
      <c r="CM9" s="220">
        <f t="shared" si="10"/>
        <v>503.09399250000001</v>
      </c>
      <c r="CN9" s="220">
        <f t="shared" si="10"/>
        <v>490.09953399999995</v>
      </c>
      <c r="CO9" s="220">
        <f t="shared" si="10"/>
        <v>0</v>
      </c>
      <c r="CP9" s="220">
        <f t="shared" si="10"/>
        <v>0</v>
      </c>
      <c r="CQ9" s="220">
        <f t="shared" si="10"/>
        <v>0</v>
      </c>
      <c r="CR9" s="220">
        <f t="shared" si="10"/>
        <v>0</v>
      </c>
      <c r="CS9" s="219">
        <f t="shared" si="10"/>
        <v>294.62012790000006</v>
      </c>
      <c r="CT9" s="220">
        <f t="shared" si="10"/>
        <v>296.4164801</v>
      </c>
      <c r="CU9" s="220">
        <f t="shared" si="10"/>
        <v>289.21445169999998</v>
      </c>
      <c r="CV9" s="220">
        <f t="shared" si="10"/>
        <v>340.3366408</v>
      </c>
      <c r="CW9" s="220">
        <f t="shared" si="10"/>
        <v>396.38963599999994</v>
      </c>
      <c r="CX9" s="220">
        <f t="shared" ref="CX9:DE9" si="11">SUM(CX10:CX30)</f>
        <v>454.03273920000004</v>
      </c>
      <c r="CY9" s="220">
        <f t="shared" si="11"/>
        <v>452.9550989</v>
      </c>
      <c r="CZ9" s="220">
        <f t="shared" si="11"/>
        <v>489.99474309999994</v>
      </c>
      <c r="DA9" s="220">
        <f t="shared" si="11"/>
        <v>477.87378649999994</v>
      </c>
      <c r="DB9" s="220">
        <f t="shared" si="11"/>
        <v>0</v>
      </c>
      <c r="DC9" s="220">
        <f t="shared" si="11"/>
        <v>0</v>
      </c>
      <c r="DD9" s="220">
        <f t="shared" si="11"/>
        <v>0</v>
      </c>
      <c r="DE9" s="220">
        <f t="shared" si="11"/>
        <v>0</v>
      </c>
      <c r="DF9" s="221">
        <f t="shared" ref="DF9:DR9" si="12">IFERROR(+AF9/CF9,0)</f>
        <v>9.9935556267893952E-2</v>
      </c>
      <c r="DG9" s="222">
        <f t="shared" si="12"/>
        <v>0.11042681031052407</v>
      </c>
      <c r="DH9" s="222">
        <f t="shared" si="12"/>
        <v>9.5222462887897694E-2</v>
      </c>
      <c r="DI9" s="222">
        <f t="shared" si="12"/>
        <v>8.751869295979825E-2</v>
      </c>
      <c r="DJ9" s="222">
        <f t="shared" si="12"/>
        <v>8.597732402798304E-2</v>
      </c>
      <c r="DK9" s="222">
        <f t="shared" si="12"/>
        <v>8.1372362672503487E-2</v>
      </c>
      <c r="DL9" s="222">
        <f t="shared" si="12"/>
        <v>8.0499917721273517E-2</v>
      </c>
      <c r="DM9" s="222">
        <f t="shared" si="12"/>
        <v>9.4834193433546113E-2</v>
      </c>
      <c r="DN9" s="222">
        <f t="shared" si="12"/>
        <v>9.3152925952384197E-2</v>
      </c>
      <c r="DO9" s="222">
        <f t="shared" si="12"/>
        <v>0</v>
      </c>
      <c r="DP9" s="222">
        <f t="shared" si="12"/>
        <v>0</v>
      </c>
      <c r="DQ9" s="222">
        <f t="shared" si="12"/>
        <v>0</v>
      </c>
      <c r="DR9" s="223">
        <f t="shared" si="12"/>
        <v>0</v>
      </c>
      <c r="DS9" s="99"/>
      <c r="DT9" s="97"/>
      <c r="DU9" s="97"/>
      <c r="DV9" s="97"/>
      <c r="DW9" s="97"/>
      <c r="DX9" s="97"/>
      <c r="DY9" s="97"/>
      <c r="DZ9" s="97"/>
      <c r="EA9" s="97"/>
      <c r="EB9" s="97"/>
      <c r="EC9" s="97"/>
      <c r="ED9" s="97"/>
      <c r="EE9" s="100"/>
      <c r="EF9" s="99"/>
      <c r="EG9" s="97"/>
      <c r="EH9" s="97"/>
      <c r="EI9" s="97"/>
      <c r="EJ9" s="97"/>
      <c r="EK9" s="97"/>
      <c r="EL9" s="97"/>
      <c r="EM9" s="97"/>
      <c r="EN9" s="97"/>
      <c r="EO9" s="97"/>
      <c r="EP9" s="97"/>
      <c r="EQ9" s="97"/>
      <c r="ER9" s="100"/>
      <c r="ES9" s="99"/>
      <c r="ET9" s="97"/>
      <c r="EU9" s="97"/>
      <c r="EV9" s="97"/>
      <c r="EW9" s="97"/>
      <c r="EX9" s="97"/>
      <c r="EY9" s="97"/>
      <c r="EZ9" s="97"/>
      <c r="FA9" s="97"/>
      <c r="FB9" s="97"/>
      <c r="FC9" s="97"/>
      <c r="FD9" s="97"/>
      <c r="FE9" s="100"/>
      <c r="FF9" s="99"/>
      <c r="FG9" s="97"/>
      <c r="FH9" s="97"/>
      <c r="FI9" s="97"/>
      <c r="FJ9" s="97"/>
      <c r="FK9" s="97"/>
      <c r="FL9" s="97"/>
      <c r="FM9" s="97"/>
      <c r="FN9" s="97"/>
      <c r="FO9" s="97"/>
      <c r="FP9" s="97"/>
      <c r="FQ9" s="97"/>
      <c r="FR9" s="100"/>
    </row>
    <row r="10" spans="4:174" x14ac:dyDescent="0.25">
      <c r="E10" s="2" t="s">
        <v>208</v>
      </c>
      <c r="F10" s="165">
        <v>0.81080739999999996</v>
      </c>
      <c r="G10" s="165">
        <v>0.47407450000000001</v>
      </c>
      <c r="H10" s="165">
        <v>0.57445789999999997</v>
      </c>
      <c r="I10" s="165">
        <v>0.65628450000000005</v>
      </c>
      <c r="J10" s="165">
        <v>0.68193879999999996</v>
      </c>
      <c r="K10" s="165">
        <v>0.71321219999999996</v>
      </c>
      <c r="L10" s="165">
        <v>0.73584459999999996</v>
      </c>
      <c r="M10" s="165">
        <v>0.84488209999999997</v>
      </c>
      <c r="N10" s="165">
        <v>0.83126949999999999</v>
      </c>
      <c r="O10" s="165"/>
      <c r="P10" s="165"/>
      <c r="Q10" s="165"/>
      <c r="R10" s="165"/>
      <c r="S10" s="215">
        <v>3.5291195000000002</v>
      </c>
      <c r="T10" s="165">
        <v>2.4957413000000002</v>
      </c>
      <c r="U10" s="165">
        <v>3.0345008999999998</v>
      </c>
      <c r="V10" s="165">
        <v>3.4446571000000001</v>
      </c>
      <c r="W10" s="165">
        <v>9.9028104999999993</v>
      </c>
      <c r="X10" s="165">
        <v>16.9858072</v>
      </c>
      <c r="Y10" s="165">
        <v>14.600184499999999</v>
      </c>
      <c r="Z10" s="165">
        <v>15.763354</v>
      </c>
      <c r="AA10" s="165">
        <v>15.2601058</v>
      </c>
      <c r="AB10" s="165"/>
      <c r="AC10" s="165"/>
      <c r="AD10" s="165"/>
      <c r="AE10" s="216"/>
      <c r="AF10" s="215">
        <v>1.0178856999999999</v>
      </c>
      <c r="AG10" s="165">
        <v>1.0416475000000001</v>
      </c>
      <c r="AH10" s="165">
        <v>0.90421399999999996</v>
      </c>
      <c r="AI10" s="165">
        <v>1.0055822999999999</v>
      </c>
      <c r="AJ10" s="165">
        <v>1.4479512999999999</v>
      </c>
      <c r="AK10" s="165">
        <v>1.9604242999999999</v>
      </c>
      <c r="AL10" s="165">
        <v>1.750953</v>
      </c>
      <c r="AM10" s="165">
        <v>2.2571124</v>
      </c>
      <c r="AN10" s="165">
        <v>2.0947239999999998</v>
      </c>
      <c r="AO10" s="165"/>
      <c r="AP10" s="165"/>
      <c r="AQ10" s="165"/>
      <c r="AR10" s="216"/>
      <c r="AS10" s="165">
        <v>0</v>
      </c>
      <c r="AT10" s="165">
        <v>0</v>
      </c>
      <c r="AU10" s="165">
        <v>0</v>
      </c>
      <c r="AV10" s="165">
        <v>0</v>
      </c>
      <c r="AW10" s="165">
        <v>0</v>
      </c>
      <c r="AX10" s="165">
        <v>0</v>
      </c>
      <c r="AY10" s="165">
        <v>0</v>
      </c>
      <c r="AZ10" s="165">
        <v>0</v>
      </c>
      <c r="BA10" s="165">
        <v>0</v>
      </c>
      <c r="BB10" s="165"/>
      <c r="BC10" s="165"/>
      <c r="BD10" s="165"/>
      <c r="BE10" s="165"/>
      <c r="BF10" s="215">
        <v>4.0390000000000001E-4</v>
      </c>
      <c r="BG10" s="165">
        <v>1.0778000000000001E-3</v>
      </c>
      <c r="BH10" s="165">
        <v>8.4789999999999996E-4</v>
      </c>
      <c r="BI10" s="165">
        <v>1.7128E-3</v>
      </c>
      <c r="BJ10" s="165">
        <v>9.1700000000000006E-5</v>
      </c>
      <c r="BK10" s="165">
        <v>-2.48057E-2</v>
      </c>
      <c r="BL10" s="165">
        <v>-8.7493999999999992E-3</v>
      </c>
      <c r="BM10" s="165">
        <v>6.3500000000000004E-4</v>
      </c>
      <c r="BN10" s="165">
        <v>-5.4428000000000002E-3</v>
      </c>
      <c r="BO10" s="165"/>
      <c r="BP10" s="165"/>
      <c r="BQ10" s="165"/>
      <c r="BR10" s="216"/>
      <c r="BS10" s="165">
        <v>0</v>
      </c>
      <c r="BT10" s="165">
        <v>-0.46129120000000001</v>
      </c>
      <c r="BU10" s="165">
        <v>-9.3881500000000007E-2</v>
      </c>
      <c r="BV10" s="165">
        <v>2.05288E-2</v>
      </c>
      <c r="BW10" s="165">
        <v>3.9280200000000001E-2</v>
      </c>
      <c r="BX10" s="165">
        <v>-1.9342999999999999E-3</v>
      </c>
      <c r="BY10" s="165">
        <v>0</v>
      </c>
      <c r="BZ10" s="165">
        <v>0</v>
      </c>
      <c r="CA10" s="165">
        <v>0</v>
      </c>
      <c r="CB10" s="165"/>
      <c r="CC10" s="165"/>
      <c r="CD10" s="165"/>
      <c r="CE10" s="165"/>
      <c r="CF10" s="215">
        <f t="shared" ref="CF10:CF25" si="13">SUM(S10,AF10,AS10,BF10)</f>
        <v>4.5474091000000003</v>
      </c>
      <c r="CG10" s="165">
        <f t="shared" ref="CG10:CG25" si="14">SUM(T10,AG10,AT10,BG10)</f>
        <v>3.5384666000000005</v>
      </c>
      <c r="CH10" s="165">
        <f t="shared" ref="CH10:CH25" si="15">SUM(U10,AH10,AU10,BH10)</f>
        <v>3.9395628</v>
      </c>
      <c r="CI10" s="165">
        <f t="shared" ref="CI10:CI25" si="16">SUM(V10,AI10,AV10,BI10)</f>
        <v>4.4519522</v>
      </c>
      <c r="CJ10" s="165">
        <f t="shared" ref="CJ10:CJ25" si="17">SUM(W10,AJ10,AW10,BJ10)</f>
        <v>11.350853499999999</v>
      </c>
      <c r="CK10" s="165">
        <f t="shared" ref="CK10:CK25" si="18">SUM(X10,AK10,AX10,BK10)</f>
        <v>18.921425799999998</v>
      </c>
      <c r="CL10" s="165">
        <f t="shared" ref="CL10:CL25" si="19">SUM(Y10,AL10,AY10,BL10)</f>
        <v>16.342388100000001</v>
      </c>
      <c r="CM10" s="165">
        <f t="shared" ref="CM10:CM25" si="20">SUM(Z10,AM10,AZ10,BM10)</f>
        <v>18.021101399999999</v>
      </c>
      <c r="CN10" s="165">
        <f t="shared" ref="CN10:CN25" si="21">SUM(AA10,AN10,BA10,BN10)</f>
        <v>17.349387</v>
      </c>
      <c r="CO10" s="165"/>
      <c r="CP10" s="165"/>
      <c r="CQ10" s="165"/>
      <c r="CR10" s="216"/>
      <c r="CS10" s="215">
        <f t="shared" ref="CS10:CS25" si="22">CF10-BS10-F10</f>
        <v>3.7366017000000005</v>
      </c>
      <c r="CT10" s="165">
        <f t="shared" ref="CT10:CT25" si="23">CG10-BT10-G10</f>
        <v>3.5256833000000003</v>
      </c>
      <c r="CU10" s="165">
        <f t="shared" ref="CU10:CU25" si="24">CH10-BU10-H10</f>
        <v>3.4589864000000001</v>
      </c>
      <c r="CV10" s="165">
        <f t="shared" ref="CV10:CV25" si="25">CI10-BV10-I10</f>
        <v>3.7751389</v>
      </c>
      <c r="CW10" s="165">
        <f t="shared" ref="CW10:CW25" si="26">CJ10-BW10-J10</f>
        <v>10.6296345</v>
      </c>
      <c r="CX10" s="165">
        <f t="shared" ref="CX10:CX25" si="27">CK10-BX10-K10</f>
        <v>18.210147899999996</v>
      </c>
      <c r="CY10" s="165">
        <f t="shared" ref="CY10:CY25" si="28">CL10-BY10-L10</f>
        <v>15.606543500000001</v>
      </c>
      <c r="CZ10" s="165">
        <f t="shared" ref="CZ10:CZ25" si="29">CM10-BZ10-M10</f>
        <v>17.1762193</v>
      </c>
      <c r="DA10" s="165">
        <f t="shared" ref="DA10:DA25" si="30">CN10-CA10-N10</f>
        <v>16.518117499999999</v>
      </c>
      <c r="DB10" s="165"/>
      <c r="DC10" s="165"/>
      <c r="DD10" s="165"/>
      <c r="DE10" s="216"/>
      <c r="DF10" s="17">
        <f t="shared" ref="DF10:DF25" si="31">IFERROR(+AF10/CF10,0)</f>
        <v>0.22383860295305294</v>
      </c>
      <c r="DG10" s="18">
        <f t="shared" ref="DG10:DG25" si="32">IFERROR(+AG10/CG10,0)</f>
        <v>0.29437822021550236</v>
      </c>
      <c r="DH10" s="18">
        <f t="shared" ref="DH10:DH25" si="33">IFERROR(+AH10/CH10,0)</f>
        <v>0.22952140780697797</v>
      </c>
      <c r="DI10" s="18">
        <f t="shared" ref="DI10:DI25" si="34">IFERROR(+AI10/CI10,0)</f>
        <v>0.2258744601974837</v>
      </c>
      <c r="DJ10" s="18">
        <f t="shared" ref="DJ10:DJ25" si="35">IFERROR(+AJ10/CJ10,0)</f>
        <v>0.12756320923356115</v>
      </c>
      <c r="DK10" s="18">
        <f t="shared" ref="DK10:DK25" si="36">IFERROR(+AK10/CK10,0)</f>
        <v>0.1036086984523122</v>
      </c>
      <c r="DL10" s="18">
        <f t="shared" ref="DL10:DL25" si="37">IFERROR(+AL10/CL10,0)</f>
        <v>0.10714180750608902</v>
      </c>
      <c r="DM10" s="18">
        <f t="shared" ref="DM10:DM25" si="38">IFERROR(+AM10/CM10,0)</f>
        <v>0.12524830474567997</v>
      </c>
      <c r="DN10" s="18">
        <f t="shared" ref="DN10:DN25" si="39">IFERROR(+AN10/CN10,0)</f>
        <v>0.12073763758915515</v>
      </c>
      <c r="DO10" s="18"/>
      <c r="DP10" s="18"/>
      <c r="DQ10" s="18"/>
      <c r="DR10" s="217"/>
      <c r="DS10" s="15"/>
      <c r="EE10" s="13"/>
      <c r="EF10" s="15"/>
      <c r="ER10" s="13"/>
      <c r="ES10" s="15"/>
      <c r="FE10" s="13"/>
      <c r="FF10" s="15"/>
      <c r="FR10" s="13"/>
    </row>
    <row r="11" spans="4:174" x14ac:dyDescent="0.25">
      <c r="E11" s="2" t="s">
        <v>209</v>
      </c>
      <c r="F11" s="165">
        <v>1.0754109999999999</v>
      </c>
      <c r="G11" s="165">
        <v>0.67979239999999996</v>
      </c>
      <c r="H11" s="165">
        <v>0.74751020000000001</v>
      </c>
      <c r="I11" s="165">
        <v>0.79588700000000001</v>
      </c>
      <c r="J11" s="165">
        <v>0.82102280000000005</v>
      </c>
      <c r="K11" s="165">
        <v>0.54255520000000002</v>
      </c>
      <c r="L11" s="165">
        <v>0.75827560000000005</v>
      </c>
      <c r="M11" s="165">
        <v>0.81840460000000004</v>
      </c>
      <c r="N11" s="165">
        <v>0.78348689999999999</v>
      </c>
      <c r="O11" s="165"/>
      <c r="P11" s="165"/>
      <c r="Q11" s="165"/>
      <c r="R11" s="165"/>
      <c r="S11" s="215">
        <v>19.1483952</v>
      </c>
      <c r="T11" s="165">
        <v>16.120664999999999</v>
      </c>
      <c r="U11" s="165">
        <v>19.8649083</v>
      </c>
      <c r="V11" s="165">
        <v>22.570526399999999</v>
      </c>
      <c r="W11" s="165">
        <v>22.803503500000001</v>
      </c>
      <c r="X11" s="165">
        <v>26.004448</v>
      </c>
      <c r="Y11" s="165">
        <v>27.825333199999999</v>
      </c>
      <c r="Z11" s="165">
        <v>27.938829900000002</v>
      </c>
      <c r="AA11" s="165">
        <v>29.889279200000001</v>
      </c>
      <c r="AB11" s="165"/>
      <c r="AC11" s="165"/>
      <c r="AD11" s="165"/>
      <c r="AE11" s="216"/>
      <c r="AF11" s="215">
        <v>2.1389824000000002</v>
      </c>
      <c r="AG11" s="165">
        <v>2.2280302999999999</v>
      </c>
      <c r="AH11" s="165">
        <v>2.0311343000000002</v>
      </c>
      <c r="AI11" s="165">
        <v>1.9516115999999999</v>
      </c>
      <c r="AJ11" s="165">
        <v>2.2314942000000002</v>
      </c>
      <c r="AK11" s="165">
        <v>2.4161630000000001</v>
      </c>
      <c r="AL11" s="165">
        <v>2.3309578000000002</v>
      </c>
      <c r="AM11" s="165">
        <v>3.0713423</v>
      </c>
      <c r="AN11" s="165">
        <v>2.9630277</v>
      </c>
      <c r="AO11" s="165"/>
      <c r="AP11" s="165"/>
      <c r="AQ11" s="165"/>
      <c r="AR11" s="216"/>
      <c r="AS11" s="165">
        <v>0</v>
      </c>
      <c r="AT11" s="165">
        <v>0</v>
      </c>
      <c r="AU11" s="165">
        <v>0</v>
      </c>
      <c r="AV11" s="165">
        <v>0</v>
      </c>
      <c r="AW11" s="165">
        <v>0</v>
      </c>
      <c r="AX11" s="165">
        <v>0</v>
      </c>
      <c r="AY11" s="165">
        <v>0</v>
      </c>
      <c r="AZ11" s="165">
        <v>0</v>
      </c>
      <c r="BA11" s="165">
        <v>0</v>
      </c>
      <c r="BB11" s="165"/>
      <c r="BC11" s="165"/>
      <c r="BD11" s="165"/>
      <c r="BE11" s="165"/>
      <c r="BF11" s="215">
        <v>8.8270000000000004E-4</v>
      </c>
      <c r="BG11" s="165">
        <v>2.3475000000000002E-3</v>
      </c>
      <c r="BH11" s="165">
        <v>1.9799000000000001E-3</v>
      </c>
      <c r="BI11" s="165">
        <v>3.3777E-3</v>
      </c>
      <c r="BJ11" s="165">
        <v>1.6640000000000001E-4</v>
      </c>
      <c r="BK11" s="165">
        <v>-3.3530799999999999E-2</v>
      </c>
      <c r="BL11" s="165">
        <v>-1.47993E-2</v>
      </c>
      <c r="BM11" s="165">
        <v>1.0382E-3</v>
      </c>
      <c r="BN11" s="165">
        <v>-9.4383000000000002E-3</v>
      </c>
      <c r="BO11" s="165"/>
      <c r="BP11" s="165"/>
      <c r="BQ11" s="165"/>
      <c r="BR11" s="216"/>
      <c r="BS11" s="165">
        <v>0</v>
      </c>
      <c r="BT11" s="165">
        <v>-1.9991034000000001</v>
      </c>
      <c r="BU11" s="165">
        <v>1.5822053</v>
      </c>
      <c r="BV11" s="165">
        <v>0.29264269999999998</v>
      </c>
      <c r="BW11" s="165">
        <v>0.32269949999999997</v>
      </c>
      <c r="BX11" s="165">
        <v>-1.5976000000000001E-2</v>
      </c>
      <c r="BY11" s="165">
        <v>0</v>
      </c>
      <c r="BZ11" s="165">
        <v>0</v>
      </c>
      <c r="CA11" s="165">
        <v>0</v>
      </c>
      <c r="CB11" s="165"/>
      <c r="CC11" s="165"/>
      <c r="CD11" s="165"/>
      <c r="CE11" s="165"/>
      <c r="CF11" s="215">
        <f t="shared" si="13"/>
        <v>21.288260299999997</v>
      </c>
      <c r="CG11" s="165">
        <f t="shared" si="14"/>
        <v>18.351042799999998</v>
      </c>
      <c r="CH11" s="165">
        <f t="shared" si="15"/>
        <v>21.8980225</v>
      </c>
      <c r="CI11" s="165">
        <f t="shared" si="16"/>
        <v>24.5255157</v>
      </c>
      <c r="CJ11" s="165">
        <f t="shared" si="17"/>
        <v>25.035164100000003</v>
      </c>
      <c r="CK11" s="165">
        <f t="shared" si="18"/>
        <v>28.3870802</v>
      </c>
      <c r="CL11" s="165">
        <f t="shared" si="19"/>
        <v>30.1414917</v>
      </c>
      <c r="CM11" s="165">
        <f t="shared" si="20"/>
        <v>31.011210400000003</v>
      </c>
      <c r="CN11" s="165">
        <f t="shared" si="21"/>
        <v>32.842868600000003</v>
      </c>
      <c r="CO11" s="165"/>
      <c r="CP11" s="165"/>
      <c r="CQ11" s="165"/>
      <c r="CR11" s="216"/>
      <c r="CS11" s="215">
        <f t="shared" si="22"/>
        <v>20.212849299999998</v>
      </c>
      <c r="CT11" s="165">
        <f t="shared" si="23"/>
        <v>19.670353799999997</v>
      </c>
      <c r="CU11" s="165">
        <f t="shared" si="24"/>
        <v>19.568306999999997</v>
      </c>
      <c r="CV11" s="165">
        <f t="shared" si="25"/>
        <v>23.436986000000001</v>
      </c>
      <c r="CW11" s="165">
        <f t="shared" si="26"/>
        <v>23.891441800000003</v>
      </c>
      <c r="CX11" s="165">
        <f t="shared" si="27"/>
        <v>27.860500999999999</v>
      </c>
      <c r="CY11" s="165">
        <f t="shared" si="28"/>
        <v>29.383216099999999</v>
      </c>
      <c r="CZ11" s="165">
        <f t="shared" si="29"/>
        <v>30.192805800000002</v>
      </c>
      <c r="DA11" s="165">
        <f t="shared" si="30"/>
        <v>32.059381700000003</v>
      </c>
      <c r="DB11" s="165"/>
      <c r="DC11" s="165"/>
      <c r="DD11" s="165"/>
      <c r="DE11" s="216"/>
      <c r="DF11" s="17">
        <f t="shared" si="31"/>
        <v>0.10047708783418063</v>
      </c>
      <c r="DG11" s="18">
        <f t="shared" si="32"/>
        <v>0.12141164533712494</v>
      </c>
      <c r="DH11" s="18">
        <f t="shared" si="33"/>
        <v>9.2754233858331286E-2</v>
      </c>
      <c r="DI11" s="18">
        <f t="shared" si="34"/>
        <v>7.9574742642414653E-2</v>
      </c>
      <c r="DJ11" s="18">
        <f t="shared" si="35"/>
        <v>8.9134394769155911E-2</v>
      </c>
      <c r="DK11" s="18">
        <f t="shared" si="36"/>
        <v>8.5114882650030352E-2</v>
      </c>
      <c r="DL11" s="18">
        <f t="shared" si="37"/>
        <v>7.7333856704908874E-2</v>
      </c>
      <c r="DM11" s="18">
        <f t="shared" si="38"/>
        <v>9.9039742737677849E-2</v>
      </c>
      <c r="DN11" s="18">
        <f t="shared" si="39"/>
        <v>9.0218297801185357E-2</v>
      </c>
      <c r="DO11" s="18"/>
      <c r="DP11" s="18"/>
      <c r="DQ11" s="18"/>
      <c r="DR11" s="217"/>
      <c r="DS11" s="15"/>
      <c r="EE11" s="13"/>
      <c r="EF11" s="15"/>
      <c r="ER11" s="13"/>
      <c r="ES11" s="15"/>
      <c r="FE11" s="13"/>
      <c r="FF11" s="15"/>
      <c r="FR11" s="13"/>
    </row>
    <row r="12" spans="4:174" x14ac:dyDescent="0.25">
      <c r="E12" s="2" t="s">
        <v>210</v>
      </c>
      <c r="F12" s="165">
        <v>1.5995097</v>
      </c>
      <c r="G12" s="165">
        <v>1.0250954000000001</v>
      </c>
      <c r="H12" s="165">
        <v>1.2175269</v>
      </c>
      <c r="I12" s="165">
        <v>1.2405497999999999</v>
      </c>
      <c r="J12" s="165">
        <v>1.2977603</v>
      </c>
      <c r="K12" s="165">
        <v>1.2157883</v>
      </c>
      <c r="L12" s="165">
        <v>1.4320147999999999</v>
      </c>
      <c r="M12" s="165">
        <v>1.5792782000000001</v>
      </c>
      <c r="N12" s="165">
        <v>1.5007336</v>
      </c>
      <c r="O12" s="165"/>
      <c r="P12" s="165"/>
      <c r="Q12" s="165"/>
      <c r="R12" s="165"/>
      <c r="S12" s="215">
        <v>22.800562800000002</v>
      </c>
      <c r="T12" s="165">
        <v>19.650431099999999</v>
      </c>
      <c r="U12" s="165">
        <v>24.330138399999999</v>
      </c>
      <c r="V12" s="165">
        <v>26.4386291</v>
      </c>
      <c r="W12" s="165">
        <v>29.344567000000001</v>
      </c>
      <c r="X12" s="165">
        <v>31.2957885</v>
      </c>
      <c r="Y12" s="165">
        <v>32.814234800000001</v>
      </c>
      <c r="Z12" s="165">
        <v>33.555120299999999</v>
      </c>
      <c r="AA12" s="165">
        <v>33.405713200000001</v>
      </c>
      <c r="AB12" s="165"/>
      <c r="AC12" s="165"/>
      <c r="AD12" s="165"/>
      <c r="AE12" s="216"/>
      <c r="AF12" s="215">
        <v>3.4076822999999998</v>
      </c>
      <c r="AG12" s="165">
        <v>3.5821603</v>
      </c>
      <c r="AH12" s="165">
        <v>3.1552791</v>
      </c>
      <c r="AI12" s="165">
        <v>3.0800076999999999</v>
      </c>
      <c r="AJ12" s="165">
        <v>3.3100507000000001</v>
      </c>
      <c r="AK12" s="165">
        <v>3.5905176000000001</v>
      </c>
      <c r="AL12" s="165">
        <v>3.6295619000000001</v>
      </c>
      <c r="AM12" s="165">
        <v>4.4987583000000004</v>
      </c>
      <c r="AN12" s="165">
        <v>4.3235897999999997</v>
      </c>
      <c r="AO12" s="165"/>
      <c r="AP12" s="165"/>
      <c r="AQ12" s="165"/>
      <c r="AR12" s="216"/>
      <c r="AS12" s="165">
        <v>0</v>
      </c>
      <c r="AT12" s="165">
        <v>0</v>
      </c>
      <c r="AU12" s="165">
        <v>0</v>
      </c>
      <c r="AV12" s="165">
        <v>0</v>
      </c>
      <c r="AW12" s="165">
        <v>0</v>
      </c>
      <c r="AX12" s="165">
        <v>0</v>
      </c>
      <c r="AY12" s="165">
        <v>0</v>
      </c>
      <c r="AZ12" s="165">
        <v>0</v>
      </c>
      <c r="BA12" s="165">
        <v>0</v>
      </c>
      <c r="BB12" s="165"/>
      <c r="BC12" s="165"/>
      <c r="BD12" s="165"/>
      <c r="BE12" s="165"/>
      <c r="BF12" s="215">
        <v>1.4104E-3</v>
      </c>
      <c r="BG12" s="165">
        <v>3.7702999999999999E-3</v>
      </c>
      <c r="BH12" s="165">
        <v>2.9849E-3</v>
      </c>
      <c r="BI12" s="165">
        <v>5.2636999999999996E-3</v>
      </c>
      <c r="BJ12" s="165">
        <v>2.285E-4</v>
      </c>
      <c r="BK12" s="165">
        <v>-4.6001800000000002E-2</v>
      </c>
      <c r="BL12" s="165">
        <v>-2.1490499999999999E-2</v>
      </c>
      <c r="BM12" s="165">
        <v>1.4253E-3</v>
      </c>
      <c r="BN12" s="165">
        <v>-1.2794700000000001E-2</v>
      </c>
      <c r="BO12" s="165"/>
      <c r="BP12" s="165"/>
      <c r="BQ12" s="165"/>
      <c r="BR12" s="216"/>
      <c r="BS12" s="165">
        <v>0</v>
      </c>
      <c r="BT12" s="165">
        <v>-5.6031009000000003</v>
      </c>
      <c r="BU12" s="165">
        <v>0.71093969999999995</v>
      </c>
      <c r="BV12" s="165">
        <v>-0.1582614</v>
      </c>
      <c r="BW12" s="165">
        <v>0.38006830000000003</v>
      </c>
      <c r="BX12" s="165">
        <v>-1.8469800000000001E-2</v>
      </c>
      <c r="BY12" s="165">
        <v>0</v>
      </c>
      <c r="BZ12" s="165">
        <v>0</v>
      </c>
      <c r="CA12" s="165">
        <v>0</v>
      </c>
      <c r="CB12" s="165"/>
      <c r="CC12" s="165"/>
      <c r="CD12" s="165"/>
      <c r="CE12" s="165"/>
      <c r="CF12" s="215">
        <f t="shared" si="13"/>
        <v>26.209655500000004</v>
      </c>
      <c r="CG12" s="165">
        <f t="shared" si="14"/>
        <v>23.236361699999996</v>
      </c>
      <c r="CH12" s="165">
        <f t="shared" si="15"/>
        <v>27.488402400000002</v>
      </c>
      <c r="CI12" s="165">
        <f t="shared" si="16"/>
        <v>29.5239005</v>
      </c>
      <c r="CJ12" s="165">
        <f t="shared" si="17"/>
        <v>32.654846200000001</v>
      </c>
      <c r="CK12" s="165">
        <f t="shared" si="18"/>
        <v>34.8403043</v>
      </c>
      <c r="CL12" s="165">
        <f t="shared" si="19"/>
        <v>36.422306200000001</v>
      </c>
      <c r="CM12" s="165">
        <f t="shared" si="20"/>
        <v>38.055303899999998</v>
      </c>
      <c r="CN12" s="165">
        <f t="shared" si="21"/>
        <v>37.716508300000001</v>
      </c>
      <c r="CO12" s="165"/>
      <c r="CP12" s="165"/>
      <c r="CQ12" s="165"/>
      <c r="CR12" s="216"/>
      <c r="CS12" s="215">
        <f t="shared" si="22"/>
        <v>24.610145800000005</v>
      </c>
      <c r="CT12" s="165">
        <f t="shared" si="23"/>
        <v>27.814367199999996</v>
      </c>
      <c r="CU12" s="165">
        <f t="shared" si="24"/>
        <v>25.559935800000002</v>
      </c>
      <c r="CV12" s="165">
        <f t="shared" si="25"/>
        <v>28.4416121</v>
      </c>
      <c r="CW12" s="165">
        <f t="shared" si="26"/>
        <v>30.977017600000003</v>
      </c>
      <c r="CX12" s="165">
        <f t="shared" si="27"/>
        <v>33.642985799999998</v>
      </c>
      <c r="CY12" s="165">
        <f t="shared" si="28"/>
        <v>34.990291400000004</v>
      </c>
      <c r="CZ12" s="165">
        <f t="shared" si="29"/>
        <v>36.476025700000001</v>
      </c>
      <c r="DA12" s="165">
        <f t="shared" si="30"/>
        <v>36.215774700000004</v>
      </c>
      <c r="DB12" s="165"/>
      <c r="DC12" s="165"/>
      <c r="DD12" s="165"/>
      <c r="DE12" s="216"/>
      <c r="DF12" s="17">
        <f t="shared" si="31"/>
        <v>0.13001629494901218</v>
      </c>
      <c r="DG12" s="18">
        <f t="shared" si="32"/>
        <v>0.15416184109408146</v>
      </c>
      <c r="DH12" s="18">
        <f t="shared" si="33"/>
        <v>0.11478583055085077</v>
      </c>
      <c r="DI12" s="18">
        <f t="shared" si="34"/>
        <v>0.10432251998681542</v>
      </c>
      <c r="DJ12" s="18">
        <f t="shared" si="35"/>
        <v>0.10136476159547798</v>
      </c>
      <c r="DK12" s="18">
        <f t="shared" si="36"/>
        <v>0.10305643627802642</v>
      </c>
      <c r="DL12" s="18">
        <f t="shared" si="37"/>
        <v>9.9652171393803723E-2</v>
      </c>
      <c r="DM12" s="18">
        <f t="shared" si="38"/>
        <v>0.11821632831580148</v>
      </c>
      <c r="DN12" s="18">
        <f t="shared" si="39"/>
        <v>0.11463388300979069</v>
      </c>
      <c r="DO12" s="18"/>
      <c r="DP12" s="18"/>
      <c r="DQ12" s="18"/>
      <c r="DR12" s="217"/>
      <c r="DS12" s="15"/>
      <c r="EE12" s="13"/>
      <c r="EF12" s="15"/>
      <c r="ER12" s="13"/>
      <c r="ES12" s="15"/>
      <c r="FE12" s="13"/>
      <c r="FF12" s="15"/>
      <c r="FR12" s="13"/>
    </row>
    <row r="13" spans="4:174" x14ac:dyDescent="0.25">
      <c r="E13" s="2" t="s">
        <v>211</v>
      </c>
      <c r="F13" s="165">
        <v>0.74036860000000004</v>
      </c>
      <c r="G13" s="165">
        <v>0.51229999999999998</v>
      </c>
      <c r="H13" s="165">
        <v>0.61249299999999995</v>
      </c>
      <c r="I13" s="165">
        <v>0.66705130000000001</v>
      </c>
      <c r="J13" s="165">
        <v>0.74468880000000004</v>
      </c>
      <c r="K13" s="165">
        <v>0.82482339999999998</v>
      </c>
      <c r="L13" s="165">
        <v>0.92296</v>
      </c>
      <c r="M13" s="165">
        <v>1.0735851999999999</v>
      </c>
      <c r="N13" s="165">
        <v>0.96758840000000002</v>
      </c>
      <c r="O13" s="165"/>
      <c r="P13" s="165"/>
      <c r="Q13" s="165"/>
      <c r="R13" s="165"/>
      <c r="S13" s="215">
        <v>18.892978400000001</v>
      </c>
      <c r="T13" s="165">
        <v>15.7876472</v>
      </c>
      <c r="U13" s="165">
        <v>20.914165100000002</v>
      </c>
      <c r="V13" s="165">
        <v>25.742891</v>
      </c>
      <c r="W13" s="165">
        <v>25.593748699999999</v>
      </c>
      <c r="X13" s="165">
        <v>27.062626099999999</v>
      </c>
      <c r="Y13" s="165">
        <v>27.173991399999998</v>
      </c>
      <c r="Z13" s="165">
        <v>28.784694099999999</v>
      </c>
      <c r="AA13" s="165">
        <v>28.483786599999998</v>
      </c>
      <c r="AB13" s="165"/>
      <c r="AC13" s="165"/>
      <c r="AD13" s="165"/>
      <c r="AE13" s="216"/>
      <c r="AF13" s="215">
        <v>1.6706160999999999</v>
      </c>
      <c r="AG13" s="165">
        <v>1.5621441</v>
      </c>
      <c r="AH13" s="165">
        <v>1.4824090000000001</v>
      </c>
      <c r="AI13" s="165">
        <v>1.6163932000000001</v>
      </c>
      <c r="AJ13" s="165">
        <v>1.8659273000000001</v>
      </c>
      <c r="AK13" s="165">
        <v>1.9197565000000001</v>
      </c>
      <c r="AL13" s="165">
        <v>1.9594414</v>
      </c>
      <c r="AM13" s="165">
        <v>2.5703299999999998</v>
      </c>
      <c r="AN13" s="165">
        <v>2.4242297000000002</v>
      </c>
      <c r="AO13" s="165"/>
      <c r="AP13" s="165"/>
      <c r="AQ13" s="165"/>
      <c r="AR13" s="216"/>
      <c r="AS13" s="165">
        <v>0</v>
      </c>
      <c r="AT13" s="165">
        <v>0</v>
      </c>
      <c r="AU13" s="165">
        <v>0</v>
      </c>
      <c r="AV13" s="165">
        <v>0</v>
      </c>
      <c r="AW13" s="165">
        <v>0</v>
      </c>
      <c r="AX13" s="165">
        <v>0</v>
      </c>
      <c r="AY13" s="165">
        <v>0</v>
      </c>
      <c r="AZ13" s="165">
        <v>0</v>
      </c>
      <c r="BA13" s="165">
        <v>0</v>
      </c>
      <c r="BB13" s="165"/>
      <c r="BC13" s="165"/>
      <c r="BD13" s="165"/>
      <c r="BE13" s="165"/>
      <c r="BF13" s="215">
        <v>6.6509999999999996E-4</v>
      </c>
      <c r="BG13" s="165">
        <v>1.6152E-3</v>
      </c>
      <c r="BH13" s="165">
        <v>1.2731999999999999E-3</v>
      </c>
      <c r="BI13" s="165">
        <v>2.5360000000000001E-3</v>
      </c>
      <c r="BJ13" s="165">
        <v>1.133E-4</v>
      </c>
      <c r="BK13" s="165">
        <v>-2.1072400000000002E-2</v>
      </c>
      <c r="BL13" s="165">
        <v>-1.00319E-2</v>
      </c>
      <c r="BM13" s="165">
        <v>7.0739999999999996E-4</v>
      </c>
      <c r="BN13" s="165">
        <v>-6.5954999999999998E-3</v>
      </c>
      <c r="BO13" s="165"/>
      <c r="BP13" s="165"/>
      <c r="BQ13" s="165"/>
      <c r="BR13" s="216"/>
      <c r="BS13" s="165">
        <v>0</v>
      </c>
      <c r="BT13" s="165">
        <v>-2.9527811000000002</v>
      </c>
      <c r="BU13" s="165">
        <v>2.5010257999999999</v>
      </c>
      <c r="BV13" s="165">
        <v>0.9910156</v>
      </c>
      <c r="BW13" s="165">
        <v>0.33817039999999998</v>
      </c>
      <c r="BX13" s="165">
        <v>-1.7213200000000001E-2</v>
      </c>
      <c r="BY13" s="165">
        <v>0</v>
      </c>
      <c r="BZ13" s="165">
        <v>0</v>
      </c>
      <c r="CA13" s="165">
        <v>0</v>
      </c>
      <c r="CB13" s="165"/>
      <c r="CC13" s="165"/>
      <c r="CD13" s="165"/>
      <c r="CE13" s="165"/>
      <c r="CF13" s="215">
        <f t="shared" si="13"/>
        <v>20.5642596</v>
      </c>
      <c r="CG13" s="165">
        <f t="shared" si="14"/>
        <v>17.3514065</v>
      </c>
      <c r="CH13" s="165">
        <f t="shared" si="15"/>
        <v>22.397847300000002</v>
      </c>
      <c r="CI13" s="165">
        <f t="shared" si="16"/>
        <v>27.3618202</v>
      </c>
      <c r="CJ13" s="165">
        <f t="shared" si="17"/>
        <v>27.459789299999997</v>
      </c>
      <c r="CK13" s="165">
        <f t="shared" si="18"/>
        <v>28.9613102</v>
      </c>
      <c r="CL13" s="165">
        <f t="shared" si="19"/>
        <v>29.123400899999996</v>
      </c>
      <c r="CM13" s="165">
        <f t="shared" si="20"/>
        <v>31.355731499999997</v>
      </c>
      <c r="CN13" s="165">
        <f t="shared" si="21"/>
        <v>30.9014208</v>
      </c>
      <c r="CO13" s="165"/>
      <c r="CP13" s="165"/>
      <c r="CQ13" s="165"/>
      <c r="CR13" s="216"/>
      <c r="CS13" s="215">
        <f t="shared" si="22"/>
        <v>19.823891</v>
      </c>
      <c r="CT13" s="165">
        <f t="shared" si="23"/>
        <v>19.791887599999999</v>
      </c>
      <c r="CU13" s="165">
        <f t="shared" si="24"/>
        <v>19.284328500000001</v>
      </c>
      <c r="CV13" s="165">
        <f t="shared" si="25"/>
        <v>25.703753299999999</v>
      </c>
      <c r="CW13" s="165">
        <f t="shared" si="26"/>
        <v>26.376930099999999</v>
      </c>
      <c r="CX13" s="165">
        <f t="shared" si="27"/>
        <v>28.153700000000001</v>
      </c>
      <c r="CY13" s="165">
        <f t="shared" si="28"/>
        <v>28.200440899999997</v>
      </c>
      <c r="CZ13" s="165">
        <f t="shared" si="29"/>
        <v>30.282146299999997</v>
      </c>
      <c r="DA13" s="165">
        <f t="shared" si="30"/>
        <v>29.9338324</v>
      </c>
      <c r="DB13" s="165"/>
      <c r="DC13" s="165"/>
      <c r="DD13" s="165"/>
      <c r="DE13" s="216"/>
      <c r="DF13" s="17">
        <f t="shared" si="31"/>
        <v>8.1238815911466117E-2</v>
      </c>
      <c r="DG13" s="18">
        <f t="shared" si="32"/>
        <v>9.002982553604516E-2</v>
      </c>
      <c r="DH13" s="18">
        <f t="shared" si="33"/>
        <v>6.6185333802146237E-2</v>
      </c>
      <c r="DI13" s="18">
        <f t="shared" si="34"/>
        <v>5.907476871732386E-2</v>
      </c>
      <c r="DJ13" s="18">
        <f t="shared" si="35"/>
        <v>6.7951260645688946E-2</v>
      </c>
      <c r="DK13" s="18">
        <f t="shared" si="36"/>
        <v>6.6286935457774976E-2</v>
      </c>
      <c r="DL13" s="18">
        <f t="shared" si="37"/>
        <v>6.7280651965341054E-2</v>
      </c>
      <c r="DM13" s="18">
        <f t="shared" si="38"/>
        <v>8.1973211181502817E-2</v>
      </c>
      <c r="DN13" s="18">
        <f t="shared" si="39"/>
        <v>7.8450428402308287E-2</v>
      </c>
      <c r="DO13" s="18"/>
      <c r="DP13" s="18"/>
      <c r="DQ13" s="18"/>
      <c r="DR13" s="217"/>
      <c r="DS13" s="15"/>
      <c r="EE13" s="13"/>
      <c r="EF13" s="15"/>
      <c r="ER13" s="13"/>
      <c r="ES13" s="15"/>
      <c r="FE13" s="13"/>
      <c r="FF13" s="15"/>
      <c r="FR13" s="13"/>
    </row>
    <row r="14" spans="4:174" x14ac:dyDescent="0.25">
      <c r="E14" s="2" t="s">
        <v>212</v>
      </c>
      <c r="F14" s="165">
        <v>7.5950500000000004E-2</v>
      </c>
      <c r="G14" s="165">
        <v>6.0368400000000003E-2</v>
      </c>
      <c r="H14" s="165">
        <v>3.3211900000000003E-2</v>
      </c>
      <c r="I14" s="165">
        <v>5.9490300000000003E-2</v>
      </c>
      <c r="J14" s="165">
        <v>8.1017000000000006E-2</v>
      </c>
      <c r="K14" s="165">
        <v>7.6228500000000005E-2</v>
      </c>
      <c r="L14" s="165">
        <v>0.1059068</v>
      </c>
      <c r="M14" s="165">
        <v>0.1225682</v>
      </c>
      <c r="N14" s="165">
        <v>9.4573099999999993E-2</v>
      </c>
      <c r="O14" s="165"/>
      <c r="P14" s="165"/>
      <c r="Q14" s="165"/>
      <c r="R14" s="165"/>
      <c r="S14" s="215">
        <v>0.38568249999999998</v>
      </c>
      <c r="T14" s="165">
        <v>0.5417592</v>
      </c>
      <c r="U14" s="165">
        <v>0.48512490000000003</v>
      </c>
      <c r="V14" s="165">
        <v>1.0536515</v>
      </c>
      <c r="W14" s="165">
        <v>1.2469121000000001</v>
      </c>
      <c r="X14" s="165">
        <v>1.2659077999999999</v>
      </c>
      <c r="Y14" s="165">
        <v>1.0335926</v>
      </c>
      <c r="Z14" s="165">
        <v>1.3299562</v>
      </c>
      <c r="AA14" s="165">
        <v>0.99551789999999996</v>
      </c>
      <c r="AB14" s="165"/>
      <c r="AC14" s="165"/>
      <c r="AD14" s="165"/>
      <c r="AE14" s="216"/>
      <c r="AF14" s="215">
        <v>0.10616630000000001</v>
      </c>
      <c r="AG14" s="165">
        <v>0.1019456</v>
      </c>
      <c r="AH14" s="165">
        <v>5.0644399999999999E-2</v>
      </c>
      <c r="AI14" s="165">
        <v>8.4046300000000004E-2</v>
      </c>
      <c r="AJ14" s="165">
        <v>0.111072</v>
      </c>
      <c r="AK14" s="165">
        <v>0.1180042</v>
      </c>
      <c r="AL14" s="165">
        <v>0.10246379999999999</v>
      </c>
      <c r="AM14" s="165">
        <v>0.1387842</v>
      </c>
      <c r="AN14" s="165">
        <v>0.116743</v>
      </c>
      <c r="AO14" s="165"/>
      <c r="AP14" s="165"/>
      <c r="AQ14" s="165"/>
      <c r="AR14" s="216"/>
      <c r="AS14" s="165">
        <v>0</v>
      </c>
      <c r="AT14" s="165">
        <v>0</v>
      </c>
      <c r="AU14" s="165">
        <v>0</v>
      </c>
      <c r="AV14" s="165">
        <v>0</v>
      </c>
      <c r="AW14" s="165">
        <v>0</v>
      </c>
      <c r="AX14" s="165">
        <v>0</v>
      </c>
      <c r="AY14" s="165">
        <v>0</v>
      </c>
      <c r="AZ14" s="165">
        <v>0</v>
      </c>
      <c r="BA14" s="165">
        <v>0</v>
      </c>
      <c r="BB14" s="165"/>
      <c r="BC14" s="165"/>
      <c r="BD14" s="165"/>
      <c r="BE14" s="165"/>
      <c r="BF14" s="215">
        <v>2.3E-5</v>
      </c>
      <c r="BG14" s="165">
        <v>6.7399999999999998E-5</v>
      </c>
      <c r="BH14" s="165">
        <v>3.6999999999999998E-5</v>
      </c>
      <c r="BI14" s="165">
        <v>1.0170000000000001E-4</v>
      </c>
      <c r="BJ14" s="165">
        <v>2.6000000000000001E-6</v>
      </c>
      <c r="BK14" s="165">
        <v>-6.912E-4</v>
      </c>
      <c r="BL14" s="165">
        <v>-1.819E-4</v>
      </c>
      <c r="BM14" s="165">
        <v>1.8499999999999999E-5</v>
      </c>
      <c r="BN14" s="165">
        <v>-2.5740000000000002E-4</v>
      </c>
      <c r="BO14" s="165"/>
      <c r="BP14" s="165"/>
      <c r="BQ14" s="165"/>
      <c r="BR14" s="216"/>
      <c r="BS14" s="165">
        <v>0</v>
      </c>
      <c r="BT14" s="165">
        <v>7.2635E-3</v>
      </c>
      <c r="BU14" s="165">
        <v>0.1386985</v>
      </c>
      <c r="BV14" s="165">
        <v>3.67093E-2</v>
      </c>
      <c r="BW14" s="165">
        <v>6.8604E-3</v>
      </c>
      <c r="BX14" s="165">
        <v>-3.6059999999999998E-4</v>
      </c>
      <c r="BY14" s="165">
        <v>0</v>
      </c>
      <c r="BZ14" s="165">
        <v>0</v>
      </c>
      <c r="CA14" s="165">
        <v>0</v>
      </c>
      <c r="CB14" s="165"/>
      <c r="CC14" s="165"/>
      <c r="CD14" s="165"/>
      <c r="CE14" s="165"/>
      <c r="CF14" s="215">
        <f t="shared" si="13"/>
        <v>0.49187179999999997</v>
      </c>
      <c r="CG14" s="165">
        <f t="shared" si="14"/>
        <v>0.64377220000000002</v>
      </c>
      <c r="CH14" s="165">
        <f t="shared" si="15"/>
        <v>0.53580629999999996</v>
      </c>
      <c r="CI14" s="165">
        <f t="shared" si="16"/>
        <v>1.1377995000000001</v>
      </c>
      <c r="CJ14" s="165">
        <f t="shared" si="17"/>
        <v>1.3579867000000001</v>
      </c>
      <c r="CK14" s="165">
        <f t="shared" si="18"/>
        <v>1.3832208000000001</v>
      </c>
      <c r="CL14" s="165">
        <f t="shared" si="19"/>
        <v>1.1358744999999999</v>
      </c>
      <c r="CM14" s="165">
        <f t="shared" si="20"/>
        <v>1.4687588999999999</v>
      </c>
      <c r="CN14" s="165">
        <f t="shared" si="21"/>
        <v>1.1120034999999999</v>
      </c>
      <c r="CO14" s="165"/>
      <c r="CP14" s="165"/>
      <c r="CQ14" s="165"/>
      <c r="CR14" s="216"/>
      <c r="CS14" s="215">
        <f t="shared" si="22"/>
        <v>0.41592129999999994</v>
      </c>
      <c r="CT14" s="165">
        <f t="shared" si="23"/>
        <v>0.57614030000000005</v>
      </c>
      <c r="CU14" s="165">
        <f t="shared" si="24"/>
        <v>0.36389589999999994</v>
      </c>
      <c r="CV14" s="165">
        <f t="shared" si="25"/>
        <v>1.0415999</v>
      </c>
      <c r="CW14" s="165">
        <f t="shared" si="26"/>
        <v>1.2701093000000001</v>
      </c>
      <c r="CX14" s="165">
        <f t="shared" si="27"/>
        <v>1.3073529000000002</v>
      </c>
      <c r="CY14" s="165">
        <f t="shared" si="28"/>
        <v>1.0299676999999998</v>
      </c>
      <c r="CZ14" s="165">
        <f t="shared" si="29"/>
        <v>1.3461907</v>
      </c>
      <c r="DA14" s="165">
        <f t="shared" si="30"/>
        <v>1.0174303999999998</v>
      </c>
      <c r="DB14" s="165"/>
      <c r="DC14" s="165"/>
      <c r="DD14" s="165"/>
      <c r="DE14" s="216"/>
      <c r="DF14" s="17">
        <f t="shared" si="31"/>
        <v>0.2158414042032904</v>
      </c>
      <c r="DG14" s="18">
        <f t="shared" si="32"/>
        <v>0.15835663608959816</v>
      </c>
      <c r="DH14" s="18">
        <f t="shared" si="33"/>
        <v>9.4519978581812131E-2</v>
      </c>
      <c r="DI14" s="18">
        <f t="shared" si="34"/>
        <v>7.3867408097823911E-2</v>
      </c>
      <c r="DJ14" s="18">
        <f t="shared" si="35"/>
        <v>8.1791669977327466E-2</v>
      </c>
      <c r="DK14" s="18">
        <f t="shared" si="36"/>
        <v>8.5311180977035619E-2</v>
      </c>
      <c r="DL14" s="18">
        <f t="shared" si="37"/>
        <v>9.0206972689324399E-2</v>
      </c>
      <c r="DM14" s="18">
        <f t="shared" si="38"/>
        <v>9.4490797638741117E-2</v>
      </c>
      <c r="DN14" s="18">
        <f t="shared" si="39"/>
        <v>0.10498438179376235</v>
      </c>
      <c r="DO14" s="18"/>
      <c r="DP14" s="18"/>
      <c r="DQ14" s="18"/>
      <c r="DR14" s="217"/>
      <c r="DS14" s="15"/>
      <c r="EE14" s="13"/>
      <c r="EF14" s="15"/>
      <c r="ER14" s="13"/>
      <c r="ES14" s="15"/>
      <c r="FE14" s="13"/>
      <c r="FF14" s="15"/>
      <c r="FR14" s="13"/>
    </row>
    <row r="15" spans="4:174" x14ac:dyDescent="0.25">
      <c r="E15" s="2" t="s">
        <v>213</v>
      </c>
      <c r="F15" s="165">
        <v>0.95709889999999997</v>
      </c>
      <c r="G15" s="165">
        <v>0.60452150000000004</v>
      </c>
      <c r="H15" s="165">
        <v>0.70875699999999997</v>
      </c>
      <c r="I15" s="165">
        <v>0.76246950000000002</v>
      </c>
      <c r="J15" s="165">
        <v>0.84621590000000002</v>
      </c>
      <c r="K15" s="165">
        <v>0.82338509999999998</v>
      </c>
      <c r="L15" s="165">
        <v>0.98580679999999998</v>
      </c>
      <c r="M15" s="165">
        <v>1.0474132</v>
      </c>
      <c r="N15" s="165">
        <v>0.9832284</v>
      </c>
      <c r="O15" s="165"/>
      <c r="P15" s="165"/>
      <c r="Q15" s="165"/>
      <c r="R15" s="165"/>
      <c r="S15" s="215">
        <v>13.037316499999999</v>
      </c>
      <c r="T15" s="165">
        <v>11.1429958</v>
      </c>
      <c r="U15" s="165">
        <v>13.2839773</v>
      </c>
      <c r="V15" s="165">
        <v>15.546640500000001</v>
      </c>
      <c r="W15" s="165">
        <v>19.1670534</v>
      </c>
      <c r="X15" s="165">
        <v>21.622346</v>
      </c>
      <c r="Y15" s="165">
        <v>23.989872800000001</v>
      </c>
      <c r="Z15" s="165">
        <v>25.224068299999999</v>
      </c>
      <c r="AA15" s="165">
        <v>24.931972699999999</v>
      </c>
      <c r="AB15" s="165"/>
      <c r="AC15" s="165"/>
      <c r="AD15" s="165"/>
      <c r="AE15" s="216"/>
      <c r="AF15" s="215">
        <v>1.8248401999999999</v>
      </c>
      <c r="AG15" s="165">
        <v>1.9364671</v>
      </c>
      <c r="AH15" s="165">
        <v>1.7334601000000001</v>
      </c>
      <c r="AI15" s="165">
        <v>1.8481993000000001</v>
      </c>
      <c r="AJ15" s="165">
        <v>2.0303743999999999</v>
      </c>
      <c r="AK15" s="165">
        <v>2.3595592000000001</v>
      </c>
      <c r="AL15" s="165">
        <v>2.4416361000000002</v>
      </c>
      <c r="AM15" s="165">
        <v>3.0645749000000002</v>
      </c>
      <c r="AN15" s="165">
        <v>2.8968066000000001</v>
      </c>
      <c r="AO15" s="165"/>
      <c r="AP15" s="165"/>
      <c r="AQ15" s="165"/>
      <c r="AR15" s="216"/>
      <c r="AS15" s="165">
        <v>0</v>
      </c>
      <c r="AT15" s="165">
        <v>0</v>
      </c>
      <c r="AU15" s="165">
        <v>0</v>
      </c>
      <c r="AV15" s="165">
        <v>0</v>
      </c>
      <c r="AW15" s="165">
        <v>0</v>
      </c>
      <c r="AX15" s="165">
        <v>0</v>
      </c>
      <c r="AY15" s="165">
        <v>0</v>
      </c>
      <c r="AZ15" s="165">
        <v>0</v>
      </c>
      <c r="BA15" s="165">
        <v>0</v>
      </c>
      <c r="BB15" s="165"/>
      <c r="BC15" s="165"/>
      <c r="BD15" s="165"/>
      <c r="BE15" s="165"/>
      <c r="BF15" s="215">
        <v>6.8579999999999997E-4</v>
      </c>
      <c r="BG15" s="165">
        <v>1.8242E-3</v>
      </c>
      <c r="BH15" s="165">
        <v>1.5640999999999999E-3</v>
      </c>
      <c r="BI15" s="165">
        <v>3.0303999999999999E-3</v>
      </c>
      <c r="BJ15" s="165">
        <v>1.3530000000000001E-4</v>
      </c>
      <c r="BK15" s="165">
        <v>-2.82063E-2</v>
      </c>
      <c r="BL15" s="165">
        <v>-1.37681E-2</v>
      </c>
      <c r="BM15" s="165">
        <v>9.2139999999999995E-4</v>
      </c>
      <c r="BN15" s="165">
        <v>-8.1855999999999995E-3</v>
      </c>
      <c r="BO15" s="165"/>
      <c r="BP15" s="165"/>
      <c r="BQ15" s="165"/>
      <c r="BR15" s="216"/>
      <c r="BS15" s="165">
        <v>0</v>
      </c>
      <c r="BT15" s="165">
        <v>-1.6024613999999999</v>
      </c>
      <c r="BU15" s="165">
        <v>0.60706689999999996</v>
      </c>
      <c r="BV15" s="165">
        <v>0.12972210000000001</v>
      </c>
      <c r="BW15" s="165">
        <v>0.20249639999999999</v>
      </c>
      <c r="BX15" s="165">
        <v>-9.9878999999999992E-3</v>
      </c>
      <c r="BY15" s="165">
        <v>0</v>
      </c>
      <c r="BZ15" s="165">
        <v>0</v>
      </c>
      <c r="CA15" s="165">
        <v>0</v>
      </c>
      <c r="CB15" s="165"/>
      <c r="CC15" s="165"/>
      <c r="CD15" s="165"/>
      <c r="CE15" s="165"/>
      <c r="CF15" s="215">
        <f t="shared" si="13"/>
        <v>14.862842499999999</v>
      </c>
      <c r="CG15" s="165">
        <f t="shared" si="14"/>
        <v>13.081287099999999</v>
      </c>
      <c r="CH15" s="165">
        <f t="shared" si="15"/>
        <v>15.0190015</v>
      </c>
      <c r="CI15" s="165">
        <f t="shared" si="16"/>
        <v>17.3978702</v>
      </c>
      <c r="CJ15" s="165">
        <f t="shared" si="17"/>
        <v>21.1975631</v>
      </c>
      <c r="CK15" s="165">
        <f t="shared" si="18"/>
        <v>23.953698899999999</v>
      </c>
      <c r="CL15" s="165">
        <f t="shared" si="19"/>
        <v>26.417740800000001</v>
      </c>
      <c r="CM15" s="165">
        <f t="shared" si="20"/>
        <v>28.289564599999999</v>
      </c>
      <c r="CN15" s="165">
        <f t="shared" si="21"/>
        <v>27.8205937</v>
      </c>
      <c r="CO15" s="165"/>
      <c r="CP15" s="165"/>
      <c r="CQ15" s="165"/>
      <c r="CR15" s="216"/>
      <c r="CS15" s="215">
        <f t="shared" si="22"/>
        <v>13.905743599999999</v>
      </c>
      <c r="CT15" s="165">
        <f t="shared" si="23"/>
        <v>14.079226999999998</v>
      </c>
      <c r="CU15" s="165">
        <f t="shared" si="24"/>
        <v>13.7031776</v>
      </c>
      <c r="CV15" s="165">
        <f t="shared" si="25"/>
        <v>16.5056786</v>
      </c>
      <c r="CW15" s="165">
        <f t="shared" si="26"/>
        <v>20.148850799999998</v>
      </c>
      <c r="CX15" s="165">
        <f t="shared" si="27"/>
        <v>23.140301699999998</v>
      </c>
      <c r="CY15" s="165">
        <f t="shared" si="28"/>
        <v>25.431934000000002</v>
      </c>
      <c r="CZ15" s="165">
        <f t="shared" si="29"/>
        <v>27.242151399999997</v>
      </c>
      <c r="DA15" s="165">
        <f t="shared" si="30"/>
        <v>26.837365299999998</v>
      </c>
      <c r="DB15" s="165"/>
      <c r="DC15" s="165"/>
      <c r="DD15" s="165"/>
      <c r="DE15" s="216"/>
      <c r="DF15" s="17">
        <f t="shared" si="31"/>
        <v>0.12277868113047689</v>
      </c>
      <c r="DG15" s="18">
        <f t="shared" si="32"/>
        <v>0.14803337662392566</v>
      </c>
      <c r="DH15" s="18">
        <f t="shared" si="33"/>
        <v>0.11541779924584201</v>
      </c>
      <c r="DI15" s="18">
        <f t="shared" si="34"/>
        <v>0.10623135353659553</v>
      </c>
      <c r="DJ15" s="18">
        <f t="shared" si="35"/>
        <v>9.5783387478157803E-2</v>
      </c>
      <c r="DK15" s="18">
        <f t="shared" si="36"/>
        <v>9.8505003751216069E-2</v>
      </c>
      <c r="DL15" s="18">
        <f t="shared" si="37"/>
        <v>9.2424106909247905E-2</v>
      </c>
      <c r="DM15" s="18">
        <f t="shared" si="38"/>
        <v>0.1083288111122078</v>
      </c>
      <c r="DN15" s="18">
        <f t="shared" si="39"/>
        <v>0.10412454282023464</v>
      </c>
      <c r="DO15" s="18"/>
      <c r="DP15" s="18"/>
      <c r="DQ15" s="18"/>
      <c r="DR15" s="217"/>
      <c r="DS15" s="15"/>
      <c r="EE15" s="13"/>
      <c r="EF15" s="15"/>
      <c r="ER15" s="13"/>
      <c r="ES15" s="15"/>
      <c r="FE15" s="13"/>
      <c r="FF15" s="15"/>
      <c r="FR15" s="13"/>
    </row>
    <row r="16" spans="4:174" x14ac:dyDescent="0.25">
      <c r="E16" s="2" t="s">
        <v>214</v>
      </c>
      <c r="F16" s="165">
        <v>0.38275160000000003</v>
      </c>
      <c r="G16" s="165">
        <v>0.2294214</v>
      </c>
      <c r="H16" s="165">
        <v>0.32137450000000001</v>
      </c>
      <c r="I16" s="165">
        <v>0.34689049999999999</v>
      </c>
      <c r="J16" s="165">
        <v>0.40042539999999999</v>
      </c>
      <c r="K16" s="165">
        <v>0.43857220000000002</v>
      </c>
      <c r="L16" s="165">
        <v>0.51021059999999996</v>
      </c>
      <c r="M16" s="165">
        <v>0.60846520000000004</v>
      </c>
      <c r="N16" s="165">
        <v>0.41398509999999999</v>
      </c>
      <c r="O16" s="165"/>
      <c r="P16" s="165"/>
      <c r="Q16" s="165"/>
      <c r="R16" s="165"/>
      <c r="S16" s="215">
        <v>2.3122530000000001</v>
      </c>
      <c r="T16" s="165">
        <v>1.4818564999999999</v>
      </c>
      <c r="U16" s="165">
        <v>2.2161322999999999</v>
      </c>
      <c r="V16" s="165">
        <v>2.2961939999999998</v>
      </c>
      <c r="W16" s="165">
        <v>2.3015001000000002</v>
      </c>
      <c r="X16" s="165">
        <v>2.5446295999999999</v>
      </c>
      <c r="Y16" s="165">
        <v>2.4192521</v>
      </c>
      <c r="Z16" s="165">
        <v>2.5964160000000001</v>
      </c>
      <c r="AA16" s="165">
        <v>2.0559546000000002</v>
      </c>
      <c r="AB16" s="165"/>
      <c r="AC16" s="165"/>
      <c r="AD16" s="165"/>
      <c r="AE16" s="216"/>
      <c r="AF16" s="215">
        <v>0.61568639999999997</v>
      </c>
      <c r="AG16" s="165">
        <v>0.59199069999999998</v>
      </c>
      <c r="AH16" s="165">
        <v>0.57349050000000001</v>
      </c>
      <c r="AI16" s="165">
        <v>0.53230739999999999</v>
      </c>
      <c r="AJ16" s="165">
        <v>0.66419260000000002</v>
      </c>
      <c r="AK16" s="165">
        <v>0.77283570000000001</v>
      </c>
      <c r="AL16" s="165">
        <v>0.75619219999999998</v>
      </c>
      <c r="AM16" s="165">
        <v>0.95932589999999995</v>
      </c>
      <c r="AN16" s="165">
        <v>0.79402340000000005</v>
      </c>
      <c r="AO16" s="165"/>
      <c r="AP16" s="165"/>
      <c r="AQ16" s="165"/>
      <c r="AR16" s="216"/>
      <c r="AS16" s="165">
        <v>0</v>
      </c>
      <c r="AT16" s="165">
        <v>0</v>
      </c>
      <c r="AU16" s="165">
        <v>0</v>
      </c>
      <c r="AV16" s="165">
        <v>0</v>
      </c>
      <c r="AW16" s="165">
        <v>0</v>
      </c>
      <c r="AX16" s="165">
        <v>0</v>
      </c>
      <c r="AY16" s="165">
        <v>0</v>
      </c>
      <c r="AZ16" s="165">
        <v>0</v>
      </c>
      <c r="BA16" s="165">
        <v>0</v>
      </c>
      <c r="BB16" s="165"/>
      <c r="BC16" s="165"/>
      <c r="BD16" s="165"/>
      <c r="BE16" s="165"/>
      <c r="BF16" s="215">
        <v>1.786E-4</v>
      </c>
      <c r="BG16" s="165">
        <v>4.462E-4</v>
      </c>
      <c r="BH16" s="165">
        <v>4.4900000000000002E-4</v>
      </c>
      <c r="BI16" s="165">
        <v>6.8599999999999998E-4</v>
      </c>
      <c r="BJ16" s="165">
        <v>2.69E-5</v>
      </c>
      <c r="BK16" s="165">
        <v>-5.7666999999999996E-3</v>
      </c>
      <c r="BL16" s="165">
        <v>-2.3934999999999998E-3</v>
      </c>
      <c r="BM16" s="165">
        <v>1.529E-4</v>
      </c>
      <c r="BN16" s="165">
        <v>-1.2696999999999999E-3</v>
      </c>
      <c r="BO16" s="165"/>
      <c r="BP16" s="165"/>
      <c r="BQ16" s="165"/>
      <c r="BR16" s="216"/>
      <c r="BS16" s="165">
        <v>0</v>
      </c>
      <c r="BT16" s="165">
        <v>-0.38155309999999998</v>
      </c>
      <c r="BU16" s="165">
        <v>6.4034400000000005E-2</v>
      </c>
      <c r="BV16" s="165">
        <v>-1.48658E-2</v>
      </c>
      <c r="BW16" s="165">
        <v>2.28579E-2</v>
      </c>
      <c r="BX16" s="165">
        <v>-1.1071E-3</v>
      </c>
      <c r="BY16" s="165">
        <v>0</v>
      </c>
      <c r="BZ16" s="165">
        <v>0</v>
      </c>
      <c r="CA16" s="165">
        <v>0</v>
      </c>
      <c r="CB16" s="165"/>
      <c r="CC16" s="165"/>
      <c r="CD16" s="165"/>
      <c r="CE16" s="165"/>
      <c r="CF16" s="215">
        <f t="shared" si="13"/>
        <v>2.928118</v>
      </c>
      <c r="CG16" s="165">
        <f t="shared" si="14"/>
        <v>2.0742933999999997</v>
      </c>
      <c r="CH16" s="165">
        <f t="shared" si="15"/>
        <v>2.7900718000000002</v>
      </c>
      <c r="CI16" s="165">
        <f t="shared" si="16"/>
        <v>2.8291873999999999</v>
      </c>
      <c r="CJ16" s="165">
        <f t="shared" si="17"/>
        <v>2.9657195999999999</v>
      </c>
      <c r="CK16" s="165">
        <f t="shared" si="18"/>
        <v>3.3116985999999997</v>
      </c>
      <c r="CL16" s="165">
        <f t="shared" si="19"/>
        <v>3.1730507999999999</v>
      </c>
      <c r="CM16" s="165">
        <f t="shared" si="20"/>
        <v>3.5558947999999999</v>
      </c>
      <c r="CN16" s="165">
        <f t="shared" si="21"/>
        <v>2.8487083000000002</v>
      </c>
      <c r="CO16" s="165"/>
      <c r="CP16" s="165"/>
      <c r="CQ16" s="165"/>
      <c r="CR16" s="216"/>
      <c r="CS16" s="215">
        <f t="shared" si="22"/>
        <v>2.5453663999999998</v>
      </c>
      <c r="CT16" s="165">
        <f t="shared" si="23"/>
        <v>2.2264250999999997</v>
      </c>
      <c r="CU16" s="165">
        <f t="shared" si="24"/>
        <v>2.4046628999999999</v>
      </c>
      <c r="CV16" s="165">
        <f t="shared" si="25"/>
        <v>2.4971626999999996</v>
      </c>
      <c r="CW16" s="165">
        <f t="shared" si="26"/>
        <v>2.5424362999999999</v>
      </c>
      <c r="CX16" s="165">
        <f t="shared" si="27"/>
        <v>2.8742334999999999</v>
      </c>
      <c r="CY16" s="165">
        <f t="shared" si="28"/>
        <v>2.6628401999999998</v>
      </c>
      <c r="CZ16" s="165">
        <f t="shared" si="29"/>
        <v>2.9474296</v>
      </c>
      <c r="DA16" s="165">
        <f t="shared" si="30"/>
        <v>2.4347232000000001</v>
      </c>
      <c r="DB16" s="165"/>
      <c r="DC16" s="165"/>
      <c r="DD16" s="165"/>
      <c r="DE16" s="216"/>
      <c r="DF16" s="17">
        <f t="shared" si="31"/>
        <v>0.21026693596364626</v>
      </c>
      <c r="DG16" s="18">
        <f t="shared" si="32"/>
        <v>0.28539390811348098</v>
      </c>
      <c r="DH16" s="18">
        <f t="shared" si="33"/>
        <v>0.205546860837058</v>
      </c>
      <c r="DI16" s="18">
        <f t="shared" si="34"/>
        <v>0.18814851218409923</v>
      </c>
      <c r="DJ16" s="18">
        <f t="shared" si="35"/>
        <v>0.22395664107962196</v>
      </c>
      <c r="DK16" s="18">
        <f t="shared" si="36"/>
        <v>0.2333653491292958</v>
      </c>
      <c r="DL16" s="18">
        <f t="shared" si="37"/>
        <v>0.23831707957527815</v>
      </c>
      <c r="DM16" s="18">
        <f t="shared" si="38"/>
        <v>0.26978466854531241</v>
      </c>
      <c r="DN16" s="18">
        <f t="shared" si="39"/>
        <v>0.27873103048142905</v>
      </c>
      <c r="DO16" s="18"/>
      <c r="DP16" s="18"/>
      <c r="DQ16" s="18"/>
      <c r="DR16" s="217"/>
      <c r="DS16" s="15"/>
      <c r="EE16" s="13"/>
      <c r="EF16" s="15"/>
      <c r="ER16" s="13"/>
      <c r="ES16" s="15"/>
      <c r="FE16" s="13"/>
      <c r="FF16" s="15"/>
      <c r="FR16" s="13"/>
    </row>
    <row r="17" spans="4:174" x14ac:dyDescent="0.25">
      <c r="E17" s="2" t="s">
        <v>215</v>
      </c>
      <c r="F17" s="165">
        <v>0.49922620000000001</v>
      </c>
      <c r="G17" s="165">
        <v>0.27561869999999999</v>
      </c>
      <c r="H17" s="165">
        <v>0.29936030000000002</v>
      </c>
      <c r="I17" s="165">
        <v>0.36964229999999998</v>
      </c>
      <c r="J17" s="165">
        <v>0.42177690000000001</v>
      </c>
      <c r="K17" s="165">
        <v>0.44834410000000002</v>
      </c>
      <c r="L17" s="165">
        <v>0.51750549999999995</v>
      </c>
      <c r="M17" s="165">
        <v>0.61364070000000004</v>
      </c>
      <c r="N17" s="165">
        <v>0.62783009999999995</v>
      </c>
      <c r="O17" s="165"/>
      <c r="P17" s="165"/>
      <c r="Q17" s="165"/>
      <c r="R17" s="165"/>
      <c r="S17" s="215">
        <v>13.530419500000001</v>
      </c>
      <c r="T17" s="165">
        <v>10.4494334</v>
      </c>
      <c r="U17" s="165">
        <v>13.4872894</v>
      </c>
      <c r="V17" s="165">
        <v>16.727519399999998</v>
      </c>
      <c r="W17" s="165">
        <v>21.834248800000001</v>
      </c>
      <c r="X17" s="165">
        <v>26.808735800000001</v>
      </c>
      <c r="Y17" s="165">
        <v>27.163364600000001</v>
      </c>
      <c r="Z17" s="165">
        <v>28.808344099999999</v>
      </c>
      <c r="AA17" s="165">
        <v>25.860903100000002</v>
      </c>
      <c r="AB17" s="165"/>
      <c r="AC17" s="165"/>
      <c r="AD17" s="165"/>
      <c r="AE17" s="216"/>
      <c r="AF17" s="215">
        <v>0.98448740000000001</v>
      </c>
      <c r="AG17" s="165">
        <v>1.0655634</v>
      </c>
      <c r="AH17" s="165">
        <v>0.83693649999999997</v>
      </c>
      <c r="AI17" s="165">
        <v>1.0569021000000001</v>
      </c>
      <c r="AJ17" s="165">
        <v>1.4266946</v>
      </c>
      <c r="AK17" s="165">
        <v>1.5265586</v>
      </c>
      <c r="AL17" s="165">
        <v>1.5731485000000001</v>
      </c>
      <c r="AM17" s="165">
        <v>2.0856105999999999</v>
      </c>
      <c r="AN17" s="165">
        <v>1.9641664999999999</v>
      </c>
      <c r="AO17" s="165"/>
      <c r="AP17" s="165"/>
      <c r="AQ17" s="165"/>
      <c r="AR17" s="216"/>
      <c r="AS17" s="165">
        <v>0</v>
      </c>
      <c r="AT17" s="165">
        <v>0</v>
      </c>
      <c r="AU17" s="165">
        <v>0</v>
      </c>
      <c r="AV17" s="165">
        <v>0</v>
      </c>
      <c r="AW17" s="165">
        <v>0</v>
      </c>
      <c r="AX17" s="165">
        <v>0</v>
      </c>
      <c r="AY17" s="165">
        <v>0</v>
      </c>
      <c r="AZ17" s="165">
        <v>0</v>
      </c>
      <c r="BA17" s="165">
        <v>0</v>
      </c>
      <c r="BB17" s="165"/>
      <c r="BC17" s="165"/>
      <c r="BD17" s="165"/>
      <c r="BE17" s="165"/>
      <c r="BF17" s="215">
        <v>3.7980000000000002E-4</v>
      </c>
      <c r="BG17" s="165">
        <v>9.8959999999999998E-4</v>
      </c>
      <c r="BH17" s="165">
        <v>7.7740000000000003E-4</v>
      </c>
      <c r="BI17" s="165">
        <v>1.7895999999999999E-3</v>
      </c>
      <c r="BJ17" s="165">
        <v>9.7800000000000006E-5</v>
      </c>
      <c r="BK17" s="165">
        <v>-1.8450899999999999E-2</v>
      </c>
      <c r="BL17" s="165">
        <v>-9.0124999999999997E-3</v>
      </c>
      <c r="BM17" s="165">
        <v>6.6390000000000004E-4</v>
      </c>
      <c r="BN17" s="165">
        <v>-5.6398999999999998E-3</v>
      </c>
      <c r="BO17" s="165"/>
      <c r="BP17" s="165"/>
      <c r="BQ17" s="165"/>
      <c r="BR17" s="216"/>
      <c r="BS17" s="165">
        <v>0</v>
      </c>
      <c r="BT17" s="165">
        <v>-1.4603797000000001</v>
      </c>
      <c r="BU17" s="165">
        <v>1.1890505</v>
      </c>
      <c r="BV17" s="165">
        <v>0.37847360000000002</v>
      </c>
      <c r="BW17" s="165">
        <v>0.21842880000000001</v>
      </c>
      <c r="BX17" s="165">
        <v>-1.0938099999999999E-2</v>
      </c>
      <c r="BY17" s="165">
        <v>0</v>
      </c>
      <c r="BZ17" s="165">
        <v>0</v>
      </c>
      <c r="CA17" s="165">
        <v>0</v>
      </c>
      <c r="CB17" s="165"/>
      <c r="CC17" s="165"/>
      <c r="CD17" s="165"/>
      <c r="CE17" s="165"/>
      <c r="CF17" s="215">
        <f t="shared" si="13"/>
        <v>14.515286700000001</v>
      </c>
      <c r="CG17" s="165">
        <f t="shared" si="14"/>
        <v>11.515986400000001</v>
      </c>
      <c r="CH17" s="165">
        <f t="shared" si="15"/>
        <v>14.325003300000001</v>
      </c>
      <c r="CI17" s="165">
        <f t="shared" si="16"/>
        <v>17.786211099999996</v>
      </c>
      <c r="CJ17" s="165">
        <f t="shared" si="17"/>
        <v>23.261041200000001</v>
      </c>
      <c r="CK17" s="165">
        <f t="shared" si="18"/>
        <v>28.316843500000001</v>
      </c>
      <c r="CL17" s="165">
        <f t="shared" si="19"/>
        <v>28.727500599999999</v>
      </c>
      <c r="CM17" s="165">
        <f t="shared" si="20"/>
        <v>30.894618599999998</v>
      </c>
      <c r="CN17" s="165">
        <f t="shared" si="21"/>
        <v>27.819429700000004</v>
      </c>
      <c r="CO17" s="165"/>
      <c r="CP17" s="165"/>
      <c r="CQ17" s="165"/>
      <c r="CR17" s="216"/>
      <c r="CS17" s="215">
        <f t="shared" si="22"/>
        <v>14.0160605</v>
      </c>
      <c r="CT17" s="165">
        <f t="shared" si="23"/>
        <v>12.700747400000001</v>
      </c>
      <c r="CU17" s="165">
        <f t="shared" si="24"/>
        <v>12.8365925</v>
      </c>
      <c r="CV17" s="165">
        <f t="shared" si="25"/>
        <v>17.038095199999997</v>
      </c>
      <c r="CW17" s="165">
        <f t="shared" si="26"/>
        <v>22.620835499999998</v>
      </c>
      <c r="CX17" s="165">
        <f t="shared" si="27"/>
        <v>27.879437500000002</v>
      </c>
      <c r="CY17" s="165">
        <f t="shared" si="28"/>
        <v>28.2099951</v>
      </c>
      <c r="CZ17" s="165">
        <f t="shared" si="29"/>
        <v>30.280977899999996</v>
      </c>
      <c r="DA17" s="165">
        <f t="shared" si="30"/>
        <v>27.191599600000004</v>
      </c>
      <c r="DB17" s="165"/>
      <c r="DC17" s="165"/>
      <c r="DD17" s="165"/>
      <c r="DE17" s="216"/>
      <c r="DF17" s="17">
        <f t="shared" si="31"/>
        <v>6.7824178767340496E-2</v>
      </c>
      <c r="DG17" s="18">
        <f t="shared" si="32"/>
        <v>9.2529060298299756E-2</v>
      </c>
      <c r="DH17" s="18">
        <f t="shared" si="33"/>
        <v>5.8424873102821552E-2</v>
      </c>
      <c r="DI17" s="18">
        <f t="shared" si="34"/>
        <v>5.9422554587806521E-2</v>
      </c>
      <c r="DJ17" s="18">
        <f t="shared" si="35"/>
        <v>6.1334081640335172E-2</v>
      </c>
      <c r="DK17" s="18">
        <f t="shared" si="36"/>
        <v>5.3909914076404733E-2</v>
      </c>
      <c r="DL17" s="18">
        <f t="shared" si="37"/>
        <v>5.4761064037711658E-2</v>
      </c>
      <c r="DM17" s="18">
        <f t="shared" si="38"/>
        <v>6.7507245420404705E-2</v>
      </c>
      <c r="DN17" s="18">
        <f t="shared" si="39"/>
        <v>7.060412528873658E-2</v>
      </c>
      <c r="DO17" s="18"/>
      <c r="DP17" s="18"/>
      <c r="DQ17" s="18"/>
      <c r="DR17" s="217"/>
      <c r="DS17" s="15"/>
      <c r="EE17" s="13"/>
      <c r="EF17" s="15"/>
      <c r="ER17" s="13"/>
      <c r="ES17" s="15"/>
      <c r="FE17" s="13"/>
      <c r="FF17" s="15"/>
      <c r="FR17" s="13"/>
    </row>
    <row r="18" spans="4:174" x14ac:dyDescent="0.25">
      <c r="E18" s="2" t="s">
        <v>216</v>
      </c>
      <c r="F18" s="165">
        <v>0</v>
      </c>
      <c r="G18" s="165">
        <v>0</v>
      </c>
      <c r="H18" s="165">
        <v>0</v>
      </c>
      <c r="I18" s="165">
        <v>0</v>
      </c>
      <c r="J18" s="165">
        <v>0</v>
      </c>
      <c r="K18" s="165">
        <v>4.3774500000000001E-2</v>
      </c>
      <c r="L18" s="165">
        <v>4.0932099999999999E-2</v>
      </c>
      <c r="M18" s="165">
        <v>0.17230719999999999</v>
      </c>
      <c r="N18" s="165">
        <v>0.15514359999999999</v>
      </c>
      <c r="O18" s="165"/>
      <c r="P18" s="165"/>
      <c r="Q18" s="165"/>
      <c r="R18" s="165"/>
      <c r="S18" s="215">
        <v>76.877691600000006</v>
      </c>
      <c r="T18" s="165">
        <v>89.240161900000004</v>
      </c>
      <c r="U18" s="165">
        <v>93.567443400000002</v>
      </c>
      <c r="V18" s="165">
        <v>90.592042800000002</v>
      </c>
      <c r="W18" s="165">
        <v>100.0943032</v>
      </c>
      <c r="X18" s="165">
        <v>107.79311610000001</v>
      </c>
      <c r="Y18" s="165">
        <v>103.10753750000001</v>
      </c>
      <c r="Z18" s="165">
        <v>110.2048832</v>
      </c>
      <c r="AA18" s="165">
        <v>108.3482693</v>
      </c>
      <c r="AB18" s="165"/>
      <c r="AC18" s="165"/>
      <c r="AD18" s="165"/>
      <c r="AE18" s="216"/>
      <c r="AF18" s="215">
        <v>7.7735529999999997</v>
      </c>
      <c r="AG18" s="165">
        <v>7.6429203000000001</v>
      </c>
      <c r="AH18" s="165">
        <v>9.6717008</v>
      </c>
      <c r="AI18" s="165">
        <v>8.2343019999999996</v>
      </c>
      <c r="AJ18" s="165">
        <v>9.3749486999999991</v>
      </c>
      <c r="AK18" s="165">
        <v>9.6674480000000003</v>
      </c>
      <c r="AL18" s="165">
        <v>9.2963394000000008</v>
      </c>
      <c r="AM18" s="165">
        <v>11.3788147</v>
      </c>
      <c r="AN18" s="165">
        <v>11.5124294</v>
      </c>
      <c r="AO18" s="165"/>
      <c r="AP18" s="165"/>
      <c r="AQ18" s="165"/>
      <c r="AR18" s="216"/>
      <c r="AS18" s="165">
        <v>0</v>
      </c>
      <c r="AT18" s="165">
        <v>0</v>
      </c>
      <c r="AU18" s="165">
        <v>0</v>
      </c>
      <c r="AV18" s="165">
        <v>0</v>
      </c>
      <c r="AW18" s="165">
        <v>0</v>
      </c>
      <c r="AX18" s="165">
        <v>0</v>
      </c>
      <c r="AY18" s="165">
        <v>0</v>
      </c>
      <c r="AZ18" s="165">
        <v>0</v>
      </c>
      <c r="BA18" s="165">
        <v>0</v>
      </c>
      <c r="BB18" s="165"/>
      <c r="BC18" s="165"/>
      <c r="BD18" s="165"/>
      <c r="BE18" s="165"/>
      <c r="BF18" s="215">
        <v>3.9760999999999998E-3</v>
      </c>
      <c r="BG18" s="165">
        <v>9.9968999999999995E-3</v>
      </c>
      <c r="BH18" s="165">
        <v>1.0635800000000001E-2</v>
      </c>
      <c r="BI18" s="165">
        <v>1.7034799999999999E-2</v>
      </c>
      <c r="BJ18" s="165">
        <v>9.098E-4</v>
      </c>
      <c r="BK18" s="165">
        <v>-0.16782630000000001</v>
      </c>
      <c r="BL18" s="165">
        <v>-7.5067300000000003E-2</v>
      </c>
      <c r="BM18" s="165">
        <v>4.3081999999999999E-3</v>
      </c>
      <c r="BN18" s="165">
        <v>-4.2038499999999999E-2</v>
      </c>
      <c r="BO18" s="165"/>
      <c r="BP18" s="165"/>
      <c r="BQ18" s="165"/>
      <c r="BR18" s="216"/>
      <c r="BS18" s="165">
        <v>0</v>
      </c>
      <c r="BT18" s="165">
        <v>12.9635023</v>
      </c>
      <c r="BU18" s="165">
        <v>13.0487608</v>
      </c>
      <c r="BV18" s="165">
        <v>1.5609358</v>
      </c>
      <c r="BW18" s="165">
        <v>1.2610037000000001</v>
      </c>
      <c r="BX18" s="165">
        <v>-6.2716400000000005E-2</v>
      </c>
      <c r="BY18" s="165">
        <v>0</v>
      </c>
      <c r="BZ18" s="165">
        <v>0</v>
      </c>
      <c r="CA18" s="165">
        <v>0</v>
      </c>
      <c r="CB18" s="165"/>
      <c r="CC18" s="165"/>
      <c r="CD18" s="165"/>
      <c r="CE18" s="165"/>
      <c r="CF18" s="215">
        <f t="shared" si="13"/>
        <v>84.655220700000015</v>
      </c>
      <c r="CG18" s="165">
        <f t="shared" si="14"/>
        <v>96.893079100000008</v>
      </c>
      <c r="CH18" s="165">
        <f t="shared" si="15"/>
        <v>103.24978</v>
      </c>
      <c r="CI18" s="165">
        <f t="shared" si="16"/>
        <v>98.843379600000006</v>
      </c>
      <c r="CJ18" s="165">
        <f t="shared" si="17"/>
        <v>109.47016170000001</v>
      </c>
      <c r="CK18" s="165">
        <f t="shared" si="18"/>
        <v>117.2927378</v>
      </c>
      <c r="CL18" s="165">
        <f t="shared" si="19"/>
        <v>112.3288096</v>
      </c>
      <c r="CM18" s="165">
        <f t="shared" si="20"/>
        <v>121.5880061</v>
      </c>
      <c r="CN18" s="165">
        <f t="shared" si="21"/>
        <v>119.8186602</v>
      </c>
      <c r="CO18" s="165"/>
      <c r="CP18" s="165"/>
      <c r="CQ18" s="165"/>
      <c r="CR18" s="216"/>
      <c r="CS18" s="215">
        <f t="shared" si="22"/>
        <v>84.655220700000015</v>
      </c>
      <c r="CT18" s="165">
        <f t="shared" si="23"/>
        <v>83.929576800000007</v>
      </c>
      <c r="CU18" s="165">
        <f t="shared" si="24"/>
        <v>90.201019200000005</v>
      </c>
      <c r="CV18" s="165">
        <f t="shared" si="25"/>
        <v>97.28244380000001</v>
      </c>
      <c r="CW18" s="165">
        <f t="shared" si="26"/>
        <v>108.209158</v>
      </c>
      <c r="CX18" s="165">
        <f t="shared" si="27"/>
        <v>117.3116797</v>
      </c>
      <c r="CY18" s="165">
        <f t="shared" si="28"/>
        <v>112.28787749999999</v>
      </c>
      <c r="CZ18" s="165">
        <f t="shared" si="29"/>
        <v>121.4156989</v>
      </c>
      <c r="DA18" s="165">
        <f t="shared" si="30"/>
        <v>119.66351659999999</v>
      </c>
      <c r="DB18" s="165"/>
      <c r="DC18" s="165"/>
      <c r="DD18" s="165"/>
      <c r="DE18" s="216"/>
      <c r="DF18" s="17">
        <f t="shared" si="31"/>
        <v>9.1826031941347225E-2</v>
      </c>
      <c r="DG18" s="18">
        <f t="shared" si="32"/>
        <v>7.8879940352726385E-2</v>
      </c>
      <c r="DH18" s="18">
        <f t="shared" si="33"/>
        <v>9.3672846566840134E-2</v>
      </c>
      <c r="DI18" s="18">
        <f t="shared" si="34"/>
        <v>8.3306560675308991E-2</v>
      </c>
      <c r="DJ18" s="18">
        <f t="shared" si="35"/>
        <v>8.5639306222016834E-2</v>
      </c>
      <c r="DK18" s="18">
        <f t="shared" si="36"/>
        <v>8.2421539315454539E-2</v>
      </c>
      <c r="DL18" s="18">
        <f t="shared" si="37"/>
        <v>8.2760063363121417E-2</v>
      </c>
      <c r="DM18" s="18">
        <f t="shared" si="38"/>
        <v>9.3585009451026754E-2</v>
      </c>
      <c r="DN18" s="18">
        <f t="shared" si="39"/>
        <v>9.608210758477502E-2</v>
      </c>
      <c r="DO18" s="18"/>
      <c r="DP18" s="18"/>
      <c r="DQ18" s="18"/>
      <c r="DR18" s="217"/>
      <c r="DS18" s="15"/>
      <c r="EE18" s="13"/>
      <c r="EF18" s="15"/>
      <c r="ER18" s="13"/>
      <c r="ES18" s="15"/>
      <c r="FE18" s="13"/>
      <c r="FF18" s="15"/>
      <c r="FR18" s="13"/>
    </row>
    <row r="19" spans="4:174" x14ac:dyDescent="0.25">
      <c r="E19" s="2" t="s">
        <v>217</v>
      </c>
      <c r="F19" s="165">
        <v>0.80619379999999996</v>
      </c>
      <c r="G19" s="165">
        <v>0.55905740000000004</v>
      </c>
      <c r="H19" s="165">
        <v>0.75922860000000003</v>
      </c>
      <c r="I19" s="165">
        <v>0.84776079999999998</v>
      </c>
      <c r="J19" s="165">
        <v>1.007501</v>
      </c>
      <c r="K19" s="165">
        <v>0.90315789999999996</v>
      </c>
      <c r="L19" s="165">
        <v>1.1035827</v>
      </c>
      <c r="M19" s="165">
        <v>1.3766995</v>
      </c>
      <c r="N19" s="165">
        <v>1.0940364</v>
      </c>
      <c r="O19" s="165"/>
      <c r="P19" s="165"/>
      <c r="Q19" s="165"/>
      <c r="R19" s="165"/>
      <c r="S19" s="215">
        <v>4.3996620999999996</v>
      </c>
      <c r="T19" s="165">
        <v>3.0880445000000001</v>
      </c>
      <c r="U19" s="165">
        <v>4.5435743000000004</v>
      </c>
      <c r="V19" s="165">
        <v>5.3134798999999999</v>
      </c>
      <c r="W19" s="165">
        <v>5.7591032999999996</v>
      </c>
      <c r="X19" s="165">
        <v>5.5236330000000002</v>
      </c>
      <c r="Y19" s="165">
        <v>5.7323393999999999</v>
      </c>
      <c r="Z19" s="165">
        <v>6.2274678999999997</v>
      </c>
      <c r="AA19" s="165">
        <v>5.7885074000000003</v>
      </c>
      <c r="AB19" s="165"/>
      <c r="AC19" s="165"/>
      <c r="AD19" s="165"/>
      <c r="AE19" s="216"/>
      <c r="AF19" s="215">
        <v>1.1409387</v>
      </c>
      <c r="AG19" s="165">
        <v>1.2846625</v>
      </c>
      <c r="AH19" s="165">
        <v>1.1584072000000001</v>
      </c>
      <c r="AI19" s="165">
        <v>1.2055005999999999</v>
      </c>
      <c r="AJ19" s="165">
        <v>1.4945409000000001</v>
      </c>
      <c r="AK19" s="165">
        <v>1.6052249999999999</v>
      </c>
      <c r="AL19" s="165">
        <v>1.6181629</v>
      </c>
      <c r="AM19" s="165">
        <v>2.0586256000000001</v>
      </c>
      <c r="AN19" s="165">
        <v>1.9139706000000001</v>
      </c>
      <c r="AO19" s="165"/>
      <c r="AP19" s="165"/>
      <c r="AQ19" s="165"/>
      <c r="AR19" s="216"/>
      <c r="AS19" s="165">
        <v>0</v>
      </c>
      <c r="AT19" s="165">
        <v>0</v>
      </c>
      <c r="AU19" s="165">
        <v>0</v>
      </c>
      <c r="AV19" s="165">
        <v>0</v>
      </c>
      <c r="AW19" s="165">
        <v>0</v>
      </c>
      <c r="AX19" s="165">
        <v>0</v>
      </c>
      <c r="AY19" s="165">
        <v>0</v>
      </c>
      <c r="AZ19" s="165">
        <v>0</v>
      </c>
      <c r="BA19" s="165">
        <v>0</v>
      </c>
      <c r="BB19" s="165"/>
      <c r="BC19" s="165"/>
      <c r="BD19" s="165"/>
      <c r="BE19" s="165"/>
      <c r="BF19" s="215">
        <v>4.2539999999999999E-4</v>
      </c>
      <c r="BG19" s="165">
        <v>1.1973000000000001E-3</v>
      </c>
      <c r="BH19" s="165">
        <v>9.8649999999999996E-4</v>
      </c>
      <c r="BI19" s="165">
        <v>1.8240000000000001E-3</v>
      </c>
      <c r="BJ19" s="165">
        <v>6.8499999999999998E-5</v>
      </c>
      <c r="BK19" s="165">
        <v>-1.43456E-2</v>
      </c>
      <c r="BL19" s="165">
        <v>-6.8481000000000002E-3</v>
      </c>
      <c r="BM19" s="165">
        <v>4.395E-4</v>
      </c>
      <c r="BN19" s="165">
        <v>-3.8663999999999999E-3</v>
      </c>
      <c r="BO19" s="165"/>
      <c r="BP19" s="165"/>
      <c r="BQ19" s="165"/>
      <c r="BR19" s="216"/>
      <c r="BS19" s="165">
        <v>0</v>
      </c>
      <c r="BT19" s="165">
        <v>-1.1066506</v>
      </c>
      <c r="BU19" s="165">
        <v>0.36022959999999998</v>
      </c>
      <c r="BV19" s="165">
        <v>-8.8897999999999998E-3</v>
      </c>
      <c r="BW19" s="165">
        <v>5.48253E-2</v>
      </c>
      <c r="BX19" s="165">
        <v>-2.6738999999999999E-3</v>
      </c>
      <c r="BY19" s="165">
        <v>0</v>
      </c>
      <c r="BZ19" s="165">
        <v>0</v>
      </c>
      <c r="CA19" s="165">
        <v>0</v>
      </c>
      <c r="CB19" s="165"/>
      <c r="CC19" s="165"/>
      <c r="CD19" s="165"/>
      <c r="CE19" s="165"/>
      <c r="CF19" s="215">
        <f t="shared" si="13"/>
        <v>5.5410262000000001</v>
      </c>
      <c r="CG19" s="165">
        <f t="shared" si="14"/>
        <v>4.3739043000000004</v>
      </c>
      <c r="CH19" s="165">
        <f t="shared" si="15"/>
        <v>5.7029680000000003</v>
      </c>
      <c r="CI19" s="165">
        <f t="shared" si="16"/>
        <v>6.5208044999999997</v>
      </c>
      <c r="CJ19" s="165">
        <f t="shared" si="17"/>
        <v>7.2537127000000003</v>
      </c>
      <c r="CK19" s="165">
        <f t="shared" si="18"/>
        <v>7.1145123999999997</v>
      </c>
      <c r="CL19" s="165">
        <f t="shared" si="19"/>
        <v>7.3436541999999996</v>
      </c>
      <c r="CM19" s="165">
        <f t="shared" si="20"/>
        <v>8.2865330000000004</v>
      </c>
      <c r="CN19" s="165">
        <f t="shared" si="21"/>
        <v>7.6986116000000004</v>
      </c>
      <c r="CO19" s="165"/>
      <c r="CP19" s="165"/>
      <c r="CQ19" s="165"/>
      <c r="CR19" s="216"/>
      <c r="CS19" s="215">
        <f t="shared" si="22"/>
        <v>4.7348324000000002</v>
      </c>
      <c r="CT19" s="165">
        <f t="shared" si="23"/>
        <v>4.9214975000000001</v>
      </c>
      <c r="CU19" s="165">
        <f t="shared" si="24"/>
        <v>4.5835097999999999</v>
      </c>
      <c r="CV19" s="165">
        <f t="shared" si="25"/>
        <v>5.6819335000000004</v>
      </c>
      <c r="CW19" s="165">
        <f t="shared" si="26"/>
        <v>6.1913864000000007</v>
      </c>
      <c r="CX19" s="165">
        <f t="shared" si="27"/>
        <v>6.2140283999999992</v>
      </c>
      <c r="CY19" s="165">
        <f t="shared" si="28"/>
        <v>6.2400714999999991</v>
      </c>
      <c r="CZ19" s="165">
        <f t="shared" si="29"/>
        <v>6.9098335000000004</v>
      </c>
      <c r="DA19" s="165">
        <f t="shared" si="30"/>
        <v>6.6045752000000002</v>
      </c>
      <c r="DB19" s="165"/>
      <c r="DC19" s="165"/>
      <c r="DD19" s="165"/>
      <c r="DE19" s="216"/>
      <c r="DF19" s="17">
        <f t="shared" si="31"/>
        <v>0.2059074725183577</v>
      </c>
      <c r="DG19" s="18">
        <f t="shared" si="32"/>
        <v>0.29371070144355921</v>
      </c>
      <c r="DH19" s="18">
        <f t="shared" si="33"/>
        <v>0.20312356653588098</v>
      </c>
      <c r="DI19" s="18">
        <f t="shared" si="34"/>
        <v>0.18486991904143116</v>
      </c>
      <c r="DJ19" s="18">
        <f t="shared" si="35"/>
        <v>0.20603806103321406</v>
      </c>
      <c r="DK19" s="18">
        <f t="shared" si="36"/>
        <v>0.22562684689396281</v>
      </c>
      <c r="DL19" s="18">
        <f t="shared" si="37"/>
        <v>0.22034846085209187</v>
      </c>
      <c r="DM19" s="18">
        <f t="shared" si="38"/>
        <v>0.24843026631282347</v>
      </c>
      <c r="DN19" s="18">
        <f t="shared" si="39"/>
        <v>0.24861243811806275</v>
      </c>
      <c r="DO19" s="18"/>
      <c r="DP19" s="18"/>
      <c r="DQ19" s="18"/>
      <c r="DR19" s="217"/>
      <c r="EE19" s="13"/>
      <c r="ER19" s="13"/>
      <c r="FE19" s="13"/>
      <c r="FR19" s="13"/>
    </row>
    <row r="20" spans="4:174" x14ac:dyDescent="0.25">
      <c r="E20" s="2" t="s">
        <v>218</v>
      </c>
      <c r="F20" s="165">
        <v>0.67687520000000001</v>
      </c>
      <c r="G20" s="165">
        <v>0.46838950000000001</v>
      </c>
      <c r="H20" s="165">
        <v>0.57101849999999998</v>
      </c>
      <c r="I20" s="165">
        <v>0.58171790000000001</v>
      </c>
      <c r="J20" s="165">
        <v>0.59657979999999999</v>
      </c>
      <c r="K20" s="165">
        <v>0.58823119999999995</v>
      </c>
      <c r="L20" s="165">
        <v>0.72483799999999998</v>
      </c>
      <c r="M20" s="165">
        <v>0.80568519999999999</v>
      </c>
      <c r="N20" s="165">
        <v>0.73842099999999999</v>
      </c>
      <c r="O20" s="165"/>
      <c r="P20" s="165"/>
      <c r="Q20" s="165"/>
      <c r="R20" s="165"/>
      <c r="S20" s="215">
        <v>13.582985600000001</v>
      </c>
      <c r="T20" s="165">
        <v>11.3313285</v>
      </c>
      <c r="U20" s="165">
        <v>12.9940538</v>
      </c>
      <c r="V20" s="165">
        <v>15.933847999999999</v>
      </c>
      <c r="W20" s="165">
        <v>17.870775200000001</v>
      </c>
      <c r="X20" s="165">
        <v>20.041565599999998</v>
      </c>
      <c r="Y20" s="165">
        <v>25.316346500000002</v>
      </c>
      <c r="Z20" s="165">
        <v>32.4699405</v>
      </c>
      <c r="AA20" s="165">
        <v>29.687452799999999</v>
      </c>
      <c r="AB20" s="165"/>
      <c r="AC20" s="165"/>
      <c r="AD20" s="165"/>
      <c r="AE20" s="216"/>
      <c r="AF20" s="215">
        <v>1.1034926</v>
      </c>
      <c r="AG20" s="165">
        <v>1.1175851999999999</v>
      </c>
      <c r="AH20" s="165">
        <v>1.1033930999999999</v>
      </c>
      <c r="AI20" s="165">
        <v>1.1800740999999999</v>
      </c>
      <c r="AJ20" s="165">
        <v>1.6053824000000001</v>
      </c>
      <c r="AK20" s="165">
        <v>1.7586705</v>
      </c>
      <c r="AL20" s="165">
        <v>1.8919294</v>
      </c>
      <c r="AM20" s="165">
        <v>2.5372498000000001</v>
      </c>
      <c r="AN20" s="165">
        <v>2.1673293</v>
      </c>
      <c r="AO20" s="165"/>
      <c r="AP20" s="165"/>
      <c r="AQ20" s="165"/>
      <c r="AR20" s="216"/>
      <c r="AS20" s="165">
        <v>0</v>
      </c>
      <c r="AT20" s="165">
        <v>0</v>
      </c>
      <c r="AU20" s="165">
        <v>0</v>
      </c>
      <c r="AV20" s="165">
        <v>0</v>
      </c>
      <c r="AW20" s="165">
        <v>0</v>
      </c>
      <c r="AX20" s="165">
        <v>0</v>
      </c>
      <c r="AY20" s="165">
        <v>0</v>
      </c>
      <c r="AZ20" s="165">
        <v>0</v>
      </c>
      <c r="BA20" s="165">
        <v>0</v>
      </c>
      <c r="BB20" s="165"/>
      <c r="BC20" s="165"/>
      <c r="BD20" s="165"/>
      <c r="BE20" s="165"/>
      <c r="BF20" s="215">
        <v>4.415E-4</v>
      </c>
      <c r="BG20" s="165">
        <v>1.1647000000000001E-3</v>
      </c>
      <c r="BH20" s="165">
        <v>9.8620000000000001E-4</v>
      </c>
      <c r="BI20" s="165">
        <v>1.8744E-3</v>
      </c>
      <c r="BJ20" s="165">
        <v>1.066E-4</v>
      </c>
      <c r="BK20" s="165">
        <v>-2.1513899999999999E-2</v>
      </c>
      <c r="BL20" s="165">
        <v>-1.0912099999999999E-2</v>
      </c>
      <c r="BM20" s="165">
        <v>7.9529999999999998E-4</v>
      </c>
      <c r="BN20" s="165">
        <v>-6.0759999999999998E-3</v>
      </c>
      <c r="BO20" s="165"/>
      <c r="BP20" s="165"/>
      <c r="BQ20" s="165"/>
      <c r="BR20" s="216"/>
      <c r="BS20" s="165">
        <v>0</v>
      </c>
      <c r="BT20" s="165">
        <v>-2.8135013999999998</v>
      </c>
      <c r="BU20" s="165">
        <v>-0.60476810000000003</v>
      </c>
      <c r="BV20" s="165">
        <v>0.10869810000000001</v>
      </c>
      <c r="BW20" s="165">
        <v>0.2117687</v>
      </c>
      <c r="BX20" s="165">
        <v>-1.0426700000000001E-2</v>
      </c>
      <c r="BY20" s="165">
        <v>0</v>
      </c>
      <c r="BZ20" s="165">
        <v>0</v>
      </c>
      <c r="CA20" s="165">
        <v>0</v>
      </c>
      <c r="CB20" s="165"/>
      <c r="CC20" s="165"/>
      <c r="CD20" s="165"/>
      <c r="CE20" s="165"/>
      <c r="CF20" s="215">
        <f t="shared" si="13"/>
        <v>14.686919700000001</v>
      </c>
      <c r="CG20" s="165">
        <f t="shared" si="14"/>
        <v>12.450078400000001</v>
      </c>
      <c r="CH20" s="165">
        <f t="shared" si="15"/>
        <v>14.098433099999999</v>
      </c>
      <c r="CI20" s="165">
        <f t="shared" si="16"/>
        <v>17.115796499999998</v>
      </c>
      <c r="CJ20" s="165">
        <f t="shared" si="17"/>
        <v>19.476264199999999</v>
      </c>
      <c r="CK20" s="165">
        <f t="shared" si="18"/>
        <v>21.778722200000001</v>
      </c>
      <c r="CL20" s="165">
        <f t="shared" si="19"/>
        <v>27.197363800000002</v>
      </c>
      <c r="CM20" s="165">
        <f t="shared" si="20"/>
        <v>35.007985599999998</v>
      </c>
      <c r="CN20" s="165">
        <f t="shared" si="21"/>
        <v>31.848706099999998</v>
      </c>
      <c r="CO20" s="165"/>
      <c r="CP20" s="165"/>
      <c r="CQ20" s="165"/>
      <c r="CR20" s="216"/>
      <c r="CS20" s="215">
        <f t="shared" si="22"/>
        <v>14.010044500000001</v>
      </c>
      <c r="CT20" s="165">
        <f t="shared" si="23"/>
        <v>14.7951903</v>
      </c>
      <c r="CU20" s="165">
        <f t="shared" si="24"/>
        <v>14.1321827</v>
      </c>
      <c r="CV20" s="165">
        <f t="shared" si="25"/>
        <v>16.425380499999996</v>
      </c>
      <c r="CW20" s="165">
        <f t="shared" si="26"/>
        <v>18.667915699999998</v>
      </c>
      <c r="CX20" s="165">
        <f t="shared" si="27"/>
        <v>21.200917700000002</v>
      </c>
      <c r="CY20" s="165">
        <f t="shared" si="28"/>
        <v>26.472525800000003</v>
      </c>
      <c r="CZ20" s="165">
        <f t="shared" si="29"/>
        <v>34.202300399999999</v>
      </c>
      <c r="DA20" s="165">
        <f t="shared" si="30"/>
        <v>31.110285099999999</v>
      </c>
      <c r="DB20" s="165"/>
      <c r="DC20" s="165"/>
      <c r="DD20" s="165"/>
      <c r="DE20" s="216"/>
      <c r="DF20" s="17">
        <f t="shared" si="31"/>
        <v>7.5134379607182028E-2</v>
      </c>
      <c r="DG20" s="18">
        <f t="shared" si="32"/>
        <v>8.9765314248944794E-2</v>
      </c>
      <c r="DH20" s="18">
        <f t="shared" si="33"/>
        <v>7.8263527029822907E-2</v>
      </c>
      <c r="DI20" s="18">
        <f t="shared" si="34"/>
        <v>6.8946490454008386E-2</v>
      </c>
      <c r="DJ20" s="18">
        <f t="shared" si="35"/>
        <v>8.2427635172457769E-2</v>
      </c>
      <c r="DK20" s="18">
        <f t="shared" si="36"/>
        <v>8.07517761533319E-2</v>
      </c>
      <c r="DL20" s="18">
        <f t="shared" si="37"/>
        <v>6.9562969922842291E-2</v>
      </c>
      <c r="DM20" s="18">
        <f t="shared" si="38"/>
        <v>7.2476315232487987E-2</v>
      </c>
      <c r="DN20" s="18">
        <f t="shared" si="39"/>
        <v>6.8050780248180953E-2</v>
      </c>
      <c r="DO20" s="18"/>
      <c r="DP20" s="18"/>
      <c r="DQ20" s="18"/>
      <c r="DR20" s="217"/>
      <c r="DS20" s="15"/>
      <c r="EE20" s="13"/>
      <c r="EF20" s="15"/>
      <c r="ER20" s="13"/>
      <c r="ES20" s="15"/>
      <c r="FE20" s="13"/>
      <c r="FF20" s="15"/>
      <c r="FR20" s="13"/>
    </row>
    <row r="21" spans="4:174" x14ac:dyDescent="0.25">
      <c r="E21" s="2" t="s">
        <v>219</v>
      </c>
      <c r="F21" s="165">
        <v>3.6284049999999999</v>
      </c>
      <c r="G21" s="165">
        <v>2.2573186000000001</v>
      </c>
      <c r="H21" s="165">
        <v>2.7808682</v>
      </c>
      <c r="I21" s="165">
        <v>3.1633787999999998</v>
      </c>
      <c r="J21" s="165">
        <v>3.4983944</v>
      </c>
      <c r="K21" s="165">
        <v>3.0617706</v>
      </c>
      <c r="L21" s="165">
        <v>3.8043136</v>
      </c>
      <c r="M21" s="165">
        <v>4.0363201000000002</v>
      </c>
      <c r="N21" s="165">
        <v>4.0354514000000004</v>
      </c>
      <c r="O21" s="165"/>
      <c r="P21" s="165"/>
      <c r="Q21" s="165"/>
      <c r="R21" s="165"/>
      <c r="S21" s="215">
        <v>86.688330500000006</v>
      </c>
      <c r="T21" s="165">
        <v>72.737673000000001</v>
      </c>
      <c r="U21" s="165">
        <v>85.539273600000001</v>
      </c>
      <c r="V21" s="165">
        <v>97.729868800000006</v>
      </c>
      <c r="W21" s="165">
        <v>119.8990931</v>
      </c>
      <c r="X21" s="165">
        <v>139.21726319999999</v>
      </c>
      <c r="Y21" s="165">
        <v>136.14749459999999</v>
      </c>
      <c r="Z21" s="165">
        <v>142.40207849999999</v>
      </c>
      <c r="AA21" s="165">
        <v>139.81872680000001</v>
      </c>
      <c r="AB21" s="165"/>
      <c r="AC21" s="165"/>
      <c r="AD21" s="165"/>
      <c r="AE21" s="216"/>
      <c r="AF21" s="215">
        <v>8.7832299000000003</v>
      </c>
      <c r="AG21" s="165">
        <v>9.3992761999999992</v>
      </c>
      <c r="AH21" s="165">
        <v>8.2821444</v>
      </c>
      <c r="AI21" s="165">
        <v>9.2388692999999993</v>
      </c>
      <c r="AJ21" s="165">
        <v>9.8038735999999993</v>
      </c>
      <c r="AK21" s="165">
        <v>10.025199799999999</v>
      </c>
      <c r="AL21" s="165">
        <v>10.0541752</v>
      </c>
      <c r="AM21" s="165">
        <v>13.089984299999999</v>
      </c>
      <c r="AN21" s="165">
        <v>12.4831656</v>
      </c>
      <c r="AO21" s="165"/>
      <c r="AP21" s="165"/>
      <c r="AQ21" s="165"/>
      <c r="AR21" s="216"/>
      <c r="AS21" s="165">
        <v>0</v>
      </c>
      <c r="AT21" s="165">
        <v>0</v>
      </c>
      <c r="AU21" s="165">
        <v>0</v>
      </c>
      <c r="AV21" s="165">
        <v>0</v>
      </c>
      <c r="AW21" s="165">
        <v>0</v>
      </c>
      <c r="AX21" s="165">
        <v>0</v>
      </c>
      <c r="AY21" s="165">
        <v>0</v>
      </c>
      <c r="AZ21" s="165">
        <v>0</v>
      </c>
      <c r="BA21" s="165">
        <v>0</v>
      </c>
      <c r="BB21" s="165"/>
      <c r="BC21" s="165"/>
      <c r="BD21" s="165"/>
      <c r="BE21" s="165"/>
      <c r="BF21" s="215">
        <v>4.1828999999999998E-3</v>
      </c>
      <c r="BG21" s="165">
        <v>1.1207699999999999E-2</v>
      </c>
      <c r="BH21" s="165">
        <v>8.6574000000000009E-3</v>
      </c>
      <c r="BI21" s="165">
        <v>1.80874E-2</v>
      </c>
      <c r="BJ21" s="165">
        <v>7.7859999999999995E-4</v>
      </c>
      <c r="BK21" s="165">
        <v>-0.13765089999999999</v>
      </c>
      <c r="BL21" s="165">
        <v>-6.3155600000000006E-2</v>
      </c>
      <c r="BM21" s="165">
        <v>4.3163999999999998E-3</v>
      </c>
      <c r="BN21" s="165">
        <v>-3.9153500000000001E-2</v>
      </c>
      <c r="BO21" s="165"/>
      <c r="BP21" s="165"/>
      <c r="BQ21" s="165"/>
      <c r="BR21" s="216"/>
      <c r="BS21" s="165">
        <v>0</v>
      </c>
      <c r="BT21" s="165">
        <v>-12.416491300000001</v>
      </c>
      <c r="BU21" s="165">
        <v>8.0134074000000002</v>
      </c>
      <c r="BV21" s="165">
        <v>1.3995419</v>
      </c>
      <c r="BW21" s="165">
        <v>1.4527231</v>
      </c>
      <c r="BX21" s="165">
        <v>-7.1976999999999999E-2</v>
      </c>
      <c r="BY21" s="165">
        <v>0</v>
      </c>
      <c r="BZ21" s="165">
        <v>0</v>
      </c>
      <c r="CA21" s="165">
        <v>0</v>
      </c>
      <c r="CB21" s="165"/>
      <c r="CC21" s="165"/>
      <c r="CD21" s="165"/>
      <c r="CE21" s="165"/>
      <c r="CF21" s="215">
        <f t="shared" si="13"/>
        <v>95.475743300000005</v>
      </c>
      <c r="CG21" s="165">
        <f t="shared" si="14"/>
        <v>82.148156900000004</v>
      </c>
      <c r="CH21" s="165">
        <f t="shared" si="15"/>
        <v>93.830075399999998</v>
      </c>
      <c r="CI21" s="165">
        <f t="shared" si="16"/>
        <v>106.98682550000001</v>
      </c>
      <c r="CJ21" s="165">
        <f t="shared" si="17"/>
        <v>129.70374529999998</v>
      </c>
      <c r="CK21" s="165">
        <f t="shared" si="18"/>
        <v>149.10481209999998</v>
      </c>
      <c r="CL21" s="165">
        <f t="shared" si="19"/>
        <v>146.1385142</v>
      </c>
      <c r="CM21" s="165">
        <f t="shared" si="20"/>
        <v>155.49637919999998</v>
      </c>
      <c r="CN21" s="165">
        <f t="shared" si="21"/>
        <v>152.26273890000002</v>
      </c>
      <c r="CO21" s="165"/>
      <c r="CP21" s="165"/>
      <c r="CQ21" s="165"/>
      <c r="CR21" s="216"/>
      <c r="CS21" s="215">
        <f t="shared" si="22"/>
        <v>91.847338300000004</v>
      </c>
      <c r="CT21" s="165">
        <f t="shared" si="23"/>
        <v>92.307329600000003</v>
      </c>
      <c r="CU21" s="165">
        <f t="shared" si="24"/>
        <v>83.035799799999992</v>
      </c>
      <c r="CV21" s="165">
        <f t="shared" si="25"/>
        <v>102.4239048</v>
      </c>
      <c r="CW21" s="165">
        <f t="shared" si="26"/>
        <v>124.75262779999997</v>
      </c>
      <c r="CX21" s="165">
        <f t="shared" si="27"/>
        <v>146.11501849999999</v>
      </c>
      <c r="CY21" s="165">
        <f t="shared" si="28"/>
        <v>142.3342006</v>
      </c>
      <c r="CZ21" s="165">
        <f t="shared" si="29"/>
        <v>151.46005909999997</v>
      </c>
      <c r="DA21" s="165">
        <f t="shared" si="30"/>
        <v>148.22728750000002</v>
      </c>
      <c r="DB21" s="165"/>
      <c r="DC21" s="165"/>
      <c r="DD21" s="165"/>
      <c r="DE21" s="216"/>
      <c r="DF21" s="17">
        <f t="shared" si="31"/>
        <v>9.1994359995728886E-2</v>
      </c>
      <c r="DG21" s="18">
        <f t="shared" si="32"/>
        <v>0.11441858898236582</v>
      </c>
      <c r="DH21" s="18">
        <f t="shared" si="33"/>
        <v>8.8267481025598754E-2</v>
      </c>
      <c r="DI21" s="18">
        <f t="shared" si="34"/>
        <v>8.6355205482753564E-2</v>
      </c>
      <c r="DJ21" s="18">
        <f t="shared" si="35"/>
        <v>7.5586665422220464E-2</v>
      </c>
      <c r="DK21" s="18">
        <f t="shared" si="36"/>
        <v>6.7235923903491521E-2</v>
      </c>
      <c r="DL21" s="18">
        <f t="shared" si="37"/>
        <v>6.8798942257208187E-2</v>
      </c>
      <c r="DM21" s="18">
        <f t="shared" si="38"/>
        <v>8.4181923510666556E-2</v>
      </c>
      <c r="DN21" s="18">
        <f t="shared" si="39"/>
        <v>8.198437575852642E-2</v>
      </c>
      <c r="DO21" s="18"/>
      <c r="DP21" s="18"/>
      <c r="DQ21" s="18"/>
      <c r="DR21" s="217"/>
      <c r="DS21" s="15"/>
      <c r="EE21" s="13"/>
      <c r="EF21" s="15"/>
      <c r="ER21" s="13"/>
      <c r="ES21" s="15"/>
      <c r="FE21" s="13"/>
      <c r="FF21" s="15"/>
      <c r="FR21" s="13"/>
    </row>
    <row r="22" spans="4:174" x14ac:dyDescent="0.25">
      <c r="E22" s="2" t="s">
        <v>4</v>
      </c>
      <c r="F22" s="165">
        <v>0</v>
      </c>
      <c r="G22" s="165">
        <v>0</v>
      </c>
      <c r="H22" s="165">
        <v>0</v>
      </c>
      <c r="I22" s="165">
        <v>0</v>
      </c>
      <c r="J22" s="165">
        <v>0</v>
      </c>
      <c r="K22" s="165">
        <v>0</v>
      </c>
      <c r="L22" s="165">
        <v>0</v>
      </c>
      <c r="M22" s="165">
        <v>0</v>
      </c>
      <c r="N22" s="165">
        <v>0</v>
      </c>
      <c r="O22" s="165"/>
      <c r="P22" s="165"/>
      <c r="Q22" s="165"/>
      <c r="R22" s="165"/>
      <c r="S22" s="215">
        <v>0</v>
      </c>
      <c r="T22" s="165">
        <v>0</v>
      </c>
      <c r="U22" s="165">
        <v>0</v>
      </c>
      <c r="V22" s="165">
        <v>0</v>
      </c>
      <c r="W22" s="165">
        <v>2.9196999999999999E-3</v>
      </c>
      <c r="X22" s="165">
        <v>6.5106000000000001E-3</v>
      </c>
      <c r="Y22" s="165">
        <v>4.3555E-3</v>
      </c>
      <c r="Z22" s="165">
        <v>0</v>
      </c>
      <c r="AA22" s="165">
        <v>0</v>
      </c>
      <c r="AB22" s="165"/>
      <c r="AC22" s="165"/>
      <c r="AD22" s="165"/>
      <c r="AE22" s="216"/>
      <c r="AF22" s="215">
        <v>0</v>
      </c>
      <c r="AG22" s="165">
        <v>0</v>
      </c>
      <c r="AH22" s="165">
        <v>0</v>
      </c>
      <c r="AI22" s="165">
        <v>0</v>
      </c>
      <c r="AJ22" s="165">
        <v>0</v>
      </c>
      <c r="AK22" s="165">
        <v>0</v>
      </c>
      <c r="AL22" s="165">
        <v>0</v>
      </c>
      <c r="AM22" s="165">
        <v>0</v>
      </c>
      <c r="AN22" s="165">
        <v>0</v>
      </c>
      <c r="AO22" s="165"/>
      <c r="AP22" s="165"/>
      <c r="AQ22" s="165"/>
      <c r="AR22" s="216"/>
      <c r="AS22" s="165">
        <v>0</v>
      </c>
      <c r="AT22" s="165">
        <v>0</v>
      </c>
      <c r="AU22" s="165">
        <v>0</v>
      </c>
      <c r="AV22" s="165">
        <v>0</v>
      </c>
      <c r="AW22" s="165">
        <v>0</v>
      </c>
      <c r="AX22" s="165">
        <v>0</v>
      </c>
      <c r="AY22" s="165">
        <v>0</v>
      </c>
      <c r="AZ22" s="165">
        <v>0</v>
      </c>
      <c r="BA22" s="165">
        <v>0</v>
      </c>
      <c r="BB22" s="165"/>
      <c r="BC22" s="165"/>
      <c r="BD22" s="165"/>
      <c r="BE22" s="165"/>
      <c r="BF22" s="215">
        <v>0</v>
      </c>
      <c r="BG22" s="165">
        <v>0</v>
      </c>
      <c r="BH22" s="165">
        <v>0</v>
      </c>
      <c r="BI22" s="165">
        <v>0</v>
      </c>
      <c r="BJ22" s="165">
        <v>0</v>
      </c>
      <c r="BK22" s="165">
        <v>0</v>
      </c>
      <c r="BL22" s="165">
        <v>0</v>
      </c>
      <c r="BM22" s="165">
        <v>0</v>
      </c>
      <c r="BN22" s="165">
        <v>0</v>
      </c>
      <c r="BO22" s="165"/>
      <c r="BP22" s="165"/>
      <c r="BQ22" s="165"/>
      <c r="BR22" s="216"/>
      <c r="BS22" s="165">
        <v>0</v>
      </c>
      <c r="BT22" s="165">
        <v>0</v>
      </c>
      <c r="BU22" s="165">
        <v>0</v>
      </c>
      <c r="BV22" s="165">
        <v>0</v>
      </c>
      <c r="BW22" s="165">
        <v>0</v>
      </c>
      <c r="BX22" s="165">
        <v>0</v>
      </c>
      <c r="BY22" s="165">
        <v>0</v>
      </c>
      <c r="BZ22" s="165">
        <v>0</v>
      </c>
      <c r="CA22" s="165">
        <v>0</v>
      </c>
      <c r="CB22" s="165"/>
      <c r="CC22" s="165"/>
      <c r="CD22" s="165"/>
      <c r="CE22" s="165"/>
      <c r="CF22" s="215">
        <f t="shared" si="13"/>
        <v>0</v>
      </c>
      <c r="CG22" s="165">
        <f t="shared" si="14"/>
        <v>0</v>
      </c>
      <c r="CH22" s="165">
        <f t="shared" si="15"/>
        <v>0</v>
      </c>
      <c r="CI22" s="165">
        <f t="shared" si="16"/>
        <v>0</v>
      </c>
      <c r="CJ22" s="165">
        <f t="shared" si="17"/>
        <v>2.9196999999999999E-3</v>
      </c>
      <c r="CK22" s="165">
        <f t="shared" si="18"/>
        <v>6.5106000000000001E-3</v>
      </c>
      <c r="CL22" s="165">
        <f t="shared" si="19"/>
        <v>4.3555E-3</v>
      </c>
      <c r="CM22" s="165">
        <f t="shared" si="20"/>
        <v>0</v>
      </c>
      <c r="CN22" s="165">
        <f t="shared" si="21"/>
        <v>0</v>
      </c>
      <c r="CO22" s="165"/>
      <c r="CP22" s="165"/>
      <c r="CQ22" s="165"/>
      <c r="CR22" s="216"/>
      <c r="CS22" s="215">
        <f t="shared" si="22"/>
        <v>0</v>
      </c>
      <c r="CT22" s="165">
        <f t="shared" si="23"/>
        <v>0</v>
      </c>
      <c r="CU22" s="165">
        <f t="shared" si="24"/>
        <v>0</v>
      </c>
      <c r="CV22" s="165">
        <f t="shared" si="25"/>
        <v>0</v>
      </c>
      <c r="CW22" s="165">
        <f t="shared" si="26"/>
        <v>2.9196999999999999E-3</v>
      </c>
      <c r="CX22" s="165">
        <f t="shared" si="27"/>
        <v>6.5106000000000001E-3</v>
      </c>
      <c r="CY22" s="165">
        <f t="shared" si="28"/>
        <v>4.3555E-3</v>
      </c>
      <c r="CZ22" s="165">
        <f t="shared" si="29"/>
        <v>0</v>
      </c>
      <c r="DA22" s="165">
        <f t="shared" si="30"/>
        <v>0</v>
      </c>
      <c r="DB22" s="165"/>
      <c r="DC22" s="165"/>
      <c r="DD22" s="165"/>
      <c r="DE22" s="216"/>
      <c r="DF22" s="17">
        <f t="shared" si="31"/>
        <v>0</v>
      </c>
      <c r="DG22" s="18">
        <f t="shared" si="32"/>
        <v>0</v>
      </c>
      <c r="DH22" s="18">
        <f t="shared" si="33"/>
        <v>0</v>
      </c>
      <c r="DI22" s="18">
        <f t="shared" si="34"/>
        <v>0</v>
      </c>
      <c r="DJ22" s="18">
        <f t="shared" si="35"/>
        <v>0</v>
      </c>
      <c r="DK22" s="18">
        <f t="shared" si="36"/>
        <v>0</v>
      </c>
      <c r="DL22" s="18">
        <f t="shared" si="37"/>
        <v>0</v>
      </c>
      <c r="DM22" s="18">
        <f t="shared" si="38"/>
        <v>0</v>
      </c>
      <c r="DN22" s="18">
        <f t="shared" si="39"/>
        <v>0</v>
      </c>
      <c r="DO22" s="18"/>
      <c r="DP22" s="18"/>
      <c r="DQ22" s="18"/>
      <c r="DR22" s="217"/>
      <c r="DS22" s="15"/>
      <c r="EE22" s="13"/>
      <c r="EF22" s="15"/>
      <c r="ER22" s="13"/>
      <c r="ES22" s="15"/>
      <c r="FE22" s="13"/>
      <c r="FF22" s="15"/>
      <c r="FR22" s="13"/>
    </row>
    <row r="23" spans="4:174" x14ac:dyDescent="0.25">
      <c r="E23" s="2" t="s">
        <v>220</v>
      </c>
      <c r="F23" s="165">
        <v>0</v>
      </c>
      <c r="G23" s="165">
        <v>0</v>
      </c>
      <c r="H23" s="165">
        <v>0</v>
      </c>
      <c r="I23" s="165">
        <v>0</v>
      </c>
      <c r="J23" s="165">
        <v>0</v>
      </c>
      <c r="K23" s="165">
        <v>0</v>
      </c>
      <c r="L23" s="165">
        <v>0</v>
      </c>
      <c r="M23" s="165">
        <v>0</v>
      </c>
      <c r="N23" s="165">
        <v>0</v>
      </c>
      <c r="O23" s="165"/>
      <c r="P23" s="165"/>
      <c r="Q23" s="165"/>
      <c r="R23" s="165"/>
      <c r="S23" s="215">
        <v>0</v>
      </c>
      <c r="T23" s="165">
        <v>2.6993999999999998E-3</v>
      </c>
      <c r="U23" s="165">
        <v>0</v>
      </c>
      <c r="V23" s="165">
        <v>0</v>
      </c>
      <c r="W23" s="165">
        <v>0</v>
      </c>
      <c r="X23" s="165">
        <v>0</v>
      </c>
      <c r="Y23" s="165">
        <v>0</v>
      </c>
      <c r="Z23" s="165">
        <v>0</v>
      </c>
      <c r="AA23" s="165">
        <v>0</v>
      </c>
      <c r="AB23" s="165"/>
      <c r="AC23" s="165"/>
      <c r="AD23" s="165"/>
      <c r="AE23" s="216"/>
      <c r="AF23" s="215">
        <v>0</v>
      </c>
      <c r="AG23" s="165">
        <v>0</v>
      </c>
      <c r="AH23" s="165">
        <v>0</v>
      </c>
      <c r="AI23" s="165">
        <v>0</v>
      </c>
      <c r="AJ23" s="165">
        <v>0</v>
      </c>
      <c r="AK23" s="165">
        <v>0</v>
      </c>
      <c r="AL23" s="165">
        <v>0</v>
      </c>
      <c r="AM23" s="165">
        <v>0</v>
      </c>
      <c r="AN23" s="165">
        <v>0</v>
      </c>
      <c r="AO23" s="165"/>
      <c r="AP23" s="165"/>
      <c r="AQ23" s="165"/>
      <c r="AR23" s="216"/>
      <c r="AS23" s="165">
        <v>0</v>
      </c>
      <c r="AT23" s="165">
        <v>0</v>
      </c>
      <c r="AU23" s="165">
        <v>0</v>
      </c>
      <c r="AV23" s="165">
        <v>0</v>
      </c>
      <c r="AW23" s="165">
        <v>0</v>
      </c>
      <c r="AX23" s="165">
        <v>0</v>
      </c>
      <c r="AY23" s="165">
        <v>0</v>
      </c>
      <c r="AZ23" s="165">
        <v>0</v>
      </c>
      <c r="BA23" s="165">
        <v>0</v>
      </c>
      <c r="BB23" s="165"/>
      <c r="BC23" s="165"/>
      <c r="BD23" s="165"/>
      <c r="BE23" s="165"/>
      <c r="BF23" s="215">
        <v>0</v>
      </c>
      <c r="BG23" s="165">
        <v>0</v>
      </c>
      <c r="BH23" s="165">
        <v>0</v>
      </c>
      <c r="BI23" s="165">
        <v>0</v>
      </c>
      <c r="BJ23" s="165">
        <v>0</v>
      </c>
      <c r="BK23" s="165">
        <v>0</v>
      </c>
      <c r="BL23" s="165">
        <v>0</v>
      </c>
      <c r="BM23" s="165">
        <v>0</v>
      </c>
      <c r="BN23" s="165">
        <v>0</v>
      </c>
      <c r="BO23" s="165"/>
      <c r="BP23" s="165"/>
      <c r="BQ23" s="165"/>
      <c r="BR23" s="216"/>
      <c r="BS23" s="165">
        <v>0</v>
      </c>
      <c r="BT23" s="165">
        <v>0</v>
      </c>
      <c r="BU23" s="165">
        <v>0</v>
      </c>
      <c r="BV23" s="165">
        <v>0</v>
      </c>
      <c r="BW23" s="165">
        <v>0</v>
      </c>
      <c r="BX23" s="165">
        <v>0</v>
      </c>
      <c r="BY23" s="165">
        <v>0</v>
      </c>
      <c r="BZ23" s="165">
        <v>0</v>
      </c>
      <c r="CA23" s="165">
        <v>0</v>
      </c>
      <c r="CB23" s="165"/>
      <c r="CC23" s="165"/>
      <c r="CD23" s="165"/>
      <c r="CE23" s="165"/>
      <c r="CF23" s="215">
        <f t="shared" si="13"/>
        <v>0</v>
      </c>
      <c r="CG23" s="165">
        <f t="shared" si="14"/>
        <v>2.6993999999999998E-3</v>
      </c>
      <c r="CH23" s="165">
        <f t="shared" si="15"/>
        <v>0</v>
      </c>
      <c r="CI23" s="165">
        <f t="shared" si="16"/>
        <v>0</v>
      </c>
      <c r="CJ23" s="165">
        <f t="shared" si="17"/>
        <v>0</v>
      </c>
      <c r="CK23" s="165">
        <f t="shared" si="18"/>
        <v>0</v>
      </c>
      <c r="CL23" s="165">
        <f t="shared" si="19"/>
        <v>0</v>
      </c>
      <c r="CM23" s="165">
        <f t="shared" si="20"/>
        <v>0</v>
      </c>
      <c r="CN23" s="165">
        <f t="shared" si="21"/>
        <v>0</v>
      </c>
      <c r="CO23" s="165"/>
      <c r="CP23" s="165"/>
      <c r="CQ23" s="165"/>
      <c r="CR23" s="216"/>
      <c r="CS23" s="215">
        <f t="shared" si="22"/>
        <v>0</v>
      </c>
      <c r="CT23" s="165">
        <f t="shared" si="23"/>
        <v>2.6993999999999998E-3</v>
      </c>
      <c r="CU23" s="165">
        <f t="shared" si="24"/>
        <v>0</v>
      </c>
      <c r="CV23" s="165">
        <f t="shared" si="25"/>
        <v>0</v>
      </c>
      <c r="CW23" s="165">
        <f t="shared" si="26"/>
        <v>0</v>
      </c>
      <c r="CX23" s="165">
        <f t="shared" si="27"/>
        <v>0</v>
      </c>
      <c r="CY23" s="165">
        <f t="shared" si="28"/>
        <v>0</v>
      </c>
      <c r="CZ23" s="165">
        <f t="shared" si="29"/>
        <v>0</v>
      </c>
      <c r="DA23" s="165">
        <f t="shared" si="30"/>
        <v>0</v>
      </c>
      <c r="DB23" s="165"/>
      <c r="DC23" s="165"/>
      <c r="DD23" s="165"/>
      <c r="DE23" s="216"/>
      <c r="DF23" s="17">
        <f t="shared" si="31"/>
        <v>0</v>
      </c>
      <c r="DG23" s="18">
        <f t="shared" si="32"/>
        <v>0</v>
      </c>
      <c r="DH23" s="18">
        <f t="shared" si="33"/>
        <v>0</v>
      </c>
      <c r="DI23" s="18">
        <f t="shared" si="34"/>
        <v>0</v>
      </c>
      <c r="DJ23" s="18">
        <f t="shared" si="35"/>
        <v>0</v>
      </c>
      <c r="DK23" s="18">
        <f t="shared" si="36"/>
        <v>0</v>
      </c>
      <c r="DL23" s="18">
        <f t="shared" si="37"/>
        <v>0</v>
      </c>
      <c r="DM23" s="18">
        <f t="shared" si="38"/>
        <v>0</v>
      </c>
      <c r="DN23" s="18">
        <f t="shared" si="39"/>
        <v>0</v>
      </c>
      <c r="DO23" s="18"/>
      <c r="DP23" s="18"/>
      <c r="DQ23" s="18"/>
      <c r="DR23" s="217"/>
      <c r="DS23" s="15"/>
      <c r="EE23" s="13"/>
      <c r="EF23" s="15"/>
      <c r="ER23" s="13"/>
      <c r="ES23" s="15"/>
      <c r="FE23" s="13"/>
      <c r="FF23" s="15"/>
      <c r="FR23" s="13"/>
    </row>
    <row r="24" spans="4:174" x14ac:dyDescent="0.25">
      <c r="E24" s="2" t="s">
        <v>9</v>
      </c>
      <c r="F24" s="165">
        <v>0</v>
      </c>
      <c r="G24" s="165">
        <v>1.3495999999999999E-2</v>
      </c>
      <c r="H24" s="165">
        <v>2.0119999999999999E-2</v>
      </c>
      <c r="I24" s="165">
        <v>3.2184999999999998E-2</v>
      </c>
      <c r="J24" s="165">
        <v>4.7900999999999999E-2</v>
      </c>
      <c r="K24" s="165">
        <v>6.3741999999999993E-2</v>
      </c>
      <c r="L24" s="165">
        <v>6.1093000000000001E-2</v>
      </c>
      <c r="M24" s="165">
        <v>0</v>
      </c>
      <c r="N24" s="165">
        <v>0</v>
      </c>
      <c r="O24" s="165"/>
      <c r="P24" s="165"/>
      <c r="Q24" s="165"/>
      <c r="R24" s="165"/>
      <c r="S24" s="215">
        <v>5.59973E-2</v>
      </c>
      <c r="T24" s="165">
        <v>5.4283600000000001E-2</v>
      </c>
      <c r="U24" s="165">
        <v>5.6121400000000002E-2</v>
      </c>
      <c r="V24" s="165">
        <v>5.8793199999999997E-2</v>
      </c>
      <c r="W24" s="165">
        <v>7.4793799999999994E-2</v>
      </c>
      <c r="X24" s="165">
        <v>0.1131431</v>
      </c>
      <c r="Y24" s="165">
        <v>9.6777699999999994E-2</v>
      </c>
      <c r="Z24" s="165">
        <v>0</v>
      </c>
      <c r="AA24" s="165">
        <v>0</v>
      </c>
      <c r="AB24" s="165"/>
      <c r="AC24" s="165"/>
      <c r="AD24" s="165"/>
      <c r="AE24" s="216"/>
      <c r="AF24" s="215">
        <v>0</v>
      </c>
      <c r="AG24" s="165">
        <v>0</v>
      </c>
      <c r="AH24" s="165">
        <v>0</v>
      </c>
      <c r="AI24" s="165">
        <v>0</v>
      </c>
      <c r="AJ24" s="165">
        <v>0</v>
      </c>
      <c r="AK24" s="165">
        <v>0</v>
      </c>
      <c r="AL24" s="165">
        <v>0</v>
      </c>
      <c r="AM24" s="165">
        <v>0</v>
      </c>
      <c r="AN24" s="165">
        <v>0</v>
      </c>
      <c r="AO24" s="165"/>
      <c r="AP24" s="165"/>
      <c r="AQ24" s="165"/>
      <c r="AR24" s="216"/>
      <c r="AS24" s="165">
        <v>0</v>
      </c>
      <c r="AT24" s="165">
        <v>0</v>
      </c>
      <c r="AU24" s="165">
        <v>0</v>
      </c>
      <c r="AV24" s="165">
        <v>0</v>
      </c>
      <c r="AW24" s="165">
        <v>0</v>
      </c>
      <c r="AX24" s="165">
        <v>0</v>
      </c>
      <c r="AY24" s="165">
        <v>0</v>
      </c>
      <c r="AZ24" s="165">
        <v>0</v>
      </c>
      <c r="BA24" s="165">
        <v>0</v>
      </c>
      <c r="BB24" s="165"/>
      <c r="BC24" s="165"/>
      <c r="BD24" s="165"/>
      <c r="BE24" s="165"/>
      <c r="BF24" s="215">
        <v>0</v>
      </c>
      <c r="BG24" s="165">
        <v>0</v>
      </c>
      <c r="BH24" s="165">
        <v>0</v>
      </c>
      <c r="BI24" s="165">
        <v>0</v>
      </c>
      <c r="BJ24" s="165">
        <v>0</v>
      </c>
      <c r="BK24" s="165">
        <v>0</v>
      </c>
      <c r="BL24" s="165">
        <v>0</v>
      </c>
      <c r="BM24" s="165">
        <v>0</v>
      </c>
      <c r="BN24" s="165">
        <v>0</v>
      </c>
      <c r="BO24" s="165"/>
      <c r="BP24" s="165"/>
      <c r="BQ24" s="165"/>
      <c r="BR24" s="216"/>
      <c r="BS24" s="165">
        <v>0</v>
      </c>
      <c r="BT24" s="165">
        <v>0</v>
      </c>
      <c r="BU24" s="165">
        <v>0</v>
      </c>
      <c r="BV24" s="165">
        <v>0</v>
      </c>
      <c r="BW24" s="165">
        <v>0</v>
      </c>
      <c r="BX24" s="165">
        <v>0</v>
      </c>
      <c r="BY24" s="165">
        <v>0</v>
      </c>
      <c r="BZ24" s="165">
        <v>0</v>
      </c>
      <c r="CA24" s="165">
        <v>0</v>
      </c>
      <c r="CB24" s="165"/>
      <c r="CC24" s="165"/>
      <c r="CD24" s="165"/>
      <c r="CE24" s="165"/>
      <c r="CF24" s="215">
        <f t="shared" si="13"/>
        <v>5.59973E-2</v>
      </c>
      <c r="CG24" s="165">
        <f t="shared" si="14"/>
        <v>5.4283600000000001E-2</v>
      </c>
      <c r="CH24" s="165">
        <f t="shared" si="15"/>
        <v>5.6121400000000002E-2</v>
      </c>
      <c r="CI24" s="165">
        <f t="shared" si="16"/>
        <v>5.8793199999999997E-2</v>
      </c>
      <c r="CJ24" s="165">
        <f t="shared" si="17"/>
        <v>7.4793799999999994E-2</v>
      </c>
      <c r="CK24" s="165">
        <f t="shared" si="18"/>
        <v>0.1131431</v>
      </c>
      <c r="CL24" s="165">
        <f t="shared" si="19"/>
        <v>9.6777699999999994E-2</v>
      </c>
      <c r="CM24" s="165">
        <f t="shared" si="20"/>
        <v>0</v>
      </c>
      <c r="CN24" s="165">
        <f t="shared" si="21"/>
        <v>0</v>
      </c>
      <c r="CO24" s="165"/>
      <c r="CP24" s="165"/>
      <c r="CQ24" s="165"/>
      <c r="CR24" s="216"/>
      <c r="CS24" s="215">
        <f t="shared" si="22"/>
        <v>5.59973E-2</v>
      </c>
      <c r="CT24" s="165">
        <f t="shared" si="23"/>
        <v>4.07876E-2</v>
      </c>
      <c r="CU24" s="165">
        <f t="shared" si="24"/>
        <v>3.6001400000000003E-2</v>
      </c>
      <c r="CV24" s="165">
        <f t="shared" si="25"/>
        <v>2.6608199999999999E-2</v>
      </c>
      <c r="CW24" s="165">
        <f t="shared" si="26"/>
        <v>2.6892799999999994E-2</v>
      </c>
      <c r="CX24" s="165">
        <f t="shared" si="27"/>
        <v>4.9401100000000003E-2</v>
      </c>
      <c r="CY24" s="165">
        <f t="shared" si="28"/>
        <v>3.5684699999999993E-2</v>
      </c>
      <c r="CZ24" s="165">
        <f t="shared" si="29"/>
        <v>0</v>
      </c>
      <c r="DA24" s="165">
        <f t="shared" si="30"/>
        <v>0</v>
      </c>
      <c r="DB24" s="165"/>
      <c r="DC24" s="165"/>
      <c r="DD24" s="165"/>
      <c r="DE24" s="216"/>
      <c r="DF24" s="17">
        <f t="shared" si="31"/>
        <v>0</v>
      </c>
      <c r="DG24" s="18">
        <f t="shared" si="32"/>
        <v>0</v>
      </c>
      <c r="DH24" s="18">
        <f t="shared" si="33"/>
        <v>0</v>
      </c>
      <c r="DI24" s="18">
        <f t="shared" si="34"/>
        <v>0</v>
      </c>
      <c r="DJ24" s="18">
        <f t="shared" si="35"/>
        <v>0</v>
      </c>
      <c r="DK24" s="18">
        <f t="shared" si="36"/>
        <v>0</v>
      </c>
      <c r="DL24" s="18">
        <f t="shared" si="37"/>
        <v>0</v>
      </c>
      <c r="DM24" s="18">
        <f t="shared" si="38"/>
        <v>0</v>
      </c>
      <c r="DN24" s="18">
        <f t="shared" si="39"/>
        <v>0</v>
      </c>
      <c r="DO24" s="18"/>
      <c r="DP24" s="18"/>
      <c r="DQ24" s="18"/>
      <c r="DR24" s="217"/>
      <c r="DS24" s="15"/>
      <c r="EE24" s="13"/>
      <c r="EF24" s="15"/>
      <c r="ER24" s="13"/>
      <c r="ES24" s="15"/>
      <c r="FE24" s="13"/>
      <c r="FF24" s="15"/>
      <c r="FR24" s="13"/>
    </row>
    <row r="25" spans="4:174" x14ac:dyDescent="0.25">
      <c r="E25" s="2" t="s">
        <v>12</v>
      </c>
      <c r="F25" s="165">
        <v>0</v>
      </c>
      <c r="G25" s="165">
        <v>0</v>
      </c>
      <c r="H25" s="165">
        <v>0</v>
      </c>
      <c r="I25" s="165">
        <v>0</v>
      </c>
      <c r="J25" s="165">
        <v>0</v>
      </c>
      <c r="K25" s="165">
        <v>0</v>
      </c>
      <c r="L25" s="165">
        <v>0</v>
      </c>
      <c r="M25" s="165">
        <v>0</v>
      </c>
      <c r="N25" s="165">
        <v>0</v>
      </c>
      <c r="O25" s="165"/>
      <c r="P25" s="165"/>
      <c r="Q25" s="165"/>
      <c r="R25" s="165"/>
      <c r="S25" s="215">
        <v>5.0115100000000003E-2</v>
      </c>
      <c r="T25" s="165">
        <v>3.4567199999999999E-2</v>
      </c>
      <c r="U25" s="165">
        <v>4.6052200000000001E-2</v>
      </c>
      <c r="V25" s="165">
        <v>5.6343299999999999E-2</v>
      </c>
      <c r="W25" s="165">
        <v>8.2303899999999999E-2</v>
      </c>
      <c r="X25" s="165">
        <v>6.6482600000000003E-2</v>
      </c>
      <c r="Y25" s="165">
        <v>6.5154400000000001E-2</v>
      </c>
      <c r="Z25" s="165">
        <v>6.2904500000000002E-2</v>
      </c>
      <c r="AA25" s="165">
        <v>5.9897300000000001E-2</v>
      </c>
      <c r="AB25" s="165"/>
      <c r="AC25" s="165"/>
      <c r="AD25" s="165"/>
      <c r="AE25" s="216"/>
      <c r="AF25" s="215">
        <v>0</v>
      </c>
      <c r="AG25" s="165">
        <v>0</v>
      </c>
      <c r="AH25" s="165">
        <v>0</v>
      </c>
      <c r="AI25" s="165">
        <v>0</v>
      </c>
      <c r="AJ25" s="165">
        <v>0</v>
      </c>
      <c r="AK25" s="165">
        <v>0</v>
      </c>
      <c r="AL25" s="165">
        <v>0</v>
      </c>
      <c r="AM25" s="165">
        <v>0</v>
      </c>
      <c r="AN25" s="165">
        <v>0</v>
      </c>
      <c r="AO25" s="165"/>
      <c r="AP25" s="165"/>
      <c r="AQ25" s="165"/>
      <c r="AR25" s="216"/>
      <c r="AS25" s="165">
        <v>0</v>
      </c>
      <c r="AT25" s="165">
        <v>0</v>
      </c>
      <c r="AU25" s="165">
        <v>0</v>
      </c>
      <c r="AV25" s="165">
        <v>0</v>
      </c>
      <c r="AW25" s="165">
        <v>0</v>
      </c>
      <c r="AX25" s="165">
        <v>0</v>
      </c>
      <c r="AY25" s="165">
        <v>0</v>
      </c>
      <c r="AZ25" s="165">
        <v>0</v>
      </c>
      <c r="BA25" s="165">
        <v>0</v>
      </c>
      <c r="BB25" s="165"/>
      <c r="BC25" s="165"/>
      <c r="BD25" s="165"/>
      <c r="BE25" s="165"/>
      <c r="BF25" s="215">
        <v>0</v>
      </c>
      <c r="BG25" s="165">
        <v>0</v>
      </c>
      <c r="BH25" s="165">
        <v>0</v>
      </c>
      <c r="BI25" s="165">
        <v>0</v>
      </c>
      <c r="BJ25" s="165">
        <v>0</v>
      </c>
      <c r="BK25" s="165">
        <v>0</v>
      </c>
      <c r="BL25" s="165">
        <v>0</v>
      </c>
      <c r="BM25" s="165">
        <v>0</v>
      </c>
      <c r="BN25" s="165">
        <v>0</v>
      </c>
      <c r="BO25" s="165"/>
      <c r="BP25" s="165"/>
      <c r="BQ25" s="165"/>
      <c r="BR25" s="216"/>
      <c r="BS25" s="165">
        <v>0</v>
      </c>
      <c r="BT25" s="165">
        <v>0</v>
      </c>
      <c r="BU25" s="165">
        <v>0</v>
      </c>
      <c r="BV25" s="165">
        <v>0</v>
      </c>
      <c r="BW25" s="165">
        <v>8.2419999999999998E-4</v>
      </c>
      <c r="BX25" s="165">
        <v>-4.0299999999999997E-5</v>
      </c>
      <c r="BY25" s="165">
        <v>0</v>
      </c>
      <c r="BZ25" s="165">
        <v>0</v>
      </c>
      <c r="CA25" s="165">
        <v>0</v>
      </c>
      <c r="CB25" s="165"/>
      <c r="CC25" s="165"/>
      <c r="CD25" s="165"/>
      <c r="CE25" s="165"/>
      <c r="CF25" s="215">
        <f t="shared" si="13"/>
        <v>5.0115100000000003E-2</v>
      </c>
      <c r="CG25" s="165">
        <f t="shared" si="14"/>
        <v>3.4567199999999999E-2</v>
      </c>
      <c r="CH25" s="165">
        <f t="shared" si="15"/>
        <v>4.6052200000000001E-2</v>
      </c>
      <c r="CI25" s="165">
        <f t="shared" si="16"/>
        <v>5.6343299999999999E-2</v>
      </c>
      <c r="CJ25" s="165">
        <f t="shared" si="17"/>
        <v>8.2303899999999999E-2</v>
      </c>
      <c r="CK25" s="165">
        <f t="shared" si="18"/>
        <v>6.6482600000000003E-2</v>
      </c>
      <c r="CL25" s="165">
        <f t="shared" si="19"/>
        <v>6.5154400000000001E-2</v>
      </c>
      <c r="CM25" s="165">
        <f t="shared" si="20"/>
        <v>6.2904500000000002E-2</v>
      </c>
      <c r="CN25" s="165">
        <f t="shared" si="21"/>
        <v>5.9897300000000001E-2</v>
      </c>
      <c r="CO25" s="165"/>
      <c r="CP25" s="165"/>
      <c r="CQ25" s="165"/>
      <c r="CR25" s="216"/>
      <c r="CS25" s="215">
        <f t="shared" si="22"/>
        <v>5.0115100000000003E-2</v>
      </c>
      <c r="CT25" s="165">
        <f t="shared" si="23"/>
        <v>3.4567199999999999E-2</v>
      </c>
      <c r="CU25" s="165">
        <f t="shared" si="24"/>
        <v>4.6052200000000001E-2</v>
      </c>
      <c r="CV25" s="165">
        <f t="shared" si="25"/>
        <v>5.6343299999999999E-2</v>
      </c>
      <c r="CW25" s="165">
        <f t="shared" si="26"/>
        <v>8.1479700000000002E-2</v>
      </c>
      <c r="CX25" s="165">
        <f t="shared" si="27"/>
        <v>6.6522899999999996E-2</v>
      </c>
      <c r="CY25" s="165">
        <f t="shared" si="28"/>
        <v>6.5154400000000001E-2</v>
      </c>
      <c r="CZ25" s="165">
        <f t="shared" si="29"/>
        <v>6.2904500000000002E-2</v>
      </c>
      <c r="DA25" s="165">
        <f t="shared" si="30"/>
        <v>5.9897300000000001E-2</v>
      </c>
      <c r="DB25" s="165"/>
      <c r="DC25" s="165"/>
      <c r="DD25" s="165"/>
      <c r="DE25" s="216"/>
      <c r="DF25" s="17">
        <f t="shared" si="31"/>
        <v>0</v>
      </c>
      <c r="DG25" s="18">
        <f t="shared" si="32"/>
        <v>0</v>
      </c>
      <c r="DH25" s="18">
        <f t="shared" si="33"/>
        <v>0</v>
      </c>
      <c r="DI25" s="18">
        <f t="shared" si="34"/>
        <v>0</v>
      </c>
      <c r="DJ25" s="18">
        <f t="shared" si="35"/>
        <v>0</v>
      </c>
      <c r="DK25" s="18">
        <f t="shared" si="36"/>
        <v>0</v>
      </c>
      <c r="DL25" s="18">
        <f t="shared" si="37"/>
        <v>0</v>
      </c>
      <c r="DM25" s="18">
        <f t="shared" si="38"/>
        <v>0</v>
      </c>
      <c r="DN25" s="18">
        <f t="shared" si="39"/>
        <v>0</v>
      </c>
      <c r="DO25" s="18"/>
      <c r="DP25" s="18"/>
      <c r="DQ25" s="18"/>
      <c r="DR25" s="217"/>
      <c r="DS25" s="15"/>
      <c r="EE25" s="13"/>
      <c r="EF25" s="15"/>
      <c r="ER25" s="13"/>
      <c r="ES25" s="15"/>
      <c r="FE25" s="13"/>
      <c r="FF25" s="15"/>
      <c r="FR25" s="13"/>
    </row>
    <row r="26" spans="4:174" x14ac:dyDescent="0.25">
      <c r="F26" s="165"/>
      <c r="G26" s="165"/>
      <c r="H26" s="165"/>
      <c r="I26" s="165"/>
      <c r="J26" s="165"/>
      <c r="K26" s="165"/>
      <c r="L26" s="165"/>
      <c r="M26" s="165"/>
      <c r="N26" s="165"/>
      <c r="O26" s="165"/>
      <c r="P26" s="165"/>
      <c r="Q26" s="165"/>
      <c r="R26" s="165"/>
      <c r="S26" s="215"/>
      <c r="T26" s="165"/>
      <c r="U26" s="165"/>
      <c r="V26" s="165"/>
      <c r="W26" s="165"/>
      <c r="X26" s="165"/>
      <c r="Y26" s="165"/>
      <c r="Z26" s="165"/>
      <c r="AA26" s="165"/>
      <c r="AB26" s="165"/>
      <c r="AC26" s="165"/>
      <c r="AD26" s="165"/>
      <c r="AE26" s="216"/>
      <c r="AF26" s="215"/>
      <c r="AG26" s="165"/>
      <c r="AH26" s="165"/>
      <c r="AI26" s="165"/>
      <c r="AJ26" s="165"/>
      <c r="AK26" s="165"/>
      <c r="AL26" s="165"/>
      <c r="AM26" s="165"/>
      <c r="AN26" s="165"/>
      <c r="AO26" s="165"/>
      <c r="AP26" s="165"/>
      <c r="AQ26" s="165"/>
      <c r="AR26" s="216"/>
      <c r="AS26" s="165"/>
      <c r="AT26" s="165"/>
      <c r="AU26" s="165"/>
      <c r="AV26" s="165"/>
      <c r="AW26" s="165"/>
      <c r="AX26" s="165"/>
      <c r="AY26" s="165"/>
      <c r="AZ26" s="165"/>
      <c r="BA26" s="165"/>
      <c r="BB26" s="165"/>
      <c r="BC26" s="165"/>
      <c r="BD26" s="165"/>
      <c r="BE26" s="165"/>
      <c r="BF26" s="215"/>
      <c r="BG26" s="165"/>
      <c r="BH26" s="165"/>
      <c r="BI26" s="165"/>
      <c r="BJ26" s="165"/>
      <c r="BK26" s="165"/>
      <c r="BL26" s="165"/>
      <c r="BM26" s="165"/>
      <c r="BN26" s="165"/>
      <c r="BO26" s="165"/>
      <c r="BP26" s="165"/>
      <c r="BQ26" s="165"/>
      <c r="BR26" s="216"/>
      <c r="BS26" s="165"/>
      <c r="BT26" s="165"/>
      <c r="BU26" s="165"/>
      <c r="BV26" s="165"/>
      <c r="BW26" s="165"/>
      <c r="BX26" s="165"/>
      <c r="BY26" s="165"/>
      <c r="BZ26" s="165"/>
      <c r="CA26" s="165"/>
      <c r="CB26" s="165"/>
      <c r="CC26" s="165"/>
      <c r="CD26" s="165"/>
      <c r="CE26" s="165"/>
      <c r="CF26" s="215"/>
      <c r="CG26" s="165"/>
      <c r="CH26" s="165"/>
      <c r="CI26" s="165"/>
      <c r="CJ26" s="165"/>
      <c r="CK26" s="165"/>
      <c r="CL26" s="165"/>
      <c r="CM26" s="165"/>
      <c r="CN26" s="165"/>
      <c r="CO26" s="165"/>
      <c r="CP26" s="165"/>
      <c r="CQ26" s="165"/>
      <c r="CR26" s="216"/>
      <c r="CS26" s="215"/>
      <c r="CT26" s="165"/>
      <c r="CU26" s="165"/>
      <c r="CV26" s="165"/>
      <c r="CW26" s="165"/>
      <c r="CX26" s="165"/>
      <c r="CY26" s="165"/>
      <c r="CZ26" s="165"/>
      <c r="DA26" s="165"/>
      <c r="DB26" s="165"/>
      <c r="DC26" s="165"/>
      <c r="DD26" s="165"/>
      <c r="DE26" s="216"/>
      <c r="DF26" s="17"/>
      <c r="DG26" s="18"/>
      <c r="DH26" s="18"/>
      <c r="DI26" s="18"/>
      <c r="DJ26" s="18"/>
      <c r="DK26" s="18"/>
      <c r="DL26" s="18"/>
      <c r="DM26" s="18"/>
      <c r="DN26" s="18"/>
      <c r="DO26" s="18"/>
      <c r="DP26" s="18"/>
      <c r="DQ26" s="18"/>
      <c r="DR26" s="217"/>
      <c r="DS26" s="15"/>
      <c r="EE26" s="13"/>
      <c r="EF26" s="15"/>
      <c r="ER26" s="13"/>
      <c r="ES26" s="15"/>
      <c r="FE26" s="13"/>
      <c r="FF26" s="15"/>
      <c r="FR26" s="13"/>
    </row>
    <row r="27" spans="4:174" x14ac:dyDescent="0.25">
      <c r="F27" s="165"/>
      <c r="G27" s="165"/>
      <c r="H27" s="165"/>
      <c r="I27" s="165"/>
      <c r="J27" s="165"/>
      <c r="K27" s="165"/>
      <c r="L27" s="165"/>
      <c r="M27" s="165"/>
      <c r="N27" s="165"/>
      <c r="O27" s="165"/>
      <c r="P27" s="165"/>
      <c r="Q27" s="165"/>
      <c r="R27" s="165"/>
      <c r="S27" s="215"/>
      <c r="T27" s="165"/>
      <c r="U27" s="165"/>
      <c r="V27" s="165"/>
      <c r="W27" s="165"/>
      <c r="X27" s="165"/>
      <c r="Y27" s="165"/>
      <c r="Z27" s="165"/>
      <c r="AA27" s="165"/>
      <c r="AB27" s="165"/>
      <c r="AC27" s="165"/>
      <c r="AD27" s="165"/>
      <c r="AE27" s="216"/>
      <c r="AF27" s="215"/>
      <c r="AG27" s="165"/>
      <c r="AH27" s="165"/>
      <c r="AI27" s="165"/>
      <c r="AJ27" s="165"/>
      <c r="AK27" s="165"/>
      <c r="AL27" s="165"/>
      <c r="AM27" s="165"/>
      <c r="AN27" s="165"/>
      <c r="AO27" s="165"/>
      <c r="AP27" s="165"/>
      <c r="AQ27" s="165"/>
      <c r="AR27" s="216"/>
      <c r="AS27" s="165"/>
      <c r="AT27" s="165"/>
      <c r="AU27" s="165"/>
      <c r="AV27" s="165"/>
      <c r="AW27" s="165"/>
      <c r="AX27" s="165"/>
      <c r="AY27" s="165"/>
      <c r="AZ27" s="165"/>
      <c r="BA27" s="165"/>
      <c r="BB27" s="165"/>
      <c r="BC27" s="165"/>
      <c r="BD27" s="165"/>
      <c r="BE27" s="165"/>
      <c r="BF27" s="215"/>
      <c r="BG27" s="165"/>
      <c r="BH27" s="165"/>
      <c r="BI27" s="165"/>
      <c r="BJ27" s="165"/>
      <c r="BK27" s="165"/>
      <c r="BL27" s="165"/>
      <c r="BM27" s="165"/>
      <c r="BN27" s="165"/>
      <c r="BO27" s="165"/>
      <c r="BP27" s="165"/>
      <c r="BQ27" s="165"/>
      <c r="BR27" s="216"/>
      <c r="BS27" s="165"/>
      <c r="BT27" s="165"/>
      <c r="BU27" s="165"/>
      <c r="BV27" s="165"/>
      <c r="BW27" s="165"/>
      <c r="BX27" s="165"/>
      <c r="BY27" s="165"/>
      <c r="BZ27" s="165"/>
      <c r="CA27" s="165"/>
      <c r="CB27" s="165"/>
      <c r="CC27" s="165"/>
      <c r="CD27" s="165"/>
      <c r="CE27" s="165"/>
      <c r="CF27" s="215"/>
      <c r="CG27" s="165"/>
      <c r="CH27" s="165"/>
      <c r="CI27" s="165"/>
      <c r="CJ27" s="165"/>
      <c r="CK27" s="165"/>
      <c r="CL27" s="165"/>
      <c r="CM27" s="165"/>
      <c r="CN27" s="165"/>
      <c r="CO27" s="165"/>
      <c r="CP27" s="165"/>
      <c r="CQ27" s="165"/>
      <c r="CR27" s="216"/>
      <c r="CS27" s="215"/>
      <c r="CT27" s="165"/>
      <c r="CU27" s="165"/>
      <c r="CV27" s="165"/>
      <c r="CW27" s="165"/>
      <c r="CX27" s="165"/>
      <c r="CY27" s="165"/>
      <c r="CZ27" s="165"/>
      <c r="DA27" s="165"/>
      <c r="DB27" s="165"/>
      <c r="DC27" s="165"/>
      <c r="DD27" s="165"/>
      <c r="DE27" s="216"/>
      <c r="DF27" s="17"/>
      <c r="DG27" s="18"/>
      <c r="DH27" s="18"/>
      <c r="DI27" s="18"/>
      <c r="DJ27" s="18"/>
      <c r="DK27" s="18"/>
      <c r="DL27" s="18"/>
      <c r="DM27" s="18"/>
      <c r="DN27" s="18"/>
      <c r="DO27" s="18"/>
      <c r="DP27" s="18"/>
      <c r="DQ27" s="18"/>
      <c r="DR27" s="217"/>
      <c r="DS27" s="15"/>
      <c r="EE27" s="13"/>
      <c r="EF27" s="15"/>
      <c r="ER27" s="13"/>
      <c r="ES27" s="15"/>
      <c r="FE27" s="13"/>
      <c r="FF27" s="15"/>
      <c r="FR27" s="13"/>
    </row>
    <row r="28" spans="4:174" x14ac:dyDescent="0.25">
      <c r="F28" s="165"/>
      <c r="G28" s="165"/>
      <c r="H28" s="165"/>
      <c r="I28" s="165"/>
      <c r="J28" s="165"/>
      <c r="K28" s="165"/>
      <c r="L28" s="165"/>
      <c r="M28" s="165"/>
      <c r="N28" s="165"/>
      <c r="O28" s="165"/>
      <c r="P28" s="165"/>
      <c r="Q28" s="165"/>
      <c r="R28" s="165"/>
      <c r="S28" s="215"/>
      <c r="T28" s="165"/>
      <c r="U28" s="165"/>
      <c r="V28" s="165"/>
      <c r="W28" s="165"/>
      <c r="X28" s="165"/>
      <c r="Y28" s="165"/>
      <c r="Z28" s="165"/>
      <c r="AA28" s="165"/>
      <c r="AB28" s="165"/>
      <c r="AC28" s="165"/>
      <c r="AD28" s="165"/>
      <c r="AE28" s="216"/>
      <c r="AF28" s="215"/>
      <c r="AG28" s="165"/>
      <c r="AH28" s="165"/>
      <c r="AI28" s="165"/>
      <c r="AJ28" s="165"/>
      <c r="AK28" s="165"/>
      <c r="AL28" s="165"/>
      <c r="AM28" s="165"/>
      <c r="AN28" s="165"/>
      <c r="AO28" s="165"/>
      <c r="AP28" s="165"/>
      <c r="AQ28" s="165"/>
      <c r="AR28" s="216"/>
      <c r="AS28" s="165"/>
      <c r="AT28" s="165"/>
      <c r="AU28" s="165"/>
      <c r="AV28" s="165"/>
      <c r="AW28" s="165"/>
      <c r="AX28" s="165"/>
      <c r="AY28" s="165"/>
      <c r="AZ28" s="165"/>
      <c r="BA28" s="165"/>
      <c r="BB28" s="165"/>
      <c r="BC28" s="165"/>
      <c r="BD28" s="165"/>
      <c r="BE28" s="165"/>
      <c r="BF28" s="215"/>
      <c r="BG28" s="165"/>
      <c r="BH28" s="165"/>
      <c r="BI28" s="165"/>
      <c r="BJ28" s="165"/>
      <c r="BK28" s="165"/>
      <c r="BL28" s="165"/>
      <c r="BM28" s="165"/>
      <c r="BN28" s="165"/>
      <c r="BO28" s="165"/>
      <c r="BP28" s="165"/>
      <c r="BQ28" s="165"/>
      <c r="BR28" s="216"/>
      <c r="BS28" s="165"/>
      <c r="BT28" s="165"/>
      <c r="BU28" s="165"/>
      <c r="BV28" s="165"/>
      <c r="BW28" s="165"/>
      <c r="BX28" s="165"/>
      <c r="BY28" s="165"/>
      <c r="BZ28" s="165"/>
      <c r="CA28" s="165"/>
      <c r="CB28" s="165"/>
      <c r="CC28" s="165"/>
      <c r="CD28" s="165"/>
      <c r="CE28" s="165"/>
      <c r="CF28" s="215"/>
      <c r="CG28" s="165"/>
      <c r="CH28" s="165"/>
      <c r="CI28" s="165"/>
      <c r="CJ28" s="165"/>
      <c r="CK28" s="165"/>
      <c r="CL28" s="165"/>
      <c r="CM28" s="165"/>
      <c r="CN28" s="165"/>
      <c r="CO28" s="165"/>
      <c r="CP28" s="165"/>
      <c r="CQ28" s="165"/>
      <c r="CR28" s="216"/>
      <c r="CS28" s="215"/>
      <c r="CT28" s="165"/>
      <c r="CU28" s="165"/>
      <c r="CV28" s="165"/>
      <c r="CW28" s="165"/>
      <c r="CX28" s="165"/>
      <c r="CY28" s="165"/>
      <c r="CZ28" s="165"/>
      <c r="DA28" s="165"/>
      <c r="DB28" s="165"/>
      <c r="DC28" s="165"/>
      <c r="DD28" s="165"/>
      <c r="DE28" s="216"/>
      <c r="DF28" s="17"/>
      <c r="DG28" s="18"/>
      <c r="DH28" s="18"/>
      <c r="DI28" s="18"/>
      <c r="DJ28" s="18"/>
      <c r="DK28" s="18"/>
      <c r="DL28" s="18"/>
      <c r="DM28" s="18"/>
      <c r="DN28" s="18"/>
      <c r="DO28" s="18"/>
      <c r="DP28" s="18"/>
      <c r="DQ28" s="18"/>
      <c r="DR28" s="217"/>
      <c r="DS28" s="15"/>
      <c r="EE28" s="13"/>
      <c r="EF28" s="15"/>
      <c r="ER28" s="13"/>
      <c r="ES28" s="15"/>
      <c r="FE28" s="13"/>
      <c r="FF28" s="15"/>
      <c r="FR28" s="13"/>
    </row>
    <row r="29" spans="4:174" x14ac:dyDescent="0.25">
      <c r="F29" s="165"/>
      <c r="G29" s="165"/>
      <c r="H29" s="165"/>
      <c r="I29" s="165"/>
      <c r="J29" s="165"/>
      <c r="K29" s="165"/>
      <c r="L29" s="165"/>
      <c r="M29" s="165"/>
      <c r="N29" s="165"/>
      <c r="O29" s="165"/>
      <c r="P29" s="165"/>
      <c r="Q29" s="165"/>
      <c r="R29" s="165"/>
      <c r="S29" s="215"/>
      <c r="T29" s="165"/>
      <c r="U29" s="165"/>
      <c r="V29" s="165"/>
      <c r="W29" s="165"/>
      <c r="X29" s="165"/>
      <c r="Y29" s="165"/>
      <c r="Z29" s="165"/>
      <c r="AA29" s="165"/>
      <c r="AB29" s="165"/>
      <c r="AC29" s="165"/>
      <c r="AD29" s="165"/>
      <c r="AE29" s="216"/>
      <c r="AF29" s="215"/>
      <c r="AG29" s="165"/>
      <c r="AH29" s="165"/>
      <c r="AI29" s="165"/>
      <c r="AJ29" s="165"/>
      <c r="AK29" s="165"/>
      <c r="AL29" s="165"/>
      <c r="AM29" s="165"/>
      <c r="AN29" s="165"/>
      <c r="AO29" s="165"/>
      <c r="AP29" s="165"/>
      <c r="AQ29" s="165"/>
      <c r="AR29" s="216"/>
      <c r="AS29" s="165"/>
      <c r="AT29" s="165"/>
      <c r="AU29" s="165"/>
      <c r="AV29" s="165"/>
      <c r="AW29" s="165"/>
      <c r="AX29" s="165"/>
      <c r="AY29" s="165"/>
      <c r="AZ29" s="165"/>
      <c r="BA29" s="165"/>
      <c r="BB29" s="165"/>
      <c r="BC29" s="165"/>
      <c r="BD29" s="165"/>
      <c r="BE29" s="165"/>
      <c r="BF29" s="215"/>
      <c r="BG29" s="165"/>
      <c r="BH29" s="165"/>
      <c r="BI29" s="165"/>
      <c r="BJ29" s="165"/>
      <c r="BK29" s="165"/>
      <c r="BL29" s="165"/>
      <c r="BM29" s="165"/>
      <c r="BN29" s="165"/>
      <c r="BO29" s="165"/>
      <c r="BP29" s="165"/>
      <c r="BQ29" s="165"/>
      <c r="BR29" s="216"/>
      <c r="BS29" s="165"/>
      <c r="BT29" s="165"/>
      <c r="BU29" s="165"/>
      <c r="BV29" s="165"/>
      <c r="BW29" s="165"/>
      <c r="BX29" s="165"/>
      <c r="BY29" s="165"/>
      <c r="BZ29" s="165"/>
      <c r="CA29" s="165"/>
      <c r="CB29" s="165"/>
      <c r="CC29" s="165"/>
      <c r="CD29" s="165"/>
      <c r="CE29" s="165"/>
      <c r="CF29" s="215"/>
      <c r="CG29" s="165"/>
      <c r="CH29" s="165"/>
      <c r="CI29" s="165"/>
      <c r="CJ29" s="165"/>
      <c r="CK29" s="165"/>
      <c r="CL29" s="165"/>
      <c r="CM29" s="165"/>
      <c r="CN29" s="165"/>
      <c r="CO29" s="165"/>
      <c r="CP29" s="165"/>
      <c r="CQ29" s="165"/>
      <c r="CR29" s="216"/>
      <c r="CS29" s="215"/>
      <c r="CT29" s="165"/>
      <c r="CU29" s="165"/>
      <c r="CV29" s="165"/>
      <c r="CW29" s="165"/>
      <c r="CX29" s="165"/>
      <c r="CY29" s="165"/>
      <c r="CZ29" s="165"/>
      <c r="DA29" s="165"/>
      <c r="DB29" s="165"/>
      <c r="DC29" s="165"/>
      <c r="DD29" s="165"/>
      <c r="DE29" s="216"/>
      <c r="DF29" s="17"/>
      <c r="DG29" s="18"/>
      <c r="DH29" s="18"/>
      <c r="DI29" s="18"/>
      <c r="DJ29" s="18"/>
      <c r="DK29" s="18"/>
      <c r="DL29" s="18"/>
      <c r="DM29" s="18"/>
      <c r="DN29" s="18"/>
      <c r="DO29" s="18"/>
      <c r="DP29" s="18"/>
      <c r="DQ29" s="18"/>
      <c r="DR29" s="217"/>
      <c r="DS29" s="15"/>
      <c r="EE29" s="13"/>
      <c r="EF29" s="15"/>
      <c r="ER29" s="13"/>
      <c r="ES29" s="15"/>
      <c r="FE29" s="13"/>
      <c r="FF29" s="15"/>
      <c r="FR29" s="13"/>
    </row>
    <row r="30" spans="4:174" x14ac:dyDescent="0.25">
      <c r="F30" s="165"/>
      <c r="G30" s="165"/>
      <c r="H30" s="165"/>
      <c r="I30" s="165"/>
      <c r="J30" s="165"/>
      <c r="K30" s="165"/>
      <c r="L30" s="165"/>
      <c r="M30" s="165"/>
      <c r="N30" s="165"/>
      <c r="O30" s="165"/>
      <c r="P30" s="165"/>
      <c r="Q30" s="165"/>
      <c r="R30" s="165"/>
      <c r="S30" s="215"/>
      <c r="T30" s="165"/>
      <c r="U30" s="165"/>
      <c r="V30" s="165"/>
      <c r="W30" s="165"/>
      <c r="X30" s="165"/>
      <c r="Y30" s="165"/>
      <c r="Z30" s="165"/>
      <c r="AA30" s="165"/>
      <c r="AB30" s="165"/>
      <c r="AC30" s="165"/>
      <c r="AD30" s="165"/>
      <c r="AE30" s="216"/>
      <c r="AF30" s="215"/>
      <c r="AG30" s="165"/>
      <c r="AH30" s="165"/>
      <c r="AI30" s="165"/>
      <c r="AJ30" s="165"/>
      <c r="AK30" s="165"/>
      <c r="AL30" s="165"/>
      <c r="AM30" s="165"/>
      <c r="AN30" s="165"/>
      <c r="AO30" s="165"/>
      <c r="AP30" s="165"/>
      <c r="AQ30" s="165"/>
      <c r="AR30" s="216"/>
      <c r="AS30" s="165"/>
      <c r="AT30" s="165"/>
      <c r="AU30" s="165"/>
      <c r="AV30" s="165"/>
      <c r="AW30" s="165"/>
      <c r="AX30" s="165"/>
      <c r="AY30" s="165"/>
      <c r="AZ30" s="165"/>
      <c r="BA30" s="165"/>
      <c r="BB30" s="165"/>
      <c r="BC30" s="165"/>
      <c r="BD30" s="165"/>
      <c r="BE30" s="165"/>
      <c r="BF30" s="215"/>
      <c r="BG30" s="165"/>
      <c r="BH30" s="165"/>
      <c r="BI30" s="165"/>
      <c r="BJ30" s="165"/>
      <c r="BK30" s="165"/>
      <c r="BL30" s="165"/>
      <c r="BM30" s="165"/>
      <c r="BN30" s="165"/>
      <c r="BO30" s="165"/>
      <c r="BP30" s="165"/>
      <c r="BQ30" s="165"/>
      <c r="BR30" s="216"/>
      <c r="BS30" s="165"/>
      <c r="BT30" s="165"/>
      <c r="BU30" s="165"/>
      <c r="BV30" s="165"/>
      <c r="BW30" s="165"/>
      <c r="BX30" s="165"/>
      <c r="BY30" s="165"/>
      <c r="BZ30" s="165"/>
      <c r="CA30" s="165"/>
      <c r="CB30" s="165"/>
      <c r="CC30" s="165"/>
      <c r="CD30" s="165"/>
      <c r="CE30" s="165"/>
      <c r="CF30" s="215"/>
      <c r="CG30" s="165"/>
      <c r="CH30" s="165"/>
      <c r="CI30" s="165"/>
      <c r="CJ30" s="165"/>
      <c r="CK30" s="165"/>
      <c r="CL30" s="165"/>
      <c r="CM30" s="165"/>
      <c r="CN30" s="165"/>
      <c r="CO30" s="165"/>
      <c r="CP30" s="165"/>
      <c r="CQ30" s="165"/>
      <c r="CR30" s="216"/>
      <c r="CS30" s="215"/>
      <c r="CT30" s="165"/>
      <c r="CU30" s="165"/>
      <c r="CV30" s="165"/>
      <c r="CW30" s="165"/>
      <c r="CX30" s="165"/>
      <c r="CY30" s="165"/>
      <c r="CZ30" s="165"/>
      <c r="DA30" s="165"/>
      <c r="DB30" s="165"/>
      <c r="DC30" s="165"/>
      <c r="DD30" s="165"/>
      <c r="DE30" s="216"/>
      <c r="DF30" s="17"/>
      <c r="DG30" s="18"/>
      <c r="DH30" s="18"/>
      <c r="DI30" s="18"/>
      <c r="DJ30" s="18"/>
      <c r="DK30" s="18"/>
      <c r="DL30" s="18"/>
      <c r="DM30" s="18"/>
      <c r="DN30" s="18"/>
      <c r="DO30" s="18"/>
      <c r="DP30" s="18"/>
      <c r="DQ30" s="18"/>
      <c r="DR30" s="217"/>
      <c r="DS30" s="91"/>
      <c r="EE30" s="13"/>
      <c r="EF30" s="91"/>
      <c r="ER30" s="13"/>
      <c r="ES30" s="91"/>
      <c r="FE30" s="13"/>
      <c r="FF30" s="91"/>
      <c r="FR30" s="13"/>
    </row>
    <row r="31" spans="4:174" s="4" customFormat="1" x14ac:dyDescent="0.25">
      <c r="D31" s="92"/>
      <c r="E31" s="97" t="s">
        <v>52</v>
      </c>
      <c r="F31" s="219">
        <f t="shared" ref="F31:AK31" si="40">SUM(F32:F34)</f>
        <v>78.752383600000002</v>
      </c>
      <c r="G31" s="220">
        <f t="shared" si="40"/>
        <v>46.026197500000002</v>
      </c>
      <c r="H31" s="220">
        <f t="shared" si="40"/>
        <v>58.2553068</v>
      </c>
      <c r="I31" s="220">
        <f t="shared" si="40"/>
        <v>78.561819099999994</v>
      </c>
      <c r="J31" s="220">
        <f t="shared" si="40"/>
        <v>81.783112299999999</v>
      </c>
      <c r="K31" s="220">
        <f t="shared" si="40"/>
        <v>75.831539399999997</v>
      </c>
      <c r="L31" s="220">
        <f t="shared" si="40"/>
        <v>89.351517000000001</v>
      </c>
      <c r="M31" s="220">
        <f t="shared" si="40"/>
        <v>98.597573100000005</v>
      </c>
      <c r="N31" s="220">
        <f t="shared" si="40"/>
        <v>91.182859100000002</v>
      </c>
      <c r="O31" s="220">
        <f t="shared" si="40"/>
        <v>0</v>
      </c>
      <c r="P31" s="220">
        <f t="shared" si="40"/>
        <v>0</v>
      </c>
      <c r="Q31" s="220">
        <f t="shared" si="40"/>
        <v>0</v>
      </c>
      <c r="R31" s="224">
        <f t="shared" si="40"/>
        <v>0</v>
      </c>
      <c r="S31" s="219">
        <f t="shared" si="40"/>
        <v>165.87665860000001</v>
      </c>
      <c r="T31" s="220">
        <f t="shared" si="40"/>
        <v>168.7338804</v>
      </c>
      <c r="U31" s="220">
        <f t="shared" si="40"/>
        <v>179.94283279999999</v>
      </c>
      <c r="V31" s="220">
        <f t="shared" si="40"/>
        <v>196.72163599999999</v>
      </c>
      <c r="W31" s="220">
        <f t="shared" si="40"/>
        <v>194.9731386</v>
      </c>
      <c r="X31" s="220">
        <f t="shared" si="40"/>
        <v>212.3106032</v>
      </c>
      <c r="Y31" s="220">
        <f t="shared" si="40"/>
        <v>218.9799697</v>
      </c>
      <c r="Z31" s="220">
        <f t="shared" si="40"/>
        <v>239.0771225</v>
      </c>
      <c r="AA31" s="220">
        <f t="shared" si="40"/>
        <v>241.2716408</v>
      </c>
      <c r="AB31" s="220">
        <f t="shared" si="40"/>
        <v>0</v>
      </c>
      <c r="AC31" s="220">
        <f t="shared" si="40"/>
        <v>0</v>
      </c>
      <c r="AD31" s="220">
        <f t="shared" si="40"/>
        <v>0</v>
      </c>
      <c r="AE31" s="224">
        <f t="shared" si="40"/>
        <v>0</v>
      </c>
      <c r="AF31" s="219">
        <f t="shared" si="40"/>
        <v>10.186021</v>
      </c>
      <c r="AG31" s="220">
        <f t="shared" si="40"/>
        <v>10.333455900000001</v>
      </c>
      <c r="AH31" s="220">
        <f t="shared" si="40"/>
        <v>11.0972463</v>
      </c>
      <c r="AI31" s="220">
        <f t="shared" si="40"/>
        <v>11.5443684</v>
      </c>
      <c r="AJ31" s="220">
        <f t="shared" si="40"/>
        <v>11.7337015</v>
      </c>
      <c r="AK31" s="220">
        <f t="shared" si="40"/>
        <v>10.824510699999999</v>
      </c>
      <c r="AL31" s="220">
        <f t="shared" ref="AL31:BQ31" si="41">SUM(AL32:AL34)</f>
        <v>12.4432788</v>
      </c>
      <c r="AM31" s="220">
        <f t="shared" si="41"/>
        <v>13.5862119</v>
      </c>
      <c r="AN31" s="220">
        <f t="shared" si="41"/>
        <v>13.551392699999999</v>
      </c>
      <c r="AO31" s="220">
        <f t="shared" si="41"/>
        <v>0</v>
      </c>
      <c r="AP31" s="220">
        <f t="shared" si="41"/>
        <v>0</v>
      </c>
      <c r="AQ31" s="220">
        <f t="shared" si="41"/>
        <v>0</v>
      </c>
      <c r="AR31" s="224">
        <f t="shared" si="41"/>
        <v>0</v>
      </c>
      <c r="AS31" s="219">
        <f t="shared" si="41"/>
        <v>0</v>
      </c>
      <c r="AT31" s="220">
        <f t="shared" si="41"/>
        <v>0</v>
      </c>
      <c r="AU31" s="220">
        <f t="shared" si="41"/>
        <v>0</v>
      </c>
      <c r="AV31" s="220">
        <f t="shared" si="41"/>
        <v>0</v>
      </c>
      <c r="AW31" s="220">
        <f t="shared" si="41"/>
        <v>0</v>
      </c>
      <c r="AX31" s="220">
        <f t="shared" si="41"/>
        <v>0</v>
      </c>
      <c r="AY31" s="220">
        <f t="shared" si="41"/>
        <v>0</v>
      </c>
      <c r="AZ31" s="220">
        <f t="shared" si="41"/>
        <v>0</v>
      </c>
      <c r="BA31" s="220">
        <f t="shared" si="41"/>
        <v>0</v>
      </c>
      <c r="BB31" s="220">
        <f t="shared" si="41"/>
        <v>0</v>
      </c>
      <c r="BC31" s="220">
        <f t="shared" si="41"/>
        <v>0</v>
      </c>
      <c r="BD31" s="220">
        <f t="shared" si="41"/>
        <v>0</v>
      </c>
      <c r="BE31" s="224">
        <f t="shared" si="41"/>
        <v>0</v>
      </c>
      <c r="BF31" s="219">
        <f t="shared" si="41"/>
        <v>0.33366960000000001</v>
      </c>
      <c r="BG31" s="220">
        <f t="shared" si="41"/>
        <v>0.56658620000000004</v>
      </c>
      <c r="BH31" s="220">
        <f t="shared" si="41"/>
        <v>0.33582220000000002</v>
      </c>
      <c r="BI31" s="220">
        <f t="shared" si="41"/>
        <v>7.4666099999999999E-2</v>
      </c>
      <c r="BJ31" s="220">
        <f t="shared" si="41"/>
        <v>0.73553919999999995</v>
      </c>
      <c r="BK31" s="220">
        <f t="shared" si="41"/>
        <v>0.60971180000000003</v>
      </c>
      <c r="BL31" s="220">
        <f t="shared" si="41"/>
        <v>0.69779239999999998</v>
      </c>
      <c r="BM31" s="220">
        <f t="shared" si="41"/>
        <v>0.84220059999999997</v>
      </c>
      <c r="BN31" s="220">
        <f t="shared" si="41"/>
        <v>0.81643489999999996</v>
      </c>
      <c r="BO31" s="220">
        <f t="shared" si="41"/>
        <v>0</v>
      </c>
      <c r="BP31" s="220">
        <f t="shared" si="41"/>
        <v>0</v>
      </c>
      <c r="BQ31" s="220">
        <f t="shared" si="41"/>
        <v>0</v>
      </c>
      <c r="BR31" s="224">
        <f t="shared" ref="BR31:CW31" si="42">SUM(BR32:BR34)</f>
        <v>0</v>
      </c>
      <c r="BS31" s="219">
        <f t="shared" si="42"/>
        <v>0</v>
      </c>
      <c r="BT31" s="220">
        <f t="shared" si="42"/>
        <v>17.7893249</v>
      </c>
      <c r="BU31" s="220">
        <f t="shared" si="42"/>
        <v>7.7874468999999999</v>
      </c>
      <c r="BV31" s="220">
        <f t="shared" si="42"/>
        <v>2.6041801000000002</v>
      </c>
      <c r="BW31" s="220">
        <f t="shared" si="42"/>
        <v>2.9575979000000001</v>
      </c>
      <c r="BX31" s="220">
        <f t="shared" si="42"/>
        <v>-0.1463692</v>
      </c>
      <c r="BY31" s="220">
        <f t="shared" si="42"/>
        <v>0</v>
      </c>
      <c r="BZ31" s="220">
        <f t="shared" si="42"/>
        <v>0</v>
      </c>
      <c r="CA31" s="220">
        <f t="shared" si="42"/>
        <v>0</v>
      </c>
      <c r="CB31" s="220">
        <f t="shared" si="42"/>
        <v>0</v>
      </c>
      <c r="CC31" s="220">
        <f t="shared" si="42"/>
        <v>0</v>
      </c>
      <c r="CD31" s="220">
        <f t="shared" si="42"/>
        <v>0</v>
      </c>
      <c r="CE31" s="224">
        <f t="shared" si="42"/>
        <v>0</v>
      </c>
      <c r="CF31" s="219">
        <f t="shared" si="42"/>
        <v>176.39634920000003</v>
      </c>
      <c r="CG31" s="220">
        <f t="shared" si="42"/>
        <v>179.63392249999998</v>
      </c>
      <c r="CH31" s="220">
        <f t="shared" si="42"/>
        <v>191.37590129999998</v>
      </c>
      <c r="CI31" s="220">
        <f t="shared" si="42"/>
        <v>208.34067049999999</v>
      </c>
      <c r="CJ31" s="220">
        <f t="shared" si="42"/>
        <v>207.4423793</v>
      </c>
      <c r="CK31" s="220">
        <f t="shared" si="42"/>
        <v>223.74482570000001</v>
      </c>
      <c r="CL31" s="220">
        <f t="shared" si="42"/>
        <v>232.1210409</v>
      </c>
      <c r="CM31" s="220">
        <f t="shared" si="42"/>
        <v>253.50553500000001</v>
      </c>
      <c r="CN31" s="220">
        <f t="shared" si="42"/>
        <v>255.6394684</v>
      </c>
      <c r="CO31" s="220">
        <f t="shared" si="42"/>
        <v>0</v>
      </c>
      <c r="CP31" s="220">
        <f t="shared" si="42"/>
        <v>0</v>
      </c>
      <c r="CQ31" s="220">
        <f t="shared" si="42"/>
        <v>0</v>
      </c>
      <c r="CR31" s="224">
        <f t="shared" si="42"/>
        <v>0</v>
      </c>
      <c r="CS31" s="219">
        <f t="shared" si="42"/>
        <v>97.64396560000003</v>
      </c>
      <c r="CT31" s="220">
        <f t="shared" si="42"/>
        <v>115.81840009999999</v>
      </c>
      <c r="CU31" s="220">
        <f t="shared" si="42"/>
        <v>125.33314759999999</v>
      </c>
      <c r="CV31" s="220">
        <f t="shared" si="42"/>
        <v>127.17467129999999</v>
      </c>
      <c r="CW31" s="220">
        <f t="shared" si="42"/>
        <v>122.7016691</v>
      </c>
      <c r="CX31" s="220">
        <f t="shared" ref="CX31:DE31" si="43">SUM(CX32:CX34)</f>
        <v>148.05965550000002</v>
      </c>
      <c r="CY31" s="220">
        <f t="shared" si="43"/>
        <v>142.7695239</v>
      </c>
      <c r="CZ31" s="220">
        <f t="shared" si="43"/>
        <v>154.9079619</v>
      </c>
      <c r="DA31" s="220">
        <f t="shared" si="43"/>
        <v>164.4566093</v>
      </c>
      <c r="DB31" s="220">
        <f t="shared" si="43"/>
        <v>0</v>
      </c>
      <c r="DC31" s="220">
        <f t="shared" si="43"/>
        <v>0</v>
      </c>
      <c r="DD31" s="220">
        <f t="shared" si="43"/>
        <v>0</v>
      </c>
      <c r="DE31" s="224">
        <f t="shared" si="43"/>
        <v>0</v>
      </c>
      <c r="DF31" s="221">
        <f t="shared" ref="DF31:DR31" si="44">IFERROR(+AF31/CF31,0)</f>
        <v>5.7745078320475797E-2</v>
      </c>
      <c r="DG31" s="222">
        <f t="shared" si="44"/>
        <v>5.7525080765299226E-2</v>
      </c>
      <c r="DH31" s="222">
        <f t="shared" si="44"/>
        <v>5.7986644214957909E-2</v>
      </c>
      <c r="DI31" s="222">
        <f t="shared" si="44"/>
        <v>5.541101683264478E-2</v>
      </c>
      <c r="DJ31" s="222">
        <f t="shared" si="44"/>
        <v>5.6563666207428621E-2</v>
      </c>
      <c r="DK31" s="222">
        <f t="shared" si="44"/>
        <v>4.8378820230299519E-2</v>
      </c>
      <c r="DL31" s="222">
        <f t="shared" si="44"/>
        <v>5.3606854216032424E-2</v>
      </c>
      <c r="DM31" s="222">
        <f t="shared" si="44"/>
        <v>5.3593354085937413E-2</v>
      </c>
      <c r="DN31" s="222">
        <f t="shared" si="44"/>
        <v>5.3009782819592184E-2</v>
      </c>
      <c r="DO31" s="222">
        <f t="shared" si="44"/>
        <v>0</v>
      </c>
      <c r="DP31" s="222">
        <f t="shared" si="44"/>
        <v>0</v>
      </c>
      <c r="DQ31" s="222">
        <f t="shared" si="44"/>
        <v>0</v>
      </c>
      <c r="DR31" s="223">
        <f t="shared" si="44"/>
        <v>0</v>
      </c>
      <c r="DS31" s="147"/>
      <c r="DT31" s="146"/>
      <c r="DU31" s="146"/>
      <c r="DV31" s="146"/>
      <c r="DW31" s="146"/>
      <c r="DX31" s="97"/>
      <c r="DY31" s="97"/>
      <c r="DZ31" s="97"/>
      <c r="EA31" s="97"/>
      <c r="EB31" s="97"/>
      <c r="EC31" s="97"/>
      <c r="ED31" s="97"/>
      <c r="EE31" s="100"/>
      <c r="EF31" s="147">
        <v>44993</v>
      </c>
      <c r="EG31" s="146">
        <v>43805</v>
      </c>
      <c r="EH31" s="146">
        <v>43904</v>
      </c>
      <c r="EI31" s="146">
        <v>45238</v>
      </c>
      <c r="EJ31" s="146">
        <v>45238</v>
      </c>
      <c r="EK31" s="97"/>
      <c r="EL31" s="97"/>
      <c r="EM31" s="97"/>
      <c r="EN31" s="97"/>
      <c r="EO31" s="97"/>
      <c r="EP31" s="97"/>
      <c r="EQ31" s="97"/>
      <c r="ER31" s="100"/>
      <c r="ES31" s="146">
        <f t="shared" ref="ES31:EY31" si="45">ES32</f>
        <v>2803008</v>
      </c>
      <c r="ET31" s="146">
        <f t="shared" si="45"/>
        <v>1762704</v>
      </c>
      <c r="EU31" s="146">
        <f t="shared" si="45"/>
        <v>2035530</v>
      </c>
      <c r="EV31" s="146">
        <f t="shared" si="45"/>
        <v>2800820</v>
      </c>
      <c r="EW31" s="146">
        <f t="shared" si="45"/>
        <v>2955269</v>
      </c>
      <c r="EX31" s="146">
        <f t="shared" si="45"/>
        <v>2477438</v>
      </c>
      <c r="EY31" s="146">
        <f t="shared" si="45"/>
        <v>2855363</v>
      </c>
      <c r="EZ31" s="97"/>
      <c r="FA31" s="97"/>
      <c r="FB31" s="97"/>
      <c r="FC31" s="97"/>
      <c r="FD31" s="97"/>
      <c r="FE31" s="100"/>
      <c r="FF31" s="146">
        <f t="shared" ref="FF31:FR31" si="46">FF32</f>
        <v>2978604</v>
      </c>
      <c r="FG31" s="146">
        <f t="shared" si="46"/>
        <v>2785257</v>
      </c>
      <c r="FH31" s="146">
        <f t="shared" si="46"/>
        <v>3095161.5</v>
      </c>
      <c r="FI31" s="146">
        <f t="shared" si="46"/>
        <v>3070974</v>
      </c>
      <c r="FJ31" s="146">
        <f t="shared" si="46"/>
        <v>3113098</v>
      </c>
      <c r="FK31" s="146">
        <f t="shared" si="46"/>
        <v>2804180</v>
      </c>
      <c r="FL31" s="146">
        <f t="shared" si="46"/>
        <v>3088580</v>
      </c>
      <c r="FM31" s="146">
        <f t="shared" si="46"/>
        <v>3504902</v>
      </c>
      <c r="FN31" s="146">
        <f t="shared" si="46"/>
        <v>3537578</v>
      </c>
      <c r="FO31" s="146">
        <f t="shared" si="46"/>
        <v>0</v>
      </c>
      <c r="FP31" s="146">
        <f t="shared" si="46"/>
        <v>0</v>
      </c>
      <c r="FQ31" s="146">
        <f t="shared" si="46"/>
        <v>0</v>
      </c>
      <c r="FR31" s="146">
        <f t="shared" si="46"/>
        <v>0</v>
      </c>
    </row>
    <row r="32" spans="4:174" x14ac:dyDescent="0.25">
      <c r="E32" s="2" t="s">
        <v>216</v>
      </c>
      <c r="F32" s="165">
        <v>78.752383600000002</v>
      </c>
      <c r="G32" s="165">
        <v>46.026197500000002</v>
      </c>
      <c r="H32" s="165">
        <v>58.2553068</v>
      </c>
      <c r="I32" s="165">
        <v>78.561819099999994</v>
      </c>
      <c r="J32" s="165">
        <v>81.783112299999999</v>
      </c>
      <c r="K32" s="165">
        <v>75.831539399999997</v>
      </c>
      <c r="L32" s="165">
        <v>89.351517000000001</v>
      </c>
      <c r="M32" s="165">
        <v>98.597573100000005</v>
      </c>
      <c r="N32" s="165">
        <v>91.182859100000002</v>
      </c>
      <c r="O32" s="165"/>
      <c r="P32" s="165"/>
      <c r="Q32" s="165"/>
      <c r="R32" s="165"/>
      <c r="S32" s="215">
        <v>165.87665860000001</v>
      </c>
      <c r="T32" s="165">
        <v>168.7338804</v>
      </c>
      <c r="U32" s="165">
        <v>179.94283279999999</v>
      </c>
      <c r="V32" s="165">
        <v>196.72163599999999</v>
      </c>
      <c r="W32" s="165">
        <v>194.9731386</v>
      </c>
      <c r="X32" s="165">
        <v>212.3106032</v>
      </c>
      <c r="Y32" s="165">
        <v>218.9799697</v>
      </c>
      <c r="Z32" s="165">
        <v>239.0771225</v>
      </c>
      <c r="AA32" s="165">
        <v>241.2716408</v>
      </c>
      <c r="AB32" s="165"/>
      <c r="AC32" s="165"/>
      <c r="AD32" s="165"/>
      <c r="AE32" s="216"/>
      <c r="AF32" s="215">
        <v>10.186021</v>
      </c>
      <c r="AG32" s="165">
        <v>10.333455900000001</v>
      </c>
      <c r="AH32" s="165">
        <v>11.0972463</v>
      </c>
      <c r="AI32" s="165">
        <v>11.5443684</v>
      </c>
      <c r="AJ32" s="165">
        <v>11.7337015</v>
      </c>
      <c r="AK32" s="165">
        <v>10.824510699999999</v>
      </c>
      <c r="AL32" s="165">
        <v>12.4432788</v>
      </c>
      <c r="AM32" s="165">
        <v>13.5862119</v>
      </c>
      <c r="AN32" s="165">
        <v>13.551392699999999</v>
      </c>
      <c r="AO32" s="165"/>
      <c r="AP32" s="165"/>
      <c r="AQ32" s="165"/>
      <c r="AR32" s="216"/>
      <c r="AS32" s="165">
        <v>0</v>
      </c>
      <c r="AT32" s="165">
        <v>0</v>
      </c>
      <c r="AU32" s="165">
        <v>0</v>
      </c>
      <c r="AV32" s="165">
        <v>0</v>
      </c>
      <c r="AW32" s="165">
        <v>0</v>
      </c>
      <c r="AX32" s="165">
        <v>0</v>
      </c>
      <c r="AY32" s="165">
        <v>0</v>
      </c>
      <c r="AZ32" s="165">
        <v>0</v>
      </c>
      <c r="BA32" s="165">
        <v>0</v>
      </c>
      <c r="BB32" s="165"/>
      <c r="BC32" s="165"/>
      <c r="BD32" s="165"/>
      <c r="BE32" s="165"/>
      <c r="BF32" s="215">
        <v>0.33366960000000001</v>
      </c>
      <c r="BG32" s="165">
        <v>0.56658620000000004</v>
      </c>
      <c r="BH32" s="165">
        <v>0.33582220000000002</v>
      </c>
      <c r="BI32" s="165">
        <v>7.4666099999999999E-2</v>
      </c>
      <c r="BJ32" s="165">
        <v>0.73553919999999995</v>
      </c>
      <c r="BK32" s="165">
        <v>0.60971180000000003</v>
      </c>
      <c r="BL32" s="165">
        <v>0.69779239999999998</v>
      </c>
      <c r="BM32" s="165">
        <v>0.84220059999999997</v>
      </c>
      <c r="BN32" s="165">
        <v>0.81643489999999996</v>
      </c>
      <c r="BO32" s="165"/>
      <c r="BP32" s="165"/>
      <c r="BQ32" s="165"/>
      <c r="BR32" s="216"/>
      <c r="BS32" s="165">
        <v>0</v>
      </c>
      <c r="BT32" s="165">
        <v>17.7893249</v>
      </c>
      <c r="BU32" s="165">
        <v>7.7874468999999999</v>
      </c>
      <c r="BV32" s="165">
        <v>2.6041801000000002</v>
      </c>
      <c r="BW32" s="165">
        <v>2.9575979000000001</v>
      </c>
      <c r="BX32" s="165">
        <v>-0.1463692</v>
      </c>
      <c r="BY32" s="165">
        <v>0</v>
      </c>
      <c r="BZ32" s="165">
        <v>0</v>
      </c>
      <c r="CA32" s="165">
        <v>0</v>
      </c>
      <c r="CB32" s="165"/>
      <c r="CC32" s="165"/>
      <c r="CD32" s="165"/>
      <c r="CE32" s="165"/>
      <c r="CF32" s="215">
        <f t="shared" ref="CF32:CN32" si="47">SUM(S32,AF32,AS32,BF32)</f>
        <v>176.39634920000003</v>
      </c>
      <c r="CG32" s="165">
        <f t="shared" si="47"/>
        <v>179.63392249999998</v>
      </c>
      <c r="CH32" s="165">
        <f t="shared" si="47"/>
        <v>191.37590129999998</v>
      </c>
      <c r="CI32" s="165">
        <f t="shared" si="47"/>
        <v>208.34067049999999</v>
      </c>
      <c r="CJ32" s="165">
        <f t="shared" si="47"/>
        <v>207.4423793</v>
      </c>
      <c r="CK32" s="165">
        <f t="shared" si="47"/>
        <v>223.74482570000001</v>
      </c>
      <c r="CL32" s="165">
        <f t="shared" si="47"/>
        <v>232.1210409</v>
      </c>
      <c r="CM32" s="165">
        <f t="shared" si="47"/>
        <v>253.50553500000001</v>
      </c>
      <c r="CN32" s="165">
        <f t="shared" si="47"/>
        <v>255.6394684</v>
      </c>
      <c r="CO32" s="165"/>
      <c r="CP32" s="165"/>
      <c r="CQ32" s="165"/>
      <c r="CR32" s="216"/>
      <c r="CS32" s="215">
        <f t="shared" ref="CS32:DA32" si="48">CF32-BS32-F32</f>
        <v>97.64396560000003</v>
      </c>
      <c r="CT32" s="165">
        <f t="shared" si="48"/>
        <v>115.81840009999999</v>
      </c>
      <c r="CU32" s="165">
        <f t="shared" si="48"/>
        <v>125.33314759999999</v>
      </c>
      <c r="CV32" s="165">
        <f t="shared" si="48"/>
        <v>127.17467129999999</v>
      </c>
      <c r="CW32" s="165">
        <f t="shared" si="48"/>
        <v>122.7016691</v>
      </c>
      <c r="CX32" s="165">
        <f t="shared" si="48"/>
        <v>148.05965550000002</v>
      </c>
      <c r="CY32" s="165">
        <f t="shared" si="48"/>
        <v>142.7695239</v>
      </c>
      <c r="CZ32" s="165">
        <f t="shared" si="48"/>
        <v>154.9079619</v>
      </c>
      <c r="DA32" s="165">
        <f t="shared" si="48"/>
        <v>164.4566093</v>
      </c>
      <c r="DB32" s="165"/>
      <c r="DC32" s="165"/>
      <c r="DD32" s="165"/>
      <c r="DE32" s="216"/>
      <c r="DF32" s="17">
        <f t="shared" ref="DF32:DN32" si="49">IFERROR(+AF32/CF32,0)</f>
        <v>5.7745078320475797E-2</v>
      </c>
      <c r="DG32" s="18">
        <f t="shared" si="49"/>
        <v>5.7525080765299226E-2</v>
      </c>
      <c r="DH32" s="18">
        <f t="shared" si="49"/>
        <v>5.7986644214957909E-2</v>
      </c>
      <c r="DI32" s="18">
        <f t="shared" si="49"/>
        <v>5.541101683264478E-2</v>
      </c>
      <c r="DJ32" s="18">
        <f t="shared" si="49"/>
        <v>5.6563666207428621E-2</v>
      </c>
      <c r="DK32" s="18">
        <f t="shared" si="49"/>
        <v>4.8378820230299519E-2</v>
      </c>
      <c r="DL32" s="18">
        <f t="shared" si="49"/>
        <v>5.3606854216032424E-2</v>
      </c>
      <c r="DM32" s="18">
        <f t="shared" si="49"/>
        <v>5.3593354085937413E-2</v>
      </c>
      <c r="DN32" s="18">
        <f t="shared" si="49"/>
        <v>5.3009782819592184E-2</v>
      </c>
      <c r="DO32" s="225"/>
      <c r="DP32" s="225"/>
      <c r="DQ32" s="225"/>
      <c r="DR32" s="226"/>
      <c r="DS32" s="20"/>
      <c r="DT32" s="21"/>
      <c r="DU32" s="21"/>
      <c r="DV32" s="21"/>
      <c r="DW32" s="21"/>
      <c r="DX32" s="21"/>
      <c r="EE32" s="13"/>
      <c r="EF32" s="20"/>
      <c r="EG32" s="21"/>
      <c r="EH32" s="21"/>
      <c r="EI32" s="21"/>
      <c r="EJ32" s="21"/>
      <c r="EK32" s="21"/>
      <c r="ER32" s="13"/>
      <c r="ES32" s="20">
        <v>2803008</v>
      </c>
      <c r="ET32" s="21">
        <v>1762704</v>
      </c>
      <c r="EU32" s="21">
        <v>2035530</v>
      </c>
      <c r="EV32" s="21">
        <v>2800820</v>
      </c>
      <c r="EW32" s="21">
        <v>2955269</v>
      </c>
      <c r="EX32" s="21">
        <v>2477438</v>
      </c>
      <c r="EY32" s="165">
        <v>2855363</v>
      </c>
      <c r="FE32" s="13"/>
      <c r="FF32" s="20">
        <v>2978604</v>
      </c>
      <c r="FG32" s="21">
        <v>2785257</v>
      </c>
      <c r="FH32" s="21">
        <v>3095161.5</v>
      </c>
      <c r="FI32" s="21">
        <v>3070974</v>
      </c>
      <c r="FJ32" s="21">
        <v>3113098</v>
      </c>
      <c r="FK32" s="21">
        <v>2804180</v>
      </c>
      <c r="FL32" s="227">
        <v>3088580</v>
      </c>
      <c r="FM32" s="227">
        <v>3504902</v>
      </c>
      <c r="FN32" s="165">
        <v>3537578</v>
      </c>
      <c r="FR32" s="13"/>
    </row>
    <row r="33" spans="4:174" x14ac:dyDescent="0.25">
      <c r="F33" s="165"/>
      <c r="G33" s="165"/>
      <c r="H33" s="165"/>
      <c r="I33" s="165"/>
      <c r="J33" s="165"/>
      <c r="K33" s="165"/>
      <c r="L33" s="165"/>
      <c r="M33" s="165"/>
      <c r="N33" s="165"/>
      <c r="O33" s="165"/>
      <c r="P33" s="165"/>
      <c r="Q33" s="165"/>
      <c r="R33" s="216"/>
      <c r="S33" s="165"/>
      <c r="T33" s="165"/>
      <c r="U33" s="165"/>
      <c r="V33" s="165"/>
      <c r="W33" s="165"/>
      <c r="X33" s="165"/>
      <c r="Y33" s="165"/>
      <c r="Z33" s="165"/>
      <c r="AA33" s="165"/>
      <c r="AB33" s="165"/>
      <c r="AC33" s="165"/>
      <c r="AD33" s="165"/>
      <c r="AE33" s="216"/>
      <c r="AF33" s="215"/>
      <c r="AG33" s="165"/>
      <c r="AH33" s="165"/>
      <c r="AI33" s="165"/>
      <c r="AJ33" s="165"/>
      <c r="AK33" s="165"/>
      <c r="AL33" s="165"/>
      <c r="AM33" s="165"/>
      <c r="AN33" s="165"/>
      <c r="AO33" s="165"/>
      <c r="AP33" s="165"/>
      <c r="AQ33" s="165"/>
      <c r="AR33" s="216"/>
      <c r="AS33" s="165"/>
      <c r="AT33" s="165"/>
      <c r="AU33" s="165"/>
      <c r="AV33" s="165"/>
      <c r="AW33" s="165"/>
      <c r="AX33" s="165"/>
      <c r="AY33" s="165"/>
      <c r="AZ33" s="165"/>
      <c r="BA33" s="165"/>
      <c r="BB33" s="165"/>
      <c r="BC33" s="165"/>
      <c r="BD33" s="165"/>
      <c r="BE33" s="165"/>
      <c r="BF33" s="215"/>
      <c r="BG33" s="165"/>
      <c r="BH33" s="165"/>
      <c r="BI33" s="165"/>
      <c r="BJ33" s="165"/>
      <c r="BK33" s="165"/>
      <c r="BL33" s="165"/>
      <c r="BM33" s="165"/>
      <c r="BN33" s="165"/>
      <c r="BO33" s="165"/>
      <c r="BP33" s="165"/>
      <c r="BQ33" s="165"/>
      <c r="BR33" s="216"/>
      <c r="BS33" s="165"/>
      <c r="BT33" s="165"/>
      <c r="BU33" s="165"/>
      <c r="BV33" s="165"/>
      <c r="BW33" s="165"/>
      <c r="BX33" s="165"/>
      <c r="BY33" s="165"/>
      <c r="BZ33" s="165"/>
      <c r="CA33" s="165"/>
      <c r="CB33" s="165"/>
      <c r="CC33" s="165"/>
      <c r="CD33" s="165"/>
      <c r="CE33" s="165"/>
      <c r="CF33" s="215"/>
      <c r="CG33" s="165"/>
      <c r="CH33" s="165"/>
      <c r="CI33" s="165"/>
      <c r="CJ33" s="165"/>
      <c r="CK33" s="165"/>
      <c r="CL33" s="165"/>
      <c r="CM33" s="165"/>
      <c r="CN33" s="165"/>
      <c r="CO33" s="165"/>
      <c r="CP33" s="165"/>
      <c r="CQ33" s="165"/>
      <c r="CR33" s="216"/>
      <c r="CS33" s="215"/>
      <c r="CT33" s="165"/>
      <c r="CU33" s="165"/>
      <c r="CV33" s="165"/>
      <c r="CW33" s="165"/>
      <c r="CX33" s="165"/>
      <c r="CY33" s="165"/>
      <c r="CZ33" s="165"/>
      <c r="DA33" s="165"/>
      <c r="DB33" s="165"/>
      <c r="DC33" s="165"/>
      <c r="DD33" s="165"/>
      <c r="DE33" s="216"/>
      <c r="DF33" s="17"/>
      <c r="DG33" s="18"/>
      <c r="DH33" s="18"/>
      <c r="DI33" s="18"/>
      <c r="DJ33" s="18"/>
      <c r="DK33" s="18"/>
      <c r="DL33" s="18"/>
      <c r="DM33" s="18"/>
      <c r="DN33" s="18"/>
      <c r="DO33" s="18"/>
      <c r="DP33" s="18"/>
      <c r="DQ33" s="18"/>
      <c r="DR33" s="217"/>
      <c r="DS33" s="20"/>
      <c r="DT33" s="21"/>
      <c r="DU33" s="21"/>
      <c r="DV33" s="21"/>
      <c r="DW33" s="21"/>
      <c r="DX33" s="21"/>
      <c r="EE33" s="13"/>
      <c r="EF33" s="20"/>
      <c r="EG33" s="21"/>
      <c r="EH33" s="21"/>
      <c r="EI33" s="21"/>
      <c r="EJ33" s="21"/>
      <c r="EK33" s="21"/>
      <c r="ER33" s="13"/>
      <c r="ES33" s="20"/>
      <c r="ET33" s="21"/>
      <c r="EU33" s="21"/>
      <c r="EV33" s="21"/>
      <c r="EW33" s="21"/>
      <c r="EX33" s="21"/>
      <c r="FE33" s="13"/>
      <c r="FF33" s="20"/>
      <c r="FG33" s="21"/>
      <c r="FH33" s="21"/>
      <c r="FI33" s="21"/>
      <c r="FJ33" s="21"/>
      <c r="FK33" s="21"/>
      <c r="FR33" s="13"/>
    </row>
    <row r="34" spans="4:174" x14ac:dyDescent="0.25">
      <c r="F34" s="165"/>
      <c r="G34" s="165"/>
      <c r="H34" s="165"/>
      <c r="I34" s="165"/>
      <c r="J34" s="165"/>
      <c r="K34" s="165"/>
      <c r="L34" s="165"/>
      <c r="M34" s="165"/>
      <c r="N34" s="165"/>
      <c r="O34" s="165"/>
      <c r="P34" s="165"/>
      <c r="Q34" s="165"/>
      <c r="R34" s="165"/>
      <c r="S34" s="215"/>
      <c r="T34" s="165"/>
      <c r="U34" s="165"/>
      <c r="V34" s="165"/>
      <c r="W34" s="165"/>
      <c r="X34" s="165"/>
      <c r="Y34" s="165"/>
      <c r="Z34" s="165"/>
      <c r="AA34" s="165"/>
      <c r="AB34" s="165"/>
      <c r="AC34" s="165"/>
      <c r="AD34" s="165"/>
      <c r="AE34" s="216"/>
      <c r="AF34" s="215"/>
      <c r="AG34" s="165"/>
      <c r="AH34" s="165"/>
      <c r="AI34" s="165"/>
      <c r="AJ34" s="165"/>
      <c r="AK34" s="165"/>
      <c r="AL34" s="165"/>
      <c r="AM34" s="165"/>
      <c r="AN34" s="165"/>
      <c r="AO34" s="165"/>
      <c r="AP34" s="165"/>
      <c r="AQ34" s="165"/>
      <c r="AR34" s="216"/>
      <c r="AS34" s="165"/>
      <c r="AT34" s="165"/>
      <c r="AU34" s="165"/>
      <c r="AV34" s="165"/>
      <c r="AW34" s="165"/>
      <c r="AX34" s="165"/>
      <c r="AY34" s="165"/>
      <c r="AZ34" s="165"/>
      <c r="BA34" s="165"/>
      <c r="BB34" s="165"/>
      <c r="BC34" s="165"/>
      <c r="BD34" s="165"/>
      <c r="BE34" s="165"/>
      <c r="BF34" s="215"/>
      <c r="BG34" s="165"/>
      <c r="BH34" s="165"/>
      <c r="BI34" s="165"/>
      <c r="BJ34" s="165"/>
      <c r="BK34" s="165"/>
      <c r="BL34" s="165"/>
      <c r="BM34" s="165"/>
      <c r="BN34" s="165"/>
      <c r="BO34" s="165"/>
      <c r="BP34" s="165"/>
      <c r="BQ34" s="165"/>
      <c r="BR34" s="216"/>
      <c r="BS34" s="165"/>
      <c r="BT34" s="165"/>
      <c r="BU34" s="165"/>
      <c r="BV34" s="165"/>
      <c r="BW34" s="165"/>
      <c r="BX34" s="165"/>
      <c r="BY34" s="165"/>
      <c r="BZ34" s="165"/>
      <c r="CA34" s="165"/>
      <c r="CB34" s="165"/>
      <c r="CC34" s="165"/>
      <c r="CD34" s="165"/>
      <c r="CE34" s="165"/>
      <c r="CF34" s="215"/>
      <c r="CG34" s="165"/>
      <c r="CH34" s="165"/>
      <c r="CI34" s="165"/>
      <c r="CJ34" s="165"/>
      <c r="CK34" s="165"/>
      <c r="CL34" s="165"/>
      <c r="CM34" s="165"/>
      <c r="CN34" s="165"/>
      <c r="CO34" s="165"/>
      <c r="CP34" s="165"/>
      <c r="CQ34" s="165"/>
      <c r="CR34" s="216"/>
      <c r="CS34" s="215"/>
      <c r="CT34" s="165"/>
      <c r="CU34" s="165"/>
      <c r="CV34" s="165"/>
      <c r="CW34" s="165"/>
      <c r="CX34" s="165"/>
      <c r="CY34" s="165"/>
      <c r="CZ34" s="165"/>
      <c r="DA34" s="165"/>
      <c r="DB34" s="165"/>
      <c r="DC34" s="165"/>
      <c r="DD34" s="165"/>
      <c r="DE34" s="216"/>
      <c r="DF34" s="17"/>
      <c r="DG34" s="18"/>
      <c r="DH34" s="18"/>
      <c r="DI34" s="18"/>
      <c r="DJ34" s="18"/>
      <c r="DK34" s="18"/>
      <c r="DL34" s="18"/>
      <c r="DM34" s="18"/>
      <c r="DN34" s="18"/>
      <c r="DO34" s="18"/>
      <c r="DP34" s="18"/>
      <c r="DQ34" s="18"/>
      <c r="DR34" s="217"/>
      <c r="DS34" s="91"/>
      <c r="EE34" s="13"/>
      <c r="EF34" s="91"/>
      <c r="ER34" s="13"/>
      <c r="ES34" s="91"/>
      <c r="FE34" s="13"/>
      <c r="FF34" s="91"/>
      <c r="FR34" s="13"/>
    </row>
    <row r="35" spans="4:174" s="4" customFormat="1" x14ac:dyDescent="0.25">
      <c r="D35" s="92"/>
      <c r="E35" s="97" t="s">
        <v>53</v>
      </c>
      <c r="F35" s="220">
        <f t="shared" ref="F35:AK35" si="50">SUM(F36:F55)</f>
        <v>292.58901429999997</v>
      </c>
      <c r="G35" s="220">
        <f t="shared" si="50"/>
        <v>212.09784740000001</v>
      </c>
      <c r="H35" s="220">
        <f t="shared" si="50"/>
        <v>209.7930289</v>
      </c>
      <c r="I35" s="220">
        <f t="shared" si="50"/>
        <v>263.02589009999997</v>
      </c>
      <c r="J35" s="220">
        <f t="shared" si="50"/>
        <v>302.98759080000002</v>
      </c>
      <c r="K35" s="220">
        <f t="shared" si="50"/>
        <v>325.9222681</v>
      </c>
      <c r="L35" s="220">
        <f t="shared" si="50"/>
        <v>322.38242930000001</v>
      </c>
      <c r="M35" s="220">
        <f t="shared" si="50"/>
        <v>342.99484759999996</v>
      </c>
      <c r="N35" s="220">
        <f t="shared" si="50"/>
        <v>321.47946610000002</v>
      </c>
      <c r="O35" s="220">
        <f t="shared" si="50"/>
        <v>0</v>
      </c>
      <c r="P35" s="220">
        <f t="shared" si="50"/>
        <v>0</v>
      </c>
      <c r="Q35" s="220">
        <f t="shared" si="50"/>
        <v>0</v>
      </c>
      <c r="R35" s="220">
        <f t="shared" si="50"/>
        <v>0</v>
      </c>
      <c r="S35" s="219">
        <f t="shared" si="50"/>
        <v>695.06337210000004</v>
      </c>
      <c r="T35" s="220">
        <f t="shared" si="50"/>
        <v>706.30173819999993</v>
      </c>
      <c r="U35" s="220">
        <f t="shared" si="50"/>
        <v>734.54131959999995</v>
      </c>
      <c r="V35" s="220">
        <f t="shared" si="50"/>
        <v>810.13406509999993</v>
      </c>
      <c r="W35" s="220">
        <f t="shared" si="50"/>
        <v>781.88198620000003</v>
      </c>
      <c r="X35" s="220">
        <f t="shared" si="50"/>
        <v>743.75047979999999</v>
      </c>
      <c r="Y35" s="220">
        <f t="shared" si="50"/>
        <v>787.0053726000001</v>
      </c>
      <c r="Z35" s="220">
        <f t="shared" si="50"/>
        <v>807.45610390000002</v>
      </c>
      <c r="AA35" s="220">
        <f t="shared" si="50"/>
        <v>826.37517810000008</v>
      </c>
      <c r="AB35" s="220">
        <f t="shared" si="50"/>
        <v>0</v>
      </c>
      <c r="AC35" s="220">
        <f t="shared" si="50"/>
        <v>0</v>
      </c>
      <c r="AD35" s="220">
        <f t="shared" si="50"/>
        <v>0</v>
      </c>
      <c r="AE35" s="220">
        <f t="shared" si="50"/>
        <v>0</v>
      </c>
      <c r="AF35" s="219">
        <f t="shared" si="50"/>
        <v>96.376573699999994</v>
      </c>
      <c r="AG35" s="220">
        <f t="shared" si="50"/>
        <v>106.6148958</v>
      </c>
      <c r="AH35" s="220">
        <f t="shared" si="50"/>
        <v>96.978763599999994</v>
      </c>
      <c r="AI35" s="220">
        <f t="shared" si="50"/>
        <v>93.261496399999999</v>
      </c>
      <c r="AJ35" s="220">
        <f t="shared" si="50"/>
        <v>99.729740399999997</v>
      </c>
      <c r="AK35" s="220">
        <f t="shared" si="50"/>
        <v>104.0438681</v>
      </c>
      <c r="AL35" s="220">
        <f t="shared" ref="AL35:BQ35" si="51">SUM(AL36:AL55)</f>
        <v>104.32566370000001</v>
      </c>
      <c r="AM35" s="220">
        <f t="shared" si="51"/>
        <v>113.29484189999999</v>
      </c>
      <c r="AN35" s="220">
        <f t="shared" si="51"/>
        <v>110.8527057</v>
      </c>
      <c r="AO35" s="220">
        <f t="shared" si="51"/>
        <v>0</v>
      </c>
      <c r="AP35" s="220">
        <f t="shared" si="51"/>
        <v>0</v>
      </c>
      <c r="AQ35" s="220">
        <f t="shared" si="51"/>
        <v>0</v>
      </c>
      <c r="AR35" s="220">
        <f t="shared" si="51"/>
        <v>0</v>
      </c>
      <c r="AS35" s="219">
        <f t="shared" si="51"/>
        <v>0</v>
      </c>
      <c r="AT35" s="220">
        <f t="shared" si="51"/>
        <v>0</v>
      </c>
      <c r="AU35" s="220">
        <f t="shared" si="51"/>
        <v>0</v>
      </c>
      <c r="AV35" s="220">
        <f t="shared" si="51"/>
        <v>0</v>
      </c>
      <c r="AW35" s="220">
        <f t="shared" si="51"/>
        <v>0</v>
      </c>
      <c r="AX35" s="220">
        <f t="shared" si="51"/>
        <v>0</v>
      </c>
      <c r="AY35" s="220">
        <f t="shared" si="51"/>
        <v>0</v>
      </c>
      <c r="AZ35" s="220">
        <f t="shared" si="51"/>
        <v>0</v>
      </c>
      <c r="BA35" s="220">
        <f t="shared" si="51"/>
        <v>0</v>
      </c>
      <c r="BB35" s="220">
        <f t="shared" si="51"/>
        <v>0</v>
      </c>
      <c r="BC35" s="220">
        <f t="shared" si="51"/>
        <v>0</v>
      </c>
      <c r="BD35" s="220">
        <f t="shared" si="51"/>
        <v>0</v>
      </c>
      <c r="BE35" s="220">
        <f t="shared" si="51"/>
        <v>0</v>
      </c>
      <c r="BF35" s="219">
        <f t="shared" si="51"/>
        <v>3.1373986999999999</v>
      </c>
      <c r="BG35" s="220">
        <f t="shared" si="51"/>
        <v>5.318676</v>
      </c>
      <c r="BH35" s="220">
        <f t="shared" si="51"/>
        <v>3.0640187999999999</v>
      </c>
      <c r="BI35" s="220">
        <f t="shared" si="51"/>
        <v>0.67417269999999996</v>
      </c>
      <c r="BJ35" s="220">
        <f t="shared" si="51"/>
        <v>5.7294562999999998</v>
      </c>
      <c r="BK35" s="220">
        <f t="shared" si="51"/>
        <v>3.6647930999999998</v>
      </c>
      <c r="BL35" s="220">
        <f t="shared" si="51"/>
        <v>4.7102963000000004</v>
      </c>
      <c r="BM35" s="220">
        <f t="shared" si="51"/>
        <v>5.5729863000000002</v>
      </c>
      <c r="BN35" s="220">
        <f t="shared" si="51"/>
        <v>4.9740305999999999</v>
      </c>
      <c r="BO35" s="220">
        <f t="shared" si="51"/>
        <v>0</v>
      </c>
      <c r="BP35" s="220">
        <f t="shared" si="51"/>
        <v>0</v>
      </c>
      <c r="BQ35" s="220">
        <f t="shared" si="51"/>
        <v>0</v>
      </c>
      <c r="BR35" s="220">
        <f t="shared" ref="BR35:CW35" si="52">SUM(BR36:BR55)</f>
        <v>0</v>
      </c>
      <c r="BS35" s="219">
        <f t="shared" si="52"/>
        <v>0</v>
      </c>
      <c r="BT35" s="220">
        <f t="shared" si="52"/>
        <v>112.93557879999999</v>
      </c>
      <c r="BU35" s="220">
        <f t="shared" si="52"/>
        <v>120.9576835</v>
      </c>
      <c r="BV35" s="220">
        <f t="shared" si="52"/>
        <v>38.739127399999994</v>
      </c>
      <c r="BW35" s="220">
        <f t="shared" si="52"/>
        <v>11.298227799999999</v>
      </c>
      <c r="BX35" s="220">
        <f t="shared" si="52"/>
        <v>-0.57896749999999997</v>
      </c>
      <c r="BY35" s="220">
        <f t="shared" si="52"/>
        <v>0</v>
      </c>
      <c r="BZ35" s="220">
        <f t="shared" si="52"/>
        <v>0</v>
      </c>
      <c r="CA35" s="220">
        <f t="shared" si="52"/>
        <v>0</v>
      </c>
      <c r="CB35" s="220">
        <f t="shared" si="52"/>
        <v>0</v>
      </c>
      <c r="CC35" s="220">
        <f t="shared" si="52"/>
        <v>0</v>
      </c>
      <c r="CD35" s="220">
        <f t="shared" si="52"/>
        <v>0</v>
      </c>
      <c r="CE35" s="220">
        <f t="shared" si="52"/>
        <v>0</v>
      </c>
      <c r="CF35" s="219">
        <f t="shared" si="52"/>
        <v>794.57734450000009</v>
      </c>
      <c r="CG35" s="220">
        <f t="shared" si="52"/>
        <v>818.23531000000003</v>
      </c>
      <c r="CH35" s="220">
        <f t="shared" si="52"/>
        <v>834.58410200000003</v>
      </c>
      <c r="CI35" s="220">
        <f t="shared" si="52"/>
        <v>904.0697342000002</v>
      </c>
      <c r="CJ35" s="220">
        <f t="shared" si="52"/>
        <v>887.34118290000015</v>
      </c>
      <c r="CK35" s="220">
        <f t="shared" si="52"/>
        <v>851.45914100000005</v>
      </c>
      <c r="CL35" s="220">
        <f t="shared" si="52"/>
        <v>896.04133260000003</v>
      </c>
      <c r="CM35" s="220">
        <f t="shared" si="52"/>
        <v>926.32393210000009</v>
      </c>
      <c r="CN35" s="220">
        <f t="shared" si="52"/>
        <v>942.20191440000008</v>
      </c>
      <c r="CO35" s="220">
        <f t="shared" si="52"/>
        <v>0</v>
      </c>
      <c r="CP35" s="220">
        <f t="shared" si="52"/>
        <v>0</v>
      </c>
      <c r="CQ35" s="220">
        <f t="shared" si="52"/>
        <v>0</v>
      </c>
      <c r="CR35" s="220">
        <f t="shared" si="52"/>
        <v>0</v>
      </c>
      <c r="CS35" s="219">
        <f t="shared" si="52"/>
        <v>501.98833019999995</v>
      </c>
      <c r="CT35" s="220">
        <f t="shared" si="52"/>
        <v>493.20188380000002</v>
      </c>
      <c r="CU35" s="220">
        <f t="shared" si="52"/>
        <v>503.83338959999998</v>
      </c>
      <c r="CV35" s="220">
        <f t="shared" si="52"/>
        <v>602.3047167000002</v>
      </c>
      <c r="CW35" s="220">
        <f t="shared" si="52"/>
        <v>573.05536430000006</v>
      </c>
      <c r="CX35" s="220">
        <f t="shared" ref="CX35:DE35" si="53">SUM(CX36:CX55)</f>
        <v>526.11584040000002</v>
      </c>
      <c r="CY35" s="220">
        <f t="shared" si="53"/>
        <v>573.65890330000013</v>
      </c>
      <c r="CZ35" s="220">
        <f t="shared" si="53"/>
        <v>583.32908450000002</v>
      </c>
      <c r="DA35" s="220">
        <f t="shared" si="53"/>
        <v>620.7224483</v>
      </c>
      <c r="DB35" s="220">
        <f t="shared" si="53"/>
        <v>0</v>
      </c>
      <c r="DC35" s="220">
        <f t="shared" si="53"/>
        <v>0</v>
      </c>
      <c r="DD35" s="220">
        <f t="shared" si="53"/>
        <v>0</v>
      </c>
      <c r="DE35" s="220">
        <f t="shared" si="53"/>
        <v>0</v>
      </c>
      <c r="DF35" s="221">
        <f t="shared" ref="DF35:DR35" si="54">IFERROR(+AF35/CF35,0)</f>
        <v>0.1212928789967532</v>
      </c>
      <c r="DG35" s="222">
        <f t="shared" si="54"/>
        <v>0.13029857609053805</v>
      </c>
      <c r="DH35" s="222">
        <f t="shared" si="54"/>
        <v>0.11620010897355913</v>
      </c>
      <c r="DI35" s="222">
        <f t="shared" si="54"/>
        <v>0.10315741460201176</v>
      </c>
      <c r="DJ35" s="222">
        <f t="shared" si="54"/>
        <v>0.1123916508349857</v>
      </c>
      <c r="DK35" s="222">
        <f t="shared" si="54"/>
        <v>0.12219478667855418</v>
      </c>
      <c r="DL35" s="222">
        <f t="shared" si="54"/>
        <v>0.11642952161289619</v>
      </c>
      <c r="DM35" s="222">
        <f t="shared" si="54"/>
        <v>0.12230585648711211</v>
      </c>
      <c r="DN35" s="222">
        <f t="shared" si="54"/>
        <v>0.11765281306034246</v>
      </c>
      <c r="DO35" s="222">
        <f t="shared" si="54"/>
        <v>0</v>
      </c>
      <c r="DP35" s="222">
        <f t="shared" si="54"/>
        <v>0</v>
      </c>
      <c r="DQ35" s="222">
        <f t="shared" si="54"/>
        <v>0</v>
      </c>
      <c r="DR35" s="223">
        <f t="shared" si="54"/>
        <v>0</v>
      </c>
      <c r="DS35" s="108">
        <f t="shared" ref="DS35:ED35" si="55">SUM(DS36:DS55)</f>
        <v>914096.1166666674</v>
      </c>
      <c r="DT35" s="108">
        <f t="shared" si="55"/>
        <v>908325.75999999989</v>
      </c>
      <c r="DU35" s="108">
        <f t="shared" si="55"/>
        <v>902110.55</v>
      </c>
      <c r="DV35" s="108">
        <f t="shared" si="55"/>
        <v>899044.10000000009</v>
      </c>
      <c r="DW35" s="108">
        <f t="shared" si="55"/>
        <v>863332.1</v>
      </c>
      <c r="DX35" s="108">
        <f t="shared" si="55"/>
        <v>840986</v>
      </c>
      <c r="DY35" s="108">
        <f t="shared" si="55"/>
        <v>844435</v>
      </c>
      <c r="DZ35" s="108">
        <f t="shared" si="55"/>
        <v>852061</v>
      </c>
      <c r="EA35" s="108">
        <f t="shared" si="55"/>
        <v>848772</v>
      </c>
      <c r="EB35" s="108">
        <f t="shared" si="55"/>
        <v>0</v>
      </c>
      <c r="EC35" s="108">
        <f t="shared" si="55"/>
        <v>0</v>
      </c>
      <c r="ED35" s="108">
        <f t="shared" si="55"/>
        <v>0</v>
      </c>
      <c r="EE35" s="100"/>
      <c r="EF35" s="99"/>
      <c r="EG35" s="97"/>
      <c r="EH35" s="97"/>
      <c r="EI35" s="97"/>
      <c r="EJ35" s="97"/>
      <c r="EK35" s="97"/>
      <c r="EL35" s="97"/>
      <c r="EM35" s="97"/>
      <c r="EN35" s="97"/>
      <c r="EO35" s="97"/>
      <c r="EP35" s="97"/>
      <c r="EQ35" s="97"/>
      <c r="ER35" s="100"/>
      <c r="ES35" s="146">
        <v>21218482</v>
      </c>
      <c r="ET35" s="146">
        <v>12667394</v>
      </c>
      <c r="EU35" s="146">
        <v>11598830</v>
      </c>
      <c r="EV35" s="146">
        <v>15723048</v>
      </c>
      <c r="EW35" s="146">
        <v>17826495</v>
      </c>
      <c r="EX35" s="146">
        <f>SUM(EX36:EX48)</f>
        <v>18258876</v>
      </c>
      <c r="EY35" s="146">
        <f>SUM(EY36:EY48)</f>
        <v>18765805</v>
      </c>
      <c r="EZ35" s="97"/>
      <c r="FA35" s="97"/>
      <c r="FB35" s="97"/>
      <c r="FC35" s="97"/>
      <c r="FD35" s="97"/>
      <c r="FE35" s="100"/>
      <c r="FF35" s="99"/>
      <c r="FG35" s="97"/>
      <c r="FH35" s="97"/>
      <c r="FI35" s="97"/>
      <c r="FJ35" s="97"/>
      <c r="FK35" s="97"/>
      <c r="FL35" s="97"/>
      <c r="FM35" s="97"/>
      <c r="FN35" s="97"/>
      <c r="FO35" s="97"/>
      <c r="FP35" s="97"/>
      <c r="FQ35" s="97"/>
      <c r="FR35" s="100"/>
    </row>
    <row r="36" spans="4:174" x14ac:dyDescent="0.25">
      <c r="E36" s="2" t="s">
        <v>221</v>
      </c>
      <c r="F36" s="165">
        <v>3.7650760000000001</v>
      </c>
      <c r="G36" s="165">
        <v>3.0363559000000002</v>
      </c>
      <c r="H36" s="165">
        <v>2.8159618000000002</v>
      </c>
      <c r="I36" s="165">
        <v>3.3051436999999999</v>
      </c>
      <c r="J36" s="165">
        <v>3.6567889999999998</v>
      </c>
      <c r="K36" s="165">
        <v>3.4803869000000001</v>
      </c>
      <c r="L36" s="165">
        <v>3.2615987999999998</v>
      </c>
      <c r="M36" s="165">
        <v>3.5585507999999999</v>
      </c>
      <c r="N36" s="165">
        <v>3.0859399000000001</v>
      </c>
      <c r="O36" s="165"/>
      <c r="P36" s="165"/>
      <c r="Q36" s="165"/>
      <c r="R36" s="165"/>
      <c r="S36" s="215">
        <v>17.3354529</v>
      </c>
      <c r="T36" s="165">
        <v>18.058541900000002</v>
      </c>
      <c r="U36" s="165">
        <v>19.455566300000001</v>
      </c>
      <c r="V36" s="165">
        <v>21.672319600000002</v>
      </c>
      <c r="W36" s="165">
        <v>19.501531799999999</v>
      </c>
      <c r="X36" s="165">
        <v>18.168446400000001</v>
      </c>
      <c r="Y36" s="165">
        <v>19.066210600000002</v>
      </c>
      <c r="Z36" s="165">
        <v>19.785812499999999</v>
      </c>
      <c r="AA36" s="165">
        <v>20.293961899999999</v>
      </c>
      <c r="AB36" s="165"/>
      <c r="AC36" s="165"/>
      <c r="AD36" s="165"/>
      <c r="AE36" s="216"/>
      <c r="AF36" s="215">
        <v>2.1457888000000001</v>
      </c>
      <c r="AG36" s="165">
        <v>2.5819405</v>
      </c>
      <c r="AH36" s="165">
        <v>2.2653962000000001</v>
      </c>
      <c r="AI36" s="165">
        <v>2.1562948</v>
      </c>
      <c r="AJ36" s="165">
        <v>2.1297402999999999</v>
      </c>
      <c r="AK36" s="165">
        <v>1.9175272999999999</v>
      </c>
      <c r="AL36" s="165">
        <v>1.7852604000000001</v>
      </c>
      <c r="AM36" s="165">
        <v>2.1608515000000001</v>
      </c>
      <c r="AN36" s="165">
        <v>2.0782300999999999</v>
      </c>
      <c r="AO36" s="165"/>
      <c r="AP36" s="165"/>
      <c r="AQ36" s="165"/>
      <c r="AR36" s="216"/>
      <c r="AS36" s="165">
        <v>0</v>
      </c>
      <c r="AT36" s="165">
        <v>0</v>
      </c>
      <c r="AU36" s="165">
        <v>0</v>
      </c>
      <c r="AV36" s="165">
        <v>0</v>
      </c>
      <c r="AW36" s="165">
        <v>0</v>
      </c>
      <c r="AX36" s="165">
        <v>0</v>
      </c>
      <c r="AY36" s="165">
        <v>0</v>
      </c>
      <c r="AZ36" s="165">
        <v>0</v>
      </c>
      <c r="BA36" s="165">
        <v>0</v>
      </c>
      <c r="BB36" s="165"/>
      <c r="BC36" s="165"/>
      <c r="BD36" s="165"/>
      <c r="BE36" s="165"/>
      <c r="BF36" s="215">
        <v>0.1015064</v>
      </c>
      <c r="BG36" s="165">
        <v>0.17326269999999999</v>
      </c>
      <c r="BH36" s="165">
        <v>0.1015755</v>
      </c>
      <c r="BI36" s="165">
        <v>2.1457E-2</v>
      </c>
      <c r="BJ36" s="165">
        <v>0.19058030000000001</v>
      </c>
      <c r="BK36" s="165">
        <v>0.14253179999999999</v>
      </c>
      <c r="BL36" s="165">
        <v>0.15823129999999999</v>
      </c>
      <c r="BM36" s="165">
        <v>0.1713751</v>
      </c>
      <c r="BN36" s="165">
        <v>0.16293360000000001</v>
      </c>
      <c r="BO36" s="165"/>
      <c r="BP36" s="165"/>
      <c r="BQ36" s="165"/>
      <c r="BR36" s="216"/>
      <c r="BS36" s="165">
        <v>0</v>
      </c>
      <c r="BT36" s="165">
        <v>1.8175207</v>
      </c>
      <c r="BU36" s="165">
        <v>1.3990878</v>
      </c>
      <c r="BV36" s="165">
        <v>0.52400880000000005</v>
      </c>
      <c r="BW36" s="165">
        <v>0.31208750000000002</v>
      </c>
      <c r="BX36" s="165">
        <v>-1.56166E-2</v>
      </c>
      <c r="BY36" s="165">
        <v>0</v>
      </c>
      <c r="BZ36" s="165">
        <v>0</v>
      </c>
      <c r="CA36" s="165">
        <v>0</v>
      </c>
      <c r="CB36" s="165"/>
      <c r="CC36" s="165"/>
      <c r="CD36" s="165"/>
      <c r="CE36" s="165"/>
      <c r="CF36" s="215">
        <f t="shared" ref="CF36:CF48" si="56">SUM(S36,AF36,AS36,BF36)</f>
        <v>19.5827481</v>
      </c>
      <c r="CG36" s="165">
        <f t="shared" ref="CG36:CG48" si="57">SUM(T36,AG36,AT36,BG36)</f>
        <v>20.813745100000002</v>
      </c>
      <c r="CH36" s="165">
        <f t="shared" ref="CH36:CH48" si="58">SUM(U36,AH36,AU36,BH36)</f>
        <v>21.822538000000002</v>
      </c>
      <c r="CI36" s="165">
        <f t="shared" ref="CI36:CI48" si="59">SUM(V36,AI36,AV36,BI36)</f>
        <v>23.850071400000004</v>
      </c>
      <c r="CJ36" s="165">
        <f t="shared" ref="CJ36:CJ48" si="60">SUM(W36,AJ36,AW36,BJ36)</f>
        <v>21.821852399999997</v>
      </c>
      <c r="CK36" s="165">
        <f t="shared" ref="CK36:CK48" si="61">SUM(X36,AK36,AX36,BK36)</f>
        <v>20.228505500000001</v>
      </c>
      <c r="CL36" s="165">
        <f t="shared" ref="CL36:CL48" si="62">SUM(Y36,AL36,AY36,BL36)</f>
        <v>21.009702300000001</v>
      </c>
      <c r="CM36" s="165">
        <f t="shared" ref="CM36:CM48" si="63">SUM(Z36,AM36,AZ36,BM36)</f>
        <v>22.118039099999997</v>
      </c>
      <c r="CN36" s="165">
        <f t="shared" ref="CN36:CN48" si="64">SUM(AA36,AN36,BA36,BN36)</f>
        <v>22.535125599999997</v>
      </c>
      <c r="CO36" s="165"/>
      <c r="CP36" s="165"/>
      <c r="CQ36" s="165"/>
      <c r="CR36" s="216"/>
      <c r="CS36" s="215">
        <f t="shared" ref="CS36:CS48" si="65">CF36-BS36-F36</f>
        <v>15.817672099999999</v>
      </c>
      <c r="CT36" s="165">
        <f t="shared" ref="CT36:CT48" si="66">CG36-BT36-G36</f>
        <v>15.959868500000002</v>
      </c>
      <c r="CU36" s="165">
        <f t="shared" ref="CU36:CU48" si="67">CH36-BU36-H36</f>
        <v>17.607488400000001</v>
      </c>
      <c r="CV36" s="165">
        <f t="shared" ref="CV36:CV48" si="68">CI36-BV36-I36</f>
        <v>20.020918900000005</v>
      </c>
      <c r="CW36" s="165">
        <f t="shared" ref="CW36:CW48" si="69">CJ36-BW36-J36</f>
        <v>17.852975899999997</v>
      </c>
      <c r="CX36" s="165">
        <f t="shared" ref="CX36:CX48" si="70">CK36-BX36-K36</f>
        <v>16.763735200000003</v>
      </c>
      <c r="CY36" s="165">
        <f t="shared" ref="CY36:CY48" si="71">CL36-BY36-L36</f>
        <v>17.748103499999999</v>
      </c>
      <c r="CZ36" s="165">
        <f t="shared" ref="CZ36:CZ48" si="72">CM36-BZ36-M36</f>
        <v>18.559488299999998</v>
      </c>
      <c r="DA36" s="165">
        <f t="shared" ref="DA36:DA48" si="73">CN36-CA36-N36</f>
        <v>19.449185699999997</v>
      </c>
      <c r="DB36" s="165"/>
      <c r="DC36" s="165"/>
      <c r="DD36" s="165"/>
      <c r="DE36" s="216"/>
      <c r="DF36" s="17">
        <f t="shared" ref="DF36:DF48" si="74">IFERROR(+AF36/CF36,0)</f>
        <v>0.10957546862383427</v>
      </c>
      <c r="DG36" s="18">
        <f t="shared" ref="DG36:DG48" si="75">IFERROR(+AG36/CG36,0)</f>
        <v>0.12404977996967974</v>
      </c>
      <c r="DH36" s="18">
        <f t="shared" ref="DH36:DH48" si="76">IFERROR(+AH36/CH36,0)</f>
        <v>0.10380993264853061</v>
      </c>
      <c r="DI36" s="18">
        <f t="shared" ref="DI36:DI48" si="77">IFERROR(+AI36/CI36,0)</f>
        <v>9.0410412775535742E-2</v>
      </c>
      <c r="DJ36" s="18">
        <f t="shared" ref="DJ36:DJ48" si="78">IFERROR(+AJ36/CJ36,0)</f>
        <v>9.7596677906225782E-2</v>
      </c>
      <c r="DK36" s="18">
        <f t="shared" ref="DK36:DK48" si="79">IFERROR(+AK36/CK36,0)</f>
        <v>9.4793325191522421E-2</v>
      </c>
      <c r="DL36" s="18">
        <f t="shared" ref="DL36:DL48" si="80">IFERROR(+AL36/CL36,0)</f>
        <v>8.4973141194865959E-2</v>
      </c>
      <c r="DM36" s="18">
        <f t="shared" ref="DM36:DM48" si="81">IFERROR(+AM36/CM36,0)</f>
        <v>9.7696341444662715E-2</v>
      </c>
      <c r="DN36" s="18">
        <f t="shared" ref="DN36:DN48" si="82">IFERROR(+AN36/CN36,0)</f>
        <v>9.2221811268715537E-2</v>
      </c>
      <c r="DO36" s="18"/>
      <c r="DP36" s="18"/>
      <c r="DQ36" s="18"/>
      <c r="DR36" s="217"/>
      <c r="DS36" s="150">
        <v>22728.05</v>
      </c>
      <c r="DT36" s="150">
        <v>23174.23</v>
      </c>
      <c r="DU36" s="150">
        <v>23681.31</v>
      </c>
      <c r="DV36" s="228">
        <v>24017.32</v>
      </c>
      <c r="DW36" s="150">
        <v>20580.54</v>
      </c>
      <c r="DX36" s="21">
        <v>17464</v>
      </c>
      <c r="DY36" s="21">
        <v>17485</v>
      </c>
      <c r="DZ36" s="165">
        <v>17584</v>
      </c>
      <c r="EA36" s="165">
        <v>18081</v>
      </c>
      <c r="EE36" s="13"/>
      <c r="EF36" s="20"/>
      <c r="EG36" s="21"/>
      <c r="EH36" s="21"/>
      <c r="EI36" s="21"/>
      <c r="EJ36" s="21"/>
      <c r="EK36" s="21"/>
      <c r="ER36" s="13"/>
      <c r="ES36" s="229"/>
      <c r="ET36" s="230"/>
      <c r="EU36" s="230"/>
      <c r="EV36" s="230"/>
      <c r="EW36" s="230"/>
      <c r="EX36" s="21">
        <v>198374</v>
      </c>
      <c r="EY36" s="180">
        <v>198423</v>
      </c>
      <c r="FE36" s="13"/>
      <c r="FF36" s="20"/>
      <c r="FG36" s="21"/>
      <c r="FH36" s="21"/>
      <c r="FI36" s="21"/>
      <c r="FJ36" s="21"/>
      <c r="FK36" s="21"/>
      <c r="FL36" s="227"/>
      <c r="FM36" s="227"/>
      <c r="FN36" s="227"/>
      <c r="FR36" s="13"/>
    </row>
    <row r="37" spans="4:174" x14ac:dyDescent="0.25">
      <c r="E37" s="2" t="s">
        <v>209</v>
      </c>
      <c r="F37" s="165">
        <v>5.6049017000000001</v>
      </c>
      <c r="G37" s="165">
        <v>4.1010586</v>
      </c>
      <c r="H37" s="165">
        <v>3.6302710999999999</v>
      </c>
      <c r="I37" s="165">
        <v>4.1372100999999999</v>
      </c>
      <c r="J37" s="165">
        <v>3.9639704</v>
      </c>
      <c r="K37" s="165">
        <v>3.4156238999999999</v>
      </c>
      <c r="L37" s="165">
        <v>2.9067229999999999</v>
      </c>
      <c r="M37" s="165">
        <v>3.3856918</v>
      </c>
      <c r="N37" s="165">
        <v>2.4713042999999999</v>
      </c>
      <c r="O37" s="165"/>
      <c r="P37" s="165"/>
      <c r="Q37" s="165"/>
      <c r="R37" s="165"/>
      <c r="S37" s="215">
        <v>21.0984123</v>
      </c>
      <c r="T37" s="165">
        <v>20.414589200000002</v>
      </c>
      <c r="U37" s="165">
        <v>20.332747999999999</v>
      </c>
      <c r="V37" s="165">
        <v>22.354874299999999</v>
      </c>
      <c r="W37" s="165">
        <v>18.627884699999999</v>
      </c>
      <c r="X37" s="165">
        <v>14.7745061</v>
      </c>
      <c r="Y37" s="165">
        <v>16.417550200000001</v>
      </c>
      <c r="Z37" s="165">
        <v>16.129817299999999</v>
      </c>
      <c r="AA37" s="165">
        <v>16.641185</v>
      </c>
      <c r="AB37" s="165"/>
      <c r="AC37" s="165"/>
      <c r="AD37" s="165"/>
      <c r="AE37" s="216"/>
      <c r="AF37" s="215">
        <v>3.1185703999999999</v>
      </c>
      <c r="AG37" s="165">
        <v>3.4382318000000001</v>
      </c>
      <c r="AH37" s="165">
        <v>2.9950361999999999</v>
      </c>
      <c r="AI37" s="165">
        <v>2.7382989000000002</v>
      </c>
      <c r="AJ37" s="165">
        <v>2.3850539999999998</v>
      </c>
      <c r="AK37" s="165">
        <v>1.9554646</v>
      </c>
      <c r="AL37" s="165">
        <v>1.8464148</v>
      </c>
      <c r="AM37" s="165">
        <v>2.3175496999999998</v>
      </c>
      <c r="AN37" s="165">
        <v>2.1336270000000002</v>
      </c>
      <c r="AO37" s="165"/>
      <c r="AP37" s="165"/>
      <c r="AQ37" s="165"/>
      <c r="AR37" s="216"/>
      <c r="AS37" s="165">
        <v>0</v>
      </c>
      <c r="AT37" s="165">
        <v>0</v>
      </c>
      <c r="AU37" s="165">
        <v>0</v>
      </c>
      <c r="AV37" s="165">
        <v>0</v>
      </c>
      <c r="AW37" s="165">
        <v>0</v>
      </c>
      <c r="AX37" s="165">
        <v>0</v>
      </c>
      <c r="AY37" s="165">
        <v>0</v>
      </c>
      <c r="AZ37" s="165">
        <v>0</v>
      </c>
      <c r="BA37" s="165">
        <v>0</v>
      </c>
      <c r="BB37" s="165"/>
      <c r="BC37" s="165"/>
      <c r="BD37" s="165"/>
      <c r="BE37" s="165"/>
      <c r="BF37" s="215">
        <v>0.13355120000000001</v>
      </c>
      <c r="BG37" s="165">
        <v>0.22635050000000001</v>
      </c>
      <c r="BH37" s="165">
        <v>0.13052030000000001</v>
      </c>
      <c r="BI37" s="165">
        <v>2.7115299999999998E-2</v>
      </c>
      <c r="BJ37" s="165">
        <v>0.2353131</v>
      </c>
      <c r="BK37" s="165">
        <v>0.15572320000000001</v>
      </c>
      <c r="BL37" s="165">
        <v>0.17885760000000001</v>
      </c>
      <c r="BM37" s="165">
        <v>0.1917374</v>
      </c>
      <c r="BN37" s="165">
        <v>0.1754018</v>
      </c>
      <c r="BO37" s="165"/>
      <c r="BP37" s="165"/>
      <c r="BQ37" s="165"/>
      <c r="BR37" s="216"/>
      <c r="BS37" s="165">
        <v>0</v>
      </c>
      <c r="BT37" s="165">
        <v>1.8331242000000001</v>
      </c>
      <c r="BU37" s="165">
        <v>2.3592715000000002</v>
      </c>
      <c r="BV37" s="165">
        <v>1.0792653000000001</v>
      </c>
      <c r="BW37" s="165">
        <v>0.32580969999999998</v>
      </c>
      <c r="BX37" s="165">
        <v>-1.6669799999999999E-2</v>
      </c>
      <c r="BY37" s="165">
        <v>0</v>
      </c>
      <c r="BZ37" s="165">
        <v>0</v>
      </c>
      <c r="CA37" s="165">
        <v>0</v>
      </c>
      <c r="CB37" s="165"/>
      <c r="CC37" s="165"/>
      <c r="CD37" s="165"/>
      <c r="CE37" s="165"/>
      <c r="CF37" s="215">
        <f t="shared" si="56"/>
        <v>24.350533899999999</v>
      </c>
      <c r="CG37" s="165">
        <f t="shared" si="57"/>
        <v>24.079171500000001</v>
      </c>
      <c r="CH37" s="165">
        <f t="shared" si="58"/>
        <v>23.458304500000001</v>
      </c>
      <c r="CI37" s="165">
        <f t="shared" si="59"/>
        <v>25.120288499999997</v>
      </c>
      <c r="CJ37" s="165">
        <f t="shared" si="60"/>
        <v>21.248251799999998</v>
      </c>
      <c r="CK37" s="165">
        <f t="shared" si="61"/>
        <v>16.8856939</v>
      </c>
      <c r="CL37" s="165">
        <f t="shared" si="62"/>
        <v>18.442822600000003</v>
      </c>
      <c r="CM37" s="165">
        <f t="shared" si="63"/>
        <v>18.639104400000001</v>
      </c>
      <c r="CN37" s="165">
        <f t="shared" si="64"/>
        <v>18.9502138</v>
      </c>
      <c r="CO37" s="165"/>
      <c r="CP37" s="165"/>
      <c r="CQ37" s="165"/>
      <c r="CR37" s="216"/>
      <c r="CS37" s="215">
        <f t="shared" si="65"/>
        <v>18.745632199999999</v>
      </c>
      <c r="CT37" s="165">
        <f t="shared" si="66"/>
        <v>18.144988699999999</v>
      </c>
      <c r="CU37" s="165">
        <f t="shared" si="67"/>
        <v>17.468761899999997</v>
      </c>
      <c r="CV37" s="165">
        <f t="shared" si="68"/>
        <v>19.903813099999997</v>
      </c>
      <c r="CW37" s="165">
        <f t="shared" si="69"/>
        <v>16.958471699999997</v>
      </c>
      <c r="CX37" s="165">
        <f t="shared" si="70"/>
        <v>13.486739799999999</v>
      </c>
      <c r="CY37" s="165">
        <f t="shared" si="71"/>
        <v>15.536099600000004</v>
      </c>
      <c r="CZ37" s="165">
        <f t="shared" si="72"/>
        <v>15.253412600000001</v>
      </c>
      <c r="DA37" s="165">
        <f t="shared" si="73"/>
        <v>16.4789095</v>
      </c>
      <c r="DB37" s="165"/>
      <c r="DC37" s="165"/>
      <c r="DD37" s="165"/>
      <c r="DE37" s="216"/>
      <c r="DF37" s="17">
        <f t="shared" si="74"/>
        <v>0.12806989829491994</v>
      </c>
      <c r="DG37" s="18">
        <f t="shared" si="75"/>
        <v>0.14278862543090404</v>
      </c>
      <c r="DH37" s="18">
        <f t="shared" si="76"/>
        <v>0.127674879486708</v>
      </c>
      <c r="DI37" s="18">
        <f t="shared" si="77"/>
        <v>0.10900746223515707</v>
      </c>
      <c r="DJ37" s="18">
        <f t="shared" si="78"/>
        <v>0.11224706966245571</v>
      </c>
      <c r="DK37" s="18">
        <f t="shared" si="79"/>
        <v>0.11580599598574981</v>
      </c>
      <c r="DL37" s="18">
        <f t="shared" si="80"/>
        <v>0.10011562980603629</v>
      </c>
      <c r="DM37" s="18">
        <f t="shared" si="81"/>
        <v>0.1243380395465782</v>
      </c>
      <c r="DN37" s="18">
        <f t="shared" si="82"/>
        <v>0.11259118353588181</v>
      </c>
      <c r="DO37" s="18"/>
      <c r="DP37" s="18"/>
      <c r="DQ37" s="18"/>
      <c r="DR37" s="217"/>
      <c r="DS37" s="150">
        <v>31442.15</v>
      </c>
      <c r="DT37" s="150">
        <v>29549.99</v>
      </c>
      <c r="DU37" s="150">
        <v>26911.25</v>
      </c>
      <c r="DV37" s="150">
        <v>26308.43</v>
      </c>
      <c r="DW37" s="150">
        <v>20443.759999999998</v>
      </c>
      <c r="DX37" s="21">
        <v>16097</v>
      </c>
      <c r="DY37" s="21">
        <v>16305</v>
      </c>
      <c r="DZ37" s="165">
        <v>16172</v>
      </c>
      <c r="EA37" s="165">
        <v>16443</v>
      </c>
      <c r="EE37" s="13"/>
      <c r="EF37" s="20"/>
      <c r="EG37" s="21"/>
      <c r="EH37" s="21"/>
      <c r="EI37" s="21"/>
      <c r="EJ37" s="21"/>
      <c r="EK37" s="21"/>
      <c r="ER37" s="13"/>
      <c r="ES37" s="20"/>
      <c r="ET37" s="21"/>
      <c r="EU37" s="21"/>
      <c r="EV37" s="21"/>
      <c r="EW37" s="21"/>
      <c r="EX37" s="21">
        <v>185827</v>
      </c>
      <c r="EY37" s="180">
        <v>178744</v>
      </c>
      <c r="FE37" s="13"/>
      <c r="FF37" s="20"/>
      <c r="FG37" s="21"/>
      <c r="FH37" s="21"/>
      <c r="FI37" s="21"/>
      <c r="FJ37" s="21"/>
      <c r="FK37" s="21"/>
      <c r="FR37" s="13"/>
    </row>
    <row r="38" spans="4:174" x14ac:dyDescent="0.25">
      <c r="E38" s="2" t="s">
        <v>222</v>
      </c>
      <c r="F38" s="165">
        <v>7.0557192000000004</v>
      </c>
      <c r="G38" s="165">
        <v>5.5222711000000002</v>
      </c>
      <c r="H38" s="165">
        <v>4.5308628999999998</v>
      </c>
      <c r="I38" s="165">
        <v>3.8524733000000002</v>
      </c>
      <c r="J38" s="165">
        <v>4.0989725000000004</v>
      </c>
      <c r="K38" s="165">
        <v>4.5829715999999996</v>
      </c>
      <c r="L38" s="165">
        <v>3.7669765000000002</v>
      </c>
      <c r="M38" s="165">
        <v>4.3234468000000001</v>
      </c>
      <c r="N38" s="165">
        <v>3.5644024999999999</v>
      </c>
      <c r="O38" s="165"/>
      <c r="P38" s="165"/>
      <c r="Q38" s="165"/>
      <c r="R38" s="165"/>
      <c r="S38" s="215">
        <v>28.739393199999999</v>
      </c>
      <c r="T38" s="165">
        <v>27.665009999999999</v>
      </c>
      <c r="U38" s="165">
        <v>25.231589199999998</v>
      </c>
      <c r="V38" s="165">
        <v>25.1133247</v>
      </c>
      <c r="W38" s="165">
        <v>26.3119294</v>
      </c>
      <c r="X38" s="165">
        <v>25.021216599999999</v>
      </c>
      <c r="Y38" s="165">
        <v>30.5049928</v>
      </c>
      <c r="Z38" s="165">
        <v>30.798556999999999</v>
      </c>
      <c r="AA38" s="165">
        <v>31.3137723</v>
      </c>
      <c r="AB38" s="165"/>
      <c r="AC38" s="165"/>
      <c r="AD38" s="165"/>
      <c r="AE38" s="216"/>
      <c r="AF38" s="215">
        <v>3.5409896000000001</v>
      </c>
      <c r="AG38" s="165">
        <v>4.1412589000000004</v>
      </c>
      <c r="AH38" s="165">
        <v>2.9333052999999998</v>
      </c>
      <c r="AI38" s="165">
        <v>2.3605429</v>
      </c>
      <c r="AJ38" s="165">
        <v>2.6041438000000001</v>
      </c>
      <c r="AK38" s="165">
        <v>2.7773042999999999</v>
      </c>
      <c r="AL38" s="165">
        <v>2.6283050999999999</v>
      </c>
      <c r="AM38" s="165">
        <v>3.0332724999999998</v>
      </c>
      <c r="AN38" s="165">
        <v>2.8625900999999998</v>
      </c>
      <c r="AO38" s="165"/>
      <c r="AP38" s="165"/>
      <c r="AQ38" s="165"/>
      <c r="AR38" s="216"/>
      <c r="AS38" s="165">
        <v>0</v>
      </c>
      <c r="AT38" s="165">
        <v>0</v>
      </c>
      <c r="AU38" s="165">
        <v>0</v>
      </c>
      <c r="AV38" s="165">
        <v>0</v>
      </c>
      <c r="AW38" s="165">
        <v>0</v>
      </c>
      <c r="AX38" s="165">
        <v>0</v>
      </c>
      <c r="AY38" s="165">
        <v>0</v>
      </c>
      <c r="AZ38" s="165">
        <v>0</v>
      </c>
      <c r="BA38" s="165">
        <v>0</v>
      </c>
      <c r="BB38" s="165"/>
      <c r="BC38" s="165"/>
      <c r="BD38" s="165"/>
      <c r="BE38" s="165"/>
      <c r="BF38" s="215">
        <v>0.16673370000000001</v>
      </c>
      <c r="BG38" s="165">
        <v>0.27110109999999998</v>
      </c>
      <c r="BH38" s="165">
        <v>0.13918040000000001</v>
      </c>
      <c r="BI38" s="165">
        <v>2.6499100000000001E-2</v>
      </c>
      <c r="BJ38" s="165">
        <v>0.24712410000000001</v>
      </c>
      <c r="BK38" s="165">
        <v>0.20616599999999999</v>
      </c>
      <c r="BL38" s="165">
        <v>0.24316280000000001</v>
      </c>
      <c r="BM38" s="165">
        <v>0.26819219999999999</v>
      </c>
      <c r="BN38" s="165">
        <v>0.24927489999999999</v>
      </c>
      <c r="BO38" s="165"/>
      <c r="BP38" s="165"/>
      <c r="BQ38" s="165"/>
      <c r="BR38" s="216"/>
      <c r="BS38" s="165">
        <v>0</v>
      </c>
      <c r="BT38" s="165">
        <v>2.0962708999999999</v>
      </c>
      <c r="BU38" s="165">
        <v>2.0143214999999999</v>
      </c>
      <c r="BV38" s="165">
        <v>1.1187556000000001</v>
      </c>
      <c r="BW38" s="165">
        <v>0.3796619</v>
      </c>
      <c r="BX38" s="165">
        <v>-1.93294E-2</v>
      </c>
      <c r="BY38" s="165">
        <v>0</v>
      </c>
      <c r="BZ38" s="165">
        <v>0</v>
      </c>
      <c r="CA38" s="165">
        <v>0</v>
      </c>
      <c r="CB38" s="165"/>
      <c r="CC38" s="165"/>
      <c r="CD38" s="165"/>
      <c r="CE38" s="165"/>
      <c r="CF38" s="215">
        <f t="shared" si="56"/>
        <v>32.4471165</v>
      </c>
      <c r="CG38" s="165">
        <f t="shared" si="57"/>
        <v>32.077370000000002</v>
      </c>
      <c r="CH38" s="165">
        <f t="shared" si="58"/>
        <v>28.3040749</v>
      </c>
      <c r="CI38" s="165">
        <f t="shared" si="59"/>
        <v>27.500366699999997</v>
      </c>
      <c r="CJ38" s="165">
        <f t="shared" si="60"/>
        <v>29.1631973</v>
      </c>
      <c r="CK38" s="165">
        <f t="shared" si="61"/>
        <v>28.004686899999999</v>
      </c>
      <c r="CL38" s="165">
        <f t="shared" si="62"/>
        <v>33.376460700000003</v>
      </c>
      <c r="CM38" s="165">
        <f t="shared" si="63"/>
        <v>34.100021699999999</v>
      </c>
      <c r="CN38" s="165">
        <f t="shared" si="64"/>
        <v>34.425637300000005</v>
      </c>
      <c r="CO38" s="165"/>
      <c r="CP38" s="165"/>
      <c r="CQ38" s="165"/>
      <c r="CR38" s="216"/>
      <c r="CS38" s="215">
        <f t="shared" si="65"/>
        <v>25.391397300000001</v>
      </c>
      <c r="CT38" s="165">
        <f t="shared" si="66"/>
        <v>24.458828</v>
      </c>
      <c r="CU38" s="165">
        <f t="shared" si="67"/>
        <v>21.7588905</v>
      </c>
      <c r="CV38" s="165">
        <f t="shared" si="68"/>
        <v>22.529137799999997</v>
      </c>
      <c r="CW38" s="165">
        <f t="shared" si="69"/>
        <v>24.684562900000003</v>
      </c>
      <c r="CX38" s="165">
        <f t="shared" si="70"/>
        <v>23.441044699999999</v>
      </c>
      <c r="CY38" s="165">
        <f t="shared" si="71"/>
        <v>29.609484200000004</v>
      </c>
      <c r="CZ38" s="165">
        <f t="shared" si="72"/>
        <v>29.7765749</v>
      </c>
      <c r="DA38" s="165">
        <f t="shared" si="73"/>
        <v>30.861234800000005</v>
      </c>
      <c r="DB38" s="165"/>
      <c r="DC38" s="165"/>
      <c r="DD38" s="165"/>
      <c r="DE38" s="216"/>
      <c r="DF38" s="17">
        <f t="shared" si="74"/>
        <v>0.10913110260506508</v>
      </c>
      <c r="DG38" s="18">
        <f t="shared" si="75"/>
        <v>0.12910219572240492</v>
      </c>
      <c r="DH38" s="18">
        <f t="shared" si="76"/>
        <v>0.10363544155262251</v>
      </c>
      <c r="DI38" s="18">
        <f t="shared" si="77"/>
        <v>8.5836779041931835E-2</v>
      </c>
      <c r="DJ38" s="18">
        <f t="shared" si="78"/>
        <v>8.9295551966107639E-2</v>
      </c>
      <c r="DK38" s="18">
        <f t="shared" si="79"/>
        <v>9.917283881506278E-2</v>
      </c>
      <c r="DL38" s="18">
        <f t="shared" si="80"/>
        <v>7.8747268130799727E-2</v>
      </c>
      <c r="DM38" s="18">
        <f t="shared" si="81"/>
        <v>8.8952216121317013E-2</v>
      </c>
      <c r="DN38" s="18">
        <f t="shared" si="82"/>
        <v>8.315285712953234E-2</v>
      </c>
      <c r="DO38" s="18"/>
      <c r="DP38" s="18"/>
      <c r="DQ38" s="18"/>
      <c r="DR38" s="217"/>
      <c r="DS38" s="150">
        <v>40271.4</v>
      </c>
      <c r="DT38" s="150">
        <v>38074.230000000003</v>
      </c>
      <c r="DU38" s="150">
        <v>33167.14</v>
      </c>
      <c r="DV38" s="150">
        <v>29214.47</v>
      </c>
      <c r="DW38" s="150">
        <v>29485.919999999998</v>
      </c>
      <c r="DX38" s="21">
        <v>28590</v>
      </c>
      <c r="DY38" s="21">
        <v>28629</v>
      </c>
      <c r="DZ38" s="165">
        <v>29513</v>
      </c>
      <c r="EA38" s="165">
        <v>29562</v>
      </c>
      <c r="EE38" s="13"/>
      <c r="EF38" s="20"/>
      <c r="EG38" s="21"/>
      <c r="EH38" s="21"/>
      <c r="EI38" s="21"/>
      <c r="EJ38" s="21"/>
      <c r="EK38" s="21"/>
      <c r="ER38" s="13"/>
      <c r="ES38" s="20"/>
      <c r="ET38" s="21"/>
      <c r="EU38" s="21"/>
      <c r="EV38" s="21"/>
      <c r="EW38" s="21"/>
      <c r="EX38" s="21">
        <v>268939</v>
      </c>
      <c r="EY38" s="180">
        <v>217793</v>
      </c>
      <c r="FE38" s="13"/>
      <c r="FF38" s="20"/>
      <c r="FG38" s="21"/>
      <c r="FH38" s="21"/>
      <c r="FI38" s="21"/>
      <c r="FJ38" s="21"/>
      <c r="FK38" s="21"/>
      <c r="FR38" s="13"/>
    </row>
    <row r="39" spans="4:174" x14ac:dyDescent="0.25">
      <c r="E39" s="2" t="s">
        <v>211</v>
      </c>
      <c r="F39" s="165">
        <v>4.7601101000000003</v>
      </c>
      <c r="G39" s="165">
        <v>3.6757056000000001</v>
      </c>
      <c r="H39" s="165">
        <v>3.4331502999999999</v>
      </c>
      <c r="I39" s="165">
        <v>4.2141672000000003</v>
      </c>
      <c r="J39" s="165">
        <v>4.8854869000000001</v>
      </c>
      <c r="K39" s="165">
        <v>4.8756335999999996</v>
      </c>
      <c r="L39" s="165">
        <v>4.2435736000000004</v>
      </c>
      <c r="M39" s="165">
        <v>4.9135048000000001</v>
      </c>
      <c r="N39" s="165">
        <v>4.0582934000000002</v>
      </c>
      <c r="O39" s="165"/>
      <c r="P39" s="165"/>
      <c r="Q39" s="165"/>
      <c r="R39" s="165"/>
      <c r="S39" s="215">
        <v>13.0373792</v>
      </c>
      <c r="T39" s="165">
        <v>13.6441202</v>
      </c>
      <c r="U39" s="165">
        <v>14.076036800000001</v>
      </c>
      <c r="V39" s="165">
        <v>15.0556132</v>
      </c>
      <c r="W39" s="165">
        <v>14.5406897</v>
      </c>
      <c r="X39" s="165">
        <v>14.777025099999999</v>
      </c>
      <c r="Y39" s="165">
        <v>15.2981962</v>
      </c>
      <c r="Z39" s="165">
        <v>15.7295889</v>
      </c>
      <c r="AA39" s="165">
        <v>15.7826766</v>
      </c>
      <c r="AB39" s="165"/>
      <c r="AC39" s="165"/>
      <c r="AD39" s="165"/>
      <c r="AE39" s="216"/>
      <c r="AF39" s="215">
        <v>1.7733439</v>
      </c>
      <c r="AG39" s="165">
        <v>2.0307195</v>
      </c>
      <c r="AH39" s="165">
        <v>1.7960193</v>
      </c>
      <c r="AI39" s="165">
        <v>1.7349876</v>
      </c>
      <c r="AJ39" s="165">
        <v>1.8656253</v>
      </c>
      <c r="AK39" s="165">
        <v>1.9638059000000001</v>
      </c>
      <c r="AL39" s="165">
        <v>1.8071755</v>
      </c>
      <c r="AM39" s="165">
        <v>2.2483667999999999</v>
      </c>
      <c r="AN39" s="165">
        <v>2.0532211</v>
      </c>
      <c r="AO39" s="165"/>
      <c r="AP39" s="165"/>
      <c r="AQ39" s="165"/>
      <c r="AR39" s="216"/>
      <c r="AS39" s="165">
        <v>0</v>
      </c>
      <c r="AT39" s="165">
        <v>0</v>
      </c>
      <c r="AU39" s="165">
        <v>0</v>
      </c>
      <c r="AV39" s="165">
        <v>0</v>
      </c>
      <c r="AW39" s="165">
        <v>0</v>
      </c>
      <c r="AX39" s="165">
        <v>0</v>
      </c>
      <c r="AY39" s="165">
        <v>0</v>
      </c>
      <c r="AZ39" s="165">
        <v>0</v>
      </c>
      <c r="BA39" s="165">
        <v>0</v>
      </c>
      <c r="BB39" s="165"/>
      <c r="BC39" s="165"/>
      <c r="BD39" s="165"/>
      <c r="BE39" s="165"/>
      <c r="BF39" s="215">
        <v>8.5501900000000006E-2</v>
      </c>
      <c r="BG39" s="165">
        <v>0.1437609</v>
      </c>
      <c r="BH39" s="165">
        <v>8.0261299999999994E-2</v>
      </c>
      <c r="BI39" s="165">
        <v>1.6399899999999999E-2</v>
      </c>
      <c r="BJ39" s="165">
        <v>0.1569217</v>
      </c>
      <c r="BK39" s="165">
        <v>0.1176359</v>
      </c>
      <c r="BL39" s="165">
        <v>0.14494399999999999</v>
      </c>
      <c r="BM39" s="165">
        <v>0.15116489999999999</v>
      </c>
      <c r="BN39" s="165">
        <v>0.14487929999999999</v>
      </c>
      <c r="BO39" s="165"/>
      <c r="BP39" s="165"/>
      <c r="BQ39" s="165"/>
      <c r="BR39" s="216"/>
      <c r="BS39" s="165">
        <v>0</v>
      </c>
      <c r="BT39" s="165">
        <v>1.7097536</v>
      </c>
      <c r="BU39" s="165">
        <v>2.0576979</v>
      </c>
      <c r="BV39" s="165">
        <v>0.57001599999999997</v>
      </c>
      <c r="BW39" s="165">
        <v>0.23533979999999999</v>
      </c>
      <c r="BX39" s="165">
        <v>-1.18966E-2</v>
      </c>
      <c r="BY39" s="165">
        <v>0</v>
      </c>
      <c r="BZ39" s="165">
        <v>0</v>
      </c>
      <c r="CA39" s="165">
        <v>0</v>
      </c>
      <c r="CB39" s="165"/>
      <c r="CC39" s="165"/>
      <c r="CD39" s="165"/>
      <c r="CE39" s="165"/>
      <c r="CF39" s="215">
        <f t="shared" si="56"/>
        <v>14.896225000000001</v>
      </c>
      <c r="CG39" s="165">
        <f t="shared" si="57"/>
        <v>15.8186006</v>
      </c>
      <c r="CH39" s="165">
        <f t="shared" si="58"/>
        <v>15.9523174</v>
      </c>
      <c r="CI39" s="165">
        <f t="shared" si="59"/>
        <v>16.8070007</v>
      </c>
      <c r="CJ39" s="165">
        <f t="shared" si="60"/>
        <v>16.563236700000001</v>
      </c>
      <c r="CK39" s="165">
        <f t="shared" si="61"/>
        <v>16.8584669</v>
      </c>
      <c r="CL39" s="165">
        <f t="shared" si="62"/>
        <v>17.250315699999998</v>
      </c>
      <c r="CM39" s="165">
        <f t="shared" si="63"/>
        <v>18.1291206</v>
      </c>
      <c r="CN39" s="165">
        <f t="shared" si="64"/>
        <v>17.980777</v>
      </c>
      <c r="CO39" s="165"/>
      <c r="CP39" s="165"/>
      <c r="CQ39" s="165"/>
      <c r="CR39" s="216"/>
      <c r="CS39" s="215">
        <f t="shared" si="65"/>
        <v>10.136114900000001</v>
      </c>
      <c r="CT39" s="165">
        <f t="shared" si="66"/>
        <v>10.4331414</v>
      </c>
      <c r="CU39" s="165">
        <f t="shared" si="67"/>
        <v>10.461469200000002</v>
      </c>
      <c r="CV39" s="165">
        <f t="shared" si="68"/>
        <v>12.0228175</v>
      </c>
      <c r="CW39" s="165">
        <f t="shared" si="69"/>
        <v>11.442410000000002</v>
      </c>
      <c r="CX39" s="165">
        <f t="shared" si="70"/>
        <v>11.994729899999999</v>
      </c>
      <c r="CY39" s="165">
        <f t="shared" si="71"/>
        <v>13.006742099999997</v>
      </c>
      <c r="CZ39" s="165">
        <f t="shared" si="72"/>
        <v>13.2156158</v>
      </c>
      <c r="DA39" s="165">
        <f t="shared" si="73"/>
        <v>13.9224836</v>
      </c>
      <c r="DB39" s="165"/>
      <c r="DC39" s="165"/>
      <c r="DD39" s="165"/>
      <c r="DE39" s="216"/>
      <c r="DF39" s="17">
        <f t="shared" si="74"/>
        <v>0.11904653024507886</v>
      </c>
      <c r="DG39" s="18">
        <f t="shared" si="75"/>
        <v>0.12837542026315527</v>
      </c>
      <c r="DH39" s="18">
        <f t="shared" si="76"/>
        <v>0.11258673300971306</v>
      </c>
      <c r="DI39" s="18">
        <f t="shared" si="77"/>
        <v>0.10323005460456725</v>
      </c>
      <c r="DJ39" s="18">
        <f t="shared" si="78"/>
        <v>0.11263651747487252</v>
      </c>
      <c r="DK39" s="18">
        <f t="shared" si="79"/>
        <v>0.11648781064427632</v>
      </c>
      <c r="DL39" s="18">
        <f t="shared" si="80"/>
        <v>0.10476187980722</v>
      </c>
      <c r="DM39" s="18">
        <f t="shared" si="81"/>
        <v>0.1240196283983019</v>
      </c>
      <c r="DN39" s="18">
        <f t="shared" si="82"/>
        <v>0.11418978723778177</v>
      </c>
      <c r="DO39" s="18"/>
      <c r="DP39" s="18"/>
      <c r="DQ39" s="18"/>
      <c r="DR39" s="217"/>
      <c r="DS39" s="150">
        <v>18402.916666666701</v>
      </c>
      <c r="DT39" s="150">
        <v>18754.46</v>
      </c>
      <c r="DU39" s="150">
        <v>18573.54</v>
      </c>
      <c r="DV39" s="150">
        <v>18935.2</v>
      </c>
      <c r="DW39" s="150">
        <v>18771.18</v>
      </c>
      <c r="DX39" s="21">
        <v>19154</v>
      </c>
      <c r="DY39" s="21">
        <v>18890</v>
      </c>
      <c r="DZ39" s="165">
        <v>19007</v>
      </c>
      <c r="EA39" s="165">
        <v>18986</v>
      </c>
      <c r="EE39" s="13"/>
      <c r="EF39" s="20"/>
      <c r="EG39" s="21"/>
      <c r="EH39" s="21"/>
      <c r="EI39" s="21"/>
      <c r="EJ39" s="21"/>
      <c r="EK39" s="21"/>
      <c r="ER39" s="13"/>
      <c r="ES39" s="20"/>
      <c r="ET39" s="21"/>
      <c r="EU39" s="21"/>
      <c r="EV39" s="21"/>
      <c r="EW39" s="21"/>
      <c r="EX39" s="21">
        <v>331566</v>
      </c>
      <c r="EY39" s="180">
        <v>289037</v>
      </c>
      <c r="FE39" s="13"/>
      <c r="FF39" s="20"/>
      <c r="FG39" s="21"/>
      <c r="FH39" s="21"/>
      <c r="FI39" s="21"/>
      <c r="FJ39" s="21"/>
      <c r="FK39" s="21"/>
      <c r="FR39" s="13"/>
    </row>
    <row r="40" spans="4:174" x14ac:dyDescent="0.25">
      <c r="E40" s="2" t="s">
        <v>212</v>
      </c>
      <c r="F40" s="165">
        <v>0</v>
      </c>
      <c r="G40" s="165">
        <v>0</v>
      </c>
      <c r="H40" s="165">
        <v>0</v>
      </c>
      <c r="I40" s="165">
        <v>0</v>
      </c>
      <c r="J40" s="165">
        <v>0</v>
      </c>
      <c r="K40" s="165">
        <v>3.0507300000000001E-2</v>
      </c>
      <c r="L40" s="165">
        <v>0</v>
      </c>
      <c r="M40" s="165">
        <v>4.4937100000000001E-2</v>
      </c>
      <c r="N40" s="165">
        <v>0</v>
      </c>
      <c r="O40" s="165"/>
      <c r="P40" s="165"/>
      <c r="Q40" s="165"/>
      <c r="R40" s="165"/>
      <c r="S40" s="215">
        <v>2.4416945000000001</v>
      </c>
      <c r="T40" s="165">
        <v>2.4616140999999998</v>
      </c>
      <c r="U40" s="165">
        <v>2.6010689999999999</v>
      </c>
      <c r="V40" s="165">
        <v>2.7129044000000002</v>
      </c>
      <c r="W40" s="165">
        <v>2.9659320999999998</v>
      </c>
      <c r="X40" s="165">
        <v>2.9553907000000001</v>
      </c>
      <c r="Y40" s="165">
        <v>2.9086883000000001</v>
      </c>
      <c r="Z40" s="165">
        <v>2.6208190999999998</v>
      </c>
      <c r="AA40" s="165">
        <v>2.5953699000000001</v>
      </c>
      <c r="AB40" s="165"/>
      <c r="AC40" s="165"/>
      <c r="AD40" s="165"/>
      <c r="AE40" s="216"/>
      <c r="AF40" s="215">
        <v>0.1575165</v>
      </c>
      <c r="AG40" s="165">
        <v>0.14608879999999999</v>
      </c>
      <c r="AH40" s="165">
        <v>0.12766520000000001</v>
      </c>
      <c r="AI40" s="165">
        <v>6.5402500000000002E-2</v>
      </c>
      <c r="AJ40" s="165">
        <v>0.15288160000000001</v>
      </c>
      <c r="AK40" s="165">
        <v>0.1004458</v>
      </c>
      <c r="AL40" s="165">
        <v>9.8976700000000001E-2</v>
      </c>
      <c r="AM40" s="165">
        <v>0.15704029999999999</v>
      </c>
      <c r="AN40" s="165">
        <v>0.1447753</v>
      </c>
      <c r="AO40" s="165"/>
      <c r="AP40" s="165"/>
      <c r="AQ40" s="165"/>
      <c r="AR40" s="216"/>
      <c r="AS40" s="165">
        <v>0</v>
      </c>
      <c r="AT40" s="165">
        <v>0</v>
      </c>
      <c r="AU40" s="165">
        <v>0</v>
      </c>
      <c r="AV40" s="165">
        <v>0</v>
      </c>
      <c r="AW40" s="165">
        <v>0</v>
      </c>
      <c r="AX40" s="165">
        <v>0</v>
      </c>
      <c r="AY40" s="165">
        <v>0</v>
      </c>
      <c r="AZ40" s="165">
        <v>0</v>
      </c>
      <c r="BA40" s="165">
        <v>0</v>
      </c>
      <c r="BB40" s="165"/>
      <c r="BC40" s="165"/>
      <c r="BD40" s="165"/>
      <c r="BE40" s="165"/>
      <c r="BF40" s="215">
        <v>1.1439E-3</v>
      </c>
      <c r="BG40" s="165">
        <v>1.7057999999999999E-3</v>
      </c>
      <c r="BH40" s="165">
        <v>2.6692999999999999E-3</v>
      </c>
      <c r="BI40" s="165">
        <v>2.1249999999999999E-4</v>
      </c>
      <c r="BJ40" s="165">
        <v>2.6840000000000002E-4</v>
      </c>
      <c r="BK40" s="165">
        <v>-2.6713000000000002E-3</v>
      </c>
      <c r="BL40" s="165">
        <v>-1.165E-3</v>
      </c>
      <c r="BM40" s="165">
        <v>7.6500000000000003E-5</v>
      </c>
      <c r="BN40" s="165">
        <v>-6.8099999999999996E-4</v>
      </c>
      <c r="BO40" s="165"/>
      <c r="BP40" s="165"/>
      <c r="BQ40" s="165"/>
      <c r="BR40" s="216"/>
      <c r="BS40" s="165">
        <v>0</v>
      </c>
      <c r="BT40" s="165">
        <v>0.14946290000000001</v>
      </c>
      <c r="BU40" s="165">
        <v>9.9658499999999997E-2</v>
      </c>
      <c r="BV40" s="165">
        <v>2.8328300000000001E-2</v>
      </c>
      <c r="BW40" s="165">
        <v>4.8038999999999998E-2</v>
      </c>
      <c r="BX40" s="165">
        <v>-2.3678000000000002E-3</v>
      </c>
      <c r="BY40" s="165">
        <v>0</v>
      </c>
      <c r="BZ40" s="165">
        <v>0</v>
      </c>
      <c r="CA40" s="165">
        <v>0</v>
      </c>
      <c r="CB40" s="165"/>
      <c r="CC40" s="165"/>
      <c r="CD40" s="165"/>
      <c r="CE40" s="165"/>
      <c r="CF40" s="215">
        <f t="shared" si="56"/>
        <v>2.6003549000000001</v>
      </c>
      <c r="CG40" s="165">
        <f t="shared" si="57"/>
        <v>2.6094086999999995</v>
      </c>
      <c r="CH40" s="165">
        <f t="shared" si="58"/>
        <v>2.7314034999999999</v>
      </c>
      <c r="CI40" s="165">
        <f t="shared" si="59"/>
        <v>2.7785194</v>
      </c>
      <c r="CJ40" s="165">
        <f t="shared" si="60"/>
        <v>3.1190821</v>
      </c>
      <c r="CK40" s="165">
        <f t="shared" si="61"/>
        <v>3.0531652000000005</v>
      </c>
      <c r="CL40" s="165">
        <f t="shared" si="62"/>
        <v>3.0065000000000004</v>
      </c>
      <c r="CM40" s="165">
        <f t="shared" si="63"/>
        <v>2.7779358999999997</v>
      </c>
      <c r="CN40" s="165">
        <f t="shared" si="64"/>
        <v>2.7394642</v>
      </c>
      <c r="CO40" s="165"/>
      <c r="CP40" s="165"/>
      <c r="CQ40" s="165"/>
      <c r="CR40" s="216"/>
      <c r="CS40" s="215">
        <f t="shared" si="65"/>
        <v>2.6003549000000001</v>
      </c>
      <c r="CT40" s="165">
        <f t="shared" si="66"/>
        <v>2.4599457999999994</v>
      </c>
      <c r="CU40" s="165">
        <f t="shared" si="67"/>
        <v>2.631745</v>
      </c>
      <c r="CV40" s="165">
        <f t="shared" si="68"/>
        <v>2.7501910999999999</v>
      </c>
      <c r="CW40" s="165">
        <f t="shared" si="69"/>
        <v>3.0710430999999998</v>
      </c>
      <c r="CX40" s="165">
        <f t="shared" si="70"/>
        <v>3.0250257000000005</v>
      </c>
      <c r="CY40" s="165">
        <f t="shared" si="71"/>
        <v>3.0065000000000004</v>
      </c>
      <c r="CZ40" s="165">
        <f t="shared" si="72"/>
        <v>2.7329987999999998</v>
      </c>
      <c r="DA40" s="165">
        <f t="shared" si="73"/>
        <v>2.7394642</v>
      </c>
      <c r="DB40" s="165"/>
      <c r="DC40" s="165"/>
      <c r="DD40" s="165"/>
      <c r="DE40" s="216"/>
      <c r="DF40" s="17">
        <f t="shared" si="74"/>
        <v>6.0575000743167788E-2</v>
      </c>
      <c r="DG40" s="18">
        <f t="shared" si="75"/>
        <v>5.5985403896292682E-2</v>
      </c>
      <c r="DH40" s="18">
        <f t="shared" si="76"/>
        <v>4.6739780482817718E-2</v>
      </c>
      <c r="DI40" s="18">
        <f t="shared" si="77"/>
        <v>2.3538615566261658E-2</v>
      </c>
      <c r="DJ40" s="18">
        <f t="shared" si="78"/>
        <v>4.9014932950947332E-2</v>
      </c>
      <c r="DK40" s="18">
        <f t="shared" si="79"/>
        <v>3.2898907664740837E-2</v>
      </c>
      <c r="DL40" s="18">
        <f t="shared" si="80"/>
        <v>3.2920904706469314E-2</v>
      </c>
      <c r="DM40" s="18">
        <f t="shared" si="81"/>
        <v>5.6531290012847311E-2</v>
      </c>
      <c r="DN40" s="18">
        <f t="shared" si="82"/>
        <v>5.2848035028163536E-2</v>
      </c>
      <c r="DO40" s="18"/>
      <c r="DP40" s="18"/>
      <c r="DQ40" s="18"/>
      <c r="DR40" s="217"/>
      <c r="DS40" s="150">
        <v>2376.6833333333302</v>
      </c>
      <c r="DT40" s="150">
        <v>2274.38</v>
      </c>
      <c r="DU40" s="150">
        <v>2217.63</v>
      </c>
      <c r="DV40" s="150">
        <v>2115.1799999999998</v>
      </c>
      <c r="DW40" s="150">
        <v>2060.5100000000002</v>
      </c>
      <c r="DX40" s="21">
        <v>2057</v>
      </c>
      <c r="DY40" s="21">
        <v>1972</v>
      </c>
      <c r="DZ40" s="165">
        <v>2021</v>
      </c>
      <c r="EA40" s="165">
        <v>1971</v>
      </c>
      <c r="EE40" s="13"/>
      <c r="EF40" s="20"/>
      <c r="EG40" s="21"/>
      <c r="EH40" s="21"/>
      <c r="EI40" s="21"/>
      <c r="EJ40" s="21"/>
      <c r="EK40" s="21"/>
      <c r="ER40" s="13"/>
      <c r="ES40" s="20"/>
      <c r="ET40" s="21"/>
      <c r="EU40" s="21"/>
      <c r="EV40" s="21"/>
      <c r="EW40" s="21"/>
      <c r="EX40" s="21">
        <v>32555</v>
      </c>
      <c r="EY40" s="180">
        <v>33879</v>
      </c>
      <c r="FE40" s="13"/>
      <c r="FF40" s="20"/>
      <c r="FG40" s="21"/>
      <c r="FH40" s="21"/>
      <c r="FI40" s="21"/>
      <c r="FJ40" s="21"/>
      <c r="FK40" s="21"/>
      <c r="FR40" s="13"/>
    </row>
    <row r="41" spans="4:174" x14ac:dyDescent="0.25">
      <c r="E41" s="2" t="s">
        <v>223</v>
      </c>
      <c r="F41" s="165">
        <v>7.3315947000000001</v>
      </c>
      <c r="G41" s="165">
        <v>5.7923876999999999</v>
      </c>
      <c r="H41" s="165">
        <v>5.2930790999999999</v>
      </c>
      <c r="I41" s="165">
        <v>5.1843621999999998</v>
      </c>
      <c r="J41" s="165">
        <v>5.6291418000000002</v>
      </c>
      <c r="K41" s="165">
        <v>6.5301738</v>
      </c>
      <c r="L41" s="165">
        <v>5.6544708999999997</v>
      </c>
      <c r="M41" s="165">
        <v>6.7111292999999996</v>
      </c>
      <c r="N41" s="165">
        <v>4.7866914999999999</v>
      </c>
      <c r="O41" s="165"/>
      <c r="P41" s="165"/>
      <c r="Q41" s="165"/>
      <c r="R41" s="165"/>
      <c r="S41" s="215">
        <v>22.224207799999999</v>
      </c>
      <c r="T41" s="165">
        <v>23.564314400000001</v>
      </c>
      <c r="U41" s="165">
        <v>25.105526999999999</v>
      </c>
      <c r="V41" s="165">
        <v>26.865228999999999</v>
      </c>
      <c r="W41" s="165">
        <v>27.111565500000001</v>
      </c>
      <c r="X41" s="165">
        <v>27.0397669</v>
      </c>
      <c r="Y41" s="165">
        <v>26.552548099999999</v>
      </c>
      <c r="Z41" s="165">
        <v>26.750059100000001</v>
      </c>
      <c r="AA41" s="165">
        <v>26.969265400000001</v>
      </c>
      <c r="AB41" s="165"/>
      <c r="AC41" s="165"/>
      <c r="AD41" s="165"/>
      <c r="AE41" s="216"/>
      <c r="AF41" s="215">
        <v>3.0254322999999999</v>
      </c>
      <c r="AG41" s="165">
        <v>3.5136965</v>
      </c>
      <c r="AH41" s="165">
        <v>3.0916511</v>
      </c>
      <c r="AI41" s="165">
        <v>2.753546</v>
      </c>
      <c r="AJ41" s="165">
        <v>2.9934082000000002</v>
      </c>
      <c r="AK41" s="165">
        <v>3.1952246999999998</v>
      </c>
      <c r="AL41" s="165">
        <v>2.9507243999999999</v>
      </c>
      <c r="AM41" s="165">
        <v>3.5546828000000001</v>
      </c>
      <c r="AN41" s="165">
        <v>3.1286999</v>
      </c>
      <c r="AO41" s="165"/>
      <c r="AP41" s="165"/>
      <c r="AQ41" s="165"/>
      <c r="AR41" s="216"/>
      <c r="AS41" s="165">
        <v>0</v>
      </c>
      <c r="AT41" s="165">
        <v>0</v>
      </c>
      <c r="AU41" s="165">
        <v>0</v>
      </c>
      <c r="AV41" s="165">
        <v>0</v>
      </c>
      <c r="AW41" s="165">
        <v>0</v>
      </c>
      <c r="AX41" s="165">
        <v>0</v>
      </c>
      <c r="AY41" s="165">
        <v>0</v>
      </c>
      <c r="AZ41" s="165">
        <v>0</v>
      </c>
      <c r="BA41" s="165">
        <v>0</v>
      </c>
      <c r="BB41" s="165"/>
      <c r="BC41" s="165"/>
      <c r="BD41" s="165"/>
      <c r="BE41" s="165"/>
      <c r="BF41" s="215">
        <v>0.1342431</v>
      </c>
      <c r="BG41" s="165">
        <v>0.22325500000000001</v>
      </c>
      <c r="BH41" s="165">
        <v>0.12752469999999999</v>
      </c>
      <c r="BI41" s="165">
        <v>2.68323E-2</v>
      </c>
      <c r="BJ41" s="165">
        <v>0.2482346</v>
      </c>
      <c r="BK41" s="165">
        <v>0.1817387</v>
      </c>
      <c r="BL41" s="165">
        <v>0.21395919999999999</v>
      </c>
      <c r="BM41" s="165">
        <v>0.23979020000000001</v>
      </c>
      <c r="BN41" s="165">
        <v>0.21595880000000001</v>
      </c>
      <c r="BO41" s="165"/>
      <c r="BP41" s="165"/>
      <c r="BQ41" s="165"/>
      <c r="BR41" s="216"/>
      <c r="BS41" s="165">
        <v>0</v>
      </c>
      <c r="BT41" s="165">
        <v>3.3382478</v>
      </c>
      <c r="BU41" s="165">
        <v>2.7180227000000001</v>
      </c>
      <c r="BV41" s="165">
        <v>1.6402087000000001</v>
      </c>
      <c r="BW41" s="165">
        <v>0.41141329999999998</v>
      </c>
      <c r="BX41" s="165">
        <v>-2.0114E-2</v>
      </c>
      <c r="BY41" s="165">
        <v>0</v>
      </c>
      <c r="BZ41" s="165">
        <v>0</v>
      </c>
      <c r="CA41" s="165">
        <v>0</v>
      </c>
      <c r="CB41" s="165"/>
      <c r="CC41" s="165"/>
      <c r="CD41" s="165"/>
      <c r="CE41" s="165"/>
      <c r="CF41" s="215">
        <f t="shared" si="56"/>
        <v>25.383883199999996</v>
      </c>
      <c r="CG41" s="165">
        <f t="shared" si="57"/>
        <v>27.301265900000004</v>
      </c>
      <c r="CH41" s="165">
        <f t="shared" si="58"/>
        <v>28.324702799999997</v>
      </c>
      <c r="CI41" s="165">
        <f t="shared" si="59"/>
        <v>29.645607299999998</v>
      </c>
      <c r="CJ41" s="165">
        <f t="shared" si="60"/>
        <v>30.353208300000002</v>
      </c>
      <c r="CK41" s="165">
        <f t="shared" si="61"/>
        <v>30.416730300000001</v>
      </c>
      <c r="CL41" s="165">
        <f t="shared" si="62"/>
        <v>29.717231699999999</v>
      </c>
      <c r="CM41" s="165">
        <f t="shared" si="63"/>
        <v>30.544532100000005</v>
      </c>
      <c r="CN41" s="165">
        <f t="shared" si="64"/>
        <v>30.313924100000001</v>
      </c>
      <c r="CO41" s="165"/>
      <c r="CP41" s="165"/>
      <c r="CQ41" s="165"/>
      <c r="CR41" s="216"/>
      <c r="CS41" s="215">
        <f t="shared" si="65"/>
        <v>18.052288499999996</v>
      </c>
      <c r="CT41" s="165">
        <f t="shared" si="66"/>
        <v>18.170630400000004</v>
      </c>
      <c r="CU41" s="165">
        <f t="shared" si="67"/>
        <v>20.313600999999998</v>
      </c>
      <c r="CV41" s="165">
        <f t="shared" si="68"/>
        <v>22.821036400000001</v>
      </c>
      <c r="CW41" s="165">
        <f t="shared" si="69"/>
        <v>24.312653200000003</v>
      </c>
      <c r="CX41" s="165">
        <f t="shared" si="70"/>
        <v>23.906670500000001</v>
      </c>
      <c r="CY41" s="165">
        <f t="shared" si="71"/>
        <v>24.0627608</v>
      </c>
      <c r="CZ41" s="165">
        <f t="shared" si="72"/>
        <v>23.833402800000005</v>
      </c>
      <c r="DA41" s="165">
        <f t="shared" si="73"/>
        <v>25.527232600000001</v>
      </c>
      <c r="DB41" s="165"/>
      <c r="DC41" s="165"/>
      <c r="DD41" s="165"/>
      <c r="DE41" s="216"/>
      <c r="DF41" s="17">
        <f t="shared" si="74"/>
        <v>0.11918713445703218</v>
      </c>
      <c r="DG41" s="18">
        <f t="shared" si="75"/>
        <v>0.12870086364749847</v>
      </c>
      <c r="DH41" s="18">
        <f t="shared" si="76"/>
        <v>0.10915034561280552</v>
      </c>
      <c r="DI41" s="18">
        <f t="shared" si="77"/>
        <v>9.2882091169034689E-2</v>
      </c>
      <c r="DJ41" s="18">
        <f t="shared" si="78"/>
        <v>9.8619169690869216E-2</v>
      </c>
      <c r="DK41" s="18">
        <f t="shared" si="79"/>
        <v>0.10504826352094787</v>
      </c>
      <c r="DL41" s="18">
        <f t="shared" si="80"/>
        <v>9.9293380681889018E-2</v>
      </c>
      <c r="DM41" s="18">
        <f t="shared" si="81"/>
        <v>0.11637705853087858</v>
      </c>
      <c r="DN41" s="18">
        <f t="shared" si="82"/>
        <v>0.10320999319253425</v>
      </c>
      <c r="DO41" s="18"/>
      <c r="DP41" s="18"/>
      <c r="DQ41" s="18"/>
      <c r="DR41" s="217"/>
      <c r="DS41" s="150">
        <v>31053.7166666667</v>
      </c>
      <c r="DT41" s="150">
        <v>31393.65</v>
      </c>
      <c r="DU41" s="150">
        <v>31117.78</v>
      </c>
      <c r="DV41" s="150">
        <v>30959.65</v>
      </c>
      <c r="DW41" s="150">
        <v>30360.05</v>
      </c>
      <c r="DX41" s="21">
        <v>30352</v>
      </c>
      <c r="DY41" s="21">
        <v>29461</v>
      </c>
      <c r="DZ41" s="165">
        <v>28800</v>
      </c>
      <c r="EA41" s="165">
        <v>28486</v>
      </c>
      <c r="EE41" s="13"/>
      <c r="EF41" s="20"/>
      <c r="EG41" s="21"/>
      <c r="EH41" s="21"/>
      <c r="EI41" s="21"/>
      <c r="EJ41" s="21"/>
      <c r="EK41" s="21"/>
      <c r="ER41" s="13"/>
      <c r="ES41" s="20"/>
      <c r="ET41" s="21"/>
      <c r="EU41" s="21"/>
      <c r="EV41" s="21"/>
      <c r="EW41" s="21"/>
      <c r="EX41" s="21">
        <v>350439</v>
      </c>
      <c r="EY41" s="180">
        <v>334846</v>
      </c>
      <c r="FE41" s="13"/>
      <c r="FF41" s="20"/>
      <c r="FG41" s="21"/>
      <c r="FH41" s="21"/>
      <c r="FI41" s="21"/>
      <c r="FJ41" s="21"/>
      <c r="FK41" s="21"/>
      <c r="FR41" s="13"/>
    </row>
    <row r="42" spans="4:174" x14ac:dyDescent="0.25">
      <c r="E42" s="2" t="s">
        <v>214</v>
      </c>
      <c r="F42" s="165">
        <v>0</v>
      </c>
      <c r="G42" s="165">
        <v>0</v>
      </c>
      <c r="H42" s="165">
        <v>8.7069999999999997E-4</v>
      </c>
      <c r="I42" s="165">
        <v>7.0682999999999996E-3</v>
      </c>
      <c r="J42" s="165">
        <v>2.09248E-2</v>
      </c>
      <c r="K42" s="165">
        <v>8.6541199999999999E-2</v>
      </c>
      <c r="L42" s="165">
        <v>1.5002E-2</v>
      </c>
      <c r="M42" s="165">
        <v>0.13074669999999999</v>
      </c>
      <c r="N42" s="165">
        <v>1.40655E-2</v>
      </c>
      <c r="O42" s="165"/>
      <c r="P42" s="165"/>
      <c r="Q42" s="165"/>
      <c r="R42" s="165"/>
      <c r="S42" s="215">
        <v>12.9969517</v>
      </c>
      <c r="T42" s="165">
        <v>12.8334262</v>
      </c>
      <c r="U42" s="165">
        <v>13.4516575</v>
      </c>
      <c r="V42" s="165">
        <v>14.7044605</v>
      </c>
      <c r="W42" s="165">
        <v>12.5999892</v>
      </c>
      <c r="X42" s="165">
        <v>11.078659399999999</v>
      </c>
      <c r="Y42" s="165">
        <v>13.0281535</v>
      </c>
      <c r="Z42" s="165">
        <v>13.2931948</v>
      </c>
      <c r="AA42" s="165">
        <v>13.6518236</v>
      </c>
      <c r="AB42" s="165"/>
      <c r="AC42" s="165"/>
      <c r="AD42" s="165"/>
      <c r="AE42" s="216"/>
      <c r="AF42" s="215">
        <v>0.97997860000000003</v>
      </c>
      <c r="AG42" s="165">
        <v>0.99859790000000004</v>
      </c>
      <c r="AH42" s="165">
        <v>0.92672750000000004</v>
      </c>
      <c r="AI42" s="165">
        <v>0.85077159999999996</v>
      </c>
      <c r="AJ42" s="165">
        <v>0.80936019999999997</v>
      </c>
      <c r="AK42" s="165">
        <v>0.72989250000000006</v>
      </c>
      <c r="AL42" s="165">
        <v>0.72218919999999998</v>
      </c>
      <c r="AM42" s="165">
        <v>0.89533569999999996</v>
      </c>
      <c r="AN42" s="231">
        <v>0.8112066</v>
      </c>
      <c r="AO42" s="165"/>
      <c r="AP42" s="165"/>
      <c r="AQ42" s="165"/>
      <c r="AR42" s="216"/>
      <c r="AS42" s="165">
        <v>0</v>
      </c>
      <c r="AT42" s="165">
        <v>0</v>
      </c>
      <c r="AU42" s="165">
        <v>0</v>
      </c>
      <c r="AV42" s="165">
        <v>0</v>
      </c>
      <c r="AW42" s="165">
        <v>0</v>
      </c>
      <c r="AX42" s="165">
        <v>0</v>
      </c>
      <c r="AY42" s="165">
        <v>0</v>
      </c>
      <c r="AZ42" s="165">
        <v>0</v>
      </c>
      <c r="BA42" s="165">
        <v>0</v>
      </c>
      <c r="BB42" s="165"/>
      <c r="BC42" s="165"/>
      <c r="BD42" s="165"/>
      <c r="BE42" s="165"/>
      <c r="BF42" s="215">
        <v>4.9332000000000004E-3</v>
      </c>
      <c r="BG42" s="165">
        <v>7.6578999999999996E-3</v>
      </c>
      <c r="BH42" s="165">
        <v>3.8760999999999999E-3</v>
      </c>
      <c r="BI42" s="165">
        <v>2.1118999999999999E-3</v>
      </c>
      <c r="BJ42" s="165">
        <v>1.1835000000000001E-3</v>
      </c>
      <c r="BK42" s="165">
        <v>-1.5238099999999999E-2</v>
      </c>
      <c r="BL42" s="165">
        <v>-5.6651999999999996E-3</v>
      </c>
      <c r="BM42" s="165">
        <v>2.8097999999999999E-3</v>
      </c>
      <c r="BN42" s="165">
        <v>-2.3021000000000001E-3</v>
      </c>
      <c r="BO42" s="165"/>
      <c r="BP42" s="165"/>
      <c r="BQ42" s="165"/>
      <c r="BR42" s="216"/>
      <c r="BS42" s="165">
        <v>0</v>
      </c>
      <c r="BT42" s="165">
        <v>1.8692299999999998E-2</v>
      </c>
      <c r="BU42" s="165">
        <v>0.28489179999999997</v>
      </c>
      <c r="BV42" s="165">
        <v>0.1006905</v>
      </c>
      <c r="BW42" s="165">
        <v>0.2273406</v>
      </c>
      <c r="BX42" s="165">
        <v>-1.11824E-2</v>
      </c>
      <c r="BY42" s="165">
        <v>0</v>
      </c>
      <c r="BZ42" s="165">
        <v>0</v>
      </c>
      <c r="CA42" s="165">
        <v>0</v>
      </c>
      <c r="CB42" s="165"/>
      <c r="CC42" s="165"/>
      <c r="CD42" s="165"/>
      <c r="CE42" s="165"/>
      <c r="CF42" s="215">
        <f t="shared" si="56"/>
        <v>13.981863500000001</v>
      </c>
      <c r="CG42" s="165">
        <f t="shared" si="57"/>
        <v>13.839682</v>
      </c>
      <c r="CH42" s="165">
        <f t="shared" si="58"/>
        <v>14.382261099999999</v>
      </c>
      <c r="CI42" s="165">
        <f t="shared" si="59"/>
        <v>15.557343999999999</v>
      </c>
      <c r="CJ42" s="165">
        <f t="shared" si="60"/>
        <v>13.4105329</v>
      </c>
      <c r="CK42" s="165">
        <f t="shared" si="61"/>
        <v>11.7933138</v>
      </c>
      <c r="CL42" s="165">
        <f t="shared" si="62"/>
        <v>13.744677500000002</v>
      </c>
      <c r="CM42" s="165">
        <f t="shared" si="63"/>
        <v>14.1913403</v>
      </c>
      <c r="CN42" s="165">
        <f t="shared" si="64"/>
        <v>14.460728100000001</v>
      </c>
      <c r="CO42" s="165"/>
      <c r="CP42" s="165"/>
      <c r="CQ42" s="165"/>
      <c r="CR42" s="216"/>
      <c r="CS42" s="215">
        <f t="shared" si="65"/>
        <v>13.981863500000001</v>
      </c>
      <c r="CT42" s="165">
        <f t="shared" si="66"/>
        <v>13.8209897</v>
      </c>
      <c r="CU42" s="165">
        <f t="shared" si="67"/>
        <v>14.096498599999999</v>
      </c>
      <c r="CV42" s="165">
        <f t="shared" si="68"/>
        <v>15.449585199999998</v>
      </c>
      <c r="CW42" s="165">
        <f t="shared" si="69"/>
        <v>13.1622675</v>
      </c>
      <c r="CX42" s="165">
        <f t="shared" si="70"/>
        <v>11.717955</v>
      </c>
      <c r="CY42" s="165">
        <f t="shared" si="71"/>
        <v>13.729675500000001</v>
      </c>
      <c r="CZ42" s="165">
        <f t="shared" si="72"/>
        <v>14.060593600000001</v>
      </c>
      <c r="DA42" s="165">
        <f t="shared" si="73"/>
        <v>14.446662600000002</v>
      </c>
      <c r="DB42" s="165"/>
      <c r="DC42" s="165"/>
      <c r="DD42" s="165"/>
      <c r="DE42" s="216"/>
      <c r="DF42" s="17">
        <f t="shared" si="74"/>
        <v>7.00892695741165E-2</v>
      </c>
      <c r="DG42" s="18">
        <f t="shared" si="75"/>
        <v>7.2154685346093941E-2</v>
      </c>
      <c r="DH42" s="18">
        <f t="shared" si="76"/>
        <v>6.4435452364301746E-2</v>
      </c>
      <c r="DI42" s="18">
        <f t="shared" si="77"/>
        <v>5.4686172652607029E-2</v>
      </c>
      <c r="DJ42" s="18">
        <f t="shared" si="78"/>
        <v>6.035257554902982E-2</v>
      </c>
      <c r="DK42" s="18">
        <f t="shared" si="79"/>
        <v>6.1890365369570682E-2</v>
      </c>
      <c r="DL42" s="18">
        <f t="shared" si="80"/>
        <v>5.2543189900235918E-2</v>
      </c>
      <c r="DM42" s="18">
        <f t="shared" si="81"/>
        <v>6.3090284713981523E-2</v>
      </c>
      <c r="DN42" s="18">
        <f t="shared" si="82"/>
        <v>5.6097216847608107E-2</v>
      </c>
      <c r="DO42" s="18"/>
      <c r="DP42" s="18"/>
      <c r="DQ42" s="18"/>
      <c r="DR42" s="217"/>
      <c r="DS42" s="150">
        <v>17364.983333333301</v>
      </c>
      <c r="DT42" s="150">
        <v>17263.59</v>
      </c>
      <c r="DU42" s="150">
        <v>17454.61</v>
      </c>
      <c r="DV42" s="150">
        <v>17544.63</v>
      </c>
      <c r="DW42" s="150">
        <v>14906.94</v>
      </c>
      <c r="DX42" s="21">
        <v>12495</v>
      </c>
      <c r="DY42" s="21">
        <v>13187</v>
      </c>
      <c r="DZ42" s="165">
        <v>12747</v>
      </c>
      <c r="EA42" s="165">
        <v>12814</v>
      </c>
      <c r="EE42" s="13"/>
      <c r="EF42" s="20"/>
      <c r="EG42" s="21"/>
      <c r="EH42" s="21"/>
      <c r="EI42" s="21"/>
      <c r="EJ42" s="21"/>
      <c r="EK42" s="21"/>
      <c r="ER42" s="13"/>
      <c r="ES42" s="20"/>
      <c r="ET42" s="21"/>
      <c r="EU42" s="21"/>
      <c r="EV42" s="21"/>
      <c r="EW42" s="21"/>
      <c r="EX42" s="21">
        <v>20731</v>
      </c>
      <c r="EY42" s="180">
        <v>10579</v>
      </c>
      <c r="FE42" s="13"/>
      <c r="FF42" s="20"/>
      <c r="FG42" s="21"/>
      <c r="FH42" s="21"/>
      <c r="FI42" s="21"/>
      <c r="FJ42" s="21"/>
      <c r="FK42" s="21"/>
      <c r="FR42" s="13"/>
    </row>
    <row r="43" spans="4:174" x14ac:dyDescent="0.25">
      <c r="E43" s="2" t="s">
        <v>215</v>
      </c>
      <c r="F43" s="165">
        <v>5.5605533999999999</v>
      </c>
      <c r="G43" s="165">
        <v>4.5262263000000003</v>
      </c>
      <c r="H43" s="165">
        <v>4.1088705000000001</v>
      </c>
      <c r="I43" s="165">
        <v>5.3210283</v>
      </c>
      <c r="J43" s="165">
        <v>5.5550141000000002</v>
      </c>
      <c r="K43" s="165">
        <v>6.3923069000000003</v>
      </c>
      <c r="L43" s="165">
        <v>5.9978911999999998</v>
      </c>
      <c r="M43" s="165">
        <v>6.7552500999999996</v>
      </c>
      <c r="N43" s="165">
        <v>5.7221045000000004</v>
      </c>
      <c r="O43" s="165"/>
      <c r="P43" s="165"/>
      <c r="Q43" s="165"/>
      <c r="R43" s="165"/>
      <c r="S43" s="215">
        <v>14.8196958</v>
      </c>
      <c r="T43" s="165">
        <v>14.8218269</v>
      </c>
      <c r="U43" s="165">
        <v>15.519721000000001</v>
      </c>
      <c r="V43" s="165">
        <v>17.2300252</v>
      </c>
      <c r="W43" s="165">
        <v>17.000107</v>
      </c>
      <c r="X43" s="165">
        <v>16.371116499999999</v>
      </c>
      <c r="Y43" s="165">
        <v>16.685583900000001</v>
      </c>
      <c r="Z43" s="165">
        <v>17.164843300000001</v>
      </c>
      <c r="AA43" s="165">
        <v>17.435644199999999</v>
      </c>
      <c r="AB43" s="165"/>
      <c r="AC43" s="165"/>
      <c r="AD43" s="165"/>
      <c r="AE43" s="216"/>
      <c r="AF43" s="215">
        <v>2.0936811999999998</v>
      </c>
      <c r="AG43" s="165">
        <v>2.3201353999999998</v>
      </c>
      <c r="AH43" s="165">
        <v>2.1854407999999999</v>
      </c>
      <c r="AI43" s="165">
        <v>2.1240706</v>
      </c>
      <c r="AJ43" s="165">
        <v>2.1198046000000001</v>
      </c>
      <c r="AK43" s="165">
        <v>2.1415503999999999</v>
      </c>
      <c r="AL43" s="165">
        <v>2.0640746000000001</v>
      </c>
      <c r="AM43" s="165">
        <v>2.5342216</v>
      </c>
      <c r="AN43" s="165">
        <v>2.3735479000000002</v>
      </c>
      <c r="AO43" s="165"/>
      <c r="AP43" s="165"/>
      <c r="AQ43" s="165"/>
      <c r="AR43" s="216"/>
      <c r="AS43" s="165">
        <v>0</v>
      </c>
      <c r="AT43" s="165">
        <v>0</v>
      </c>
      <c r="AU43" s="165">
        <v>0</v>
      </c>
      <c r="AV43" s="165">
        <v>0</v>
      </c>
      <c r="AW43" s="165">
        <v>0</v>
      </c>
      <c r="AX43" s="165">
        <v>0</v>
      </c>
      <c r="AY43" s="165">
        <v>0</v>
      </c>
      <c r="AZ43" s="165">
        <v>0</v>
      </c>
      <c r="BA43" s="165">
        <v>0</v>
      </c>
      <c r="BB43" s="165"/>
      <c r="BC43" s="165"/>
      <c r="BD43" s="165"/>
      <c r="BE43" s="165"/>
      <c r="BF43" s="215">
        <v>9.92315E-2</v>
      </c>
      <c r="BG43" s="165">
        <v>0.16925760000000001</v>
      </c>
      <c r="BH43" s="165">
        <v>9.82624E-2</v>
      </c>
      <c r="BI43" s="165">
        <v>2.0008100000000001E-2</v>
      </c>
      <c r="BJ43" s="165">
        <v>0.19134509999999999</v>
      </c>
      <c r="BK43" s="165">
        <v>0.15253610000000001</v>
      </c>
      <c r="BL43" s="165">
        <v>0.168654</v>
      </c>
      <c r="BM43" s="165">
        <v>0.182225</v>
      </c>
      <c r="BN43" s="165">
        <v>0.1730062</v>
      </c>
      <c r="BO43" s="165"/>
      <c r="BP43" s="165"/>
      <c r="BQ43" s="165"/>
      <c r="BR43" s="216"/>
      <c r="BS43" s="165">
        <v>0</v>
      </c>
      <c r="BT43" s="165">
        <v>1.6341132</v>
      </c>
      <c r="BU43" s="165">
        <v>1.8673660999999999</v>
      </c>
      <c r="BV43" s="165">
        <v>0.45994200000000002</v>
      </c>
      <c r="BW43" s="165">
        <v>0.24647659999999999</v>
      </c>
      <c r="BX43" s="165">
        <v>-1.23652E-2</v>
      </c>
      <c r="BY43" s="165">
        <v>0</v>
      </c>
      <c r="BZ43" s="165">
        <v>0</v>
      </c>
      <c r="CA43" s="165">
        <v>0</v>
      </c>
      <c r="CB43" s="165"/>
      <c r="CC43" s="165"/>
      <c r="CD43" s="165"/>
      <c r="CE43" s="165"/>
      <c r="CF43" s="215">
        <f t="shared" si="56"/>
        <v>17.012608499999999</v>
      </c>
      <c r="CG43" s="165">
        <f t="shared" si="57"/>
        <v>17.311219900000001</v>
      </c>
      <c r="CH43" s="165">
        <f t="shared" si="58"/>
        <v>17.803424199999998</v>
      </c>
      <c r="CI43" s="165">
        <f t="shared" si="59"/>
        <v>19.374103899999998</v>
      </c>
      <c r="CJ43" s="165">
        <f t="shared" si="60"/>
        <v>19.311256700000001</v>
      </c>
      <c r="CK43" s="165">
        <f t="shared" si="61"/>
        <v>18.665202999999998</v>
      </c>
      <c r="CL43" s="165">
        <f t="shared" si="62"/>
        <v>18.918312500000003</v>
      </c>
      <c r="CM43" s="165">
        <f t="shared" si="63"/>
        <v>19.881289899999999</v>
      </c>
      <c r="CN43" s="165">
        <f t="shared" si="64"/>
        <v>19.982198299999997</v>
      </c>
      <c r="CO43" s="165"/>
      <c r="CP43" s="165"/>
      <c r="CQ43" s="165"/>
      <c r="CR43" s="216"/>
      <c r="CS43" s="215">
        <f t="shared" si="65"/>
        <v>11.452055099999999</v>
      </c>
      <c r="CT43" s="165">
        <f t="shared" si="66"/>
        <v>11.150880400000002</v>
      </c>
      <c r="CU43" s="165">
        <f t="shared" si="67"/>
        <v>11.827187599999998</v>
      </c>
      <c r="CV43" s="165">
        <f t="shared" si="68"/>
        <v>13.593133599999996</v>
      </c>
      <c r="CW43" s="165">
        <f t="shared" si="69"/>
        <v>13.509765999999999</v>
      </c>
      <c r="CX43" s="165">
        <f t="shared" si="70"/>
        <v>12.285261299999998</v>
      </c>
      <c r="CY43" s="165">
        <f t="shared" si="71"/>
        <v>12.920421300000003</v>
      </c>
      <c r="CZ43" s="165">
        <f t="shared" si="72"/>
        <v>13.126039799999999</v>
      </c>
      <c r="DA43" s="165">
        <f t="shared" si="73"/>
        <v>14.260093799999996</v>
      </c>
      <c r="DB43" s="165"/>
      <c r="DC43" s="165"/>
      <c r="DD43" s="165"/>
      <c r="DE43" s="216"/>
      <c r="DF43" s="17">
        <f t="shared" si="74"/>
        <v>0.12306644216258782</v>
      </c>
      <c r="DG43" s="18">
        <f t="shared" si="75"/>
        <v>0.13402495106656231</v>
      </c>
      <c r="DH43" s="18">
        <f t="shared" si="76"/>
        <v>0.12275395875811351</v>
      </c>
      <c r="DI43" s="18">
        <f t="shared" si="77"/>
        <v>0.10963452095454078</v>
      </c>
      <c r="DJ43" s="18">
        <f t="shared" si="78"/>
        <v>0.10977041178267803</v>
      </c>
      <c r="DK43" s="18">
        <f t="shared" si="79"/>
        <v>0.11473491073201829</v>
      </c>
      <c r="DL43" s="18">
        <f t="shared" si="80"/>
        <v>0.1091045831915505</v>
      </c>
      <c r="DM43" s="18">
        <f t="shared" si="81"/>
        <v>0.12746766496272458</v>
      </c>
      <c r="DN43" s="18">
        <f t="shared" si="82"/>
        <v>0.11878312207521234</v>
      </c>
      <c r="DO43" s="18"/>
      <c r="DP43" s="18"/>
      <c r="DQ43" s="18"/>
      <c r="DR43" s="217"/>
      <c r="DS43" s="150">
        <v>21378.566666666698</v>
      </c>
      <c r="DT43" s="150">
        <v>21336.47</v>
      </c>
      <c r="DU43" s="150">
        <v>21476.13</v>
      </c>
      <c r="DV43" s="150">
        <v>21615.08</v>
      </c>
      <c r="DW43" s="150">
        <v>20476.46</v>
      </c>
      <c r="DX43" s="21">
        <v>19521</v>
      </c>
      <c r="DY43" s="21">
        <v>19593</v>
      </c>
      <c r="DZ43" s="165">
        <v>19727</v>
      </c>
      <c r="EA43" s="165">
        <v>19706</v>
      </c>
      <c r="EE43" s="13"/>
      <c r="EF43" s="20"/>
      <c r="EG43" s="21"/>
      <c r="EH43" s="21"/>
      <c r="EI43" s="21"/>
      <c r="EJ43" s="21"/>
      <c r="EK43" s="21"/>
      <c r="ER43" s="13"/>
      <c r="ES43" s="20"/>
      <c r="ET43" s="21"/>
      <c r="EU43" s="21"/>
      <c r="EV43" s="21"/>
      <c r="EW43" s="21"/>
      <c r="EX43" s="21">
        <v>274935</v>
      </c>
      <c r="EY43" s="180">
        <v>254486</v>
      </c>
      <c r="FE43" s="13"/>
      <c r="FF43" s="20"/>
      <c r="FG43" s="21"/>
      <c r="FH43" s="21"/>
      <c r="FI43" s="21"/>
      <c r="FJ43" s="21"/>
      <c r="FK43" s="21"/>
      <c r="FR43" s="13"/>
    </row>
    <row r="44" spans="4:174" x14ac:dyDescent="0.25">
      <c r="E44" s="2" t="s">
        <v>217</v>
      </c>
      <c r="F44" s="165">
        <v>5.6997666999999996</v>
      </c>
      <c r="G44" s="165">
        <v>4.6644804000000004</v>
      </c>
      <c r="H44" s="165">
        <v>4.1335407999999996</v>
      </c>
      <c r="I44" s="165">
        <v>4.9547195000000004</v>
      </c>
      <c r="J44" s="165">
        <v>5.6241067999999999</v>
      </c>
      <c r="K44" s="165">
        <v>5.4788895000000002</v>
      </c>
      <c r="L44" s="165">
        <v>4.59666</v>
      </c>
      <c r="M44" s="165">
        <v>5.2415579000000001</v>
      </c>
      <c r="N44" s="165">
        <v>4.2304474000000001</v>
      </c>
      <c r="O44" s="165"/>
      <c r="P44" s="165"/>
      <c r="Q44" s="165"/>
      <c r="R44" s="165"/>
      <c r="S44" s="215">
        <v>25.493574200000001</v>
      </c>
      <c r="T44" s="165">
        <v>25.5519724</v>
      </c>
      <c r="U44" s="165">
        <v>28.868788899999998</v>
      </c>
      <c r="V44" s="165">
        <v>33.658341100000001</v>
      </c>
      <c r="W44" s="165">
        <v>33.293707699999999</v>
      </c>
      <c r="X44" s="165">
        <v>29.532596699999999</v>
      </c>
      <c r="Y44" s="165">
        <v>30.4084641</v>
      </c>
      <c r="Z44" s="165">
        <v>29.737725900000001</v>
      </c>
      <c r="AA44" s="165">
        <v>31.1758387</v>
      </c>
      <c r="AB44" s="165"/>
      <c r="AC44" s="165"/>
      <c r="AD44" s="165"/>
      <c r="AE44" s="216"/>
      <c r="AF44" s="215">
        <v>3.2549076000000001</v>
      </c>
      <c r="AG44" s="165">
        <v>3.4518955</v>
      </c>
      <c r="AH44" s="165">
        <v>2.9652425</v>
      </c>
      <c r="AI44" s="165">
        <v>2.8426802000000002</v>
      </c>
      <c r="AJ44" s="165">
        <v>2.9589146999999998</v>
      </c>
      <c r="AK44" s="165">
        <v>2.9736064</v>
      </c>
      <c r="AL44" s="165">
        <v>2.5500524000000002</v>
      </c>
      <c r="AM44" s="165">
        <v>2.9588637000000002</v>
      </c>
      <c r="AN44" s="165">
        <v>2.7568309000000002</v>
      </c>
      <c r="AO44" s="165"/>
      <c r="AP44" s="165"/>
      <c r="AQ44" s="165"/>
      <c r="AR44" s="216"/>
      <c r="AS44" s="165">
        <v>0</v>
      </c>
      <c r="AT44" s="165">
        <v>0</v>
      </c>
      <c r="AU44" s="165">
        <v>0</v>
      </c>
      <c r="AV44" s="165">
        <v>0</v>
      </c>
      <c r="AW44" s="165">
        <v>0</v>
      </c>
      <c r="AX44" s="165">
        <v>0</v>
      </c>
      <c r="AY44" s="165">
        <v>0</v>
      </c>
      <c r="AZ44" s="165">
        <v>0</v>
      </c>
      <c r="BA44" s="165">
        <v>0</v>
      </c>
      <c r="BB44" s="165"/>
      <c r="BC44" s="165"/>
      <c r="BD44" s="165"/>
      <c r="BE44" s="165"/>
      <c r="BF44" s="215">
        <v>0.15887609999999999</v>
      </c>
      <c r="BG44" s="165">
        <v>0.25947530000000002</v>
      </c>
      <c r="BH44" s="165">
        <v>0.145506</v>
      </c>
      <c r="BI44" s="165">
        <v>3.05636E-2</v>
      </c>
      <c r="BJ44" s="165">
        <v>0.28389910000000002</v>
      </c>
      <c r="BK44" s="165">
        <v>0.2412135</v>
      </c>
      <c r="BL44" s="165">
        <v>0.24029490000000001</v>
      </c>
      <c r="BM44" s="165">
        <v>0.26886520000000003</v>
      </c>
      <c r="BN44" s="165">
        <v>0.24267659999999999</v>
      </c>
      <c r="BO44" s="165"/>
      <c r="BP44" s="165"/>
      <c r="BQ44" s="165"/>
      <c r="BR44" s="216"/>
      <c r="BS44" s="165">
        <v>0</v>
      </c>
      <c r="BT44" s="165">
        <v>2.3614883999999998</v>
      </c>
      <c r="BU44" s="165">
        <v>2.3168093000000001</v>
      </c>
      <c r="BV44" s="165">
        <v>0.64275939999999998</v>
      </c>
      <c r="BW44" s="165">
        <v>0.49402400000000002</v>
      </c>
      <c r="BX44" s="165">
        <v>-2.45919E-2</v>
      </c>
      <c r="BY44" s="165">
        <v>0.58823689999999995</v>
      </c>
      <c r="BZ44" s="165">
        <v>0</v>
      </c>
      <c r="CA44" s="165">
        <v>0</v>
      </c>
      <c r="CB44" s="165"/>
      <c r="CC44" s="165"/>
      <c r="CD44" s="165"/>
      <c r="CE44" s="165"/>
      <c r="CF44" s="215">
        <f t="shared" si="56"/>
        <v>28.907357900000001</v>
      </c>
      <c r="CG44" s="165">
        <f t="shared" si="57"/>
        <v>29.263343199999998</v>
      </c>
      <c r="CH44" s="165">
        <f t="shared" si="58"/>
        <v>31.979537399999998</v>
      </c>
      <c r="CI44" s="165">
        <f t="shared" si="59"/>
        <v>36.531584900000006</v>
      </c>
      <c r="CJ44" s="165">
        <f t="shared" si="60"/>
        <v>36.536521499999999</v>
      </c>
      <c r="CK44" s="165">
        <f t="shared" si="61"/>
        <v>32.747416600000001</v>
      </c>
      <c r="CL44" s="165">
        <f t="shared" si="62"/>
        <v>33.198811400000004</v>
      </c>
      <c r="CM44" s="165">
        <f t="shared" si="63"/>
        <v>32.965454800000003</v>
      </c>
      <c r="CN44" s="165">
        <f t="shared" si="64"/>
        <v>34.1753462</v>
      </c>
      <c r="CO44" s="165"/>
      <c r="CP44" s="165"/>
      <c r="CQ44" s="165"/>
      <c r="CR44" s="216"/>
      <c r="CS44" s="215">
        <f t="shared" si="65"/>
        <v>23.207591200000003</v>
      </c>
      <c r="CT44" s="165">
        <f t="shared" si="66"/>
        <v>22.2373744</v>
      </c>
      <c r="CU44" s="165">
        <f t="shared" si="67"/>
        <v>25.5291873</v>
      </c>
      <c r="CV44" s="165">
        <f t="shared" si="68"/>
        <v>30.934106000000003</v>
      </c>
      <c r="CW44" s="165">
        <f t="shared" si="69"/>
        <v>30.418390699999996</v>
      </c>
      <c r="CX44" s="165">
        <f t="shared" si="70"/>
        <v>27.293118999999997</v>
      </c>
      <c r="CY44" s="165">
        <f t="shared" si="71"/>
        <v>28.013914500000006</v>
      </c>
      <c r="CZ44" s="165">
        <f t="shared" si="72"/>
        <v>27.723896900000003</v>
      </c>
      <c r="DA44" s="165">
        <f t="shared" si="73"/>
        <v>29.944898800000001</v>
      </c>
      <c r="DB44" s="165"/>
      <c r="DC44" s="165"/>
      <c r="DD44" s="165"/>
      <c r="DE44" s="216"/>
      <c r="DF44" s="17">
        <f t="shared" si="74"/>
        <v>0.11259789328584748</v>
      </c>
      <c r="DG44" s="18">
        <f t="shared" si="75"/>
        <v>0.11795971076879556</v>
      </c>
      <c r="DH44" s="18">
        <f t="shared" si="76"/>
        <v>9.2723120503925741E-2</v>
      </c>
      <c r="DI44" s="18">
        <f t="shared" si="77"/>
        <v>7.781431349834482E-2</v>
      </c>
      <c r="DJ44" s="18">
        <f t="shared" si="78"/>
        <v>8.0985123337480272E-2</v>
      </c>
      <c r="DK44" s="18">
        <f t="shared" si="79"/>
        <v>9.0804304850111442E-2</v>
      </c>
      <c r="DL44" s="18">
        <f t="shared" si="80"/>
        <v>7.6811557175206574E-2</v>
      </c>
      <c r="DM44" s="18">
        <f t="shared" si="81"/>
        <v>8.9756495639186501E-2</v>
      </c>
      <c r="DN44" s="18">
        <f t="shared" si="82"/>
        <v>8.0667241346043778E-2</v>
      </c>
      <c r="DO44" s="18"/>
      <c r="DP44" s="18"/>
      <c r="DQ44" s="18"/>
      <c r="DR44" s="217"/>
      <c r="DS44" s="150">
        <v>35883.066666666702</v>
      </c>
      <c r="DT44" s="150">
        <v>34462.71</v>
      </c>
      <c r="DU44" s="150">
        <v>34590.410000000003</v>
      </c>
      <c r="DV44" s="150">
        <v>34623.839999999997</v>
      </c>
      <c r="DW44" s="150">
        <v>32959.15</v>
      </c>
      <c r="DX44" s="21">
        <v>29673</v>
      </c>
      <c r="DY44" s="21">
        <v>27190</v>
      </c>
      <c r="DZ44" s="165">
        <v>27338</v>
      </c>
      <c r="EA44" s="165">
        <v>27383</v>
      </c>
      <c r="EE44" s="13"/>
      <c r="EF44" s="20"/>
      <c r="EG44" s="21"/>
      <c r="EH44" s="21"/>
      <c r="EI44" s="21"/>
      <c r="EJ44" s="21"/>
      <c r="EK44" s="21"/>
      <c r="ER44" s="13"/>
      <c r="ES44" s="20"/>
      <c r="ET44" s="21"/>
      <c r="EU44" s="21"/>
      <c r="EV44" s="21"/>
      <c r="EW44" s="21"/>
      <c r="EX44" s="21">
        <v>309281</v>
      </c>
      <c r="EY44" s="180">
        <v>297167</v>
      </c>
      <c r="FE44" s="13"/>
      <c r="FF44" s="20"/>
      <c r="FG44" s="21"/>
      <c r="FH44" s="21"/>
      <c r="FI44" s="21"/>
      <c r="FJ44" s="21"/>
      <c r="FK44" s="21"/>
      <c r="FR44" s="13"/>
    </row>
    <row r="45" spans="4:174" x14ac:dyDescent="0.25">
      <c r="E45" s="2" t="s">
        <v>218</v>
      </c>
      <c r="F45" s="165">
        <v>3.2786586999999998</v>
      </c>
      <c r="G45" s="165">
        <v>2.6913295000000002</v>
      </c>
      <c r="H45" s="165">
        <v>2.3752589</v>
      </c>
      <c r="I45" s="165">
        <v>2.7128898000000001</v>
      </c>
      <c r="J45" s="165">
        <v>2.9421900999999999</v>
      </c>
      <c r="K45" s="165">
        <v>2.2437005000000001</v>
      </c>
      <c r="L45" s="165">
        <v>1.7252255999999999</v>
      </c>
      <c r="M45" s="165">
        <v>1.7219256999999999</v>
      </c>
      <c r="N45" s="165">
        <v>1.6082225000000001</v>
      </c>
      <c r="O45" s="165"/>
      <c r="P45" s="165"/>
      <c r="Q45" s="165"/>
      <c r="R45" s="165"/>
      <c r="S45" s="215">
        <v>16.359122800000002</v>
      </c>
      <c r="T45" s="165">
        <v>16.575211500000002</v>
      </c>
      <c r="U45" s="165">
        <v>16.770357300000001</v>
      </c>
      <c r="V45" s="165">
        <v>19.016006000000001</v>
      </c>
      <c r="W45" s="165">
        <v>18.461656300000001</v>
      </c>
      <c r="X45" s="165">
        <v>17.282009200000001</v>
      </c>
      <c r="Y45" s="165">
        <v>17.552559500000001</v>
      </c>
      <c r="Z45" s="165">
        <v>17.922954000000001</v>
      </c>
      <c r="AA45" s="165">
        <v>18.6301877</v>
      </c>
      <c r="AB45" s="165"/>
      <c r="AC45" s="165"/>
      <c r="AD45" s="165"/>
      <c r="AE45" s="216"/>
      <c r="AF45" s="215">
        <v>2.1536650000000002</v>
      </c>
      <c r="AG45" s="165">
        <v>2.4416159</v>
      </c>
      <c r="AH45" s="165">
        <v>2.2793033999999999</v>
      </c>
      <c r="AI45" s="165">
        <v>1.9730327000000001</v>
      </c>
      <c r="AJ45" s="165">
        <v>2.0651986999999998</v>
      </c>
      <c r="AK45" s="165">
        <v>2.0405150000000001</v>
      </c>
      <c r="AL45" s="165">
        <v>1.7925382000000001</v>
      </c>
      <c r="AM45" s="165">
        <v>2.1706235</v>
      </c>
      <c r="AN45" s="165">
        <v>1.9801432000000001</v>
      </c>
      <c r="AO45" s="165"/>
      <c r="AP45" s="165"/>
      <c r="AQ45" s="165"/>
      <c r="AR45" s="216"/>
      <c r="AS45" s="165">
        <v>0</v>
      </c>
      <c r="AT45" s="165">
        <v>0</v>
      </c>
      <c r="AU45" s="165">
        <v>0</v>
      </c>
      <c r="AV45" s="165">
        <v>0</v>
      </c>
      <c r="AW45" s="165">
        <v>0</v>
      </c>
      <c r="AX45" s="165">
        <v>0</v>
      </c>
      <c r="AY45" s="165">
        <v>0</v>
      </c>
      <c r="AZ45" s="165">
        <v>0</v>
      </c>
      <c r="BA45" s="165">
        <v>0</v>
      </c>
      <c r="BB45" s="165"/>
      <c r="BC45" s="165"/>
      <c r="BD45" s="165"/>
      <c r="BE45" s="165"/>
      <c r="BF45" s="215">
        <v>0.1052862</v>
      </c>
      <c r="BG45" s="165">
        <v>0.18128150000000001</v>
      </c>
      <c r="BH45" s="165">
        <v>0.1000409</v>
      </c>
      <c r="BI45" s="165">
        <v>1.9577199999999999E-2</v>
      </c>
      <c r="BJ45" s="165">
        <v>0.1801808</v>
      </c>
      <c r="BK45" s="165">
        <v>0.15016119999999999</v>
      </c>
      <c r="BL45" s="165">
        <v>0.17160310000000001</v>
      </c>
      <c r="BM45" s="165">
        <v>0.1877943</v>
      </c>
      <c r="BN45" s="165">
        <v>0.17472699999999999</v>
      </c>
      <c r="BO45" s="165"/>
      <c r="BP45" s="165"/>
      <c r="BQ45" s="165"/>
      <c r="BR45" s="216"/>
      <c r="BS45" s="165">
        <v>0</v>
      </c>
      <c r="BT45" s="165">
        <v>1.0474140000000001</v>
      </c>
      <c r="BU45" s="165">
        <v>1.4446687</v>
      </c>
      <c r="BV45" s="165">
        <v>0.58459269999999997</v>
      </c>
      <c r="BW45" s="165">
        <v>0.28300740000000002</v>
      </c>
      <c r="BX45" s="165">
        <v>-1.4236800000000001E-2</v>
      </c>
      <c r="BY45" s="165">
        <v>-0.58823689999999995</v>
      </c>
      <c r="BZ45" s="165">
        <v>0</v>
      </c>
      <c r="CA45" s="165">
        <v>0</v>
      </c>
      <c r="CB45" s="165"/>
      <c r="CC45" s="165"/>
      <c r="CD45" s="165"/>
      <c r="CE45" s="165"/>
      <c r="CF45" s="215">
        <f t="shared" si="56"/>
        <v>18.618074</v>
      </c>
      <c r="CG45" s="165">
        <f t="shared" si="57"/>
        <v>19.198108900000001</v>
      </c>
      <c r="CH45" s="165">
        <f t="shared" si="58"/>
        <v>19.1497016</v>
      </c>
      <c r="CI45" s="165">
        <f t="shared" si="59"/>
        <v>21.008615900000002</v>
      </c>
      <c r="CJ45" s="165">
        <f t="shared" si="60"/>
        <v>20.7070358</v>
      </c>
      <c r="CK45" s="165">
        <f t="shared" si="61"/>
        <v>19.4726854</v>
      </c>
      <c r="CL45" s="165">
        <f t="shared" si="62"/>
        <v>19.516700799999999</v>
      </c>
      <c r="CM45" s="165">
        <f t="shared" si="63"/>
        <v>20.281371800000002</v>
      </c>
      <c r="CN45" s="165">
        <f t="shared" si="64"/>
        <v>20.785057900000002</v>
      </c>
      <c r="CO45" s="165"/>
      <c r="CP45" s="165"/>
      <c r="CQ45" s="165"/>
      <c r="CR45" s="216"/>
      <c r="CS45" s="215">
        <f t="shared" si="65"/>
        <v>15.339415300000001</v>
      </c>
      <c r="CT45" s="165">
        <f t="shared" si="66"/>
        <v>15.459365400000001</v>
      </c>
      <c r="CU45" s="165">
        <f t="shared" si="67"/>
        <v>15.329773999999999</v>
      </c>
      <c r="CV45" s="165">
        <f t="shared" si="68"/>
        <v>17.711133400000001</v>
      </c>
      <c r="CW45" s="165">
        <f t="shared" si="69"/>
        <v>17.4818383</v>
      </c>
      <c r="CX45" s="165">
        <f t="shared" si="70"/>
        <v>17.243221699999999</v>
      </c>
      <c r="CY45" s="165">
        <f t="shared" si="71"/>
        <v>18.379712099999999</v>
      </c>
      <c r="CZ45" s="165">
        <f t="shared" si="72"/>
        <v>18.559446100000002</v>
      </c>
      <c r="DA45" s="165">
        <f t="shared" si="73"/>
        <v>19.176835400000002</v>
      </c>
      <c r="DB45" s="165"/>
      <c r="DC45" s="165"/>
      <c r="DD45" s="165"/>
      <c r="DE45" s="216"/>
      <c r="DF45" s="17">
        <f t="shared" si="74"/>
        <v>0.11567603609266996</v>
      </c>
      <c r="DG45" s="18">
        <f t="shared" si="75"/>
        <v>0.1271800213613748</v>
      </c>
      <c r="DH45" s="18">
        <f t="shared" si="76"/>
        <v>0.11902553092524427</v>
      </c>
      <c r="DI45" s="18">
        <f t="shared" si="77"/>
        <v>9.3915406392859987E-2</v>
      </c>
      <c r="DJ45" s="18">
        <f t="shared" si="78"/>
        <v>9.9734154127458452E-2</v>
      </c>
      <c r="DK45" s="18">
        <f t="shared" si="79"/>
        <v>0.10478857733715558</v>
      </c>
      <c r="DL45" s="18">
        <f t="shared" si="80"/>
        <v>9.1846373952712348E-2</v>
      </c>
      <c r="DM45" s="18">
        <f t="shared" si="81"/>
        <v>0.10702547743836538</v>
      </c>
      <c r="DN45" s="18">
        <f t="shared" si="82"/>
        <v>9.5267629733184436E-2</v>
      </c>
      <c r="DO45" s="18"/>
      <c r="DP45" s="18"/>
      <c r="DQ45" s="18"/>
      <c r="DR45" s="217"/>
      <c r="DS45" s="150">
        <v>23806.45</v>
      </c>
      <c r="DT45" s="150">
        <v>23776.47</v>
      </c>
      <c r="DU45" s="150">
        <v>23249.32</v>
      </c>
      <c r="DV45" s="150">
        <v>23162</v>
      </c>
      <c r="DW45" s="150">
        <v>21586.02</v>
      </c>
      <c r="DX45" s="21">
        <v>20314</v>
      </c>
      <c r="DY45" s="21">
        <v>20093</v>
      </c>
      <c r="DZ45" s="165">
        <v>20099</v>
      </c>
      <c r="EA45" s="165">
        <v>20144</v>
      </c>
      <c r="EE45" s="13"/>
      <c r="EF45" s="20"/>
      <c r="EG45" s="21"/>
      <c r="EH45" s="21"/>
      <c r="EI45" s="21"/>
      <c r="EJ45" s="21"/>
      <c r="EK45" s="21"/>
      <c r="ER45" s="13"/>
      <c r="ES45" s="20"/>
      <c r="ET45" s="21"/>
      <c r="EU45" s="21"/>
      <c r="EV45" s="21"/>
      <c r="EW45" s="21"/>
      <c r="EX45" s="21">
        <v>102607</v>
      </c>
      <c r="EY45" s="180">
        <v>107448</v>
      </c>
      <c r="FE45" s="13"/>
      <c r="FF45" s="20"/>
      <c r="FG45" s="21"/>
      <c r="FH45" s="21"/>
      <c r="FI45" s="21"/>
      <c r="FJ45" s="21"/>
      <c r="FK45" s="21"/>
      <c r="FR45" s="13"/>
    </row>
    <row r="46" spans="4:174" x14ac:dyDescent="0.25">
      <c r="E46" s="2" t="s">
        <v>219</v>
      </c>
      <c r="F46" s="165">
        <v>154.0642885</v>
      </c>
      <c r="G46" s="165">
        <v>103.32258880000001</v>
      </c>
      <c r="H46" s="165">
        <v>97.9937094</v>
      </c>
      <c r="I46" s="165">
        <v>126.72413640000001</v>
      </c>
      <c r="J46" s="165">
        <v>152.30136630000001</v>
      </c>
      <c r="K46" s="165">
        <v>169.534165</v>
      </c>
      <c r="L46" s="165">
        <v>175.0569065</v>
      </c>
      <c r="M46" s="165">
        <v>179.88041380000001</v>
      </c>
      <c r="N46" s="165">
        <v>180.76153350000001</v>
      </c>
      <c r="O46" s="165"/>
      <c r="P46" s="165"/>
      <c r="Q46" s="165"/>
      <c r="R46" s="165"/>
      <c r="S46" s="215">
        <v>284.47745559999998</v>
      </c>
      <c r="T46" s="165">
        <v>289.54745530000002</v>
      </c>
      <c r="U46" s="165">
        <v>303.5960776</v>
      </c>
      <c r="V46" s="165">
        <v>330.68956250000002</v>
      </c>
      <c r="W46" s="165">
        <v>317.56204880000001</v>
      </c>
      <c r="X46" s="165">
        <v>306.07631939999999</v>
      </c>
      <c r="Y46" s="165">
        <v>325.52476869999998</v>
      </c>
      <c r="Z46" s="165">
        <v>333.6928489</v>
      </c>
      <c r="AA46" s="165">
        <v>335.3332934</v>
      </c>
      <c r="AB46" s="165"/>
      <c r="AC46" s="165"/>
      <c r="AD46" s="165"/>
      <c r="AE46" s="216"/>
      <c r="AF46" s="215">
        <v>39.1363816</v>
      </c>
      <c r="AG46" s="165">
        <v>41.682670999999999</v>
      </c>
      <c r="AH46" s="165">
        <v>38.5860013</v>
      </c>
      <c r="AI46" s="165">
        <v>37.948489100000003</v>
      </c>
      <c r="AJ46" s="165">
        <v>41.898762099999999</v>
      </c>
      <c r="AK46" s="165">
        <v>45.3463797</v>
      </c>
      <c r="AL46" s="165">
        <v>49.070494600000004</v>
      </c>
      <c r="AM46" s="165">
        <v>51.394888399999999</v>
      </c>
      <c r="AN46" s="165">
        <v>52.2393292</v>
      </c>
      <c r="AO46" s="165"/>
      <c r="AP46" s="165"/>
      <c r="AQ46" s="165"/>
      <c r="AR46" s="216"/>
      <c r="AS46" s="165">
        <v>0</v>
      </c>
      <c r="AT46" s="165">
        <v>0</v>
      </c>
      <c r="AU46" s="165">
        <v>0</v>
      </c>
      <c r="AV46" s="165">
        <v>0</v>
      </c>
      <c r="AW46" s="165">
        <v>0</v>
      </c>
      <c r="AX46" s="165">
        <v>0</v>
      </c>
      <c r="AY46" s="165">
        <v>0</v>
      </c>
      <c r="AZ46" s="165">
        <v>0</v>
      </c>
      <c r="BA46" s="165">
        <v>0</v>
      </c>
      <c r="BB46" s="165"/>
      <c r="BC46" s="165"/>
      <c r="BD46" s="165"/>
      <c r="BE46" s="165"/>
      <c r="BF46" s="215">
        <v>1.165109</v>
      </c>
      <c r="BG46" s="165">
        <v>1.9748106999999999</v>
      </c>
      <c r="BH46" s="165">
        <v>1.1495318999999999</v>
      </c>
      <c r="BI46" s="165">
        <v>0.26324740000000002</v>
      </c>
      <c r="BJ46" s="165">
        <v>2.1807718</v>
      </c>
      <c r="BK46" s="165">
        <v>1.3615052000000001</v>
      </c>
      <c r="BL46" s="165">
        <v>1.7334067</v>
      </c>
      <c r="BM46" s="165">
        <v>2.1368236999999999</v>
      </c>
      <c r="BN46" s="165">
        <v>1.8177475999999999</v>
      </c>
      <c r="BO46" s="165"/>
      <c r="BP46" s="165"/>
      <c r="BQ46" s="165"/>
      <c r="BR46" s="216"/>
      <c r="BS46" s="165">
        <v>0</v>
      </c>
      <c r="BT46" s="165">
        <v>53.260183900000001</v>
      </c>
      <c r="BU46" s="165">
        <v>68.882445399999995</v>
      </c>
      <c r="BV46" s="165">
        <v>23.7006546</v>
      </c>
      <c r="BW46" s="165">
        <v>4.4186718999999997</v>
      </c>
      <c r="BX46" s="165">
        <v>-0.23231889999999999</v>
      </c>
      <c r="BY46" s="165">
        <v>0</v>
      </c>
      <c r="BZ46" s="165">
        <v>0</v>
      </c>
      <c r="CA46" s="165">
        <v>0</v>
      </c>
      <c r="CB46" s="165"/>
      <c r="CC46" s="165"/>
      <c r="CD46" s="165"/>
      <c r="CE46" s="165"/>
      <c r="CF46" s="215">
        <f t="shared" si="56"/>
        <v>324.77894619999995</v>
      </c>
      <c r="CG46" s="165">
        <f t="shared" si="57"/>
        <v>333.20493700000003</v>
      </c>
      <c r="CH46" s="165">
        <f t="shared" si="58"/>
        <v>343.33161080000002</v>
      </c>
      <c r="CI46" s="165">
        <f t="shared" si="59"/>
        <v>368.90129900000005</v>
      </c>
      <c r="CJ46" s="165">
        <f t="shared" si="60"/>
        <v>361.64158270000001</v>
      </c>
      <c r="CK46" s="165">
        <f t="shared" si="61"/>
        <v>352.7842043</v>
      </c>
      <c r="CL46" s="165">
        <f t="shared" si="62"/>
        <v>376.32866999999999</v>
      </c>
      <c r="CM46" s="165">
        <f t="shared" si="63"/>
        <v>387.22456099999999</v>
      </c>
      <c r="CN46" s="165">
        <f t="shared" si="64"/>
        <v>389.39037020000001</v>
      </c>
      <c r="CO46" s="165"/>
      <c r="CP46" s="165"/>
      <c r="CQ46" s="165"/>
      <c r="CR46" s="216"/>
      <c r="CS46" s="215">
        <f t="shared" si="65"/>
        <v>170.71465769999995</v>
      </c>
      <c r="CT46" s="165">
        <f t="shared" si="66"/>
        <v>176.62216430000001</v>
      </c>
      <c r="CU46" s="165">
        <f t="shared" si="67"/>
        <v>176.45545600000003</v>
      </c>
      <c r="CV46" s="165">
        <f t="shared" si="68"/>
        <v>218.47650800000002</v>
      </c>
      <c r="CW46" s="165">
        <f t="shared" si="69"/>
        <v>204.92154450000001</v>
      </c>
      <c r="CX46" s="165">
        <f t="shared" si="70"/>
        <v>183.48235819999999</v>
      </c>
      <c r="CY46" s="165">
        <f t="shared" si="71"/>
        <v>201.27176349999999</v>
      </c>
      <c r="CZ46" s="165">
        <f t="shared" si="72"/>
        <v>207.34414719999998</v>
      </c>
      <c r="DA46" s="165">
        <f t="shared" si="73"/>
        <v>208.62883669999999</v>
      </c>
      <c r="DB46" s="165"/>
      <c r="DC46" s="165"/>
      <c r="DD46" s="165"/>
      <c r="DE46" s="216"/>
      <c r="DF46" s="17">
        <f t="shared" si="74"/>
        <v>0.12050159672573015</v>
      </c>
      <c r="DG46" s="18">
        <f t="shared" si="75"/>
        <v>0.1250961986796732</v>
      </c>
      <c r="DH46" s="18">
        <f t="shared" si="76"/>
        <v>0.1123869754086739</v>
      </c>
      <c r="DI46" s="18">
        <f t="shared" si="77"/>
        <v>0.10286894950727728</v>
      </c>
      <c r="DJ46" s="18">
        <f t="shared" si="78"/>
        <v>0.11585714725387966</v>
      </c>
      <c r="DK46" s="18">
        <f t="shared" si="79"/>
        <v>0.128538577258517</v>
      </c>
      <c r="DL46" s="18">
        <f t="shared" si="80"/>
        <v>0.13039265544131942</v>
      </c>
      <c r="DM46" s="18">
        <f t="shared" si="81"/>
        <v>0.13272631329808648</v>
      </c>
      <c r="DN46" s="18">
        <f t="shared" si="82"/>
        <v>0.13415670545003119</v>
      </c>
      <c r="DO46" s="18"/>
      <c r="DP46" s="18"/>
      <c r="DQ46" s="18"/>
      <c r="DR46" s="217"/>
      <c r="DS46" s="150">
        <v>370779.86666666699</v>
      </c>
      <c r="DT46" s="150">
        <v>369069.48</v>
      </c>
      <c r="DU46" s="150">
        <v>369134.01</v>
      </c>
      <c r="DV46" s="150">
        <v>369343.99</v>
      </c>
      <c r="DW46" s="150">
        <v>355228.19</v>
      </c>
      <c r="DX46" s="21">
        <v>353688</v>
      </c>
      <c r="DY46" s="21">
        <v>363208</v>
      </c>
      <c r="DZ46" s="165">
        <v>366121</v>
      </c>
      <c r="EA46" s="165">
        <v>365216</v>
      </c>
      <c r="EE46" s="13"/>
      <c r="EF46" s="20"/>
      <c r="EG46" s="21"/>
      <c r="EH46" s="21"/>
      <c r="EI46" s="21"/>
      <c r="EJ46" s="21"/>
      <c r="EK46" s="21"/>
      <c r="ER46" s="13"/>
      <c r="ES46" s="20"/>
      <c r="ET46" s="21"/>
      <c r="EU46" s="21"/>
      <c r="EV46" s="21"/>
      <c r="EW46" s="21"/>
      <c r="EX46" s="21">
        <v>12897946</v>
      </c>
      <c r="EY46" s="180">
        <v>13136360</v>
      </c>
      <c r="FE46" s="13"/>
      <c r="FF46" s="20"/>
      <c r="FG46" s="21"/>
      <c r="FH46" s="21"/>
      <c r="FI46" s="21"/>
      <c r="FJ46" s="21"/>
      <c r="FK46" s="21"/>
      <c r="FR46" s="13"/>
    </row>
    <row r="47" spans="4:174" x14ac:dyDescent="0.25">
      <c r="E47" s="2" t="s">
        <v>216</v>
      </c>
      <c r="F47" s="165">
        <v>95.468345299999996</v>
      </c>
      <c r="G47" s="165">
        <v>74.765443500000003</v>
      </c>
      <c r="H47" s="165">
        <v>81.477453400000002</v>
      </c>
      <c r="I47" s="165">
        <v>102.61269129999999</v>
      </c>
      <c r="J47" s="165">
        <v>114.3096281</v>
      </c>
      <c r="K47" s="165">
        <v>119.2713679</v>
      </c>
      <c r="L47" s="165">
        <v>115.1574012</v>
      </c>
      <c r="M47" s="165">
        <v>126.32769279999999</v>
      </c>
      <c r="N47" s="165">
        <v>111.1764611</v>
      </c>
      <c r="O47" s="165"/>
      <c r="P47" s="165"/>
      <c r="Q47" s="165"/>
      <c r="R47" s="165"/>
      <c r="S47" s="215">
        <v>224.71708849999999</v>
      </c>
      <c r="T47" s="165">
        <v>229.47513359999999</v>
      </c>
      <c r="U47" s="165">
        <v>237.47038699999999</v>
      </c>
      <c r="V47" s="165">
        <v>267.52679210000002</v>
      </c>
      <c r="W47" s="165">
        <v>260.49934000000002</v>
      </c>
      <c r="X47" s="165">
        <v>248.09053410000001</v>
      </c>
      <c r="Y47" s="165">
        <v>259.94192220000002</v>
      </c>
      <c r="Z47" s="165">
        <v>270.59175069999998</v>
      </c>
      <c r="AA47" s="165">
        <v>282.34396170000002</v>
      </c>
      <c r="AB47" s="165"/>
      <c r="AC47" s="165"/>
      <c r="AD47" s="165"/>
      <c r="AE47" s="216"/>
      <c r="AF47" s="215">
        <v>34.996318199999997</v>
      </c>
      <c r="AG47" s="165">
        <v>39.868044099999999</v>
      </c>
      <c r="AH47" s="165">
        <v>36.826974800000002</v>
      </c>
      <c r="AI47" s="165">
        <v>35.713379500000002</v>
      </c>
      <c r="AJ47" s="165">
        <v>37.746846900000001</v>
      </c>
      <c r="AK47" s="165">
        <v>38.902151500000002</v>
      </c>
      <c r="AL47" s="165">
        <v>37.0094578</v>
      </c>
      <c r="AM47" s="165">
        <v>39.869145400000001</v>
      </c>
      <c r="AN47" s="165">
        <v>38.290504400000003</v>
      </c>
      <c r="AO47" s="165"/>
      <c r="AP47" s="165"/>
      <c r="AQ47" s="165"/>
      <c r="AR47" s="216"/>
      <c r="AS47" s="165">
        <v>0</v>
      </c>
      <c r="AT47" s="165">
        <v>0</v>
      </c>
      <c r="AU47" s="165">
        <v>0</v>
      </c>
      <c r="AV47" s="165">
        <v>0</v>
      </c>
      <c r="AW47" s="165">
        <v>0</v>
      </c>
      <c r="AX47" s="165">
        <v>0</v>
      </c>
      <c r="AY47" s="165">
        <v>0</v>
      </c>
      <c r="AZ47" s="165">
        <v>0</v>
      </c>
      <c r="BA47" s="165">
        <v>0</v>
      </c>
      <c r="BB47" s="165"/>
      <c r="BC47" s="165"/>
      <c r="BD47" s="165"/>
      <c r="BE47" s="165"/>
      <c r="BF47" s="215">
        <v>0.98128249999999995</v>
      </c>
      <c r="BG47" s="165">
        <v>1.6867570000000001</v>
      </c>
      <c r="BH47" s="165">
        <v>0.98507</v>
      </c>
      <c r="BI47" s="165">
        <v>0.22014839999999999</v>
      </c>
      <c r="BJ47" s="165">
        <v>1.8136338000000001</v>
      </c>
      <c r="BK47" s="165">
        <v>0.97349090000000005</v>
      </c>
      <c r="BL47" s="165">
        <v>1.4640129</v>
      </c>
      <c r="BM47" s="165">
        <v>1.772132</v>
      </c>
      <c r="BN47" s="165">
        <v>1.6204079</v>
      </c>
      <c r="BO47" s="165"/>
      <c r="BP47" s="165"/>
      <c r="BQ47" s="165"/>
      <c r="BR47" s="216"/>
      <c r="BS47" s="165">
        <v>0</v>
      </c>
      <c r="BT47" s="165">
        <v>43.522981000000001</v>
      </c>
      <c r="BU47" s="165">
        <v>35.3949833</v>
      </c>
      <c r="BV47" s="165">
        <v>8.2855553000000004</v>
      </c>
      <c r="BW47" s="165">
        <v>3.7421112999999999</v>
      </c>
      <c r="BX47" s="165">
        <v>-0.18863099999999999</v>
      </c>
      <c r="BY47" s="165">
        <v>0</v>
      </c>
      <c r="BZ47" s="165">
        <v>0</v>
      </c>
      <c r="CA47" s="165">
        <v>0</v>
      </c>
      <c r="CB47" s="165"/>
      <c r="CC47" s="165"/>
      <c r="CD47" s="165"/>
      <c r="CE47" s="165"/>
      <c r="CF47" s="215">
        <f t="shared" si="56"/>
        <v>260.69468920000003</v>
      </c>
      <c r="CG47" s="165">
        <f t="shared" si="57"/>
        <v>271.02993470000001</v>
      </c>
      <c r="CH47" s="165">
        <f t="shared" si="58"/>
        <v>275.28243179999998</v>
      </c>
      <c r="CI47" s="165">
        <f t="shared" si="59"/>
        <v>303.46032000000008</v>
      </c>
      <c r="CJ47" s="165">
        <f t="shared" si="60"/>
        <v>300.05982069999999</v>
      </c>
      <c r="CK47" s="165">
        <f t="shared" si="61"/>
        <v>287.96617650000002</v>
      </c>
      <c r="CL47" s="165">
        <f t="shared" si="62"/>
        <v>298.41539290000003</v>
      </c>
      <c r="CM47" s="165">
        <f t="shared" si="63"/>
        <v>312.23302809999996</v>
      </c>
      <c r="CN47" s="165">
        <f t="shared" si="64"/>
        <v>322.25487400000003</v>
      </c>
      <c r="CO47" s="165"/>
      <c r="CP47" s="165"/>
      <c r="CQ47" s="165"/>
      <c r="CR47" s="216"/>
      <c r="CS47" s="215">
        <f t="shared" si="65"/>
        <v>165.22634390000002</v>
      </c>
      <c r="CT47" s="165">
        <f t="shared" si="66"/>
        <v>152.74151019999999</v>
      </c>
      <c r="CU47" s="165">
        <f t="shared" si="67"/>
        <v>158.40999509999997</v>
      </c>
      <c r="CV47" s="165">
        <f t="shared" si="68"/>
        <v>192.56207340000009</v>
      </c>
      <c r="CW47" s="165">
        <f t="shared" si="69"/>
        <v>182.00808130000001</v>
      </c>
      <c r="CX47" s="165">
        <f t="shared" si="70"/>
        <v>168.8834396</v>
      </c>
      <c r="CY47" s="165">
        <f t="shared" si="71"/>
        <v>183.25799170000005</v>
      </c>
      <c r="CZ47" s="165">
        <f t="shared" si="72"/>
        <v>185.90533529999996</v>
      </c>
      <c r="DA47" s="165">
        <f t="shared" si="73"/>
        <v>211.07841290000005</v>
      </c>
      <c r="DB47" s="165"/>
      <c r="DC47" s="165"/>
      <c r="DD47" s="165"/>
      <c r="DE47" s="216"/>
      <c r="DF47" s="17">
        <f t="shared" si="74"/>
        <v>0.13424254367204039</v>
      </c>
      <c r="DG47" s="18">
        <f t="shared" si="75"/>
        <v>0.14709830537401519</v>
      </c>
      <c r="DH47" s="18">
        <f t="shared" si="76"/>
        <v>0.13377887778452852</v>
      </c>
      <c r="DI47" s="18">
        <f t="shared" si="77"/>
        <v>0.11768714769693775</v>
      </c>
      <c r="DJ47" s="18">
        <f t="shared" si="78"/>
        <v>0.12579773863738766</v>
      </c>
      <c r="DK47" s="18">
        <f t="shared" si="79"/>
        <v>0.13509278059258462</v>
      </c>
      <c r="DL47" s="18">
        <f t="shared" si="80"/>
        <v>0.12401993556814273</v>
      </c>
      <c r="DM47" s="18">
        <f t="shared" si="81"/>
        <v>0.12769035243520416</v>
      </c>
      <c r="DN47" s="18">
        <f t="shared" si="82"/>
        <v>0.1188205594060309</v>
      </c>
      <c r="DO47" s="18"/>
      <c r="DP47" s="18"/>
      <c r="DQ47" s="18"/>
      <c r="DR47" s="217"/>
      <c r="DS47" s="150">
        <v>298608.26666666701</v>
      </c>
      <c r="DT47" s="150">
        <v>299196.09999999998</v>
      </c>
      <c r="DU47" s="150">
        <v>300537.42</v>
      </c>
      <c r="DV47" s="150">
        <v>301204.31</v>
      </c>
      <c r="DW47" s="150">
        <v>296473.38</v>
      </c>
      <c r="DX47" s="21">
        <v>291581</v>
      </c>
      <c r="DY47" s="21">
        <v>288422</v>
      </c>
      <c r="DZ47" s="165">
        <v>292932</v>
      </c>
      <c r="EA47" s="165">
        <v>289980</v>
      </c>
      <c r="EE47" s="13"/>
      <c r="EF47" s="20"/>
      <c r="EG47" s="21"/>
      <c r="EH47" s="21"/>
      <c r="EI47" s="21"/>
      <c r="EJ47" s="21"/>
      <c r="EK47" s="21"/>
      <c r="ER47" s="13"/>
      <c r="ES47" s="20"/>
      <c r="ET47" s="21"/>
      <c r="EU47" s="21"/>
      <c r="EV47" s="21"/>
      <c r="EW47" s="21"/>
      <c r="EX47" s="21">
        <v>3285676</v>
      </c>
      <c r="EY47" s="180">
        <v>3550206</v>
      </c>
      <c r="FE47" s="13"/>
      <c r="FF47" s="20"/>
      <c r="FG47" s="21"/>
      <c r="FH47" s="21"/>
      <c r="FI47" s="21"/>
      <c r="FJ47" s="21"/>
      <c r="FK47" s="21"/>
      <c r="FR47" s="13"/>
    </row>
    <row r="48" spans="4:174" ht="15.6" x14ac:dyDescent="0.3">
      <c r="E48" s="2" t="s">
        <v>9</v>
      </c>
      <c r="F48" s="165">
        <v>0</v>
      </c>
      <c r="G48" s="165">
        <v>0</v>
      </c>
      <c r="H48" s="165">
        <v>0</v>
      </c>
      <c r="I48" s="165">
        <v>0</v>
      </c>
      <c r="J48" s="165">
        <v>0</v>
      </c>
      <c r="K48" s="165">
        <v>0</v>
      </c>
      <c r="L48" s="165">
        <v>0</v>
      </c>
      <c r="M48" s="165">
        <v>0</v>
      </c>
      <c r="N48" s="165">
        <v>0</v>
      </c>
      <c r="O48" s="165"/>
      <c r="P48" s="165"/>
      <c r="Q48" s="165"/>
      <c r="R48" s="165"/>
      <c r="S48" s="215">
        <v>11.3229436</v>
      </c>
      <c r="T48" s="165">
        <v>11.688522499999999</v>
      </c>
      <c r="U48" s="165">
        <v>12.061794000000001</v>
      </c>
      <c r="V48" s="165">
        <v>13.5346125</v>
      </c>
      <c r="W48" s="165">
        <v>13.405604</v>
      </c>
      <c r="X48" s="165">
        <v>12.5828927</v>
      </c>
      <c r="Y48" s="165">
        <v>13.1157345</v>
      </c>
      <c r="Z48" s="165">
        <v>13.2381324</v>
      </c>
      <c r="AA48" s="165">
        <v>14.208197699999999</v>
      </c>
      <c r="AB48" s="165"/>
      <c r="AC48" s="165"/>
      <c r="AD48" s="165"/>
      <c r="AE48" s="216"/>
      <c r="AF48" s="215">
        <v>0</v>
      </c>
      <c r="AG48" s="165">
        <v>0</v>
      </c>
      <c r="AH48" s="165">
        <v>0</v>
      </c>
      <c r="AI48" s="165">
        <v>0</v>
      </c>
      <c r="AJ48" s="165">
        <v>0</v>
      </c>
      <c r="AK48" s="165">
        <v>0</v>
      </c>
      <c r="AL48" s="165">
        <v>0</v>
      </c>
      <c r="AM48" s="165">
        <v>0</v>
      </c>
      <c r="AN48" s="165">
        <v>0</v>
      </c>
      <c r="AO48" s="165"/>
      <c r="AP48" s="165"/>
      <c r="AQ48" s="165"/>
      <c r="AR48" s="216"/>
      <c r="AS48" s="165">
        <v>0</v>
      </c>
      <c r="AT48" s="165">
        <v>0</v>
      </c>
      <c r="AU48" s="165">
        <v>0</v>
      </c>
      <c r="AV48" s="165">
        <v>0</v>
      </c>
      <c r="AW48" s="165">
        <v>0</v>
      </c>
      <c r="AX48" s="165">
        <v>0</v>
      </c>
      <c r="AY48" s="165">
        <v>0</v>
      </c>
      <c r="AZ48" s="165">
        <v>0</v>
      </c>
      <c r="BA48" s="165">
        <v>0</v>
      </c>
      <c r="BB48" s="165"/>
      <c r="BC48" s="165"/>
      <c r="BD48" s="165"/>
      <c r="BE48" s="165"/>
      <c r="BF48" s="215">
        <v>0</v>
      </c>
      <c r="BG48" s="165">
        <v>0</v>
      </c>
      <c r="BH48" s="165">
        <v>0</v>
      </c>
      <c r="BI48" s="165">
        <v>0</v>
      </c>
      <c r="BJ48" s="165">
        <v>0</v>
      </c>
      <c r="BK48" s="165">
        <v>0</v>
      </c>
      <c r="BL48" s="165">
        <v>0</v>
      </c>
      <c r="BM48" s="165">
        <v>0</v>
      </c>
      <c r="BN48" s="165">
        <v>0</v>
      </c>
      <c r="BO48" s="165"/>
      <c r="BP48" s="165"/>
      <c r="BQ48" s="165"/>
      <c r="BR48" s="216"/>
      <c r="BS48" s="165">
        <v>0</v>
      </c>
      <c r="BT48" s="165">
        <v>0.14632590000000001</v>
      </c>
      <c r="BU48" s="165">
        <v>0.11845899999999999</v>
      </c>
      <c r="BV48" s="165">
        <v>4.3502000000000002E-3</v>
      </c>
      <c r="BW48" s="165">
        <v>0.17424480000000001</v>
      </c>
      <c r="BX48" s="165">
        <v>-9.6471000000000005E-3</v>
      </c>
      <c r="BY48" s="165">
        <v>0</v>
      </c>
      <c r="BZ48" s="165">
        <v>0</v>
      </c>
      <c r="CA48" s="165">
        <v>0</v>
      </c>
      <c r="CB48" s="165"/>
      <c r="CC48" s="165"/>
      <c r="CD48" s="165"/>
      <c r="CE48" s="165"/>
      <c r="CF48" s="215">
        <f t="shared" si="56"/>
        <v>11.3229436</v>
      </c>
      <c r="CG48" s="165">
        <f t="shared" si="57"/>
        <v>11.688522499999999</v>
      </c>
      <c r="CH48" s="165">
        <f t="shared" si="58"/>
        <v>12.061794000000001</v>
      </c>
      <c r="CI48" s="165">
        <f t="shared" si="59"/>
        <v>13.5346125</v>
      </c>
      <c r="CJ48" s="165">
        <f t="shared" si="60"/>
        <v>13.405604</v>
      </c>
      <c r="CK48" s="165">
        <f t="shared" si="61"/>
        <v>12.5828927</v>
      </c>
      <c r="CL48" s="165">
        <f t="shared" si="62"/>
        <v>13.1157345</v>
      </c>
      <c r="CM48" s="165">
        <f t="shared" si="63"/>
        <v>13.2381324</v>
      </c>
      <c r="CN48" s="165">
        <f t="shared" si="64"/>
        <v>14.208197699999999</v>
      </c>
      <c r="CO48" s="165"/>
      <c r="CP48" s="165"/>
      <c r="CQ48" s="165"/>
      <c r="CR48" s="216"/>
      <c r="CS48" s="215">
        <f t="shared" si="65"/>
        <v>11.3229436</v>
      </c>
      <c r="CT48" s="165">
        <f t="shared" si="66"/>
        <v>11.542196599999999</v>
      </c>
      <c r="CU48" s="165">
        <f t="shared" si="67"/>
        <v>11.943335000000001</v>
      </c>
      <c r="CV48" s="165">
        <f t="shared" si="68"/>
        <v>13.5302623</v>
      </c>
      <c r="CW48" s="165">
        <f t="shared" si="69"/>
        <v>13.2313592</v>
      </c>
      <c r="CX48" s="165">
        <f t="shared" si="70"/>
        <v>12.592539800000001</v>
      </c>
      <c r="CY48" s="165">
        <f t="shared" si="71"/>
        <v>13.1157345</v>
      </c>
      <c r="CZ48" s="165">
        <f t="shared" si="72"/>
        <v>13.2381324</v>
      </c>
      <c r="DA48" s="165">
        <f t="shared" si="73"/>
        <v>14.208197699999999</v>
      </c>
      <c r="DB48" s="165"/>
      <c r="DC48" s="165"/>
      <c r="DD48" s="165"/>
      <c r="DE48" s="216"/>
      <c r="DF48" s="17">
        <f t="shared" si="74"/>
        <v>0</v>
      </c>
      <c r="DG48" s="18">
        <f t="shared" si="75"/>
        <v>0</v>
      </c>
      <c r="DH48" s="18">
        <f t="shared" si="76"/>
        <v>0</v>
      </c>
      <c r="DI48" s="18">
        <f t="shared" si="77"/>
        <v>0</v>
      </c>
      <c r="DJ48" s="18">
        <f t="shared" si="78"/>
        <v>0</v>
      </c>
      <c r="DK48" s="18">
        <f t="shared" si="79"/>
        <v>0</v>
      </c>
      <c r="DL48" s="18">
        <f t="shared" si="80"/>
        <v>0</v>
      </c>
      <c r="DM48" s="18">
        <f t="shared" si="81"/>
        <v>0</v>
      </c>
      <c r="DN48" s="18">
        <f t="shared" si="82"/>
        <v>0</v>
      </c>
      <c r="DO48" s="18"/>
      <c r="DP48" s="18"/>
      <c r="DQ48" s="18"/>
      <c r="DR48" s="217"/>
      <c r="DS48" s="20"/>
      <c r="DT48" s="21"/>
      <c r="DU48" s="21"/>
      <c r="DV48" s="21"/>
      <c r="DW48" s="21"/>
      <c r="DX48" s="21"/>
      <c r="DY48" s="21"/>
      <c r="EE48" s="13"/>
      <c r="EF48" s="20"/>
      <c r="EG48" s="21"/>
      <c r="EH48" s="21"/>
      <c r="EI48" s="21"/>
      <c r="EJ48" s="21"/>
      <c r="EK48" s="21"/>
      <c r="ER48" s="13"/>
      <c r="ES48" s="20"/>
      <c r="ET48" s="21"/>
      <c r="EU48" s="21"/>
      <c r="EV48" s="21"/>
      <c r="EW48" s="21"/>
      <c r="EX48" s="21"/>
      <c r="EY48" s="180">
        <v>156837</v>
      </c>
      <c r="FE48" s="13"/>
      <c r="FF48" s="20"/>
      <c r="FG48" s="21"/>
      <c r="FH48" s="21"/>
      <c r="FI48" s="21"/>
      <c r="FJ48" s="21"/>
      <c r="FK48" s="21"/>
      <c r="FR48" s="13"/>
    </row>
    <row r="49" spans="1:174" ht="15.6" x14ac:dyDescent="0.3">
      <c r="F49" s="165"/>
      <c r="G49" s="165"/>
      <c r="H49" s="165"/>
      <c r="I49" s="165"/>
      <c r="J49" s="165"/>
      <c r="K49" s="165"/>
      <c r="L49" s="165"/>
      <c r="M49" s="165"/>
      <c r="N49" s="165"/>
      <c r="O49" s="165"/>
      <c r="P49" s="165"/>
      <c r="Q49" s="165"/>
      <c r="R49" s="165"/>
      <c r="S49" s="215"/>
      <c r="T49" s="165"/>
      <c r="U49" s="165"/>
      <c r="V49" s="165"/>
      <c r="W49" s="165"/>
      <c r="X49" s="165"/>
      <c r="Y49" s="165"/>
      <c r="Z49" s="165"/>
      <c r="AA49" s="165"/>
      <c r="AB49" s="165"/>
      <c r="AC49" s="165"/>
      <c r="AD49" s="165"/>
      <c r="AE49" s="216"/>
      <c r="AF49" s="215"/>
      <c r="AG49" s="165"/>
      <c r="AH49" s="165"/>
      <c r="AI49" s="165"/>
      <c r="AJ49" s="165"/>
      <c r="AK49" s="165"/>
      <c r="AL49" s="165"/>
      <c r="AM49" s="165"/>
      <c r="AN49" s="165"/>
      <c r="AO49" s="165"/>
      <c r="AP49" s="165"/>
      <c r="AQ49" s="165"/>
      <c r="AR49" s="216"/>
      <c r="AS49" s="165"/>
      <c r="AT49" s="165"/>
      <c r="AU49" s="165"/>
      <c r="AV49" s="165"/>
      <c r="AW49" s="165"/>
      <c r="AX49" s="165"/>
      <c r="AY49" s="165"/>
      <c r="AZ49" s="165"/>
      <c r="BA49" s="165"/>
      <c r="BB49" s="165"/>
      <c r="BC49" s="165"/>
      <c r="BD49" s="165"/>
      <c r="BE49" s="165"/>
      <c r="BF49" s="215"/>
      <c r="BG49" s="165"/>
      <c r="BH49" s="165"/>
      <c r="BI49" s="165"/>
      <c r="BJ49" s="165"/>
      <c r="BK49" s="165"/>
      <c r="BL49" s="165"/>
      <c r="BM49" s="165"/>
      <c r="BN49" s="165"/>
      <c r="BO49" s="165"/>
      <c r="BP49" s="165"/>
      <c r="BQ49" s="165"/>
      <c r="BR49" s="216"/>
      <c r="BS49" s="165"/>
      <c r="BT49" s="165"/>
      <c r="BU49" s="165"/>
      <c r="BV49" s="165"/>
      <c r="BW49" s="165"/>
      <c r="BX49" s="165"/>
      <c r="BY49" s="165"/>
      <c r="BZ49" s="165"/>
      <c r="CA49" s="165"/>
      <c r="CB49" s="165"/>
      <c r="CC49" s="165"/>
      <c r="CD49" s="165"/>
      <c r="CE49" s="165"/>
      <c r="CF49" s="215"/>
      <c r="CG49" s="165"/>
      <c r="CH49" s="165"/>
      <c r="CI49" s="165"/>
      <c r="CJ49" s="165"/>
      <c r="CK49" s="165"/>
      <c r="CL49" s="165"/>
      <c r="CM49" s="165"/>
      <c r="CN49" s="165"/>
      <c r="CO49" s="165"/>
      <c r="CP49" s="165"/>
      <c r="CQ49" s="165"/>
      <c r="CR49" s="216"/>
      <c r="CS49" s="215"/>
      <c r="CT49" s="165"/>
      <c r="CU49" s="165"/>
      <c r="CV49" s="165"/>
      <c r="CW49" s="165"/>
      <c r="CX49" s="165"/>
      <c r="CY49" s="165"/>
      <c r="CZ49" s="165"/>
      <c r="DA49" s="165"/>
      <c r="DB49" s="165"/>
      <c r="DC49" s="165"/>
      <c r="DD49" s="165"/>
      <c r="DE49" s="216"/>
      <c r="DF49" s="17"/>
      <c r="DG49" s="18"/>
      <c r="DH49" s="18"/>
      <c r="DI49" s="18"/>
      <c r="DJ49" s="18"/>
      <c r="DK49" s="18"/>
      <c r="DL49" s="18"/>
      <c r="DM49" s="18"/>
      <c r="DN49" s="18"/>
      <c r="DO49" s="18"/>
      <c r="DP49" s="18"/>
      <c r="DQ49" s="18"/>
      <c r="DR49" s="217"/>
      <c r="DS49" s="20"/>
      <c r="DT49" s="21"/>
      <c r="DU49" s="21"/>
      <c r="DV49" s="21"/>
      <c r="DW49" s="21"/>
      <c r="DX49" s="21"/>
      <c r="DY49" s="21"/>
      <c r="EE49" s="13"/>
      <c r="EF49" s="20"/>
      <c r="EG49" s="21"/>
      <c r="EH49" s="21"/>
      <c r="EI49" s="21"/>
      <c r="EJ49" s="21"/>
      <c r="EK49" s="21"/>
      <c r="ER49" s="13"/>
      <c r="ES49" s="20"/>
      <c r="ET49" s="21"/>
      <c r="EU49" s="21"/>
      <c r="EV49" s="21"/>
      <c r="EW49" s="21"/>
      <c r="EX49" s="21"/>
      <c r="FE49" s="13"/>
      <c r="FF49" s="20"/>
      <c r="FG49" s="21"/>
      <c r="FH49" s="21"/>
      <c r="FI49" s="21"/>
      <c r="FJ49" s="21"/>
      <c r="FK49" s="21"/>
      <c r="FR49" s="13"/>
    </row>
    <row r="50" spans="1:174" ht="15.6" x14ac:dyDescent="0.3">
      <c r="F50" s="165"/>
      <c r="G50" s="165"/>
      <c r="H50" s="165"/>
      <c r="I50" s="165"/>
      <c r="J50" s="165"/>
      <c r="K50" s="165"/>
      <c r="L50" s="165"/>
      <c r="M50" s="165"/>
      <c r="N50" s="165"/>
      <c r="O50" s="165"/>
      <c r="P50" s="165"/>
      <c r="Q50" s="165"/>
      <c r="R50" s="165"/>
      <c r="S50" s="215"/>
      <c r="T50" s="165"/>
      <c r="U50" s="165"/>
      <c r="V50" s="165"/>
      <c r="W50" s="165"/>
      <c r="X50" s="165"/>
      <c r="Y50" s="165"/>
      <c r="Z50" s="165"/>
      <c r="AA50" s="165"/>
      <c r="AB50" s="165"/>
      <c r="AC50" s="165"/>
      <c r="AD50" s="165"/>
      <c r="AE50" s="216"/>
      <c r="AF50" s="215"/>
      <c r="AG50" s="165"/>
      <c r="AH50" s="165"/>
      <c r="AI50" s="165"/>
      <c r="AJ50" s="165"/>
      <c r="AK50" s="165"/>
      <c r="AL50" s="165"/>
      <c r="AM50" s="165"/>
      <c r="AN50" s="165"/>
      <c r="AO50" s="165"/>
      <c r="AP50" s="165"/>
      <c r="AQ50" s="165"/>
      <c r="AR50" s="216"/>
      <c r="AS50" s="165"/>
      <c r="AT50" s="165"/>
      <c r="AU50" s="165"/>
      <c r="AV50" s="165"/>
      <c r="AW50" s="165"/>
      <c r="AX50" s="165"/>
      <c r="AY50" s="165"/>
      <c r="AZ50" s="165"/>
      <c r="BA50" s="165"/>
      <c r="BB50" s="165"/>
      <c r="BC50" s="165"/>
      <c r="BD50" s="165"/>
      <c r="BE50" s="165"/>
      <c r="BF50" s="215"/>
      <c r="BG50" s="165"/>
      <c r="BH50" s="165"/>
      <c r="BI50" s="165"/>
      <c r="BJ50" s="165"/>
      <c r="BK50" s="165"/>
      <c r="BL50" s="165"/>
      <c r="BM50" s="165"/>
      <c r="BN50" s="165"/>
      <c r="BO50" s="165"/>
      <c r="BP50" s="165"/>
      <c r="BQ50" s="165"/>
      <c r="BR50" s="216"/>
      <c r="BS50" s="165"/>
      <c r="BT50" s="165"/>
      <c r="BU50" s="165"/>
      <c r="BV50" s="165"/>
      <c r="BW50" s="165"/>
      <c r="BX50" s="165"/>
      <c r="BY50" s="165"/>
      <c r="BZ50" s="165"/>
      <c r="CA50" s="165"/>
      <c r="CB50" s="165"/>
      <c r="CC50" s="165"/>
      <c r="CD50" s="165"/>
      <c r="CE50" s="165"/>
      <c r="CF50" s="215"/>
      <c r="CG50" s="165"/>
      <c r="CH50" s="165"/>
      <c r="CI50" s="165"/>
      <c r="CJ50" s="165"/>
      <c r="CK50" s="165"/>
      <c r="CL50" s="165"/>
      <c r="CM50" s="165"/>
      <c r="CN50" s="165"/>
      <c r="CO50" s="165"/>
      <c r="CP50" s="165"/>
      <c r="CQ50" s="165"/>
      <c r="CR50" s="216"/>
      <c r="CS50" s="215"/>
      <c r="CT50" s="165"/>
      <c r="CU50" s="165"/>
      <c r="CV50" s="165"/>
      <c r="CW50" s="165"/>
      <c r="CX50" s="165"/>
      <c r="CY50" s="165"/>
      <c r="CZ50" s="165"/>
      <c r="DA50" s="165"/>
      <c r="DB50" s="165"/>
      <c r="DC50" s="165"/>
      <c r="DD50" s="165"/>
      <c r="DE50" s="216"/>
      <c r="DF50" s="17"/>
      <c r="DG50" s="18"/>
      <c r="DH50" s="18"/>
      <c r="DI50" s="18"/>
      <c r="DJ50" s="18"/>
      <c r="DK50" s="18"/>
      <c r="DL50" s="18"/>
      <c r="DM50" s="18"/>
      <c r="DN50" s="18"/>
      <c r="DO50" s="18"/>
      <c r="DP50" s="18"/>
      <c r="DQ50" s="18"/>
      <c r="DR50" s="217"/>
      <c r="DS50" s="20"/>
      <c r="DT50" s="21"/>
      <c r="DU50" s="21"/>
      <c r="DV50" s="21"/>
      <c r="DW50" s="21"/>
      <c r="DX50" s="21"/>
      <c r="DY50" s="21"/>
      <c r="EE50" s="13"/>
      <c r="EF50" s="20"/>
      <c r="EG50" s="21"/>
      <c r="EH50" s="21"/>
      <c r="EI50" s="21"/>
      <c r="EJ50" s="21"/>
      <c r="EK50" s="21"/>
      <c r="ER50" s="13"/>
      <c r="ES50" s="20"/>
      <c r="ET50" s="21"/>
      <c r="EU50" s="21"/>
      <c r="EV50" s="21"/>
      <c r="EW50" s="21"/>
      <c r="EX50" s="21"/>
      <c r="FE50" s="13"/>
      <c r="FF50" s="20"/>
      <c r="FG50" s="21"/>
      <c r="FH50" s="21"/>
      <c r="FI50" s="21"/>
      <c r="FJ50" s="21"/>
      <c r="FK50" s="21"/>
      <c r="FR50" s="13"/>
    </row>
    <row r="51" spans="1:174" ht="15.6" x14ac:dyDescent="0.3">
      <c r="F51" s="165"/>
      <c r="G51" s="165"/>
      <c r="H51" s="165"/>
      <c r="I51" s="165"/>
      <c r="J51" s="165"/>
      <c r="K51" s="165"/>
      <c r="L51" s="165"/>
      <c r="M51" s="165"/>
      <c r="N51" s="165"/>
      <c r="O51" s="165"/>
      <c r="P51" s="165"/>
      <c r="Q51" s="165"/>
      <c r="R51" s="165"/>
      <c r="S51" s="215"/>
      <c r="T51" s="165"/>
      <c r="U51" s="165"/>
      <c r="V51" s="165"/>
      <c r="W51" s="165"/>
      <c r="X51" s="165"/>
      <c r="Y51" s="165"/>
      <c r="Z51" s="165"/>
      <c r="AA51" s="165"/>
      <c r="AB51" s="165"/>
      <c r="AC51" s="165"/>
      <c r="AD51" s="165"/>
      <c r="AE51" s="216"/>
      <c r="AF51" s="215"/>
      <c r="AG51" s="165"/>
      <c r="AH51" s="165"/>
      <c r="AI51" s="165"/>
      <c r="AJ51" s="165"/>
      <c r="AK51" s="165"/>
      <c r="AL51" s="165"/>
      <c r="AM51" s="165"/>
      <c r="AN51" s="165"/>
      <c r="AO51" s="165"/>
      <c r="AP51" s="165"/>
      <c r="AQ51" s="165"/>
      <c r="AR51" s="216"/>
      <c r="AS51" s="165"/>
      <c r="AT51" s="165"/>
      <c r="AU51" s="165"/>
      <c r="AV51" s="165"/>
      <c r="AW51" s="165"/>
      <c r="AX51" s="165"/>
      <c r="AY51" s="165"/>
      <c r="AZ51" s="165"/>
      <c r="BA51" s="165"/>
      <c r="BB51" s="165"/>
      <c r="BC51" s="165"/>
      <c r="BD51" s="165"/>
      <c r="BE51" s="165"/>
      <c r="BF51" s="215"/>
      <c r="BG51" s="165"/>
      <c r="BH51" s="165"/>
      <c r="BI51" s="165"/>
      <c r="BJ51" s="165"/>
      <c r="BK51" s="165"/>
      <c r="BL51" s="165"/>
      <c r="BM51" s="165"/>
      <c r="BN51" s="165"/>
      <c r="BO51" s="165"/>
      <c r="BP51" s="165"/>
      <c r="BQ51" s="165"/>
      <c r="BR51" s="216"/>
      <c r="BS51" s="165"/>
      <c r="BT51" s="165"/>
      <c r="BU51" s="165"/>
      <c r="BV51" s="165"/>
      <c r="BW51" s="165"/>
      <c r="BX51" s="165"/>
      <c r="BY51" s="165"/>
      <c r="BZ51" s="165"/>
      <c r="CA51" s="165"/>
      <c r="CB51" s="165"/>
      <c r="CC51" s="165"/>
      <c r="CD51" s="165"/>
      <c r="CE51" s="165"/>
      <c r="CF51" s="215"/>
      <c r="CG51" s="165"/>
      <c r="CH51" s="165"/>
      <c r="CI51" s="165"/>
      <c r="CJ51" s="165"/>
      <c r="CK51" s="165"/>
      <c r="CL51" s="165"/>
      <c r="CM51" s="165"/>
      <c r="CN51" s="165"/>
      <c r="CO51" s="165"/>
      <c r="CP51" s="165"/>
      <c r="CQ51" s="165"/>
      <c r="CR51" s="216"/>
      <c r="CS51" s="215"/>
      <c r="CT51" s="165"/>
      <c r="CU51" s="165"/>
      <c r="CV51" s="165"/>
      <c r="CW51" s="165"/>
      <c r="CX51" s="165"/>
      <c r="CY51" s="165"/>
      <c r="CZ51" s="165"/>
      <c r="DA51" s="165"/>
      <c r="DB51" s="165"/>
      <c r="DC51" s="165"/>
      <c r="DD51" s="165"/>
      <c r="DE51" s="216"/>
      <c r="DF51" s="17"/>
      <c r="DG51" s="18"/>
      <c r="DH51" s="18"/>
      <c r="DI51" s="18"/>
      <c r="DJ51" s="18"/>
      <c r="DK51" s="18"/>
      <c r="DL51" s="18"/>
      <c r="DM51" s="18"/>
      <c r="DN51" s="18"/>
      <c r="DO51" s="18"/>
      <c r="DP51" s="18"/>
      <c r="DQ51" s="18"/>
      <c r="DR51" s="217"/>
      <c r="DS51" s="20"/>
      <c r="DT51" s="21"/>
      <c r="DU51" s="21"/>
      <c r="DV51" s="21"/>
      <c r="DW51" s="21"/>
      <c r="DX51" s="21"/>
      <c r="DY51" s="21"/>
      <c r="EE51" s="13"/>
      <c r="EF51" s="20"/>
      <c r="EG51" s="21"/>
      <c r="EH51" s="21"/>
      <c r="EI51" s="21"/>
      <c r="EJ51" s="21"/>
      <c r="EK51" s="21"/>
      <c r="ER51" s="13"/>
      <c r="ES51" s="20"/>
      <c r="ET51" s="21"/>
      <c r="EU51" s="21"/>
      <c r="EV51" s="21"/>
      <c r="EW51" s="21"/>
      <c r="EX51" s="21"/>
      <c r="FE51" s="13"/>
      <c r="FF51" s="20"/>
      <c r="FG51" s="21"/>
      <c r="FH51" s="21"/>
      <c r="FI51" s="21"/>
      <c r="FJ51" s="21"/>
      <c r="FK51" s="21"/>
      <c r="FR51" s="13"/>
    </row>
    <row r="52" spans="1:174" ht="15.6" x14ac:dyDescent="0.3">
      <c r="F52" s="165"/>
      <c r="G52" s="165"/>
      <c r="H52" s="165"/>
      <c r="I52" s="165"/>
      <c r="J52" s="165"/>
      <c r="K52" s="165"/>
      <c r="L52" s="165"/>
      <c r="M52" s="165"/>
      <c r="N52" s="165"/>
      <c r="O52" s="165"/>
      <c r="P52" s="165"/>
      <c r="Q52" s="165"/>
      <c r="R52" s="165"/>
      <c r="S52" s="215"/>
      <c r="T52" s="165"/>
      <c r="U52" s="165"/>
      <c r="V52" s="165"/>
      <c r="W52" s="165"/>
      <c r="X52" s="165"/>
      <c r="Y52" s="165"/>
      <c r="Z52" s="165"/>
      <c r="AA52" s="165"/>
      <c r="AB52" s="165"/>
      <c r="AC52" s="165"/>
      <c r="AD52" s="165"/>
      <c r="AE52" s="216"/>
      <c r="AF52" s="215"/>
      <c r="AG52" s="165"/>
      <c r="AH52" s="165"/>
      <c r="AI52" s="165"/>
      <c r="AJ52" s="165"/>
      <c r="AK52" s="165"/>
      <c r="AL52" s="165"/>
      <c r="AM52" s="165"/>
      <c r="AN52" s="165"/>
      <c r="AO52" s="165"/>
      <c r="AP52" s="165"/>
      <c r="AQ52" s="165"/>
      <c r="AR52" s="216"/>
      <c r="AS52" s="165"/>
      <c r="AT52" s="165"/>
      <c r="AU52" s="165"/>
      <c r="AV52" s="165"/>
      <c r="AW52" s="165"/>
      <c r="AX52" s="165"/>
      <c r="AY52" s="165"/>
      <c r="AZ52" s="165"/>
      <c r="BA52" s="165"/>
      <c r="BB52" s="165"/>
      <c r="BC52" s="165"/>
      <c r="BD52" s="165"/>
      <c r="BE52" s="165"/>
      <c r="BF52" s="215"/>
      <c r="BG52" s="165"/>
      <c r="BH52" s="165"/>
      <c r="BI52" s="165"/>
      <c r="BJ52" s="165"/>
      <c r="BK52" s="165"/>
      <c r="BL52" s="165"/>
      <c r="BM52" s="165"/>
      <c r="BN52" s="165"/>
      <c r="BO52" s="165"/>
      <c r="BP52" s="165"/>
      <c r="BQ52" s="165"/>
      <c r="BR52" s="216"/>
      <c r="BS52" s="165"/>
      <c r="BT52" s="165"/>
      <c r="BU52" s="165"/>
      <c r="BV52" s="165"/>
      <c r="BW52" s="165"/>
      <c r="BX52" s="165"/>
      <c r="BY52" s="165"/>
      <c r="BZ52" s="165"/>
      <c r="CA52" s="165"/>
      <c r="CB52" s="165"/>
      <c r="CC52" s="165"/>
      <c r="CD52" s="165"/>
      <c r="CE52" s="165"/>
      <c r="CF52" s="215"/>
      <c r="CG52" s="165"/>
      <c r="CH52" s="165"/>
      <c r="CI52" s="165"/>
      <c r="CJ52" s="165"/>
      <c r="CK52" s="165"/>
      <c r="CL52" s="165"/>
      <c r="CM52" s="165"/>
      <c r="CN52" s="165"/>
      <c r="CO52" s="165"/>
      <c r="CP52" s="165"/>
      <c r="CQ52" s="165"/>
      <c r="CR52" s="216"/>
      <c r="CS52" s="215"/>
      <c r="CT52" s="165"/>
      <c r="CU52" s="165"/>
      <c r="CV52" s="165"/>
      <c r="CW52" s="165"/>
      <c r="CX52" s="165"/>
      <c r="CY52" s="165"/>
      <c r="CZ52" s="165"/>
      <c r="DA52" s="165"/>
      <c r="DB52" s="165"/>
      <c r="DC52" s="165"/>
      <c r="DD52" s="165"/>
      <c r="DE52" s="216"/>
      <c r="DF52" s="17"/>
      <c r="DG52" s="18"/>
      <c r="DH52" s="18"/>
      <c r="DI52" s="18"/>
      <c r="DJ52" s="18"/>
      <c r="DK52" s="18"/>
      <c r="DL52" s="18"/>
      <c r="DM52" s="18"/>
      <c r="DN52" s="18"/>
      <c r="DO52" s="18"/>
      <c r="DP52" s="18"/>
      <c r="DQ52" s="18"/>
      <c r="DR52" s="217"/>
      <c r="DS52" s="20"/>
      <c r="DT52" s="21"/>
      <c r="DU52" s="21"/>
      <c r="DV52" s="21"/>
      <c r="DW52" s="21"/>
      <c r="DX52" s="21"/>
      <c r="DY52" s="21"/>
      <c r="EE52" s="13"/>
      <c r="EF52" s="20"/>
      <c r="EG52" s="21"/>
      <c r="EH52" s="21"/>
      <c r="EI52" s="21"/>
      <c r="EJ52" s="21"/>
      <c r="EK52" s="21"/>
      <c r="ER52" s="13"/>
      <c r="ES52" s="20"/>
      <c r="ET52" s="21"/>
      <c r="EU52" s="21"/>
      <c r="EV52" s="21"/>
      <c r="EW52" s="21"/>
      <c r="EX52" s="21"/>
      <c r="FE52" s="13"/>
      <c r="FF52" s="20"/>
      <c r="FG52" s="21"/>
      <c r="FH52" s="21"/>
      <c r="FI52" s="21"/>
      <c r="FJ52" s="21"/>
      <c r="FK52" s="21"/>
      <c r="FR52" s="13"/>
    </row>
    <row r="53" spans="1:174" ht="15.6" x14ac:dyDescent="0.3">
      <c r="F53" s="165"/>
      <c r="G53" s="165"/>
      <c r="H53" s="165"/>
      <c r="I53" s="165"/>
      <c r="J53" s="165"/>
      <c r="K53" s="165"/>
      <c r="L53" s="165"/>
      <c r="M53" s="165"/>
      <c r="N53" s="165"/>
      <c r="O53" s="165"/>
      <c r="P53" s="165"/>
      <c r="Q53" s="165"/>
      <c r="R53" s="165"/>
      <c r="S53" s="215"/>
      <c r="T53" s="165"/>
      <c r="U53" s="165"/>
      <c r="V53" s="165"/>
      <c r="W53" s="165"/>
      <c r="X53" s="165"/>
      <c r="Y53" s="165"/>
      <c r="Z53" s="165"/>
      <c r="AA53" s="165"/>
      <c r="AB53" s="165"/>
      <c r="AC53" s="165"/>
      <c r="AD53" s="165"/>
      <c r="AE53" s="216"/>
      <c r="AF53" s="215"/>
      <c r="AG53" s="165"/>
      <c r="AH53" s="165"/>
      <c r="AI53" s="165"/>
      <c r="AJ53" s="165"/>
      <c r="AK53" s="165"/>
      <c r="AL53" s="165"/>
      <c r="AM53" s="165"/>
      <c r="AN53" s="165"/>
      <c r="AO53" s="165"/>
      <c r="AP53" s="165"/>
      <c r="AQ53" s="165"/>
      <c r="AR53" s="216"/>
      <c r="AS53" s="165"/>
      <c r="AT53" s="165"/>
      <c r="AU53" s="165"/>
      <c r="AV53" s="165"/>
      <c r="AW53" s="165"/>
      <c r="AX53" s="165"/>
      <c r="AY53" s="165"/>
      <c r="AZ53" s="165"/>
      <c r="BA53" s="165"/>
      <c r="BB53" s="165"/>
      <c r="BC53" s="165"/>
      <c r="BD53" s="165"/>
      <c r="BE53" s="165"/>
      <c r="BF53" s="215"/>
      <c r="BG53" s="165"/>
      <c r="BH53" s="165"/>
      <c r="BI53" s="165"/>
      <c r="BJ53" s="165"/>
      <c r="BK53" s="165"/>
      <c r="BL53" s="165"/>
      <c r="BM53" s="165"/>
      <c r="BN53" s="165"/>
      <c r="BO53" s="165"/>
      <c r="BP53" s="165"/>
      <c r="BQ53" s="165"/>
      <c r="BR53" s="216"/>
      <c r="BS53" s="165"/>
      <c r="BT53" s="165"/>
      <c r="BU53" s="165"/>
      <c r="BV53" s="165"/>
      <c r="BW53" s="165"/>
      <c r="BX53" s="165"/>
      <c r="BY53" s="165"/>
      <c r="BZ53" s="165"/>
      <c r="CA53" s="165"/>
      <c r="CB53" s="165"/>
      <c r="CC53" s="165"/>
      <c r="CD53" s="165"/>
      <c r="CE53" s="165"/>
      <c r="CF53" s="215"/>
      <c r="CG53" s="165"/>
      <c r="CH53" s="165"/>
      <c r="CI53" s="165"/>
      <c r="CJ53" s="165"/>
      <c r="CK53" s="165"/>
      <c r="CL53" s="165"/>
      <c r="CM53" s="165"/>
      <c r="CN53" s="165"/>
      <c r="CO53" s="165"/>
      <c r="CP53" s="165"/>
      <c r="CQ53" s="165"/>
      <c r="CR53" s="216"/>
      <c r="CS53" s="215"/>
      <c r="CT53" s="165"/>
      <c r="CU53" s="165"/>
      <c r="CV53" s="165"/>
      <c r="CW53" s="165"/>
      <c r="CX53" s="165"/>
      <c r="CY53" s="165"/>
      <c r="CZ53" s="165"/>
      <c r="DA53" s="165"/>
      <c r="DB53" s="165"/>
      <c r="DC53" s="165"/>
      <c r="DD53" s="165"/>
      <c r="DE53" s="216"/>
      <c r="DF53" s="17"/>
      <c r="DG53" s="18"/>
      <c r="DH53" s="18"/>
      <c r="DI53" s="18"/>
      <c r="DJ53" s="18"/>
      <c r="DK53" s="18"/>
      <c r="DL53" s="18"/>
      <c r="DM53" s="18"/>
      <c r="DN53" s="18"/>
      <c r="DO53" s="18"/>
      <c r="DP53" s="18"/>
      <c r="DQ53" s="18"/>
      <c r="DR53" s="217"/>
      <c r="DS53" s="20"/>
      <c r="DT53" s="21"/>
      <c r="DU53" s="21"/>
      <c r="DV53" s="21"/>
      <c r="DW53" s="21"/>
      <c r="DX53" s="21"/>
      <c r="DY53" s="21"/>
      <c r="EE53" s="13"/>
      <c r="EF53" s="20"/>
      <c r="EG53" s="21"/>
      <c r="EH53" s="21"/>
      <c r="EI53" s="21"/>
      <c r="EJ53" s="21"/>
      <c r="EK53" s="21"/>
      <c r="ER53" s="13"/>
      <c r="ES53" s="20"/>
      <c r="ET53" s="21"/>
      <c r="EU53" s="21"/>
      <c r="EV53" s="21"/>
      <c r="EW53" s="21"/>
      <c r="EX53" s="21"/>
      <c r="FE53" s="13"/>
      <c r="FF53" s="20"/>
      <c r="FG53" s="21"/>
      <c r="FH53" s="21"/>
      <c r="FI53" s="21"/>
      <c r="FJ53" s="21"/>
      <c r="FK53" s="21"/>
      <c r="FR53" s="13"/>
    </row>
    <row r="54" spans="1:174" ht="15.6" x14ac:dyDescent="0.3">
      <c r="F54" s="165"/>
      <c r="G54" s="165"/>
      <c r="H54" s="165"/>
      <c r="I54" s="165"/>
      <c r="J54" s="165"/>
      <c r="K54" s="165"/>
      <c r="L54" s="165"/>
      <c r="M54" s="165"/>
      <c r="N54" s="165"/>
      <c r="O54" s="165"/>
      <c r="P54" s="165"/>
      <c r="Q54" s="165"/>
      <c r="R54" s="165"/>
      <c r="S54" s="215"/>
      <c r="T54" s="165"/>
      <c r="U54" s="165"/>
      <c r="V54" s="165"/>
      <c r="W54" s="165"/>
      <c r="X54" s="165"/>
      <c r="Y54" s="165"/>
      <c r="Z54" s="165"/>
      <c r="AA54" s="165"/>
      <c r="AB54" s="165"/>
      <c r="AC54" s="165"/>
      <c r="AD54" s="165"/>
      <c r="AE54" s="216"/>
      <c r="AF54" s="215"/>
      <c r="AG54" s="165"/>
      <c r="AH54" s="165"/>
      <c r="AI54" s="165"/>
      <c r="AJ54" s="165"/>
      <c r="AK54" s="165"/>
      <c r="AL54" s="165"/>
      <c r="AM54" s="165"/>
      <c r="AN54" s="165"/>
      <c r="AO54" s="165"/>
      <c r="AP54" s="165"/>
      <c r="AQ54" s="165"/>
      <c r="AR54" s="216"/>
      <c r="AS54" s="165"/>
      <c r="AT54" s="165"/>
      <c r="AU54" s="165"/>
      <c r="AV54" s="165"/>
      <c r="AW54" s="165"/>
      <c r="AX54" s="165"/>
      <c r="AY54" s="165"/>
      <c r="AZ54" s="165"/>
      <c r="BA54" s="165"/>
      <c r="BB54" s="165"/>
      <c r="BC54" s="165"/>
      <c r="BD54" s="165"/>
      <c r="BE54" s="165"/>
      <c r="BF54" s="215"/>
      <c r="BG54" s="165"/>
      <c r="BH54" s="165"/>
      <c r="BI54" s="165"/>
      <c r="BJ54" s="165"/>
      <c r="BK54" s="165"/>
      <c r="BL54" s="165"/>
      <c r="BM54" s="165"/>
      <c r="BN54" s="165"/>
      <c r="BO54" s="165"/>
      <c r="BP54" s="165"/>
      <c r="BQ54" s="165"/>
      <c r="BR54" s="216"/>
      <c r="BS54" s="165"/>
      <c r="BT54" s="165"/>
      <c r="BU54" s="165"/>
      <c r="BV54" s="165"/>
      <c r="BW54" s="165"/>
      <c r="BX54" s="165"/>
      <c r="BY54" s="165"/>
      <c r="BZ54" s="165"/>
      <c r="CA54" s="165"/>
      <c r="CB54" s="165"/>
      <c r="CC54" s="165"/>
      <c r="CD54" s="165"/>
      <c r="CE54" s="165"/>
      <c r="CF54" s="215"/>
      <c r="CG54" s="165"/>
      <c r="CH54" s="165"/>
      <c r="CI54" s="165"/>
      <c r="CJ54" s="165"/>
      <c r="CK54" s="165"/>
      <c r="CL54" s="165"/>
      <c r="CM54" s="165"/>
      <c r="CN54" s="165"/>
      <c r="CO54" s="165"/>
      <c r="CP54" s="165"/>
      <c r="CQ54" s="165"/>
      <c r="CR54" s="216"/>
      <c r="CS54" s="215"/>
      <c r="CT54" s="165"/>
      <c r="CU54" s="165"/>
      <c r="CV54" s="165"/>
      <c r="CW54" s="165"/>
      <c r="CX54" s="165"/>
      <c r="CY54" s="165"/>
      <c r="CZ54" s="165"/>
      <c r="DA54" s="165"/>
      <c r="DB54" s="165"/>
      <c r="DC54" s="165"/>
      <c r="DD54" s="165"/>
      <c r="DE54" s="216"/>
      <c r="DF54" s="17"/>
      <c r="DG54" s="18"/>
      <c r="DH54" s="18"/>
      <c r="DI54" s="18"/>
      <c r="DJ54" s="18"/>
      <c r="DK54" s="18"/>
      <c r="DL54" s="18"/>
      <c r="DM54" s="18"/>
      <c r="DN54" s="18"/>
      <c r="DO54" s="18"/>
      <c r="DP54" s="18"/>
      <c r="DQ54" s="18"/>
      <c r="DR54" s="217"/>
      <c r="DS54" s="20"/>
      <c r="DT54" s="21"/>
      <c r="DU54" s="21"/>
      <c r="DV54" s="21"/>
      <c r="DW54" s="21"/>
      <c r="DX54" s="21"/>
      <c r="DY54" s="21"/>
      <c r="EE54" s="13"/>
      <c r="EF54" s="20"/>
      <c r="EG54" s="21"/>
      <c r="EH54" s="21"/>
      <c r="EI54" s="21"/>
      <c r="EJ54" s="21"/>
      <c r="EK54" s="21"/>
      <c r="ER54" s="13"/>
      <c r="ES54" s="20"/>
      <c r="ET54" s="21"/>
      <c r="EU54" s="21"/>
      <c r="EV54" s="21"/>
      <c r="EW54" s="21"/>
      <c r="EX54" s="21"/>
      <c r="FE54" s="13"/>
      <c r="FF54" s="20"/>
      <c r="FG54" s="21"/>
      <c r="FH54" s="21"/>
      <c r="FI54" s="21"/>
      <c r="FJ54" s="21"/>
      <c r="FK54" s="21"/>
      <c r="FR54" s="13"/>
    </row>
    <row r="55" spans="1:174" ht="15.6" x14ac:dyDescent="0.3">
      <c r="F55" s="165"/>
      <c r="G55" s="165"/>
      <c r="H55" s="165"/>
      <c r="I55" s="165"/>
      <c r="J55" s="165"/>
      <c r="K55" s="165"/>
      <c r="L55" s="165"/>
      <c r="M55" s="165"/>
      <c r="N55" s="165"/>
      <c r="O55" s="165"/>
      <c r="P55" s="165"/>
      <c r="Q55" s="165"/>
      <c r="R55" s="165"/>
      <c r="S55" s="215"/>
      <c r="T55" s="165"/>
      <c r="U55" s="165"/>
      <c r="V55" s="165"/>
      <c r="W55" s="165"/>
      <c r="X55" s="165"/>
      <c r="Y55" s="165"/>
      <c r="Z55" s="165"/>
      <c r="AA55" s="165"/>
      <c r="AB55" s="165"/>
      <c r="AC55" s="165"/>
      <c r="AD55" s="165"/>
      <c r="AE55" s="216"/>
      <c r="AF55" s="215"/>
      <c r="AG55" s="165"/>
      <c r="AH55" s="165"/>
      <c r="AI55" s="165"/>
      <c r="AJ55" s="165"/>
      <c r="AK55" s="165"/>
      <c r="AL55" s="165"/>
      <c r="AM55" s="165"/>
      <c r="AN55" s="165"/>
      <c r="AO55" s="165"/>
      <c r="AP55" s="165"/>
      <c r="AQ55" s="165"/>
      <c r="AR55" s="216"/>
      <c r="AS55" s="165"/>
      <c r="AT55" s="165"/>
      <c r="AU55" s="165"/>
      <c r="AV55" s="165"/>
      <c r="AW55" s="165"/>
      <c r="AX55" s="165"/>
      <c r="AY55" s="165"/>
      <c r="AZ55" s="165"/>
      <c r="BA55" s="165"/>
      <c r="BB55" s="165"/>
      <c r="BC55" s="165"/>
      <c r="BD55" s="165"/>
      <c r="BE55" s="165"/>
      <c r="BF55" s="215"/>
      <c r="BG55" s="165"/>
      <c r="BH55" s="165"/>
      <c r="BI55" s="165"/>
      <c r="BJ55" s="165"/>
      <c r="BK55" s="165"/>
      <c r="BL55" s="165"/>
      <c r="BM55" s="165"/>
      <c r="BN55" s="165"/>
      <c r="BO55" s="165"/>
      <c r="BP55" s="165"/>
      <c r="BQ55" s="165"/>
      <c r="BR55" s="216"/>
      <c r="BS55" s="165"/>
      <c r="BT55" s="165"/>
      <c r="BU55" s="165"/>
      <c r="BV55" s="165"/>
      <c r="BW55" s="165"/>
      <c r="BX55" s="165"/>
      <c r="BY55" s="165"/>
      <c r="BZ55" s="165"/>
      <c r="CA55" s="165"/>
      <c r="CB55" s="165"/>
      <c r="CC55" s="165"/>
      <c r="CD55" s="165"/>
      <c r="CE55" s="165"/>
      <c r="CF55" s="215"/>
      <c r="CG55" s="165"/>
      <c r="CH55" s="165"/>
      <c r="CI55" s="165"/>
      <c r="CJ55" s="165"/>
      <c r="CK55" s="165"/>
      <c r="CL55" s="165"/>
      <c r="CM55" s="165"/>
      <c r="CN55" s="165"/>
      <c r="CO55" s="165"/>
      <c r="CP55" s="165"/>
      <c r="CQ55" s="165"/>
      <c r="CR55" s="216"/>
      <c r="CS55" s="215"/>
      <c r="CT55" s="165"/>
      <c r="CU55" s="165"/>
      <c r="CV55" s="165"/>
      <c r="CW55" s="165"/>
      <c r="CX55" s="165"/>
      <c r="CY55" s="165"/>
      <c r="CZ55" s="165"/>
      <c r="DA55" s="165"/>
      <c r="DB55" s="165"/>
      <c r="DC55" s="165"/>
      <c r="DD55" s="165"/>
      <c r="DE55" s="216"/>
      <c r="DF55" s="17"/>
      <c r="DG55" s="18"/>
      <c r="DH55" s="18"/>
      <c r="DI55" s="18"/>
      <c r="DJ55" s="18"/>
      <c r="DK55" s="18"/>
      <c r="DL55" s="18"/>
      <c r="DM55" s="18"/>
      <c r="DN55" s="18"/>
      <c r="DO55" s="18"/>
      <c r="DP55" s="18"/>
      <c r="DQ55" s="18"/>
      <c r="DR55" s="217"/>
      <c r="DS55" s="20"/>
      <c r="DT55" s="21"/>
      <c r="DU55" s="21"/>
      <c r="DV55" s="21"/>
      <c r="DW55" s="21"/>
      <c r="DX55" s="21"/>
      <c r="DY55" s="21"/>
      <c r="EE55" s="13"/>
      <c r="EF55" s="20"/>
      <c r="EG55" s="21"/>
      <c r="EH55" s="21"/>
      <c r="EI55" s="21"/>
      <c r="EJ55" s="21"/>
      <c r="EK55" s="21"/>
      <c r="ER55" s="13"/>
      <c r="ES55" s="20"/>
      <c r="ET55" s="21"/>
      <c r="EU55" s="21"/>
      <c r="EV55" s="21"/>
      <c r="EW55" s="21"/>
      <c r="EX55" s="21"/>
      <c r="FE55" s="13"/>
      <c r="FF55" s="20"/>
      <c r="FG55" s="21"/>
      <c r="FH55" s="21"/>
      <c r="FI55" s="21"/>
      <c r="FJ55" s="21"/>
      <c r="FK55" s="21"/>
      <c r="FR55" s="13"/>
    </row>
    <row r="56" spans="1:174" s="4" customFormat="1" ht="15.6" x14ac:dyDescent="0.3">
      <c r="B56" s="109"/>
      <c r="D56" s="92"/>
      <c r="E56" s="97" t="s">
        <v>55</v>
      </c>
      <c r="F56" s="219">
        <f t="shared" ref="F56:AK56" si="83">SUM(F57:F77)</f>
        <v>0</v>
      </c>
      <c r="G56" s="220">
        <f t="shared" si="83"/>
        <v>0</v>
      </c>
      <c r="H56" s="220">
        <f t="shared" si="83"/>
        <v>0</v>
      </c>
      <c r="I56" s="220">
        <f t="shared" si="83"/>
        <v>0</v>
      </c>
      <c r="J56" s="220">
        <f t="shared" si="83"/>
        <v>0</v>
      </c>
      <c r="K56" s="220">
        <f t="shared" si="83"/>
        <v>0</v>
      </c>
      <c r="L56" s="220">
        <f t="shared" si="83"/>
        <v>0</v>
      </c>
      <c r="M56" s="220">
        <f t="shared" si="83"/>
        <v>0</v>
      </c>
      <c r="N56" s="220">
        <f t="shared" si="83"/>
        <v>0</v>
      </c>
      <c r="O56" s="220">
        <f t="shared" si="83"/>
        <v>0</v>
      </c>
      <c r="P56" s="220">
        <f t="shared" si="83"/>
        <v>0</v>
      </c>
      <c r="Q56" s="220">
        <f t="shared" si="83"/>
        <v>0</v>
      </c>
      <c r="R56" s="224">
        <f t="shared" si="83"/>
        <v>0</v>
      </c>
      <c r="S56" s="219">
        <f t="shared" si="83"/>
        <v>0</v>
      </c>
      <c r="T56" s="220">
        <f t="shared" si="83"/>
        <v>0</v>
      </c>
      <c r="U56" s="220">
        <f t="shared" si="83"/>
        <v>0</v>
      </c>
      <c r="V56" s="220">
        <f t="shared" si="83"/>
        <v>0</v>
      </c>
      <c r="W56" s="220">
        <f t="shared" si="83"/>
        <v>0</v>
      </c>
      <c r="X56" s="220">
        <f t="shared" si="83"/>
        <v>0</v>
      </c>
      <c r="Y56" s="220">
        <f t="shared" si="83"/>
        <v>0</v>
      </c>
      <c r="Z56" s="220">
        <f t="shared" si="83"/>
        <v>0</v>
      </c>
      <c r="AA56" s="220">
        <f t="shared" si="83"/>
        <v>0</v>
      </c>
      <c r="AB56" s="220">
        <f t="shared" si="83"/>
        <v>0</v>
      </c>
      <c r="AC56" s="220">
        <f t="shared" si="83"/>
        <v>0</v>
      </c>
      <c r="AD56" s="220">
        <f t="shared" si="83"/>
        <v>0</v>
      </c>
      <c r="AE56" s="224">
        <f t="shared" si="83"/>
        <v>0</v>
      </c>
      <c r="AF56" s="219">
        <f t="shared" si="83"/>
        <v>0</v>
      </c>
      <c r="AG56" s="220">
        <f t="shared" si="83"/>
        <v>0</v>
      </c>
      <c r="AH56" s="220">
        <f t="shared" si="83"/>
        <v>0</v>
      </c>
      <c r="AI56" s="220">
        <f t="shared" si="83"/>
        <v>0</v>
      </c>
      <c r="AJ56" s="220">
        <f t="shared" si="83"/>
        <v>0</v>
      </c>
      <c r="AK56" s="220">
        <f t="shared" si="83"/>
        <v>0</v>
      </c>
      <c r="AL56" s="220">
        <f t="shared" ref="AL56:BQ56" si="84">SUM(AL57:AL77)</f>
        <v>0</v>
      </c>
      <c r="AM56" s="220">
        <f t="shared" si="84"/>
        <v>0</v>
      </c>
      <c r="AN56" s="220">
        <f t="shared" si="84"/>
        <v>0</v>
      </c>
      <c r="AO56" s="220">
        <f t="shared" si="84"/>
        <v>0</v>
      </c>
      <c r="AP56" s="220">
        <f t="shared" si="84"/>
        <v>0</v>
      </c>
      <c r="AQ56" s="220">
        <f t="shared" si="84"/>
        <v>0</v>
      </c>
      <c r="AR56" s="224">
        <f t="shared" si="84"/>
        <v>0</v>
      </c>
      <c r="AS56" s="219">
        <f t="shared" si="84"/>
        <v>0</v>
      </c>
      <c r="AT56" s="220">
        <f t="shared" si="84"/>
        <v>0</v>
      </c>
      <c r="AU56" s="220">
        <f t="shared" si="84"/>
        <v>0</v>
      </c>
      <c r="AV56" s="220">
        <f t="shared" si="84"/>
        <v>0</v>
      </c>
      <c r="AW56" s="220">
        <f t="shared" si="84"/>
        <v>0</v>
      </c>
      <c r="AX56" s="220">
        <f t="shared" si="84"/>
        <v>0</v>
      </c>
      <c r="AY56" s="220">
        <f t="shared" si="84"/>
        <v>0</v>
      </c>
      <c r="AZ56" s="220">
        <f t="shared" si="84"/>
        <v>0</v>
      </c>
      <c r="BA56" s="220">
        <f t="shared" si="84"/>
        <v>0</v>
      </c>
      <c r="BB56" s="220">
        <f t="shared" si="84"/>
        <v>0</v>
      </c>
      <c r="BC56" s="220">
        <f t="shared" si="84"/>
        <v>0</v>
      </c>
      <c r="BD56" s="220">
        <f t="shared" si="84"/>
        <v>0</v>
      </c>
      <c r="BE56" s="224">
        <f t="shared" si="84"/>
        <v>0</v>
      </c>
      <c r="BF56" s="219">
        <f t="shared" si="84"/>
        <v>0</v>
      </c>
      <c r="BG56" s="220">
        <f t="shared" si="84"/>
        <v>0</v>
      </c>
      <c r="BH56" s="220">
        <f t="shared" si="84"/>
        <v>0</v>
      </c>
      <c r="BI56" s="220">
        <f t="shared" si="84"/>
        <v>0</v>
      </c>
      <c r="BJ56" s="220">
        <f t="shared" si="84"/>
        <v>0</v>
      </c>
      <c r="BK56" s="220">
        <f t="shared" si="84"/>
        <v>0</v>
      </c>
      <c r="BL56" s="220">
        <f t="shared" si="84"/>
        <v>0</v>
      </c>
      <c r="BM56" s="220">
        <f t="shared" si="84"/>
        <v>0</v>
      </c>
      <c r="BN56" s="220">
        <f t="shared" si="84"/>
        <v>0</v>
      </c>
      <c r="BO56" s="220">
        <f t="shared" si="84"/>
        <v>0</v>
      </c>
      <c r="BP56" s="220">
        <f t="shared" si="84"/>
        <v>0</v>
      </c>
      <c r="BQ56" s="220">
        <f t="shared" si="84"/>
        <v>0</v>
      </c>
      <c r="BR56" s="224">
        <f t="shared" ref="BR56:CW56" si="85">SUM(BR57:BR77)</f>
        <v>0</v>
      </c>
      <c r="BS56" s="219">
        <f t="shared" si="85"/>
        <v>0</v>
      </c>
      <c r="BT56" s="220">
        <f t="shared" si="85"/>
        <v>0</v>
      </c>
      <c r="BU56" s="220">
        <f t="shared" si="85"/>
        <v>0</v>
      </c>
      <c r="BV56" s="220">
        <f t="shared" si="85"/>
        <v>0</v>
      </c>
      <c r="BW56" s="220">
        <f t="shared" si="85"/>
        <v>0</v>
      </c>
      <c r="BX56" s="220">
        <f t="shared" si="85"/>
        <v>0</v>
      </c>
      <c r="BY56" s="220">
        <f t="shared" si="85"/>
        <v>0</v>
      </c>
      <c r="BZ56" s="220">
        <f t="shared" si="85"/>
        <v>0</v>
      </c>
      <c r="CA56" s="220">
        <f t="shared" si="85"/>
        <v>0</v>
      </c>
      <c r="CB56" s="220">
        <f t="shared" si="85"/>
        <v>0</v>
      </c>
      <c r="CC56" s="220">
        <f t="shared" si="85"/>
        <v>0</v>
      </c>
      <c r="CD56" s="220">
        <f t="shared" si="85"/>
        <v>0</v>
      </c>
      <c r="CE56" s="224">
        <f t="shared" si="85"/>
        <v>0</v>
      </c>
      <c r="CF56" s="219">
        <f t="shared" si="85"/>
        <v>0</v>
      </c>
      <c r="CG56" s="220">
        <f t="shared" si="85"/>
        <v>0</v>
      </c>
      <c r="CH56" s="220">
        <f t="shared" si="85"/>
        <v>0</v>
      </c>
      <c r="CI56" s="220">
        <f t="shared" si="85"/>
        <v>0</v>
      </c>
      <c r="CJ56" s="220">
        <f t="shared" si="85"/>
        <v>0</v>
      </c>
      <c r="CK56" s="220">
        <f t="shared" si="85"/>
        <v>0</v>
      </c>
      <c r="CL56" s="220">
        <f t="shared" si="85"/>
        <v>0</v>
      </c>
      <c r="CM56" s="220">
        <f t="shared" si="85"/>
        <v>0</v>
      </c>
      <c r="CN56" s="220">
        <f t="shared" si="85"/>
        <v>0</v>
      </c>
      <c r="CO56" s="220">
        <f t="shared" si="85"/>
        <v>0</v>
      </c>
      <c r="CP56" s="220">
        <f t="shared" si="85"/>
        <v>0</v>
      </c>
      <c r="CQ56" s="220">
        <f t="shared" si="85"/>
        <v>0</v>
      </c>
      <c r="CR56" s="224">
        <f t="shared" si="85"/>
        <v>0</v>
      </c>
      <c r="CS56" s="219">
        <f t="shared" si="85"/>
        <v>0</v>
      </c>
      <c r="CT56" s="220">
        <f t="shared" si="85"/>
        <v>0</v>
      </c>
      <c r="CU56" s="220">
        <f t="shared" si="85"/>
        <v>0</v>
      </c>
      <c r="CV56" s="220">
        <f t="shared" si="85"/>
        <v>0</v>
      </c>
      <c r="CW56" s="220">
        <f t="shared" si="85"/>
        <v>0</v>
      </c>
      <c r="CX56" s="220">
        <f t="shared" ref="CX56:DE56" si="86">SUM(CX57:CX77)</f>
        <v>0</v>
      </c>
      <c r="CY56" s="220">
        <f t="shared" si="86"/>
        <v>0</v>
      </c>
      <c r="CZ56" s="220">
        <f t="shared" si="86"/>
        <v>0</v>
      </c>
      <c r="DA56" s="220">
        <f t="shared" si="86"/>
        <v>0</v>
      </c>
      <c r="DB56" s="220">
        <f t="shared" si="86"/>
        <v>0</v>
      </c>
      <c r="DC56" s="220">
        <f t="shared" si="86"/>
        <v>0</v>
      </c>
      <c r="DD56" s="220">
        <f t="shared" si="86"/>
        <v>0</v>
      </c>
      <c r="DE56" s="224">
        <f t="shared" si="86"/>
        <v>0</v>
      </c>
      <c r="DF56" s="221">
        <f t="shared" ref="DF56:DR56" si="87">IFERROR(+AF56/CF56,0)</f>
        <v>0</v>
      </c>
      <c r="DG56" s="222">
        <f t="shared" si="87"/>
        <v>0</v>
      </c>
      <c r="DH56" s="222">
        <f t="shared" si="87"/>
        <v>0</v>
      </c>
      <c r="DI56" s="222">
        <f t="shared" si="87"/>
        <v>0</v>
      </c>
      <c r="DJ56" s="222">
        <f t="shared" si="87"/>
        <v>0</v>
      </c>
      <c r="DK56" s="222">
        <f t="shared" si="87"/>
        <v>0</v>
      </c>
      <c r="DL56" s="222">
        <f t="shared" si="87"/>
        <v>0</v>
      </c>
      <c r="DM56" s="222">
        <f t="shared" si="87"/>
        <v>0</v>
      </c>
      <c r="DN56" s="222">
        <f t="shared" si="87"/>
        <v>0</v>
      </c>
      <c r="DO56" s="222">
        <f t="shared" si="87"/>
        <v>0</v>
      </c>
      <c r="DP56" s="222">
        <f t="shared" si="87"/>
        <v>0</v>
      </c>
      <c r="DQ56" s="222">
        <f t="shared" si="87"/>
        <v>0</v>
      </c>
      <c r="DR56" s="223">
        <f t="shared" si="87"/>
        <v>0</v>
      </c>
      <c r="DS56" s="99"/>
      <c r="DT56" s="97"/>
      <c r="DU56" s="97"/>
      <c r="DV56" s="97"/>
      <c r="DW56" s="97"/>
      <c r="DX56" s="97"/>
      <c r="DY56" s="97"/>
      <c r="DZ56" s="97"/>
      <c r="EA56" s="97"/>
      <c r="EB56" s="97"/>
      <c r="EC56" s="97"/>
      <c r="ED56" s="97"/>
      <c r="EE56" s="100"/>
      <c r="EF56" s="99"/>
      <c r="EG56" s="97"/>
      <c r="EH56" s="97"/>
      <c r="EI56" s="97"/>
      <c r="EJ56" s="97"/>
      <c r="EK56" s="97"/>
      <c r="EL56" s="97"/>
      <c r="EM56" s="97"/>
      <c r="EN56" s="97"/>
      <c r="EO56" s="97"/>
      <c r="EP56" s="97"/>
      <c r="EQ56" s="97"/>
      <c r="ER56" s="100"/>
      <c r="ES56" s="99"/>
      <c r="ET56" s="97"/>
      <c r="EU56" s="97"/>
      <c r="EV56" s="97"/>
      <c r="EW56" s="97"/>
      <c r="EX56" s="97"/>
      <c r="EY56" s="97"/>
      <c r="EZ56" s="97"/>
      <c r="FA56" s="97"/>
      <c r="FB56" s="97"/>
      <c r="FC56" s="97"/>
      <c r="FD56" s="97"/>
      <c r="FE56" s="100"/>
      <c r="FF56" s="99"/>
      <c r="FG56" s="97"/>
      <c r="FH56" s="97"/>
      <c r="FI56" s="97"/>
      <c r="FJ56" s="97"/>
      <c r="FK56" s="97"/>
      <c r="FL56" s="97"/>
      <c r="FM56" s="97"/>
      <c r="FN56" s="97"/>
      <c r="FO56" s="97"/>
      <c r="FP56" s="97"/>
      <c r="FQ56" s="97"/>
      <c r="FR56" s="100"/>
    </row>
    <row r="57" spans="1:174" ht="15.6" x14ac:dyDescent="0.3">
      <c r="A57" s="113"/>
      <c r="B57" s="114"/>
      <c r="D57" s="114"/>
      <c r="F57" s="165"/>
      <c r="G57" s="165"/>
      <c r="H57" s="165"/>
      <c r="I57" s="165"/>
      <c r="J57" s="165"/>
      <c r="K57" s="165"/>
      <c r="L57" s="165"/>
      <c r="M57" s="165"/>
      <c r="N57" s="165"/>
      <c r="O57" s="165"/>
      <c r="P57" s="165"/>
      <c r="Q57" s="165"/>
      <c r="R57" s="165"/>
      <c r="S57" s="215"/>
      <c r="T57" s="165"/>
      <c r="U57" s="165"/>
      <c r="V57" s="165"/>
      <c r="W57" s="165"/>
      <c r="X57" s="165"/>
      <c r="Y57" s="165"/>
      <c r="Z57" s="165"/>
      <c r="AA57" s="165"/>
      <c r="AB57" s="165"/>
      <c r="AC57" s="165"/>
      <c r="AD57" s="165"/>
      <c r="AE57" s="216"/>
      <c r="AF57" s="215"/>
      <c r="AG57" s="165"/>
      <c r="AH57" s="165"/>
      <c r="AI57" s="165"/>
      <c r="AJ57" s="165"/>
      <c r="AK57" s="165"/>
      <c r="AL57" s="165"/>
      <c r="AM57" s="165"/>
      <c r="AN57" s="165"/>
      <c r="AO57" s="165"/>
      <c r="AP57" s="165"/>
      <c r="AQ57" s="165"/>
      <c r="AR57" s="216"/>
      <c r="AS57" s="165"/>
      <c r="AT57" s="165"/>
      <c r="AU57" s="165"/>
      <c r="AV57" s="165"/>
      <c r="AW57" s="165"/>
      <c r="AX57" s="165"/>
      <c r="AY57" s="165"/>
      <c r="AZ57" s="165"/>
      <c r="BA57" s="165"/>
      <c r="BB57" s="165"/>
      <c r="BC57" s="165"/>
      <c r="BD57" s="165"/>
      <c r="BE57" s="165"/>
      <c r="BF57" s="215"/>
      <c r="BG57" s="165"/>
      <c r="BH57" s="165"/>
      <c r="BI57" s="165"/>
      <c r="BJ57" s="165"/>
      <c r="BK57" s="165"/>
      <c r="BL57" s="165"/>
      <c r="BM57" s="165"/>
      <c r="BN57" s="165"/>
      <c r="BO57" s="165"/>
      <c r="BP57" s="165"/>
      <c r="BQ57" s="165"/>
      <c r="BR57" s="216"/>
      <c r="BS57" s="165"/>
      <c r="BT57" s="165"/>
      <c r="BU57" s="165"/>
      <c r="BV57" s="165"/>
      <c r="BW57" s="165"/>
      <c r="BX57" s="165"/>
      <c r="BY57" s="165"/>
      <c r="BZ57" s="165"/>
      <c r="CA57" s="165"/>
      <c r="CB57" s="165"/>
      <c r="CC57" s="165"/>
      <c r="CD57" s="165"/>
      <c r="CE57" s="165"/>
      <c r="CF57" s="215"/>
      <c r="CG57" s="165"/>
      <c r="CH57" s="165"/>
      <c r="CI57" s="165"/>
      <c r="CJ57" s="165"/>
      <c r="CK57" s="165"/>
      <c r="CL57" s="165"/>
      <c r="CM57" s="165"/>
      <c r="CN57" s="165"/>
      <c r="CO57" s="165"/>
      <c r="CP57" s="165"/>
      <c r="CQ57" s="165"/>
      <c r="CR57" s="216"/>
      <c r="CS57" s="215"/>
      <c r="CT57" s="165"/>
      <c r="CU57" s="165"/>
      <c r="CV57" s="165"/>
      <c r="CW57" s="165"/>
      <c r="CX57" s="165"/>
      <c r="CY57" s="165"/>
      <c r="CZ57" s="165"/>
      <c r="DA57" s="165"/>
      <c r="DB57" s="165"/>
      <c r="DC57" s="165"/>
      <c r="DD57" s="165"/>
      <c r="DE57" s="216"/>
      <c r="DF57" s="17"/>
      <c r="DG57" s="18"/>
      <c r="DH57" s="18"/>
      <c r="DI57" s="18"/>
      <c r="DJ57" s="18"/>
      <c r="DK57" s="18"/>
      <c r="DL57" s="18"/>
      <c r="DM57" s="18"/>
      <c r="DN57" s="18"/>
      <c r="DO57" s="18"/>
      <c r="DP57" s="18"/>
      <c r="DQ57" s="18"/>
      <c r="DR57" s="217"/>
      <c r="EE57" s="115"/>
      <c r="ER57" s="115"/>
      <c r="FE57" s="115"/>
      <c r="FR57" s="115"/>
    </row>
    <row r="58" spans="1:174" ht="15.6" x14ac:dyDescent="0.3">
      <c r="A58" s="113"/>
      <c r="B58" s="114"/>
      <c r="D58" s="114"/>
      <c r="F58" s="165"/>
      <c r="G58" s="165"/>
      <c r="H58" s="165"/>
      <c r="I58" s="165"/>
      <c r="J58" s="165"/>
      <c r="K58" s="165"/>
      <c r="L58" s="165"/>
      <c r="M58" s="165"/>
      <c r="N58" s="165"/>
      <c r="O58" s="165"/>
      <c r="P58" s="165"/>
      <c r="Q58" s="165"/>
      <c r="R58" s="165"/>
      <c r="S58" s="215"/>
      <c r="T58" s="165"/>
      <c r="U58" s="165"/>
      <c r="V58" s="165"/>
      <c r="W58" s="165"/>
      <c r="X58" s="165"/>
      <c r="Y58" s="165"/>
      <c r="Z58" s="165"/>
      <c r="AA58" s="165"/>
      <c r="AB58" s="165"/>
      <c r="AC58" s="165"/>
      <c r="AD58" s="165"/>
      <c r="AE58" s="216"/>
      <c r="AF58" s="215"/>
      <c r="AG58" s="165"/>
      <c r="AH58" s="165"/>
      <c r="AI58" s="165"/>
      <c r="AJ58" s="165"/>
      <c r="AK58" s="165"/>
      <c r="AL58" s="165"/>
      <c r="AM58" s="165"/>
      <c r="AN58" s="165"/>
      <c r="AO58" s="165"/>
      <c r="AP58" s="165"/>
      <c r="AQ58" s="165"/>
      <c r="AR58" s="216"/>
      <c r="AS58" s="165"/>
      <c r="AT58" s="165"/>
      <c r="AU58" s="165"/>
      <c r="AV58" s="165"/>
      <c r="AW58" s="165"/>
      <c r="AX58" s="165"/>
      <c r="AY58" s="165"/>
      <c r="AZ58" s="165"/>
      <c r="BA58" s="165"/>
      <c r="BB58" s="165"/>
      <c r="BC58" s="165"/>
      <c r="BD58" s="165"/>
      <c r="BE58" s="165"/>
      <c r="BF58" s="215"/>
      <c r="BG58" s="165"/>
      <c r="BH58" s="165"/>
      <c r="BI58" s="165"/>
      <c r="BJ58" s="165"/>
      <c r="BK58" s="165"/>
      <c r="BL58" s="165"/>
      <c r="BM58" s="165"/>
      <c r="BN58" s="165"/>
      <c r="BO58" s="165"/>
      <c r="BP58" s="165"/>
      <c r="BQ58" s="165"/>
      <c r="BR58" s="216"/>
      <c r="BS58" s="165"/>
      <c r="BT58" s="165"/>
      <c r="BU58" s="165"/>
      <c r="BV58" s="165"/>
      <c r="BW58" s="165"/>
      <c r="BX58" s="165"/>
      <c r="BY58" s="165"/>
      <c r="BZ58" s="165"/>
      <c r="CA58" s="165"/>
      <c r="CB58" s="165"/>
      <c r="CC58" s="165"/>
      <c r="CD58" s="165"/>
      <c r="CE58" s="165"/>
      <c r="CF58" s="215"/>
      <c r="CG58" s="165"/>
      <c r="CH58" s="165"/>
      <c r="CI58" s="165"/>
      <c r="CJ58" s="165"/>
      <c r="CK58" s="165"/>
      <c r="CL58" s="165"/>
      <c r="CM58" s="165"/>
      <c r="CN58" s="165"/>
      <c r="CO58" s="165"/>
      <c r="CP58" s="165"/>
      <c r="CQ58" s="165"/>
      <c r="CR58" s="216"/>
      <c r="CS58" s="215"/>
      <c r="CT58" s="165"/>
      <c r="CU58" s="165"/>
      <c r="CV58" s="165"/>
      <c r="CW58" s="165"/>
      <c r="CX58" s="165"/>
      <c r="CY58" s="165"/>
      <c r="CZ58" s="165"/>
      <c r="DA58" s="165"/>
      <c r="DB58" s="165"/>
      <c r="DC58" s="165"/>
      <c r="DD58" s="165"/>
      <c r="DE58" s="216"/>
      <c r="DF58" s="17"/>
      <c r="DG58" s="18"/>
      <c r="DH58" s="18"/>
      <c r="DI58" s="18"/>
      <c r="DJ58" s="18"/>
      <c r="DK58" s="18"/>
      <c r="DL58" s="18"/>
      <c r="DM58" s="18"/>
      <c r="DN58" s="18"/>
      <c r="DO58" s="18"/>
      <c r="DP58" s="18"/>
      <c r="DQ58" s="18"/>
      <c r="DR58" s="217"/>
      <c r="DS58" s="20"/>
      <c r="DT58" s="21"/>
      <c r="DU58" s="21"/>
      <c r="DV58" s="21"/>
      <c r="DW58" s="21"/>
      <c r="DX58" s="21"/>
      <c r="EE58" s="13"/>
      <c r="EF58" s="20"/>
      <c r="EG58" s="21"/>
      <c r="EH58" s="21"/>
      <c r="EI58" s="21"/>
      <c r="EJ58" s="21"/>
      <c r="EK58" s="21"/>
      <c r="ER58" s="13"/>
      <c r="ES58" s="20"/>
      <c r="ET58" s="21"/>
      <c r="EU58" s="21"/>
      <c r="EV58" s="21"/>
      <c r="EW58" s="21"/>
      <c r="EX58" s="21"/>
      <c r="FE58" s="13"/>
      <c r="FF58" s="20"/>
      <c r="FG58" s="21"/>
      <c r="FH58" s="21"/>
      <c r="FI58" s="21"/>
      <c r="FJ58" s="21"/>
      <c r="FK58" s="21"/>
      <c r="FR58" s="13"/>
    </row>
    <row r="59" spans="1:174" ht="15.6" x14ac:dyDescent="0.3">
      <c r="A59" s="113"/>
      <c r="B59" s="114"/>
      <c r="D59" s="114"/>
      <c r="F59" s="165"/>
      <c r="G59" s="165"/>
      <c r="H59" s="165"/>
      <c r="I59" s="165"/>
      <c r="J59" s="165"/>
      <c r="K59" s="165"/>
      <c r="L59" s="165"/>
      <c r="M59" s="165"/>
      <c r="N59" s="165"/>
      <c r="O59" s="165"/>
      <c r="P59" s="165"/>
      <c r="Q59" s="165"/>
      <c r="R59" s="165"/>
      <c r="S59" s="215"/>
      <c r="T59" s="165"/>
      <c r="U59" s="165"/>
      <c r="V59" s="165"/>
      <c r="W59" s="165"/>
      <c r="X59" s="165"/>
      <c r="Y59" s="165"/>
      <c r="Z59" s="165"/>
      <c r="AA59" s="165"/>
      <c r="AB59" s="165"/>
      <c r="AC59" s="165"/>
      <c r="AD59" s="165"/>
      <c r="AE59" s="216"/>
      <c r="AF59" s="215"/>
      <c r="AG59" s="165"/>
      <c r="AH59" s="165"/>
      <c r="AI59" s="165"/>
      <c r="AJ59" s="165"/>
      <c r="AK59" s="165"/>
      <c r="AL59" s="165"/>
      <c r="AM59" s="165"/>
      <c r="AN59" s="165"/>
      <c r="AO59" s="165"/>
      <c r="AP59" s="165"/>
      <c r="AQ59" s="165"/>
      <c r="AR59" s="216"/>
      <c r="AS59" s="165"/>
      <c r="AT59" s="165"/>
      <c r="AU59" s="165"/>
      <c r="AV59" s="165"/>
      <c r="AW59" s="165"/>
      <c r="AX59" s="165"/>
      <c r="AY59" s="165"/>
      <c r="AZ59" s="165"/>
      <c r="BA59" s="165"/>
      <c r="BB59" s="165"/>
      <c r="BC59" s="165"/>
      <c r="BD59" s="165"/>
      <c r="BE59" s="165"/>
      <c r="BF59" s="215"/>
      <c r="BG59" s="165"/>
      <c r="BH59" s="165"/>
      <c r="BI59" s="165"/>
      <c r="BJ59" s="165"/>
      <c r="BK59" s="165"/>
      <c r="BL59" s="165"/>
      <c r="BM59" s="165"/>
      <c r="BN59" s="165"/>
      <c r="BO59" s="165"/>
      <c r="BP59" s="165"/>
      <c r="BQ59" s="165"/>
      <c r="BR59" s="216"/>
      <c r="BS59" s="165"/>
      <c r="BT59" s="165"/>
      <c r="BU59" s="165"/>
      <c r="BV59" s="165"/>
      <c r="BW59" s="165"/>
      <c r="BX59" s="165"/>
      <c r="BY59" s="165"/>
      <c r="BZ59" s="165"/>
      <c r="CA59" s="165"/>
      <c r="CB59" s="165"/>
      <c r="CC59" s="165"/>
      <c r="CD59" s="165"/>
      <c r="CE59" s="165"/>
      <c r="CF59" s="215"/>
      <c r="CG59" s="165"/>
      <c r="CH59" s="165"/>
      <c r="CI59" s="165"/>
      <c r="CJ59" s="165"/>
      <c r="CK59" s="165"/>
      <c r="CL59" s="165"/>
      <c r="CM59" s="165"/>
      <c r="CN59" s="165"/>
      <c r="CO59" s="165"/>
      <c r="CP59" s="165"/>
      <c r="CQ59" s="165"/>
      <c r="CR59" s="216"/>
      <c r="CS59" s="215"/>
      <c r="CT59" s="165"/>
      <c r="CU59" s="165"/>
      <c r="CV59" s="165"/>
      <c r="CW59" s="165"/>
      <c r="CX59" s="165"/>
      <c r="CY59" s="165"/>
      <c r="CZ59" s="165"/>
      <c r="DA59" s="165"/>
      <c r="DB59" s="165"/>
      <c r="DC59" s="165"/>
      <c r="DD59" s="165"/>
      <c r="DE59" s="216"/>
      <c r="DF59" s="17"/>
      <c r="DG59" s="18"/>
      <c r="DH59" s="18"/>
      <c r="DI59" s="18"/>
      <c r="DJ59" s="18"/>
      <c r="DK59" s="18"/>
      <c r="DL59" s="18"/>
      <c r="DM59" s="18"/>
      <c r="DN59" s="18"/>
      <c r="DO59" s="18"/>
      <c r="DP59" s="18"/>
      <c r="DQ59" s="18"/>
      <c r="DR59" s="217"/>
      <c r="DS59" s="20"/>
      <c r="DT59" s="21"/>
      <c r="DU59" s="21"/>
      <c r="DV59" s="21"/>
      <c r="DW59" s="21"/>
      <c r="DX59" s="21"/>
      <c r="EE59" s="13"/>
      <c r="EF59" s="20"/>
      <c r="EG59" s="21"/>
      <c r="EH59" s="21"/>
      <c r="EI59" s="21"/>
      <c r="EJ59" s="21"/>
      <c r="EK59" s="21"/>
      <c r="ER59" s="13"/>
      <c r="ES59" s="20"/>
      <c r="ET59" s="21"/>
      <c r="EU59" s="21"/>
      <c r="EV59" s="21"/>
      <c r="EW59" s="21"/>
      <c r="EX59" s="21"/>
      <c r="FE59" s="13"/>
      <c r="FF59" s="20"/>
      <c r="FG59" s="21"/>
      <c r="FH59" s="21"/>
      <c r="FI59" s="21"/>
      <c r="FJ59" s="21"/>
      <c r="FK59" s="21"/>
      <c r="FR59" s="13"/>
    </row>
    <row r="60" spans="1:174" ht="15.6" x14ac:dyDescent="0.3">
      <c r="A60" s="113"/>
      <c r="B60" s="114"/>
      <c r="D60" s="114"/>
      <c r="F60" s="165"/>
      <c r="G60" s="165"/>
      <c r="H60" s="165"/>
      <c r="I60" s="165"/>
      <c r="J60" s="165"/>
      <c r="K60" s="165"/>
      <c r="L60" s="165"/>
      <c r="M60" s="165"/>
      <c r="N60" s="165"/>
      <c r="O60" s="165"/>
      <c r="P60" s="165"/>
      <c r="Q60" s="165"/>
      <c r="R60" s="165"/>
      <c r="S60" s="215"/>
      <c r="T60" s="165"/>
      <c r="U60" s="165"/>
      <c r="V60" s="165"/>
      <c r="W60" s="165"/>
      <c r="X60" s="165"/>
      <c r="Y60" s="165"/>
      <c r="Z60" s="165"/>
      <c r="AA60" s="165"/>
      <c r="AB60" s="165"/>
      <c r="AC60" s="165"/>
      <c r="AD60" s="165"/>
      <c r="AE60" s="216"/>
      <c r="AF60" s="215"/>
      <c r="AG60" s="165"/>
      <c r="AH60" s="165"/>
      <c r="AI60" s="165"/>
      <c r="AJ60" s="165"/>
      <c r="AK60" s="165"/>
      <c r="AL60" s="165"/>
      <c r="AM60" s="165"/>
      <c r="AN60" s="165"/>
      <c r="AO60" s="165"/>
      <c r="AP60" s="165"/>
      <c r="AQ60" s="165"/>
      <c r="AR60" s="216"/>
      <c r="AS60" s="165"/>
      <c r="AT60" s="165"/>
      <c r="AU60" s="165"/>
      <c r="AV60" s="165"/>
      <c r="AW60" s="165"/>
      <c r="AX60" s="165"/>
      <c r="AY60" s="165"/>
      <c r="AZ60" s="165"/>
      <c r="BA60" s="165"/>
      <c r="BB60" s="165"/>
      <c r="BC60" s="165"/>
      <c r="BD60" s="165"/>
      <c r="BE60" s="165"/>
      <c r="BF60" s="215"/>
      <c r="BG60" s="165"/>
      <c r="BH60" s="165"/>
      <c r="BI60" s="165"/>
      <c r="BJ60" s="165"/>
      <c r="BK60" s="165"/>
      <c r="BL60" s="165"/>
      <c r="BM60" s="165"/>
      <c r="BN60" s="165"/>
      <c r="BO60" s="165"/>
      <c r="BP60" s="165"/>
      <c r="BQ60" s="165"/>
      <c r="BR60" s="216"/>
      <c r="BS60" s="165"/>
      <c r="BT60" s="165"/>
      <c r="BU60" s="165"/>
      <c r="BV60" s="165"/>
      <c r="BW60" s="165"/>
      <c r="BX60" s="165"/>
      <c r="BY60" s="165"/>
      <c r="BZ60" s="165"/>
      <c r="CA60" s="165"/>
      <c r="CB60" s="165"/>
      <c r="CC60" s="165"/>
      <c r="CD60" s="165"/>
      <c r="CE60" s="165"/>
      <c r="CF60" s="215"/>
      <c r="CG60" s="165"/>
      <c r="CH60" s="165"/>
      <c r="CI60" s="165"/>
      <c r="CJ60" s="165"/>
      <c r="CK60" s="165"/>
      <c r="CL60" s="165"/>
      <c r="CM60" s="165"/>
      <c r="CN60" s="165"/>
      <c r="CO60" s="165"/>
      <c r="CP60" s="165"/>
      <c r="CQ60" s="165"/>
      <c r="CR60" s="216"/>
      <c r="CS60" s="215"/>
      <c r="CT60" s="165"/>
      <c r="CU60" s="165"/>
      <c r="CV60" s="165"/>
      <c r="CW60" s="165"/>
      <c r="CX60" s="165"/>
      <c r="CY60" s="165"/>
      <c r="CZ60" s="165"/>
      <c r="DA60" s="165"/>
      <c r="DB60" s="165"/>
      <c r="DC60" s="165"/>
      <c r="DD60" s="165"/>
      <c r="DE60" s="216"/>
      <c r="DF60" s="17"/>
      <c r="DG60" s="18"/>
      <c r="DH60" s="18"/>
      <c r="DI60" s="18"/>
      <c r="DJ60" s="18"/>
      <c r="DK60" s="18"/>
      <c r="DL60" s="18"/>
      <c r="DM60" s="18"/>
      <c r="DN60" s="18"/>
      <c r="DO60" s="18"/>
      <c r="DP60" s="18"/>
      <c r="DQ60" s="18"/>
      <c r="DR60" s="217"/>
      <c r="DS60" s="20"/>
      <c r="DT60" s="21"/>
      <c r="DU60" s="21"/>
      <c r="DV60" s="21"/>
      <c r="DW60" s="21"/>
      <c r="DX60" s="21"/>
      <c r="EE60" s="13"/>
      <c r="EF60" s="20"/>
      <c r="EG60" s="21"/>
      <c r="EH60" s="21"/>
      <c r="EI60" s="21"/>
      <c r="EJ60" s="21"/>
      <c r="EK60" s="21"/>
      <c r="ER60" s="13"/>
      <c r="ES60" s="20"/>
      <c r="ET60" s="21"/>
      <c r="EU60" s="21"/>
      <c r="EV60" s="21"/>
      <c r="EW60" s="21"/>
      <c r="EX60" s="21"/>
      <c r="FE60" s="13"/>
      <c r="FF60" s="20"/>
      <c r="FG60" s="21"/>
      <c r="FH60" s="21"/>
      <c r="FI60" s="21"/>
      <c r="FJ60" s="21"/>
      <c r="FK60" s="21"/>
      <c r="FR60" s="13"/>
    </row>
    <row r="61" spans="1:174" ht="15.6" x14ac:dyDescent="0.3">
      <c r="A61" s="113"/>
      <c r="B61" s="114"/>
      <c r="D61" s="114"/>
      <c r="F61" s="165"/>
      <c r="G61" s="165"/>
      <c r="H61" s="165"/>
      <c r="I61" s="165"/>
      <c r="J61" s="165"/>
      <c r="K61" s="165"/>
      <c r="L61" s="165"/>
      <c r="M61" s="165"/>
      <c r="N61" s="165"/>
      <c r="O61" s="165"/>
      <c r="P61" s="165"/>
      <c r="Q61" s="165"/>
      <c r="R61" s="165"/>
      <c r="S61" s="215"/>
      <c r="T61" s="165"/>
      <c r="U61" s="165"/>
      <c r="V61" s="165"/>
      <c r="W61" s="165"/>
      <c r="X61" s="165"/>
      <c r="Y61" s="165"/>
      <c r="Z61" s="165"/>
      <c r="AA61" s="165"/>
      <c r="AB61" s="165"/>
      <c r="AC61" s="165"/>
      <c r="AD61" s="165"/>
      <c r="AE61" s="216"/>
      <c r="AF61" s="215"/>
      <c r="AG61" s="165"/>
      <c r="AH61" s="165"/>
      <c r="AI61" s="165"/>
      <c r="AJ61" s="165"/>
      <c r="AK61" s="165"/>
      <c r="AL61" s="165"/>
      <c r="AM61" s="165"/>
      <c r="AN61" s="165"/>
      <c r="AO61" s="165"/>
      <c r="AP61" s="165"/>
      <c r="AQ61" s="165"/>
      <c r="AR61" s="216"/>
      <c r="AS61" s="165"/>
      <c r="AT61" s="165"/>
      <c r="AU61" s="165"/>
      <c r="AV61" s="165"/>
      <c r="AW61" s="165"/>
      <c r="AX61" s="165"/>
      <c r="AY61" s="165"/>
      <c r="AZ61" s="165"/>
      <c r="BA61" s="165"/>
      <c r="BB61" s="165"/>
      <c r="BC61" s="165"/>
      <c r="BD61" s="165"/>
      <c r="BE61" s="165"/>
      <c r="BF61" s="215"/>
      <c r="BG61" s="165"/>
      <c r="BH61" s="165"/>
      <c r="BI61" s="165"/>
      <c r="BJ61" s="165"/>
      <c r="BK61" s="165"/>
      <c r="BL61" s="165"/>
      <c r="BM61" s="165"/>
      <c r="BN61" s="165"/>
      <c r="BO61" s="165"/>
      <c r="BP61" s="165"/>
      <c r="BQ61" s="165"/>
      <c r="BR61" s="216"/>
      <c r="BS61" s="165"/>
      <c r="BT61" s="165"/>
      <c r="BU61" s="165"/>
      <c r="BV61" s="165"/>
      <c r="BW61" s="165"/>
      <c r="BX61" s="165"/>
      <c r="BY61" s="165"/>
      <c r="BZ61" s="165"/>
      <c r="CA61" s="165"/>
      <c r="CB61" s="165"/>
      <c r="CC61" s="165"/>
      <c r="CD61" s="165"/>
      <c r="CE61" s="165"/>
      <c r="CF61" s="215"/>
      <c r="CG61" s="165"/>
      <c r="CH61" s="165"/>
      <c r="CI61" s="165"/>
      <c r="CJ61" s="165"/>
      <c r="CK61" s="165"/>
      <c r="CL61" s="165"/>
      <c r="CM61" s="165"/>
      <c r="CN61" s="165"/>
      <c r="CO61" s="165"/>
      <c r="CP61" s="165"/>
      <c r="CQ61" s="165"/>
      <c r="CR61" s="216"/>
      <c r="CS61" s="215"/>
      <c r="CT61" s="165"/>
      <c r="CU61" s="165"/>
      <c r="CV61" s="165"/>
      <c r="CW61" s="165"/>
      <c r="CX61" s="165"/>
      <c r="CY61" s="165"/>
      <c r="CZ61" s="165"/>
      <c r="DA61" s="165"/>
      <c r="DB61" s="165"/>
      <c r="DC61" s="165"/>
      <c r="DD61" s="165"/>
      <c r="DE61" s="216"/>
      <c r="DF61" s="17"/>
      <c r="DG61" s="18"/>
      <c r="DH61" s="18"/>
      <c r="DI61" s="18"/>
      <c r="DJ61" s="18"/>
      <c r="DK61" s="18"/>
      <c r="DL61" s="18"/>
      <c r="DM61" s="18"/>
      <c r="DN61" s="18"/>
      <c r="DO61" s="18"/>
      <c r="DP61" s="18"/>
      <c r="DQ61" s="18"/>
      <c r="DR61" s="217"/>
      <c r="DS61" s="20"/>
      <c r="DT61" s="21"/>
      <c r="DU61" s="21"/>
      <c r="DV61" s="21"/>
      <c r="DW61" s="21"/>
      <c r="DX61" s="21"/>
      <c r="EE61" s="13"/>
      <c r="EF61" s="20"/>
      <c r="EG61" s="21"/>
      <c r="EH61" s="21"/>
      <c r="EI61" s="21"/>
      <c r="EJ61" s="21"/>
      <c r="EK61" s="21"/>
      <c r="ER61" s="13"/>
      <c r="ES61" s="20"/>
      <c r="ET61" s="21"/>
      <c r="EU61" s="21"/>
      <c r="EV61" s="21"/>
      <c r="EW61" s="21"/>
      <c r="EX61" s="21"/>
      <c r="FE61" s="13"/>
      <c r="FF61" s="20"/>
      <c r="FG61" s="21"/>
      <c r="FH61" s="21"/>
      <c r="FI61" s="21"/>
      <c r="FJ61" s="21"/>
      <c r="FK61" s="21"/>
      <c r="FR61" s="13"/>
    </row>
    <row r="62" spans="1:174" ht="15.6" x14ac:dyDescent="0.3">
      <c r="A62" s="113"/>
      <c r="B62" s="114"/>
      <c r="D62" s="114"/>
      <c r="F62" s="165"/>
      <c r="G62" s="165"/>
      <c r="H62" s="165"/>
      <c r="I62" s="165"/>
      <c r="J62" s="165"/>
      <c r="K62" s="165"/>
      <c r="L62" s="165"/>
      <c r="M62" s="165"/>
      <c r="N62" s="165"/>
      <c r="O62" s="165"/>
      <c r="P62" s="165"/>
      <c r="Q62" s="165"/>
      <c r="R62" s="165"/>
      <c r="S62" s="215"/>
      <c r="T62" s="165"/>
      <c r="U62" s="165"/>
      <c r="V62" s="165"/>
      <c r="W62" s="165"/>
      <c r="X62" s="165"/>
      <c r="Y62" s="165"/>
      <c r="Z62" s="165"/>
      <c r="AA62" s="165"/>
      <c r="AB62" s="165"/>
      <c r="AC62" s="165"/>
      <c r="AD62" s="165"/>
      <c r="AE62" s="216"/>
      <c r="AF62" s="215"/>
      <c r="AG62" s="165"/>
      <c r="AH62" s="165"/>
      <c r="AI62" s="165"/>
      <c r="AJ62" s="165"/>
      <c r="AK62" s="165"/>
      <c r="AL62" s="165"/>
      <c r="AM62" s="165"/>
      <c r="AN62" s="165"/>
      <c r="AO62" s="165"/>
      <c r="AP62" s="165"/>
      <c r="AQ62" s="165"/>
      <c r="AR62" s="216"/>
      <c r="AS62" s="165"/>
      <c r="AT62" s="165"/>
      <c r="AU62" s="165"/>
      <c r="AV62" s="165"/>
      <c r="AW62" s="165"/>
      <c r="AX62" s="165"/>
      <c r="AY62" s="165"/>
      <c r="AZ62" s="165"/>
      <c r="BA62" s="165"/>
      <c r="BB62" s="165"/>
      <c r="BC62" s="165"/>
      <c r="BD62" s="165"/>
      <c r="BE62" s="165"/>
      <c r="BF62" s="215"/>
      <c r="BG62" s="165"/>
      <c r="BH62" s="165"/>
      <c r="BI62" s="165"/>
      <c r="BJ62" s="165"/>
      <c r="BK62" s="165"/>
      <c r="BL62" s="165"/>
      <c r="BM62" s="165"/>
      <c r="BN62" s="165"/>
      <c r="BO62" s="165"/>
      <c r="BP62" s="165"/>
      <c r="BQ62" s="165"/>
      <c r="BR62" s="216"/>
      <c r="BS62" s="165"/>
      <c r="BT62" s="165"/>
      <c r="BU62" s="165"/>
      <c r="BV62" s="165"/>
      <c r="BW62" s="165"/>
      <c r="BX62" s="165"/>
      <c r="BY62" s="165"/>
      <c r="BZ62" s="165"/>
      <c r="CA62" s="165"/>
      <c r="CB62" s="165"/>
      <c r="CC62" s="165"/>
      <c r="CD62" s="165"/>
      <c r="CE62" s="165"/>
      <c r="CF62" s="215"/>
      <c r="CG62" s="165"/>
      <c r="CH62" s="165"/>
      <c r="CI62" s="165"/>
      <c r="CJ62" s="165"/>
      <c r="CK62" s="165"/>
      <c r="CL62" s="165"/>
      <c r="CM62" s="165"/>
      <c r="CN62" s="165"/>
      <c r="CO62" s="165"/>
      <c r="CP62" s="165"/>
      <c r="CQ62" s="165"/>
      <c r="CR62" s="216"/>
      <c r="CS62" s="215"/>
      <c r="CT62" s="165"/>
      <c r="CU62" s="165"/>
      <c r="CV62" s="165"/>
      <c r="CW62" s="165"/>
      <c r="CX62" s="165"/>
      <c r="CY62" s="165"/>
      <c r="CZ62" s="165"/>
      <c r="DA62" s="165"/>
      <c r="DB62" s="165"/>
      <c r="DC62" s="165"/>
      <c r="DD62" s="165"/>
      <c r="DE62" s="216"/>
      <c r="DF62" s="17"/>
      <c r="DG62" s="18"/>
      <c r="DH62" s="18"/>
      <c r="DI62" s="18"/>
      <c r="DJ62" s="18"/>
      <c r="DK62" s="18"/>
      <c r="DL62" s="18"/>
      <c r="DM62" s="18"/>
      <c r="DN62" s="18"/>
      <c r="DO62" s="18"/>
      <c r="DP62" s="18"/>
      <c r="DQ62" s="18"/>
      <c r="DR62" s="217"/>
      <c r="DS62" s="20"/>
      <c r="DT62" s="21"/>
      <c r="DU62" s="21"/>
      <c r="DV62" s="21"/>
      <c r="DW62" s="21"/>
      <c r="DX62" s="21"/>
      <c r="EE62" s="13"/>
      <c r="EF62" s="20"/>
      <c r="EG62" s="21"/>
      <c r="EH62" s="21"/>
      <c r="EI62" s="21"/>
      <c r="EJ62" s="21"/>
      <c r="EK62" s="21"/>
      <c r="ER62" s="13"/>
      <c r="ES62" s="20"/>
      <c r="ET62" s="21"/>
      <c r="EU62" s="21"/>
      <c r="EV62" s="21"/>
      <c r="EW62" s="21"/>
      <c r="EX62" s="21"/>
      <c r="FE62" s="13"/>
      <c r="FF62" s="20"/>
      <c r="FG62" s="21"/>
      <c r="FH62" s="21"/>
      <c r="FI62" s="21"/>
      <c r="FJ62" s="21"/>
      <c r="FK62" s="21"/>
      <c r="FR62" s="13"/>
    </row>
    <row r="63" spans="1:174" ht="15.6" x14ac:dyDescent="0.3">
      <c r="A63" s="113"/>
      <c r="B63" s="114"/>
      <c r="D63" s="114"/>
      <c r="F63" s="165"/>
      <c r="G63" s="165"/>
      <c r="H63" s="165"/>
      <c r="I63" s="165"/>
      <c r="J63" s="165"/>
      <c r="K63" s="165"/>
      <c r="L63" s="165"/>
      <c r="M63" s="165"/>
      <c r="N63" s="165"/>
      <c r="O63" s="165"/>
      <c r="P63" s="165"/>
      <c r="Q63" s="165"/>
      <c r="R63" s="165"/>
      <c r="S63" s="215"/>
      <c r="T63" s="165"/>
      <c r="U63" s="165"/>
      <c r="V63" s="165"/>
      <c r="W63" s="165"/>
      <c r="X63" s="165"/>
      <c r="Y63" s="165"/>
      <c r="Z63" s="165"/>
      <c r="AA63" s="165"/>
      <c r="AB63" s="165"/>
      <c r="AC63" s="165"/>
      <c r="AD63" s="165"/>
      <c r="AE63" s="216"/>
      <c r="AF63" s="215"/>
      <c r="AG63" s="165"/>
      <c r="AH63" s="165"/>
      <c r="AI63" s="165"/>
      <c r="AJ63" s="165"/>
      <c r="AK63" s="165"/>
      <c r="AL63" s="165"/>
      <c r="AM63" s="165"/>
      <c r="AN63" s="165"/>
      <c r="AO63" s="165"/>
      <c r="AP63" s="165"/>
      <c r="AQ63" s="165"/>
      <c r="AR63" s="216"/>
      <c r="AS63" s="165"/>
      <c r="AT63" s="165"/>
      <c r="AU63" s="165"/>
      <c r="AV63" s="165"/>
      <c r="AW63" s="165"/>
      <c r="AX63" s="165"/>
      <c r="AY63" s="165"/>
      <c r="AZ63" s="165"/>
      <c r="BA63" s="165"/>
      <c r="BB63" s="165"/>
      <c r="BC63" s="165"/>
      <c r="BD63" s="165"/>
      <c r="BE63" s="165"/>
      <c r="BF63" s="215"/>
      <c r="BG63" s="165"/>
      <c r="BH63" s="165"/>
      <c r="BI63" s="165"/>
      <c r="BJ63" s="165"/>
      <c r="BK63" s="165"/>
      <c r="BL63" s="165"/>
      <c r="BM63" s="165"/>
      <c r="BN63" s="165"/>
      <c r="BO63" s="165"/>
      <c r="BP63" s="165"/>
      <c r="BQ63" s="165"/>
      <c r="BR63" s="216"/>
      <c r="BS63" s="165"/>
      <c r="BT63" s="165"/>
      <c r="BU63" s="165"/>
      <c r="BV63" s="165"/>
      <c r="BW63" s="165"/>
      <c r="BX63" s="165"/>
      <c r="BY63" s="165"/>
      <c r="BZ63" s="165"/>
      <c r="CA63" s="165"/>
      <c r="CB63" s="165"/>
      <c r="CC63" s="165"/>
      <c r="CD63" s="165"/>
      <c r="CE63" s="165"/>
      <c r="CF63" s="215"/>
      <c r="CG63" s="165"/>
      <c r="CH63" s="165"/>
      <c r="CI63" s="165"/>
      <c r="CJ63" s="165"/>
      <c r="CK63" s="165"/>
      <c r="CL63" s="165"/>
      <c r="CM63" s="165"/>
      <c r="CN63" s="165"/>
      <c r="CO63" s="165"/>
      <c r="CP63" s="165"/>
      <c r="CQ63" s="165"/>
      <c r="CR63" s="216"/>
      <c r="CS63" s="215"/>
      <c r="CT63" s="165"/>
      <c r="CU63" s="165"/>
      <c r="CV63" s="165"/>
      <c r="CW63" s="165"/>
      <c r="CX63" s="165"/>
      <c r="CY63" s="165"/>
      <c r="CZ63" s="165"/>
      <c r="DA63" s="165"/>
      <c r="DB63" s="165"/>
      <c r="DC63" s="165"/>
      <c r="DD63" s="165"/>
      <c r="DE63" s="216"/>
      <c r="DF63" s="17"/>
      <c r="DG63" s="18"/>
      <c r="DH63" s="18"/>
      <c r="DI63" s="18"/>
      <c r="DJ63" s="18"/>
      <c r="DK63" s="18"/>
      <c r="DL63" s="18"/>
      <c r="DM63" s="18"/>
      <c r="DN63" s="18"/>
      <c r="DO63" s="18"/>
      <c r="DP63" s="18"/>
      <c r="DQ63" s="18"/>
      <c r="DR63" s="217"/>
      <c r="DS63" s="20"/>
      <c r="DT63" s="21"/>
      <c r="DU63" s="21"/>
      <c r="DV63" s="21"/>
      <c r="DW63" s="21"/>
      <c r="DX63" s="21"/>
      <c r="EE63" s="13"/>
      <c r="EF63" s="20"/>
      <c r="EG63" s="21"/>
      <c r="EH63" s="21"/>
      <c r="EI63" s="21"/>
      <c r="EJ63" s="21"/>
      <c r="EK63" s="21"/>
      <c r="ER63" s="13"/>
      <c r="ES63" s="20"/>
      <c r="ET63" s="21"/>
      <c r="EU63" s="21"/>
      <c r="EV63" s="21"/>
      <c r="EW63" s="21"/>
      <c r="EX63" s="21"/>
      <c r="FE63" s="13"/>
      <c r="FF63" s="20"/>
      <c r="FG63" s="21"/>
      <c r="FH63" s="21"/>
      <c r="FI63" s="21"/>
      <c r="FJ63" s="21"/>
      <c r="FK63" s="21"/>
      <c r="FR63" s="13"/>
    </row>
    <row r="64" spans="1:174" ht="15.6" x14ac:dyDescent="0.3">
      <c r="A64" s="113"/>
      <c r="B64" s="114"/>
      <c r="D64" s="114"/>
      <c r="F64" s="165"/>
      <c r="G64" s="165"/>
      <c r="H64" s="165"/>
      <c r="I64" s="165"/>
      <c r="J64" s="165"/>
      <c r="K64" s="165"/>
      <c r="L64" s="165"/>
      <c r="M64" s="165"/>
      <c r="N64" s="165"/>
      <c r="O64" s="165"/>
      <c r="P64" s="165"/>
      <c r="Q64" s="165"/>
      <c r="R64" s="165"/>
      <c r="S64" s="215"/>
      <c r="T64" s="165"/>
      <c r="U64" s="165"/>
      <c r="V64" s="165"/>
      <c r="W64" s="165"/>
      <c r="X64" s="165"/>
      <c r="Y64" s="165"/>
      <c r="Z64" s="165"/>
      <c r="AA64" s="165"/>
      <c r="AB64" s="165"/>
      <c r="AC64" s="165"/>
      <c r="AD64" s="165"/>
      <c r="AE64" s="216"/>
      <c r="AF64" s="215"/>
      <c r="AG64" s="165"/>
      <c r="AH64" s="165"/>
      <c r="AI64" s="165"/>
      <c r="AJ64" s="165"/>
      <c r="AK64" s="165"/>
      <c r="AL64" s="165"/>
      <c r="AM64" s="165"/>
      <c r="AN64" s="165"/>
      <c r="AO64" s="165"/>
      <c r="AP64" s="165"/>
      <c r="AQ64" s="165"/>
      <c r="AR64" s="216"/>
      <c r="AS64" s="165"/>
      <c r="AT64" s="165"/>
      <c r="AU64" s="165"/>
      <c r="AV64" s="165"/>
      <c r="AW64" s="165"/>
      <c r="AX64" s="165"/>
      <c r="AY64" s="165"/>
      <c r="AZ64" s="165"/>
      <c r="BA64" s="165"/>
      <c r="BB64" s="165"/>
      <c r="BC64" s="165"/>
      <c r="BD64" s="165"/>
      <c r="BE64" s="165"/>
      <c r="BF64" s="215"/>
      <c r="BG64" s="165"/>
      <c r="BH64" s="165"/>
      <c r="BI64" s="165"/>
      <c r="BJ64" s="165"/>
      <c r="BK64" s="165"/>
      <c r="BL64" s="165"/>
      <c r="BM64" s="165"/>
      <c r="BN64" s="165"/>
      <c r="BO64" s="165"/>
      <c r="BP64" s="165"/>
      <c r="BQ64" s="165"/>
      <c r="BR64" s="216"/>
      <c r="BS64" s="165"/>
      <c r="BT64" s="165"/>
      <c r="BU64" s="165"/>
      <c r="BV64" s="165"/>
      <c r="BW64" s="165"/>
      <c r="BX64" s="165"/>
      <c r="BY64" s="165"/>
      <c r="BZ64" s="165"/>
      <c r="CA64" s="165"/>
      <c r="CB64" s="165"/>
      <c r="CC64" s="165"/>
      <c r="CD64" s="165"/>
      <c r="CE64" s="165"/>
      <c r="CF64" s="215"/>
      <c r="CG64" s="165"/>
      <c r="CH64" s="165"/>
      <c r="CI64" s="165"/>
      <c r="CJ64" s="165"/>
      <c r="CK64" s="165"/>
      <c r="CL64" s="165"/>
      <c r="CM64" s="165"/>
      <c r="CN64" s="165"/>
      <c r="CO64" s="165"/>
      <c r="CP64" s="165"/>
      <c r="CQ64" s="165"/>
      <c r="CR64" s="216"/>
      <c r="CS64" s="215"/>
      <c r="CT64" s="165"/>
      <c r="CU64" s="165"/>
      <c r="CV64" s="165"/>
      <c r="CW64" s="165"/>
      <c r="CX64" s="165"/>
      <c r="CY64" s="165"/>
      <c r="CZ64" s="165"/>
      <c r="DA64" s="165"/>
      <c r="DB64" s="165"/>
      <c r="DC64" s="165"/>
      <c r="DD64" s="165"/>
      <c r="DE64" s="216"/>
      <c r="DF64" s="17"/>
      <c r="DG64" s="18"/>
      <c r="DH64" s="18"/>
      <c r="DI64" s="18"/>
      <c r="DJ64" s="18"/>
      <c r="DK64" s="18"/>
      <c r="DL64" s="18"/>
      <c r="DM64" s="18"/>
      <c r="DN64" s="18"/>
      <c r="DO64" s="18"/>
      <c r="DP64" s="18"/>
      <c r="DQ64" s="18"/>
      <c r="DR64" s="217"/>
      <c r="DS64" s="20"/>
      <c r="DT64" s="21"/>
      <c r="DU64" s="21"/>
      <c r="DV64" s="21"/>
      <c r="DW64" s="21"/>
      <c r="DX64" s="21"/>
      <c r="EE64" s="13"/>
      <c r="EF64" s="20"/>
      <c r="EG64" s="21"/>
      <c r="EH64" s="21"/>
      <c r="EI64" s="21"/>
      <c r="EJ64" s="21"/>
      <c r="EK64" s="21"/>
      <c r="ER64" s="13"/>
      <c r="ES64" s="20"/>
      <c r="ET64" s="21"/>
      <c r="EU64" s="21"/>
      <c r="EV64" s="21"/>
      <c r="EW64" s="21"/>
      <c r="EX64" s="21"/>
      <c r="FE64" s="13"/>
      <c r="FF64" s="20"/>
      <c r="FG64" s="21"/>
      <c r="FH64" s="21"/>
      <c r="FI64" s="21"/>
      <c r="FJ64" s="21"/>
      <c r="FK64" s="21"/>
      <c r="FR64" s="13"/>
    </row>
    <row r="65" spans="1:174" ht="15.6" x14ac:dyDescent="0.3">
      <c r="A65" s="113"/>
      <c r="B65" s="114"/>
      <c r="D65" s="114"/>
      <c r="F65" s="165"/>
      <c r="G65" s="165"/>
      <c r="H65" s="165"/>
      <c r="I65" s="165"/>
      <c r="J65" s="165"/>
      <c r="K65" s="165"/>
      <c r="L65" s="165"/>
      <c r="M65" s="165"/>
      <c r="N65" s="165"/>
      <c r="O65" s="165"/>
      <c r="P65" s="165"/>
      <c r="Q65" s="165"/>
      <c r="R65" s="165"/>
      <c r="S65" s="215"/>
      <c r="T65" s="165"/>
      <c r="U65" s="165"/>
      <c r="V65" s="165"/>
      <c r="W65" s="165"/>
      <c r="X65" s="165"/>
      <c r="Y65" s="165"/>
      <c r="Z65" s="165"/>
      <c r="AA65" s="165"/>
      <c r="AB65" s="165"/>
      <c r="AC65" s="165"/>
      <c r="AD65" s="165"/>
      <c r="AE65" s="216"/>
      <c r="AF65" s="215"/>
      <c r="AG65" s="165"/>
      <c r="AH65" s="165"/>
      <c r="AI65" s="165"/>
      <c r="AJ65" s="165"/>
      <c r="AK65" s="165"/>
      <c r="AL65" s="165"/>
      <c r="AM65" s="165"/>
      <c r="AN65" s="165"/>
      <c r="AO65" s="165"/>
      <c r="AP65" s="165"/>
      <c r="AQ65" s="165"/>
      <c r="AR65" s="216"/>
      <c r="AS65" s="165"/>
      <c r="AT65" s="165"/>
      <c r="AU65" s="165"/>
      <c r="AV65" s="165"/>
      <c r="AW65" s="165"/>
      <c r="AX65" s="165"/>
      <c r="AY65" s="165"/>
      <c r="AZ65" s="165"/>
      <c r="BA65" s="165"/>
      <c r="BB65" s="165"/>
      <c r="BC65" s="165"/>
      <c r="BD65" s="165"/>
      <c r="BE65" s="165"/>
      <c r="BF65" s="215"/>
      <c r="BG65" s="165"/>
      <c r="BH65" s="165"/>
      <c r="BI65" s="165"/>
      <c r="BJ65" s="165"/>
      <c r="BK65" s="165"/>
      <c r="BL65" s="165"/>
      <c r="BM65" s="165"/>
      <c r="BN65" s="165"/>
      <c r="BO65" s="165"/>
      <c r="BP65" s="165"/>
      <c r="BQ65" s="165"/>
      <c r="BR65" s="216"/>
      <c r="BS65" s="165"/>
      <c r="BT65" s="165"/>
      <c r="BU65" s="165"/>
      <c r="BV65" s="165"/>
      <c r="BW65" s="165"/>
      <c r="BX65" s="165"/>
      <c r="BY65" s="165"/>
      <c r="BZ65" s="165"/>
      <c r="CA65" s="165"/>
      <c r="CB65" s="165"/>
      <c r="CC65" s="165"/>
      <c r="CD65" s="165"/>
      <c r="CE65" s="165"/>
      <c r="CF65" s="215"/>
      <c r="CG65" s="165"/>
      <c r="CH65" s="165"/>
      <c r="CI65" s="165"/>
      <c r="CJ65" s="165"/>
      <c r="CK65" s="165"/>
      <c r="CL65" s="165"/>
      <c r="CM65" s="165"/>
      <c r="CN65" s="165"/>
      <c r="CO65" s="165"/>
      <c r="CP65" s="165"/>
      <c r="CQ65" s="165"/>
      <c r="CR65" s="216"/>
      <c r="CS65" s="215"/>
      <c r="CT65" s="165"/>
      <c r="CU65" s="165"/>
      <c r="CV65" s="165"/>
      <c r="CW65" s="165"/>
      <c r="CX65" s="165"/>
      <c r="CY65" s="165"/>
      <c r="CZ65" s="165"/>
      <c r="DA65" s="165"/>
      <c r="DB65" s="165"/>
      <c r="DC65" s="165"/>
      <c r="DD65" s="165"/>
      <c r="DE65" s="216"/>
      <c r="DF65" s="17"/>
      <c r="DG65" s="18"/>
      <c r="DH65" s="18"/>
      <c r="DI65" s="18"/>
      <c r="DJ65" s="18"/>
      <c r="DK65" s="18"/>
      <c r="DL65" s="18"/>
      <c r="DM65" s="18"/>
      <c r="DN65" s="18"/>
      <c r="DO65" s="18"/>
      <c r="DP65" s="18"/>
      <c r="DQ65" s="18"/>
      <c r="DR65" s="217"/>
      <c r="DS65" s="20"/>
      <c r="DT65" s="21"/>
      <c r="DU65" s="21"/>
      <c r="DV65" s="21"/>
      <c r="DW65" s="21"/>
      <c r="DX65" s="21"/>
      <c r="EE65" s="13"/>
      <c r="EF65" s="20"/>
      <c r="EG65" s="21"/>
      <c r="EH65" s="21"/>
      <c r="EI65" s="21"/>
      <c r="EJ65" s="21"/>
      <c r="EK65" s="21"/>
      <c r="ER65" s="13"/>
      <c r="ES65" s="20"/>
      <c r="ET65" s="21"/>
      <c r="EU65" s="21"/>
      <c r="EV65" s="21"/>
      <c r="EW65" s="21"/>
      <c r="EX65" s="21"/>
      <c r="FE65" s="13"/>
      <c r="FF65" s="20"/>
      <c r="FG65" s="21"/>
      <c r="FH65" s="21"/>
      <c r="FI65" s="21"/>
      <c r="FJ65" s="21"/>
      <c r="FK65" s="21"/>
      <c r="FR65" s="13"/>
    </row>
    <row r="66" spans="1:174" ht="15.6" x14ac:dyDescent="0.3">
      <c r="A66" s="113"/>
      <c r="B66" s="114"/>
      <c r="D66" s="114"/>
      <c r="F66" s="165"/>
      <c r="G66" s="165"/>
      <c r="H66" s="165"/>
      <c r="I66" s="165"/>
      <c r="J66" s="165"/>
      <c r="K66" s="165"/>
      <c r="L66" s="165"/>
      <c r="M66" s="165"/>
      <c r="N66" s="165"/>
      <c r="O66" s="165"/>
      <c r="P66" s="165"/>
      <c r="Q66" s="165"/>
      <c r="R66" s="165"/>
      <c r="S66" s="215"/>
      <c r="T66" s="165"/>
      <c r="U66" s="165"/>
      <c r="V66" s="165"/>
      <c r="W66" s="165"/>
      <c r="X66" s="165"/>
      <c r="Y66" s="165"/>
      <c r="Z66" s="165"/>
      <c r="AA66" s="165"/>
      <c r="AB66" s="165"/>
      <c r="AC66" s="165"/>
      <c r="AD66" s="165"/>
      <c r="AE66" s="216"/>
      <c r="AF66" s="215"/>
      <c r="AG66" s="165"/>
      <c r="AH66" s="165"/>
      <c r="AI66" s="165"/>
      <c r="AJ66" s="165"/>
      <c r="AK66" s="165"/>
      <c r="AL66" s="165"/>
      <c r="AM66" s="165"/>
      <c r="AN66" s="165"/>
      <c r="AO66" s="165"/>
      <c r="AP66" s="165"/>
      <c r="AQ66" s="165"/>
      <c r="AR66" s="216"/>
      <c r="AS66" s="165"/>
      <c r="AT66" s="165"/>
      <c r="AU66" s="165"/>
      <c r="AV66" s="165"/>
      <c r="AW66" s="165"/>
      <c r="AX66" s="165"/>
      <c r="AY66" s="165"/>
      <c r="AZ66" s="165"/>
      <c r="BA66" s="165"/>
      <c r="BB66" s="165"/>
      <c r="BC66" s="165"/>
      <c r="BD66" s="165"/>
      <c r="BE66" s="165"/>
      <c r="BF66" s="215"/>
      <c r="BG66" s="165"/>
      <c r="BH66" s="165"/>
      <c r="BI66" s="165"/>
      <c r="BJ66" s="165"/>
      <c r="BK66" s="165"/>
      <c r="BL66" s="165"/>
      <c r="BM66" s="165"/>
      <c r="BN66" s="165"/>
      <c r="BO66" s="165"/>
      <c r="BP66" s="165"/>
      <c r="BQ66" s="165"/>
      <c r="BR66" s="216"/>
      <c r="BS66" s="165"/>
      <c r="BT66" s="165"/>
      <c r="BU66" s="165"/>
      <c r="BV66" s="165"/>
      <c r="BW66" s="165"/>
      <c r="BX66" s="165"/>
      <c r="BY66" s="165"/>
      <c r="BZ66" s="165"/>
      <c r="CA66" s="165"/>
      <c r="CB66" s="165"/>
      <c r="CC66" s="165"/>
      <c r="CD66" s="165"/>
      <c r="CE66" s="165"/>
      <c r="CF66" s="215"/>
      <c r="CG66" s="165"/>
      <c r="CH66" s="165"/>
      <c r="CI66" s="165"/>
      <c r="CJ66" s="165"/>
      <c r="CK66" s="165"/>
      <c r="CL66" s="165"/>
      <c r="CM66" s="165"/>
      <c r="CN66" s="165"/>
      <c r="CO66" s="165"/>
      <c r="CP66" s="165"/>
      <c r="CQ66" s="165"/>
      <c r="CR66" s="216"/>
      <c r="CS66" s="215"/>
      <c r="CT66" s="165"/>
      <c r="CU66" s="165"/>
      <c r="CV66" s="165"/>
      <c r="CW66" s="165"/>
      <c r="CX66" s="165"/>
      <c r="CY66" s="165"/>
      <c r="CZ66" s="165"/>
      <c r="DA66" s="165"/>
      <c r="DB66" s="165"/>
      <c r="DC66" s="165"/>
      <c r="DD66" s="165"/>
      <c r="DE66" s="216"/>
      <c r="DF66" s="17"/>
      <c r="DG66" s="18"/>
      <c r="DH66" s="18"/>
      <c r="DI66" s="18"/>
      <c r="DJ66" s="18"/>
      <c r="DK66" s="18"/>
      <c r="DL66" s="18"/>
      <c r="DM66" s="18"/>
      <c r="DN66" s="18"/>
      <c r="DO66" s="18"/>
      <c r="DP66" s="18"/>
      <c r="DQ66" s="18"/>
      <c r="DR66" s="217"/>
      <c r="DS66" s="20"/>
      <c r="DT66" s="21"/>
      <c r="DU66" s="21"/>
      <c r="DV66" s="21"/>
      <c r="DW66" s="21"/>
      <c r="DX66" s="21"/>
      <c r="EE66" s="13"/>
      <c r="EF66" s="20"/>
      <c r="EG66" s="21"/>
      <c r="EH66" s="21"/>
      <c r="EI66" s="21"/>
      <c r="EJ66" s="21"/>
      <c r="EK66" s="21"/>
      <c r="ER66" s="13"/>
      <c r="ES66" s="20"/>
      <c r="ET66" s="21"/>
      <c r="EU66" s="21"/>
      <c r="EV66" s="21"/>
      <c r="EW66" s="21"/>
      <c r="EX66" s="21"/>
      <c r="FE66" s="13"/>
      <c r="FF66" s="20"/>
      <c r="FG66" s="21"/>
      <c r="FH66" s="21"/>
      <c r="FI66" s="21"/>
      <c r="FJ66" s="21"/>
      <c r="FK66" s="21"/>
      <c r="FR66" s="13"/>
    </row>
    <row r="67" spans="1:174" ht="15.6" x14ac:dyDescent="0.3">
      <c r="A67" s="113"/>
      <c r="B67" s="114"/>
      <c r="D67" s="114"/>
      <c r="F67" s="165"/>
      <c r="G67" s="165"/>
      <c r="H67" s="165"/>
      <c r="I67" s="165"/>
      <c r="J67" s="165"/>
      <c r="K67" s="165"/>
      <c r="L67" s="165"/>
      <c r="M67" s="165"/>
      <c r="N67" s="165"/>
      <c r="O67" s="165"/>
      <c r="P67" s="165"/>
      <c r="Q67" s="165"/>
      <c r="R67" s="165"/>
      <c r="S67" s="215"/>
      <c r="T67" s="165"/>
      <c r="U67" s="165"/>
      <c r="V67" s="165"/>
      <c r="W67" s="165"/>
      <c r="X67" s="165"/>
      <c r="Y67" s="165"/>
      <c r="Z67" s="165"/>
      <c r="AA67" s="165"/>
      <c r="AB67" s="165"/>
      <c r="AC67" s="165"/>
      <c r="AD67" s="165"/>
      <c r="AE67" s="216"/>
      <c r="AF67" s="215"/>
      <c r="AG67" s="165"/>
      <c r="AH67" s="165"/>
      <c r="AI67" s="165"/>
      <c r="AJ67" s="165"/>
      <c r="AK67" s="165"/>
      <c r="AL67" s="165"/>
      <c r="AM67" s="165"/>
      <c r="AN67" s="165"/>
      <c r="AO67" s="165"/>
      <c r="AP67" s="165"/>
      <c r="AQ67" s="165"/>
      <c r="AR67" s="216"/>
      <c r="AS67" s="165"/>
      <c r="AT67" s="165"/>
      <c r="AU67" s="165"/>
      <c r="AV67" s="165"/>
      <c r="AW67" s="165"/>
      <c r="AX67" s="165"/>
      <c r="AY67" s="165"/>
      <c r="AZ67" s="165"/>
      <c r="BA67" s="165"/>
      <c r="BB67" s="165"/>
      <c r="BC67" s="165"/>
      <c r="BD67" s="165"/>
      <c r="BE67" s="165"/>
      <c r="BF67" s="215"/>
      <c r="BG67" s="165"/>
      <c r="BH67" s="165"/>
      <c r="BI67" s="165"/>
      <c r="BJ67" s="165"/>
      <c r="BK67" s="165"/>
      <c r="BL67" s="165"/>
      <c r="BM67" s="165"/>
      <c r="BN67" s="165"/>
      <c r="BO67" s="165"/>
      <c r="BP67" s="165"/>
      <c r="BQ67" s="165"/>
      <c r="BR67" s="216"/>
      <c r="BS67" s="165"/>
      <c r="BT67" s="165"/>
      <c r="BU67" s="165"/>
      <c r="BV67" s="165"/>
      <c r="BW67" s="165"/>
      <c r="BX67" s="165"/>
      <c r="BY67" s="165"/>
      <c r="BZ67" s="165"/>
      <c r="CA67" s="165"/>
      <c r="CB67" s="165"/>
      <c r="CC67" s="165"/>
      <c r="CD67" s="165"/>
      <c r="CE67" s="165"/>
      <c r="CF67" s="215"/>
      <c r="CG67" s="165"/>
      <c r="CH67" s="165"/>
      <c r="CI67" s="165"/>
      <c r="CJ67" s="165"/>
      <c r="CK67" s="165"/>
      <c r="CL67" s="165"/>
      <c r="CM67" s="165"/>
      <c r="CN67" s="165"/>
      <c r="CO67" s="165"/>
      <c r="CP67" s="165"/>
      <c r="CQ67" s="165"/>
      <c r="CR67" s="216"/>
      <c r="CS67" s="215"/>
      <c r="CT67" s="165"/>
      <c r="CU67" s="165"/>
      <c r="CV67" s="165"/>
      <c r="CW67" s="165"/>
      <c r="CX67" s="165"/>
      <c r="CY67" s="165"/>
      <c r="CZ67" s="165"/>
      <c r="DA67" s="165"/>
      <c r="DB67" s="165"/>
      <c r="DC67" s="165"/>
      <c r="DD67" s="165"/>
      <c r="DE67" s="216"/>
      <c r="DF67" s="17"/>
      <c r="DG67" s="18"/>
      <c r="DH67" s="18"/>
      <c r="DI67" s="18"/>
      <c r="DJ67" s="18"/>
      <c r="DK67" s="18"/>
      <c r="DL67" s="18"/>
      <c r="DM67" s="18"/>
      <c r="DN67" s="18"/>
      <c r="DO67" s="18"/>
      <c r="DP67" s="18"/>
      <c r="DQ67" s="18"/>
      <c r="DR67" s="217"/>
      <c r="DS67" s="20"/>
      <c r="DT67" s="21"/>
      <c r="DU67" s="21"/>
      <c r="DV67" s="21"/>
      <c r="DW67" s="21"/>
      <c r="DX67" s="21"/>
      <c r="EE67" s="13"/>
      <c r="EF67" s="20"/>
      <c r="EG67" s="21"/>
      <c r="EH67" s="21"/>
      <c r="EI67" s="21"/>
      <c r="EJ67" s="21"/>
      <c r="EK67" s="21"/>
      <c r="ER67" s="13"/>
      <c r="ES67" s="20"/>
      <c r="ET67" s="21"/>
      <c r="EU67" s="21"/>
      <c r="EV67" s="21"/>
      <c r="EW67" s="21"/>
      <c r="EX67" s="21"/>
      <c r="FE67" s="13"/>
      <c r="FF67" s="20"/>
      <c r="FG67" s="21"/>
      <c r="FH67" s="21"/>
      <c r="FI67" s="21"/>
      <c r="FJ67" s="21"/>
      <c r="FK67" s="21"/>
      <c r="FR67" s="13"/>
    </row>
    <row r="68" spans="1:174" ht="15.6" x14ac:dyDescent="0.3">
      <c r="A68" s="113"/>
      <c r="B68" s="114"/>
      <c r="D68" s="114"/>
      <c r="F68" s="165"/>
      <c r="G68" s="165"/>
      <c r="H68" s="165"/>
      <c r="I68" s="165"/>
      <c r="J68" s="165"/>
      <c r="K68" s="165"/>
      <c r="L68" s="165"/>
      <c r="M68" s="165"/>
      <c r="N68" s="165"/>
      <c r="O68" s="165"/>
      <c r="P68" s="165"/>
      <c r="Q68" s="165"/>
      <c r="R68" s="165"/>
      <c r="S68" s="215"/>
      <c r="T68" s="165"/>
      <c r="U68" s="165"/>
      <c r="V68" s="165"/>
      <c r="W68" s="165"/>
      <c r="X68" s="165"/>
      <c r="Y68" s="165"/>
      <c r="Z68" s="165"/>
      <c r="AA68" s="165"/>
      <c r="AB68" s="165"/>
      <c r="AC68" s="165"/>
      <c r="AD68" s="165"/>
      <c r="AE68" s="216"/>
      <c r="AF68" s="215"/>
      <c r="AG68" s="165"/>
      <c r="AH68" s="165"/>
      <c r="AI68" s="165"/>
      <c r="AJ68" s="165"/>
      <c r="AK68" s="165"/>
      <c r="AL68" s="165"/>
      <c r="AM68" s="165"/>
      <c r="AN68" s="165"/>
      <c r="AO68" s="165"/>
      <c r="AP68" s="165"/>
      <c r="AQ68" s="165"/>
      <c r="AR68" s="216"/>
      <c r="AS68" s="165"/>
      <c r="AT68" s="165"/>
      <c r="AU68" s="165"/>
      <c r="AV68" s="165"/>
      <c r="AW68" s="165"/>
      <c r="AX68" s="165"/>
      <c r="AY68" s="165"/>
      <c r="AZ68" s="165"/>
      <c r="BA68" s="165"/>
      <c r="BB68" s="165"/>
      <c r="BC68" s="165"/>
      <c r="BD68" s="165"/>
      <c r="BE68" s="165"/>
      <c r="BF68" s="215"/>
      <c r="BG68" s="165"/>
      <c r="BH68" s="165"/>
      <c r="BI68" s="165"/>
      <c r="BJ68" s="165"/>
      <c r="BK68" s="165"/>
      <c r="BL68" s="165"/>
      <c r="BM68" s="165"/>
      <c r="BN68" s="165"/>
      <c r="BO68" s="165"/>
      <c r="BP68" s="165"/>
      <c r="BQ68" s="165"/>
      <c r="BR68" s="216"/>
      <c r="BS68" s="165"/>
      <c r="BT68" s="165"/>
      <c r="BU68" s="165"/>
      <c r="BV68" s="165"/>
      <c r="BW68" s="165"/>
      <c r="BX68" s="165"/>
      <c r="BY68" s="165"/>
      <c r="BZ68" s="165"/>
      <c r="CA68" s="165"/>
      <c r="CB68" s="165"/>
      <c r="CC68" s="165"/>
      <c r="CD68" s="165"/>
      <c r="CE68" s="165"/>
      <c r="CF68" s="215"/>
      <c r="CG68" s="165"/>
      <c r="CH68" s="165"/>
      <c r="CI68" s="165"/>
      <c r="CJ68" s="165"/>
      <c r="CK68" s="165"/>
      <c r="CL68" s="165"/>
      <c r="CM68" s="165"/>
      <c r="CN68" s="165"/>
      <c r="CO68" s="165"/>
      <c r="CP68" s="165"/>
      <c r="CQ68" s="165"/>
      <c r="CR68" s="216"/>
      <c r="CS68" s="215"/>
      <c r="CT68" s="165"/>
      <c r="CU68" s="165"/>
      <c r="CV68" s="165"/>
      <c r="CW68" s="165"/>
      <c r="CX68" s="165"/>
      <c r="CY68" s="165"/>
      <c r="CZ68" s="165"/>
      <c r="DA68" s="165"/>
      <c r="DB68" s="165"/>
      <c r="DC68" s="165"/>
      <c r="DD68" s="165"/>
      <c r="DE68" s="216"/>
      <c r="DF68" s="17"/>
      <c r="DG68" s="18"/>
      <c r="DH68" s="18"/>
      <c r="DI68" s="18"/>
      <c r="DJ68" s="18"/>
      <c r="DK68" s="18"/>
      <c r="DL68" s="18"/>
      <c r="DM68" s="18"/>
      <c r="DN68" s="18"/>
      <c r="DO68" s="18"/>
      <c r="DP68" s="18"/>
      <c r="DQ68" s="18"/>
      <c r="DR68" s="217"/>
      <c r="DS68" s="20"/>
      <c r="DT68" s="21"/>
      <c r="DU68" s="21"/>
      <c r="DV68" s="21"/>
      <c r="DW68" s="21"/>
      <c r="DX68" s="21"/>
      <c r="EE68" s="13"/>
      <c r="EF68" s="20"/>
      <c r="EG68" s="21"/>
      <c r="EH68" s="21"/>
      <c r="EI68" s="21"/>
      <c r="EJ68" s="21"/>
      <c r="EK68" s="21"/>
      <c r="ER68" s="13"/>
      <c r="ES68" s="20"/>
      <c r="ET68" s="21"/>
      <c r="EU68" s="21"/>
      <c r="EV68" s="21"/>
      <c r="EW68" s="21"/>
      <c r="EX68" s="21"/>
      <c r="FE68" s="13"/>
      <c r="FF68" s="20"/>
      <c r="FG68" s="21"/>
      <c r="FH68" s="21"/>
      <c r="FI68" s="21"/>
      <c r="FJ68" s="21"/>
      <c r="FK68" s="21"/>
      <c r="FR68" s="13"/>
    </row>
    <row r="69" spans="1:174" ht="15.6" x14ac:dyDescent="0.3">
      <c r="A69" s="113"/>
      <c r="B69" s="114"/>
      <c r="D69" s="114"/>
      <c r="F69" s="165"/>
      <c r="G69" s="165"/>
      <c r="H69" s="165"/>
      <c r="I69" s="165"/>
      <c r="J69" s="165"/>
      <c r="K69" s="165"/>
      <c r="L69" s="165"/>
      <c r="M69" s="165"/>
      <c r="N69" s="165"/>
      <c r="O69" s="165"/>
      <c r="P69" s="165"/>
      <c r="Q69" s="165"/>
      <c r="R69" s="165"/>
      <c r="S69" s="215"/>
      <c r="T69" s="165"/>
      <c r="U69" s="165"/>
      <c r="V69" s="165"/>
      <c r="W69" s="165"/>
      <c r="X69" s="165"/>
      <c r="Y69" s="165"/>
      <c r="Z69" s="165"/>
      <c r="AA69" s="165"/>
      <c r="AB69" s="165"/>
      <c r="AC69" s="165"/>
      <c r="AD69" s="165"/>
      <c r="AE69" s="216"/>
      <c r="AF69" s="215"/>
      <c r="AG69" s="165"/>
      <c r="AH69" s="165"/>
      <c r="AI69" s="165"/>
      <c r="AJ69" s="165"/>
      <c r="AK69" s="165"/>
      <c r="AL69" s="165"/>
      <c r="AM69" s="165"/>
      <c r="AN69" s="165"/>
      <c r="AO69" s="165"/>
      <c r="AP69" s="165"/>
      <c r="AQ69" s="165"/>
      <c r="AR69" s="216"/>
      <c r="AS69" s="165"/>
      <c r="AT69" s="165"/>
      <c r="AU69" s="165"/>
      <c r="AV69" s="165"/>
      <c r="AW69" s="165"/>
      <c r="AX69" s="165"/>
      <c r="AY69" s="165"/>
      <c r="AZ69" s="165"/>
      <c r="BA69" s="165"/>
      <c r="BB69" s="165"/>
      <c r="BC69" s="165"/>
      <c r="BD69" s="165"/>
      <c r="BE69" s="165"/>
      <c r="BF69" s="215"/>
      <c r="BG69" s="165"/>
      <c r="BH69" s="165"/>
      <c r="BI69" s="165"/>
      <c r="BJ69" s="165"/>
      <c r="BK69" s="165"/>
      <c r="BL69" s="165"/>
      <c r="BM69" s="165"/>
      <c r="BN69" s="165"/>
      <c r="BO69" s="165"/>
      <c r="BP69" s="165"/>
      <c r="BQ69" s="165"/>
      <c r="BR69" s="216"/>
      <c r="BS69" s="165"/>
      <c r="BT69" s="165"/>
      <c r="BU69" s="165"/>
      <c r="BV69" s="165"/>
      <c r="BW69" s="165"/>
      <c r="BX69" s="165"/>
      <c r="BY69" s="165"/>
      <c r="BZ69" s="165"/>
      <c r="CA69" s="165"/>
      <c r="CB69" s="165"/>
      <c r="CC69" s="165"/>
      <c r="CD69" s="165"/>
      <c r="CE69" s="165"/>
      <c r="CF69" s="215"/>
      <c r="CG69" s="165"/>
      <c r="CH69" s="165"/>
      <c r="CI69" s="165"/>
      <c r="CJ69" s="165"/>
      <c r="CK69" s="165"/>
      <c r="CL69" s="165"/>
      <c r="CM69" s="165"/>
      <c r="CN69" s="165"/>
      <c r="CO69" s="165"/>
      <c r="CP69" s="165"/>
      <c r="CQ69" s="165"/>
      <c r="CR69" s="216"/>
      <c r="CS69" s="215"/>
      <c r="CT69" s="165"/>
      <c r="CU69" s="165"/>
      <c r="CV69" s="165"/>
      <c r="CW69" s="165"/>
      <c r="CX69" s="165"/>
      <c r="CY69" s="165"/>
      <c r="CZ69" s="165"/>
      <c r="DA69" s="165"/>
      <c r="DB69" s="165"/>
      <c r="DC69" s="165"/>
      <c r="DD69" s="165"/>
      <c r="DE69" s="216"/>
      <c r="DF69" s="17"/>
      <c r="DG69" s="18"/>
      <c r="DH69" s="18"/>
      <c r="DI69" s="18"/>
      <c r="DJ69" s="18"/>
      <c r="DK69" s="18"/>
      <c r="DL69" s="18"/>
      <c r="DM69" s="18"/>
      <c r="DN69" s="18"/>
      <c r="DO69" s="18"/>
      <c r="DP69" s="18"/>
      <c r="DQ69" s="18"/>
      <c r="DR69" s="217"/>
      <c r="DS69" s="20"/>
      <c r="DT69" s="21"/>
      <c r="DU69" s="21"/>
      <c r="DV69" s="21"/>
      <c r="DW69" s="21"/>
      <c r="DX69" s="21"/>
      <c r="EE69" s="13"/>
      <c r="EF69" s="20"/>
      <c r="EG69" s="21"/>
      <c r="EH69" s="21"/>
      <c r="EI69" s="21"/>
      <c r="EJ69" s="21"/>
      <c r="EK69" s="21"/>
      <c r="ER69" s="13"/>
      <c r="ES69" s="20"/>
      <c r="ET69" s="21"/>
      <c r="EU69" s="21"/>
      <c r="EV69" s="21"/>
      <c r="EW69" s="21"/>
      <c r="EX69" s="21"/>
      <c r="FE69" s="13"/>
      <c r="FF69" s="20"/>
      <c r="FG69" s="21"/>
      <c r="FH69" s="21"/>
      <c r="FI69" s="21"/>
      <c r="FJ69" s="21"/>
      <c r="FK69" s="21"/>
      <c r="FR69" s="13"/>
    </row>
    <row r="70" spans="1:174" ht="15.6" x14ac:dyDescent="0.3">
      <c r="A70" s="113"/>
      <c r="B70" s="114"/>
      <c r="D70" s="114"/>
      <c r="F70" s="165"/>
      <c r="G70" s="165"/>
      <c r="H70" s="165"/>
      <c r="I70" s="165"/>
      <c r="J70" s="165"/>
      <c r="K70" s="165"/>
      <c r="L70" s="165"/>
      <c r="M70" s="165"/>
      <c r="N70" s="165"/>
      <c r="O70" s="165"/>
      <c r="P70" s="165"/>
      <c r="Q70" s="165"/>
      <c r="R70" s="165"/>
      <c r="S70" s="215"/>
      <c r="T70" s="165"/>
      <c r="U70" s="165"/>
      <c r="V70" s="165"/>
      <c r="W70" s="165"/>
      <c r="X70" s="165"/>
      <c r="Y70" s="165"/>
      <c r="Z70" s="165"/>
      <c r="AA70" s="165"/>
      <c r="AB70" s="165"/>
      <c r="AC70" s="165"/>
      <c r="AD70" s="165"/>
      <c r="AE70" s="216"/>
      <c r="AF70" s="215"/>
      <c r="AG70" s="165"/>
      <c r="AH70" s="165"/>
      <c r="AI70" s="165"/>
      <c r="AJ70" s="165"/>
      <c r="AK70" s="165"/>
      <c r="AL70" s="165"/>
      <c r="AM70" s="165"/>
      <c r="AN70" s="165"/>
      <c r="AO70" s="165"/>
      <c r="AP70" s="165"/>
      <c r="AQ70" s="165"/>
      <c r="AR70" s="216"/>
      <c r="AS70" s="165"/>
      <c r="AT70" s="165"/>
      <c r="AU70" s="165"/>
      <c r="AV70" s="165"/>
      <c r="AW70" s="165"/>
      <c r="AX70" s="165"/>
      <c r="AY70" s="165"/>
      <c r="AZ70" s="165"/>
      <c r="BA70" s="165"/>
      <c r="BB70" s="165"/>
      <c r="BC70" s="165"/>
      <c r="BD70" s="165"/>
      <c r="BE70" s="165"/>
      <c r="BF70" s="215"/>
      <c r="BG70" s="165"/>
      <c r="BH70" s="165"/>
      <c r="BI70" s="165"/>
      <c r="BJ70" s="165"/>
      <c r="BK70" s="165"/>
      <c r="BL70" s="165"/>
      <c r="BM70" s="165"/>
      <c r="BN70" s="165"/>
      <c r="BO70" s="165"/>
      <c r="BP70" s="165"/>
      <c r="BQ70" s="165"/>
      <c r="BR70" s="216"/>
      <c r="BS70" s="165"/>
      <c r="BT70" s="165"/>
      <c r="BU70" s="165"/>
      <c r="BV70" s="165"/>
      <c r="BW70" s="165"/>
      <c r="BX70" s="165"/>
      <c r="BY70" s="165"/>
      <c r="BZ70" s="165"/>
      <c r="CA70" s="165"/>
      <c r="CB70" s="165"/>
      <c r="CC70" s="165"/>
      <c r="CD70" s="165"/>
      <c r="CE70" s="165"/>
      <c r="CF70" s="215"/>
      <c r="CG70" s="165"/>
      <c r="CH70" s="165"/>
      <c r="CI70" s="165"/>
      <c r="CJ70" s="165"/>
      <c r="CK70" s="165"/>
      <c r="CL70" s="165"/>
      <c r="CM70" s="165"/>
      <c r="CN70" s="165"/>
      <c r="CO70" s="165"/>
      <c r="CP70" s="165"/>
      <c r="CQ70" s="165"/>
      <c r="CR70" s="216"/>
      <c r="CS70" s="215"/>
      <c r="CT70" s="165"/>
      <c r="CU70" s="165"/>
      <c r="CV70" s="165"/>
      <c r="CW70" s="165"/>
      <c r="CX70" s="165"/>
      <c r="CY70" s="165"/>
      <c r="CZ70" s="165"/>
      <c r="DA70" s="165"/>
      <c r="DB70" s="165"/>
      <c r="DC70" s="165"/>
      <c r="DD70" s="165"/>
      <c r="DE70" s="216"/>
      <c r="DF70" s="17"/>
      <c r="DG70" s="18"/>
      <c r="DH70" s="18"/>
      <c r="DI70" s="18"/>
      <c r="DJ70" s="18"/>
      <c r="DK70" s="18"/>
      <c r="DL70" s="18"/>
      <c r="DM70" s="18"/>
      <c r="DN70" s="18"/>
      <c r="DO70" s="18"/>
      <c r="DP70" s="18"/>
      <c r="DQ70" s="18"/>
      <c r="DR70" s="217"/>
      <c r="DS70" s="20"/>
      <c r="DT70" s="21"/>
      <c r="DU70" s="21"/>
      <c r="DV70" s="21"/>
      <c r="DW70" s="21"/>
      <c r="DX70" s="21"/>
      <c r="EE70" s="13"/>
      <c r="EF70" s="20"/>
      <c r="EG70" s="21"/>
      <c r="EH70" s="21"/>
      <c r="EI70" s="21"/>
      <c r="EJ70" s="21"/>
      <c r="EK70" s="21"/>
      <c r="ER70" s="13"/>
      <c r="ES70" s="20"/>
      <c r="ET70" s="21"/>
      <c r="EU70" s="21"/>
      <c r="EV70" s="21"/>
      <c r="EW70" s="21"/>
      <c r="EX70" s="21"/>
      <c r="FE70" s="13"/>
      <c r="FF70" s="20"/>
      <c r="FG70" s="21"/>
      <c r="FH70" s="21"/>
      <c r="FI70" s="21"/>
      <c r="FJ70" s="21"/>
      <c r="FK70" s="21"/>
      <c r="FR70" s="13"/>
    </row>
    <row r="71" spans="1:174" ht="15.6" x14ac:dyDescent="0.3">
      <c r="A71" s="113"/>
      <c r="B71" s="114"/>
      <c r="D71" s="114"/>
      <c r="F71" s="165"/>
      <c r="G71" s="165"/>
      <c r="H71" s="165"/>
      <c r="I71" s="165"/>
      <c r="J71" s="165"/>
      <c r="K71" s="165"/>
      <c r="L71" s="165"/>
      <c r="M71" s="165"/>
      <c r="N71" s="165"/>
      <c r="O71" s="165"/>
      <c r="P71" s="165"/>
      <c r="Q71" s="165"/>
      <c r="R71" s="165"/>
      <c r="S71" s="215"/>
      <c r="T71" s="165"/>
      <c r="U71" s="165"/>
      <c r="V71" s="165"/>
      <c r="W71" s="165"/>
      <c r="X71" s="165"/>
      <c r="Y71" s="165"/>
      <c r="Z71" s="165"/>
      <c r="AA71" s="165"/>
      <c r="AB71" s="165"/>
      <c r="AC71" s="165"/>
      <c r="AD71" s="165"/>
      <c r="AE71" s="216"/>
      <c r="AF71" s="215"/>
      <c r="AG71" s="165"/>
      <c r="AH71" s="165"/>
      <c r="AI71" s="165"/>
      <c r="AJ71" s="165"/>
      <c r="AK71" s="165"/>
      <c r="AL71" s="165"/>
      <c r="AM71" s="165"/>
      <c r="AN71" s="165"/>
      <c r="AO71" s="165"/>
      <c r="AP71" s="165"/>
      <c r="AQ71" s="165"/>
      <c r="AR71" s="216"/>
      <c r="AS71" s="165"/>
      <c r="AT71" s="165"/>
      <c r="AU71" s="165"/>
      <c r="AV71" s="165"/>
      <c r="AW71" s="165"/>
      <c r="AX71" s="165"/>
      <c r="AY71" s="165"/>
      <c r="AZ71" s="165"/>
      <c r="BA71" s="165"/>
      <c r="BB71" s="165"/>
      <c r="BC71" s="165"/>
      <c r="BD71" s="165"/>
      <c r="BE71" s="165"/>
      <c r="BF71" s="215"/>
      <c r="BG71" s="165"/>
      <c r="BH71" s="165"/>
      <c r="BI71" s="165"/>
      <c r="BJ71" s="165"/>
      <c r="BK71" s="165"/>
      <c r="BL71" s="165"/>
      <c r="BM71" s="165"/>
      <c r="BN71" s="165"/>
      <c r="BO71" s="165"/>
      <c r="BP71" s="165"/>
      <c r="BQ71" s="165"/>
      <c r="BR71" s="216"/>
      <c r="BS71" s="165"/>
      <c r="BT71" s="165"/>
      <c r="BU71" s="165"/>
      <c r="BV71" s="165"/>
      <c r="BW71" s="165"/>
      <c r="BX71" s="165"/>
      <c r="BY71" s="165"/>
      <c r="BZ71" s="165"/>
      <c r="CA71" s="165"/>
      <c r="CB71" s="165"/>
      <c r="CC71" s="165"/>
      <c r="CD71" s="165"/>
      <c r="CE71" s="165"/>
      <c r="CF71" s="215"/>
      <c r="CG71" s="165"/>
      <c r="CH71" s="165"/>
      <c r="CI71" s="165"/>
      <c r="CJ71" s="165"/>
      <c r="CK71" s="165"/>
      <c r="CL71" s="165"/>
      <c r="CM71" s="165"/>
      <c r="CN71" s="165"/>
      <c r="CO71" s="165"/>
      <c r="CP71" s="165"/>
      <c r="CQ71" s="165"/>
      <c r="CR71" s="216"/>
      <c r="CS71" s="215"/>
      <c r="CT71" s="165"/>
      <c r="CU71" s="165"/>
      <c r="CV71" s="165"/>
      <c r="CW71" s="165"/>
      <c r="CX71" s="165"/>
      <c r="CY71" s="165"/>
      <c r="CZ71" s="165"/>
      <c r="DA71" s="165"/>
      <c r="DB71" s="165"/>
      <c r="DC71" s="165"/>
      <c r="DD71" s="165"/>
      <c r="DE71" s="216"/>
      <c r="DF71" s="17"/>
      <c r="DG71" s="18"/>
      <c r="DH71" s="18"/>
      <c r="DI71" s="18"/>
      <c r="DJ71" s="18"/>
      <c r="DK71" s="18"/>
      <c r="DL71" s="18"/>
      <c r="DM71" s="18"/>
      <c r="DN71" s="18"/>
      <c r="DO71" s="18"/>
      <c r="DP71" s="18"/>
      <c r="DQ71" s="18"/>
      <c r="DR71" s="217"/>
      <c r="DS71" s="20"/>
      <c r="DT71" s="21"/>
      <c r="DU71" s="21"/>
      <c r="DV71" s="21"/>
      <c r="DW71" s="21"/>
      <c r="DX71" s="21"/>
      <c r="EE71" s="13"/>
      <c r="EF71" s="20"/>
      <c r="EG71" s="21"/>
      <c r="EH71" s="21"/>
      <c r="EI71" s="21"/>
      <c r="EJ71" s="21"/>
      <c r="EK71" s="21"/>
      <c r="ER71" s="13"/>
      <c r="ES71" s="20"/>
      <c r="ET71" s="21"/>
      <c r="EU71" s="21"/>
      <c r="EV71" s="21"/>
      <c r="EW71" s="21"/>
      <c r="EX71" s="21"/>
      <c r="FE71" s="13"/>
      <c r="FF71" s="20"/>
      <c r="FG71" s="21"/>
      <c r="FH71" s="21"/>
      <c r="FI71" s="21"/>
      <c r="FJ71" s="21"/>
      <c r="FK71" s="21"/>
      <c r="FR71" s="13"/>
    </row>
    <row r="72" spans="1:174" ht="15.6" x14ac:dyDescent="0.3">
      <c r="A72" s="113"/>
      <c r="B72" s="114"/>
      <c r="D72" s="114"/>
      <c r="F72" s="165"/>
      <c r="G72" s="165"/>
      <c r="H72" s="165"/>
      <c r="I72" s="165"/>
      <c r="J72" s="165"/>
      <c r="K72" s="165"/>
      <c r="L72" s="165"/>
      <c r="M72" s="165"/>
      <c r="N72" s="165"/>
      <c r="O72" s="165"/>
      <c r="P72" s="165"/>
      <c r="Q72" s="165"/>
      <c r="R72" s="165"/>
      <c r="S72" s="215"/>
      <c r="T72" s="165"/>
      <c r="U72" s="165"/>
      <c r="V72" s="165"/>
      <c r="W72" s="165"/>
      <c r="X72" s="165"/>
      <c r="Y72" s="165"/>
      <c r="Z72" s="165"/>
      <c r="AA72" s="165"/>
      <c r="AB72" s="165"/>
      <c r="AC72" s="165"/>
      <c r="AD72" s="165"/>
      <c r="AE72" s="216"/>
      <c r="AF72" s="215"/>
      <c r="AG72" s="165"/>
      <c r="AH72" s="165"/>
      <c r="AI72" s="165"/>
      <c r="AJ72" s="165"/>
      <c r="AK72" s="165"/>
      <c r="AL72" s="165"/>
      <c r="AM72" s="165"/>
      <c r="AN72" s="165"/>
      <c r="AO72" s="165"/>
      <c r="AP72" s="165"/>
      <c r="AQ72" s="165"/>
      <c r="AR72" s="216"/>
      <c r="AS72" s="165"/>
      <c r="AT72" s="165"/>
      <c r="AU72" s="165"/>
      <c r="AV72" s="165"/>
      <c r="AW72" s="165"/>
      <c r="AX72" s="165"/>
      <c r="AY72" s="165"/>
      <c r="AZ72" s="165"/>
      <c r="BA72" s="165"/>
      <c r="BB72" s="165"/>
      <c r="BC72" s="165"/>
      <c r="BD72" s="165"/>
      <c r="BE72" s="165"/>
      <c r="BF72" s="215"/>
      <c r="BG72" s="165"/>
      <c r="BH72" s="165"/>
      <c r="BI72" s="165"/>
      <c r="BJ72" s="165"/>
      <c r="BK72" s="165"/>
      <c r="BL72" s="165"/>
      <c r="BM72" s="165"/>
      <c r="BN72" s="165"/>
      <c r="BO72" s="165"/>
      <c r="BP72" s="165"/>
      <c r="BQ72" s="165"/>
      <c r="BR72" s="216"/>
      <c r="BS72" s="165"/>
      <c r="BT72" s="165"/>
      <c r="BU72" s="165"/>
      <c r="BV72" s="165"/>
      <c r="BW72" s="165"/>
      <c r="BX72" s="165"/>
      <c r="BY72" s="165"/>
      <c r="BZ72" s="165"/>
      <c r="CA72" s="165"/>
      <c r="CB72" s="165"/>
      <c r="CC72" s="165"/>
      <c r="CD72" s="165"/>
      <c r="CE72" s="165"/>
      <c r="CF72" s="215"/>
      <c r="CG72" s="165"/>
      <c r="CH72" s="165"/>
      <c r="CI72" s="165"/>
      <c r="CJ72" s="165"/>
      <c r="CK72" s="165"/>
      <c r="CL72" s="165"/>
      <c r="CM72" s="165"/>
      <c r="CN72" s="165"/>
      <c r="CO72" s="165"/>
      <c r="CP72" s="165"/>
      <c r="CQ72" s="165"/>
      <c r="CR72" s="216"/>
      <c r="CS72" s="215"/>
      <c r="CT72" s="165"/>
      <c r="CU72" s="165"/>
      <c r="CV72" s="165"/>
      <c r="CW72" s="165"/>
      <c r="CX72" s="165"/>
      <c r="CY72" s="165"/>
      <c r="CZ72" s="165"/>
      <c r="DA72" s="165"/>
      <c r="DB72" s="165"/>
      <c r="DC72" s="165"/>
      <c r="DD72" s="165"/>
      <c r="DE72" s="216"/>
      <c r="DF72" s="17"/>
      <c r="DG72" s="18"/>
      <c r="DH72" s="18"/>
      <c r="DI72" s="18"/>
      <c r="DJ72" s="18"/>
      <c r="DK72" s="18"/>
      <c r="DL72" s="18"/>
      <c r="DM72" s="18"/>
      <c r="DN72" s="18"/>
      <c r="DO72" s="18"/>
      <c r="DP72" s="18"/>
      <c r="DQ72" s="18"/>
      <c r="DR72" s="217"/>
      <c r="DS72" s="20"/>
      <c r="DT72" s="21"/>
      <c r="DU72" s="21"/>
      <c r="DV72" s="21"/>
      <c r="DW72" s="21"/>
      <c r="DX72" s="21"/>
      <c r="EE72" s="13"/>
      <c r="EF72" s="20"/>
      <c r="EG72" s="21"/>
      <c r="EH72" s="21"/>
      <c r="EI72" s="21"/>
      <c r="EJ72" s="21"/>
      <c r="EK72" s="21"/>
      <c r="ER72" s="13"/>
      <c r="ES72" s="20"/>
      <c r="ET72" s="21"/>
      <c r="EU72" s="21"/>
      <c r="EV72" s="21"/>
      <c r="EW72" s="21"/>
      <c r="EX72" s="21"/>
      <c r="FE72" s="13"/>
      <c r="FF72" s="20"/>
      <c r="FG72" s="21"/>
      <c r="FH72" s="21"/>
      <c r="FI72" s="21"/>
      <c r="FJ72" s="21"/>
      <c r="FK72" s="21"/>
      <c r="FR72" s="13"/>
    </row>
    <row r="73" spans="1:174" ht="15.6" x14ac:dyDescent="0.3">
      <c r="A73" s="113"/>
      <c r="B73" s="114"/>
      <c r="D73" s="114"/>
      <c r="F73" s="165"/>
      <c r="G73" s="165"/>
      <c r="H73" s="165"/>
      <c r="I73" s="165"/>
      <c r="J73" s="165"/>
      <c r="K73" s="165"/>
      <c r="L73" s="165"/>
      <c r="M73" s="165"/>
      <c r="N73" s="165"/>
      <c r="O73" s="165"/>
      <c r="P73" s="165"/>
      <c r="Q73" s="165"/>
      <c r="R73" s="165"/>
      <c r="S73" s="215"/>
      <c r="T73" s="165"/>
      <c r="U73" s="165"/>
      <c r="V73" s="165"/>
      <c r="W73" s="165"/>
      <c r="X73" s="165"/>
      <c r="Y73" s="165"/>
      <c r="Z73" s="165"/>
      <c r="AA73" s="165"/>
      <c r="AB73" s="165"/>
      <c r="AC73" s="165"/>
      <c r="AD73" s="165"/>
      <c r="AE73" s="216"/>
      <c r="AF73" s="215"/>
      <c r="AG73" s="165"/>
      <c r="AH73" s="165"/>
      <c r="AI73" s="165"/>
      <c r="AJ73" s="165"/>
      <c r="AK73" s="165"/>
      <c r="AL73" s="165"/>
      <c r="AM73" s="165"/>
      <c r="AN73" s="165"/>
      <c r="AO73" s="165"/>
      <c r="AP73" s="165"/>
      <c r="AQ73" s="165"/>
      <c r="AR73" s="216"/>
      <c r="AS73" s="165"/>
      <c r="AT73" s="165"/>
      <c r="AU73" s="165"/>
      <c r="AV73" s="165"/>
      <c r="AW73" s="165"/>
      <c r="AX73" s="165"/>
      <c r="AY73" s="165"/>
      <c r="AZ73" s="165"/>
      <c r="BA73" s="165"/>
      <c r="BB73" s="165"/>
      <c r="BC73" s="165"/>
      <c r="BD73" s="165"/>
      <c r="BE73" s="165"/>
      <c r="BF73" s="215"/>
      <c r="BG73" s="165"/>
      <c r="BH73" s="165"/>
      <c r="BI73" s="165"/>
      <c r="BJ73" s="165"/>
      <c r="BK73" s="165"/>
      <c r="BL73" s="165"/>
      <c r="BM73" s="165"/>
      <c r="BN73" s="165"/>
      <c r="BO73" s="165"/>
      <c r="BP73" s="165"/>
      <c r="BQ73" s="165"/>
      <c r="BR73" s="216"/>
      <c r="BS73" s="165"/>
      <c r="BT73" s="165"/>
      <c r="BU73" s="165"/>
      <c r="BV73" s="165"/>
      <c r="BW73" s="165"/>
      <c r="BX73" s="165"/>
      <c r="BY73" s="165"/>
      <c r="BZ73" s="165"/>
      <c r="CA73" s="165"/>
      <c r="CB73" s="165"/>
      <c r="CC73" s="165"/>
      <c r="CD73" s="165"/>
      <c r="CE73" s="165"/>
      <c r="CF73" s="215"/>
      <c r="CG73" s="165"/>
      <c r="CH73" s="165"/>
      <c r="CI73" s="165"/>
      <c r="CJ73" s="165"/>
      <c r="CK73" s="165"/>
      <c r="CL73" s="165"/>
      <c r="CM73" s="165"/>
      <c r="CN73" s="165"/>
      <c r="CO73" s="165"/>
      <c r="CP73" s="165"/>
      <c r="CQ73" s="165"/>
      <c r="CR73" s="216"/>
      <c r="CS73" s="215"/>
      <c r="CT73" s="165"/>
      <c r="CU73" s="165"/>
      <c r="CV73" s="165"/>
      <c r="CW73" s="165"/>
      <c r="CX73" s="165"/>
      <c r="CY73" s="165"/>
      <c r="CZ73" s="165"/>
      <c r="DA73" s="165"/>
      <c r="DB73" s="165"/>
      <c r="DC73" s="165"/>
      <c r="DD73" s="165"/>
      <c r="DE73" s="216"/>
      <c r="DF73" s="17"/>
      <c r="DG73" s="18"/>
      <c r="DH73" s="18"/>
      <c r="DI73" s="18"/>
      <c r="DJ73" s="18"/>
      <c r="DK73" s="18"/>
      <c r="DL73" s="18"/>
      <c r="DM73" s="18"/>
      <c r="DN73" s="18"/>
      <c r="DO73" s="18"/>
      <c r="DP73" s="18"/>
      <c r="DQ73" s="18"/>
      <c r="DR73" s="217"/>
      <c r="DS73" s="20"/>
      <c r="DT73" s="21"/>
      <c r="DU73" s="21"/>
      <c r="DV73" s="21"/>
      <c r="DW73" s="21"/>
      <c r="DX73" s="21"/>
      <c r="EE73" s="13"/>
      <c r="EF73" s="20"/>
      <c r="EG73" s="21"/>
      <c r="EH73" s="21"/>
      <c r="EI73" s="21"/>
      <c r="EJ73" s="21"/>
      <c r="EK73" s="21"/>
      <c r="ER73" s="13"/>
      <c r="ES73" s="20"/>
      <c r="ET73" s="21"/>
      <c r="EU73" s="21"/>
      <c r="EV73" s="21"/>
      <c r="EW73" s="21"/>
      <c r="EX73" s="21"/>
      <c r="FE73" s="13"/>
      <c r="FF73" s="20"/>
      <c r="FG73" s="21"/>
      <c r="FH73" s="21"/>
      <c r="FI73" s="21"/>
      <c r="FJ73" s="21"/>
      <c r="FK73" s="21"/>
      <c r="FR73" s="13"/>
    </row>
    <row r="74" spans="1:174" ht="15.6" x14ac:dyDescent="0.3">
      <c r="A74" s="113"/>
      <c r="B74" s="114"/>
      <c r="D74" s="114"/>
      <c r="F74" s="165"/>
      <c r="G74" s="165"/>
      <c r="H74" s="165"/>
      <c r="I74" s="165"/>
      <c r="J74" s="165"/>
      <c r="K74" s="165"/>
      <c r="L74" s="165"/>
      <c r="M74" s="165"/>
      <c r="N74" s="165"/>
      <c r="O74" s="165"/>
      <c r="P74" s="165"/>
      <c r="Q74" s="165"/>
      <c r="R74" s="165"/>
      <c r="S74" s="215"/>
      <c r="T74" s="165"/>
      <c r="U74" s="165"/>
      <c r="V74" s="165"/>
      <c r="W74" s="165"/>
      <c r="X74" s="165"/>
      <c r="Y74" s="165"/>
      <c r="Z74" s="165"/>
      <c r="AA74" s="165"/>
      <c r="AB74" s="165"/>
      <c r="AC74" s="165"/>
      <c r="AD74" s="165"/>
      <c r="AE74" s="216"/>
      <c r="AF74" s="215"/>
      <c r="AG74" s="165"/>
      <c r="AH74" s="165"/>
      <c r="AI74" s="165"/>
      <c r="AJ74" s="165"/>
      <c r="AK74" s="165"/>
      <c r="AL74" s="165"/>
      <c r="AM74" s="165"/>
      <c r="AN74" s="165"/>
      <c r="AO74" s="165"/>
      <c r="AP74" s="165"/>
      <c r="AQ74" s="165"/>
      <c r="AR74" s="216"/>
      <c r="AS74" s="165"/>
      <c r="AT74" s="165"/>
      <c r="AU74" s="165"/>
      <c r="AV74" s="165"/>
      <c r="AW74" s="165"/>
      <c r="AX74" s="165"/>
      <c r="AY74" s="165"/>
      <c r="AZ74" s="165"/>
      <c r="BA74" s="165"/>
      <c r="BB74" s="165"/>
      <c r="BC74" s="165"/>
      <c r="BD74" s="165"/>
      <c r="BE74" s="165"/>
      <c r="BF74" s="215"/>
      <c r="BG74" s="165"/>
      <c r="BH74" s="165"/>
      <c r="BI74" s="165"/>
      <c r="BJ74" s="165"/>
      <c r="BK74" s="165"/>
      <c r="BL74" s="165"/>
      <c r="BM74" s="165"/>
      <c r="BN74" s="165"/>
      <c r="BO74" s="165"/>
      <c r="BP74" s="165"/>
      <c r="BQ74" s="165"/>
      <c r="BR74" s="216"/>
      <c r="BS74" s="165"/>
      <c r="BT74" s="165"/>
      <c r="BU74" s="165"/>
      <c r="BV74" s="165"/>
      <c r="BW74" s="165"/>
      <c r="BX74" s="165"/>
      <c r="BY74" s="165"/>
      <c r="BZ74" s="165"/>
      <c r="CA74" s="165"/>
      <c r="CB74" s="165"/>
      <c r="CC74" s="165"/>
      <c r="CD74" s="165"/>
      <c r="CE74" s="165"/>
      <c r="CF74" s="215"/>
      <c r="CG74" s="165"/>
      <c r="CH74" s="165"/>
      <c r="CI74" s="165"/>
      <c r="CJ74" s="165"/>
      <c r="CK74" s="165"/>
      <c r="CL74" s="165"/>
      <c r="CM74" s="165"/>
      <c r="CN74" s="165"/>
      <c r="CO74" s="165"/>
      <c r="CP74" s="165"/>
      <c r="CQ74" s="165"/>
      <c r="CR74" s="216"/>
      <c r="CS74" s="215"/>
      <c r="CT74" s="165"/>
      <c r="CU74" s="165"/>
      <c r="CV74" s="165"/>
      <c r="CW74" s="165"/>
      <c r="CX74" s="165"/>
      <c r="CY74" s="165"/>
      <c r="CZ74" s="165"/>
      <c r="DA74" s="165"/>
      <c r="DB74" s="165"/>
      <c r="DC74" s="165"/>
      <c r="DD74" s="165"/>
      <c r="DE74" s="216"/>
      <c r="DF74" s="17"/>
      <c r="DG74" s="18"/>
      <c r="DH74" s="18"/>
      <c r="DI74" s="18"/>
      <c r="DJ74" s="18"/>
      <c r="DK74" s="18"/>
      <c r="DL74" s="18"/>
      <c r="DM74" s="18"/>
      <c r="DN74" s="18"/>
      <c r="DO74" s="18"/>
      <c r="DP74" s="18"/>
      <c r="DQ74" s="18"/>
      <c r="DR74" s="217"/>
      <c r="DS74" s="20"/>
      <c r="DT74" s="21"/>
      <c r="DU74" s="21"/>
      <c r="DV74" s="21"/>
      <c r="DW74" s="21"/>
      <c r="DX74" s="21"/>
      <c r="EE74" s="13"/>
      <c r="EF74" s="20"/>
      <c r="EG74" s="21"/>
      <c r="EH74" s="21"/>
      <c r="EI74" s="21"/>
      <c r="EJ74" s="21"/>
      <c r="EK74" s="21"/>
      <c r="ER74" s="13"/>
      <c r="ES74" s="20"/>
      <c r="ET74" s="21"/>
      <c r="EU74" s="21"/>
      <c r="EV74" s="21"/>
      <c r="EW74" s="21"/>
      <c r="EX74" s="21"/>
      <c r="FE74" s="13"/>
      <c r="FF74" s="20"/>
      <c r="FG74" s="21"/>
      <c r="FH74" s="21"/>
      <c r="FI74" s="21"/>
      <c r="FJ74" s="21"/>
      <c r="FK74" s="21"/>
      <c r="FR74" s="13"/>
    </row>
    <row r="75" spans="1:174" ht="15.6" x14ac:dyDescent="0.3">
      <c r="A75" s="113"/>
      <c r="B75" s="114"/>
      <c r="D75" s="114"/>
      <c r="F75" s="165"/>
      <c r="G75" s="165"/>
      <c r="H75" s="165"/>
      <c r="I75" s="165"/>
      <c r="J75" s="165"/>
      <c r="K75" s="165"/>
      <c r="L75" s="165"/>
      <c r="M75" s="165"/>
      <c r="N75" s="165"/>
      <c r="O75" s="165"/>
      <c r="P75" s="165"/>
      <c r="Q75" s="165"/>
      <c r="R75" s="165"/>
      <c r="S75" s="215"/>
      <c r="T75" s="165"/>
      <c r="U75" s="165"/>
      <c r="V75" s="165"/>
      <c r="W75" s="165"/>
      <c r="X75" s="165"/>
      <c r="Y75" s="165"/>
      <c r="Z75" s="165"/>
      <c r="AA75" s="165"/>
      <c r="AB75" s="165"/>
      <c r="AC75" s="165"/>
      <c r="AD75" s="165"/>
      <c r="AE75" s="216"/>
      <c r="AF75" s="215"/>
      <c r="AG75" s="165"/>
      <c r="AH75" s="165"/>
      <c r="AI75" s="165"/>
      <c r="AJ75" s="165"/>
      <c r="AK75" s="165"/>
      <c r="AL75" s="165"/>
      <c r="AM75" s="165"/>
      <c r="AN75" s="165"/>
      <c r="AO75" s="165"/>
      <c r="AP75" s="165"/>
      <c r="AQ75" s="165"/>
      <c r="AR75" s="216"/>
      <c r="AS75" s="165"/>
      <c r="AT75" s="165"/>
      <c r="AU75" s="165"/>
      <c r="AV75" s="165"/>
      <c r="AW75" s="165"/>
      <c r="AX75" s="165"/>
      <c r="AY75" s="165"/>
      <c r="AZ75" s="165"/>
      <c r="BA75" s="165"/>
      <c r="BB75" s="165"/>
      <c r="BC75" s="165"/>
      <c r="BD75" s="165"/>
      <c r="BE75" s="165"/>
      <c r="BF75" s="215"/>
      <c r="BG75" s="165"/>
      <c r="BH75" s="165"/>
      <c r="BI75" s="165"/>
      <c r="BJ75" s="165"/>
      <c r="BK75" s="165"/>
      <c r="BL75" s="165"/>
      <c r="BM75" s="165"/>
      <c r="BN75" s="165"/>
      <c r="BO75" s="165"/>
      <c r="BP75" s="165"/>
      <c r="BQ75" s="165"/>
      <c r="BR75" s="216"/>
      <c r="BS75" s="165"/>
      <c r="BT75" s="165"/>
      <c r="BU75" s="165"/>
      <c r="BV75" s="165"/>
      <c r="BW75" s="165"/>
      <c r="BX75" s="165"/>
      <c r="BY75" s="165"/>
      <c r="BZ75" s="165"/>
      <c r="CA75" s="165"/>
      <c r="CB75" s="165"/>
      <c r="CC75" s="165"/>
      <c r="CD75" s="165"/>
      <c r="CE75" s="165"/>
      <c r="CF75" s="215"/>
      <c r="CG75" s="165"/>
      <c r="CH75" s="165"/>
      <c r="CI75" s="165"/>
      <c r="CJ75" s="165"/>
      <c r="CK75" s="165"/>
      <c r="CL75" s="165"/>
      <c r="CM75" s="165"/>
      <c r="CN75" s="165"/>
      <c r="CO75" s="165"/>
      <c r="CP75" s="165"/>
      <c r="CQ75" s="165"/>
      <c r="CR75" s="216"/>
      <c r="CS75" s="215"/>
      <c r="CT75" s="165"/>
      <c r="CU75" s="165"/>
      <c r="CV75" s="165"/>
      <c r="CW75" s="165"/>
      <c r="CX75" s="165"/>
      <c r="CY75" s="165"/>
      <c r="CZ75" s="165"/>
      <c r="DA75" s="165"/>
      <c r="DB75" s="165"/>
      <c r="DC75" s="165"/>
      <c r="DD75" s="165"/>
      <c r="DE75" s="216"/>
      <c r="DF75" s="17"/>
      <c r="DG75" s="18"/>
      <c r="DH75" s="18"/>
      <c r="DI75" s="18"/>
      <c r="DJ75" s="18"/>
      <c r="DK75" s="18"/>
      <c r="DL75" s="18"/>
      <c r="DM75" s="18"/>
      <c r="DN75" s="18"/>
      <c r="DO75" s="18"/>
      <c r="DP75" s="18"/>
      <c r="DQ75" s="18"/>
      <c r="DR75" s="217"/>
      <c r="DS75" s="20"/>
      <c r="DT75" s="21"/>
      <c r="DU75" s="21"/>
      <c r="DV75" s="21"/>
      <c r="DW75" s="21"/>
      <c r="DX75" s="21"/>
      <c r="EE75" s="13"/>
      <c r="EF75" s="20"/>
      <c r="EG75" s="21"/>
      <c r="EH75" s="21"/>
      <c r="EI75" s="21"/>
      <c r="EJ75" s="21"/>
      <c r="EK75" s="21"/>
      <c r="ER75" s="13"/>
      <c r="ES75" s="20"/>
      <c r="ET75" s="21"/>
      <c r="EU75" s="21"/>
      <c r="EV75" s="21"/>
      <c r="EW75" s="21"/>
      <c r="EX75" s="21"/>
      <c r="FE75" s="13"/>
      <c r="FF75" s="20"/>
      <c r="FG75" s="21"/>
      <c r="FH75" s="21"/>
      <c r="FI75" s="21"/>
      <c r="FJ75" s="21"/>
      <c r="FK75" s="21"/>
      <c r="FR75" s="13"/>
    </row>
    <row r="76" spans="1:174" ht="15.6" x14ac:dyDescent="0.3">
      <c r="B76" s="114"/>
      <c r="D76" s="114"/>
      <c r="F76" s="165"/>
      <c r="G76" s="165"/>
      <c r="H76" s="165"/>
      <c r="I76" s="165"/>
      <c r="J76" s="165"/>
      <c r="K76" s="165"/>
      <c r="L76" s="165"/>
      <c r="M76" s="165"/>
      <c r="N76" s="165"/>
      <c r="O76" s="165"/>
      <c r="P76" s="165"/>
      <c r="Q76" s="165"/>
      <c r="R76" s="165"/>
      <c r="S76" s="215"/>
      <c r="T76" s="165"/>
      <c r="U76" s="165"/>
      <c r="V76" s="165"/>
      <c r="W76" s="165"/>
      <c r="X76" s="165"/>
      <c r="Y76" s="165"/>
      <c r="Z76" s="165"/>
      <c r="AA76" s="165"/>
      <c r="AB76" s="165"/>
      <c r="AC76" s="165"/>
      <c r="AD76" s="165"/>
      <c r="AE76" s="216"/>
      <c r="AF76" s="215"/>
      <c r="AG76" s="165"/>
      <c r="AH76" s="165"/>
      <c r="AI76" s="165"/>
      <c r="AJ76" s="165"/>
      <c r="AK76" s="165"/>
      <c r="AL76" s="165"/>
      <c r="AM76" s="165"/>
      <c r="AN76" s="165"/>
      <c r="AO76" s="165"/>
      <c r="AP76" s="165"/>
      <c r="AQ76" s="165"/>
      <c r="AR76" s="216"/>
      <c r="AS76" s="165"/>
      <c r="AT76" s="165"/>
      <c r="AU76" s="165"/>
      <c r="AV76" s="165"/>
      <c r="AW76" s="165"/>
      <c r="AX76" s="165"/>
      <c r="AY76" s="165"/>
      <c r="AZ76" s="165"/>
      <c r="BA76" s="165"/>
      <c r="BB76" s="165"/>
      <c r="BC76" s="165"/>
      <c r="BD76" s="165"/>
      <c r="BE76" s="165"/>
      <c r="BF76" s="215"/>
      <c r="BG76" s="165"/>
      <c r="BH76" s="165"/>
      <c r="BI76" s="165"/>
      <c r="BJ76" s="165"/>
      <c r="BK76" s="165"/>
      <c r="BL76" s="165"/>
      <c r="BM76" s="165"/>
      <c r="BN76" s="165"/>
      <c r="BO76" s="165"/>
      <c r="BP76" s="165"/>
      <c r="BQ76" s="165"/>
      <c r="BR76" s="216"/>
      <c r="BS76" s="165"/>
      <c r="BT76" s="165"/>
      <c r="BU76" s="165"/>
      <c r="BV76" s="165"/>
      <c r="BW76" s="165"/>
      <c r="BX76" s="165"/>
      <c r="BY76" s="165"/>
      <c r="BZ76" s="165"/>
      <c r="CA76" s="165"/>
      <c r="CB76" s="165"/>
      <c r="CC76" s="165"/>
      <c r="CD76" s="165"/>
      <c r="CE76" s="165"/>
      <c r="CF76" s="215"/>
      <c r="CG76" s="165"/>
      <c r="CH76" s="165"/>
      <c r="CI76" s="165"/>
      <c r="CJ76" s="165"/>
      <c r="CK76" s="165"/>
      <c r="CL76" s="165"/>
      <c r="CM76" s="165"/>
      <c r="CN76" s="165"/>
      <c r="CO76" s="165"/>
      <c r="CP76" s="165"/>
      <c r="CQ76" s="165"/>
      <c r="CR76" s="216"/>
      <c r="CS76" s="215"/>
      <c r="CT76" s="165"/>
      <c r="CU76" s="165"/>
      <c r="CV76" s="165"/>
      <c r="CW76" s="165"/>
      <c r="CX76" s="165"/>
      <c r="CY76" s="165"/>
      <c r="CZ76" s="165"/>
      <c r="DA76" s="165"/>
      <c r="DB76" s="165"/>
      <c r="DC76" s="165"/>
      <c r="DD76" s="165"/>
      <c r="DE76" s="216"/>
      <c r="DF76" s="17"/>
      <c r="DG76" s="18"/>
      <c r="DH76" s="18"/>
      <c r="DI76" s="18"/>
      <c r="DJ76" s="18"/>
      <c r="DK76" s="18"/>
      <c r="DL76" s="18"/>
      <c r="DM76" s="18"/>
      <c r="DN76" s="18"/>
      <c r="DO76" s="18"/>
      <c r="DP76" s="18"/>
      <c r="DQ76" s="18"/>
      <c r="DR76" s="217"/>
      <c r="DS76" s="20"/>
      <c r="DT76" s="21"/>
      <c r="DU76" s="21"/>
      <c r="DV76" s="21"/>
      <c r="DW76" s="21"/>
      <c r="DX76" s="21"/>
      <c r="EE76" s="13"/>
      <c r="EF76" s="20"/>
      <c r="EG76" s="21"/>
      <c r="EH76" s="21"/>
      <c r="EI76" s="21"/>
      <c r="EJ76" s="21"/>
      <c r="EK76" s="21"/>
      <c r="ER76" s="13"/>
      <c r="ES76" s="20"/>
      <c r="ET76" s="21"/>
      <c r="EU76" s="21"/>
      <c r="EV76" s="21"/>
      <c r="EW76" s="21"/>
      <c r="EX76" s="21"/>
      <c r="FE76" s="13"/>
      <c r="FF76" s="20"/>
      <c r="FG76" s="21"/>
      <c r="FH76" s="21"/>
      <c r="FI76" s="21"/>
      <c r="FJ76" s="21"/>
      <c r="FK76" s="21"/>
      <c r="FR76" s="13"/>
    </row>
    <row r="77" spans="1:174" ht="15.6" x14ac:dyDescent="0.3">
      <c r="F77" s="165"/>
      <c r="G77" s="165"/>
      <c r="H77" s="165"/>
      <c r="I77" s="165"/>
      <c r="J77" s="165"/>
      <c r="K77" s="165"/>
      <c r="L77" s="165"/>
      <c r="M77" s="165"/>
      <c r="N77" s="165"/>
      <c r="O77" s="165"/>
      <c r="P77" s="165"/>
      <c r="Q77" s="165"/>
      <c r="R77" s="165"/>
      <c r="S77" s="215"/>
      <c r="T77" s="165"/>
      <c r="U77" s="165"/>
      <c r="V77" s="165"/>
      <c r="W77" s="165"/>
      <c r="X77" s="165"/>
      <c r="Y77" s="165"/>
      <c r="Z77" s="232"/>
      <c r="AA77" s="233"/>
      <c r="AB77" s="233"/>
      <c r="AC77" s="233"/>
      <c r="AD77" s="233"/>
      <c r="AE77" s="234"/>
      <c r="AF77" s="215"/>
      <c r="AG77" s="165"/>
      <c r="AH77" s="165"/>
      <c r="AI77" s="165"/>
      <c r="AJ77" s="165"/>
      <c r="AK77" s="165"/>
      <c r="AL77" s="165"/>
      <c r="AM77" s="165"/>
      <c r="AN77" s="165"/>
      <c r="AO77" s="165"/>
      <c r="AP77" s="165"/>
      <c r="AQ77" s="165"/>
      <c r="AR77" s="216"/>
      <c r="AS77" s="165"/>
      <c r="AT77" s="165"/>
      <c r="AU77" s="165"/>
      <c r="AV77" s="165"/>
      <c r="AW77" s="165"/>
      <c r="AX77" s="165"/>
      <c r="AY77" s="165"/>
      <c r="AZ77" s="165"/>
      <c r="BA77" s="165"/>
      <c r="BB77" s="165"/>
      <c r="BC77" s="165"/>
      <c r="BD77" s="165"/>
      <c r="BE77" s="165"/>
      <c r="BF77" s="215"/>
      <c r="BG77" s="165"/>
      <c r="BH77" s="165"/>
      <c r="BI77" s="165"/>
      <c r="BJ77" s="165"/>
      <c r="BK77" s="165"/>
      <c r="BL77" s="165"/>
      <c r="BM77" s="165"/>
      <c r="BN77" s="165"/>
      <c r="BO77" s="165"/>
      <c r="BP77" s="165"/>
      <c r="BQ77" s="165"/>
      <c r="BR77" s="216"/>
      <c r="BS77" s="165"/>
      <c r="BT77" s="165"/>
      <c r="BU77" s="165"/>
      <c r="BV77" s="165"/>
      <c r="BW77" s="165"/>
      <c r="BX77" s="165"/>
      <c r="BY77" s="165"/>
      <c r="BZ77" s="165"/>
      <c r="CA77" s="165"/>
      <c r="CB77" s="165"/>
      <c r="CC77" s="165"/>
      <c r="CD77" s="165"/>
      <c r="CE77" s="165"/>
      <c r="CF77" s="215"/>
      <c r="CG77" s="165"/>
      <c r="CH77" s="165"/>
      <c r="CI77" s="165"/>
      <c r="CJ77" s="165"/>
      <c r="CK77" s="165"/>
      <c r="CL77" s="165"/>
      <c r="CM77" s="165"/>
      <c r="CN77" s="165"/>
      <c r="CO77" s="165"/>
      <c r="CP77" s="165"/>
      <c r="CQ77" s="165"/>
      <c r="CR77" s="216"/>
      <c r="CS77" s="215"/>
      <c r="CT77" s="165"/>
      <c r="CU77" s="165"/>
      <c r="CV77" s="165"/>
      <c r="CW77" s="165"/>
      <c r="CX77" s="165"/>
      <c r="CY77" s="165"/>
      <c r="CZ77" s="165"/>
      <c r="DA77" s="165"/>
      <c r="DB77" s="165"/>
      <c r="DC77" s="165"/>
      <c r="DD77" s="165"/>
      <c r="DE77" s="216"/>
      <c r="DF77" s="17"/>
      <c r="DG77" s="18"/>
      <c r="DH77" s="18"/>
      <c r="DI77" s="18"/>
      <c r="DJ77" s="18"/>
      <c r="DK77" s="18"/>
      <c r="DL77" s="18"/>
      <c r="DM77" s="18"/>
      <c r="DN77" s="18"/>
      <c r="DO77" s="18"/>
      <c r="DP77" s="18"/>
      <c r="DQ77" s="18"/>
      <c r="DR77" s="217"/>
      <c r="DS77" s="20"/>
      <c r="DT77" s="21"/>
      <c r="DU77" s="21"/>
      <c r="DV77" s="21"/>
      <c r="DW77" s="21"/>
      <c r="DX77" s="21"/>
      <c r="EE77" s="13"/>
      <c r="EF77" s="20"/>
      <c r="EG77" s="21"/>
      <c r="EH77" s="21"/>
      <c r="EI77" s="21"/>
      <c r="EJ77" s="21"/>
      <c r="EK77" s="21"/>
      <c r="ER77" s="13"/>
      <c r="ES77" s="20"/>
      <c r="ET77" s="21"/>
      <c r="EU77" s="21"/>
      <c r="EV77" s="21"/>
      <c r="EW77" s="21"/>
      <c r="EX77" s="21"/>
      <c r="FE77" s="13"/>
      <c r="FF77" s="20"/>
      <c r="FG77" s="21"/>
      <c r="FH77" s="21"/>
      <c r="FI77" s="21"/>
      <c r="FJ77" s="21"/>
      <c r="FK77" s="21"/>
      <c r="FR77" s="13"/>
    </row>
    <row r="78" spans="1:174" ht="15.6" x14ac:dyDescent="0.3">
      <c r="E78" s="119" t="s">
        <v>56</v>
      </c>
      <c r="F78" s="235">
        <f t="shared" ref="F78:AK78" si="88">F9+F31+F35+F56</f>
        <v>382.59399579999996</v>
      </c>
      <c r="G78" s="236">
        <f t="shared" si="88"/>
        <v>265.2834987</v>
      </c>
      <c r="H78" s="236">
        <f t="shared" si="88"/>
        <v>276.69426269999997</v>
      </c>
      <c r="I78" s="236">
        <f t="shared" si="88"/>
        <v>351.11101689999998</v>
      </c>
      <c r="J78" s="236">
        <f t="shared" si="88"/>
        <v>395.21592520000002</v>
      </c>
      <c r="K78" s="236">
        <f t="shared" si="88"/>
        <v>411.49739269999998</v>
      </c>
      <c r="L78" s="236">
        <f t="shared" si="88"/>
        <v>423.43723040000003</v>
      </c>
      <c r="M78" s="236">
        <f t="shared" si="88"/>
        <v>454.69167009999995</v>
      </c>
      <c r="N78" s="236">
        <f t="shared" si="88"/>
        <v>424.88807270000001</v>
      </c>
      <c r="O78" s="236">
        <f t="shared" si="88"/>
        <v>0</v>
      </c>
      <c r="P78" s="236">
        <f t="shared" si="88"/>
        <v>0</v>
      </c>
      <c r="Q78" s="236">
        <f t="shared" si="88"/>
        <v>0</v>
      </c>
      <c r="R78" s="237">
        <f t="shared" si="88"/>
        <v>0</v>
      </c>
      <c r="S78" s="235">
        <f t="shared" si="88"/>
        <v>1136.2315403000002</v>
      </c>
      <c r="T78" s="236">
        <f t="shared" si="88"/>
        <v>1129.1949061999999</v>
      </c>
      <c r="U78" s="236">
        <f t="shared" si="88"/>
        <v>1208.8469077</v>
      </c>
      <c r="V78" s="236">
        <f t="shared" si="88"/>
        <v>1330.3607861</v>
      </c>
      <c r="W78" s="236">
        <f t="shared" si="88"/>
        <v>1352.8327611</v>
      </c>
      <c r="X78" s="236">
        <f t="shared" si="88"/>
        <v>1382.4130862</v>
      </c>
      <c r="Y78" s="236">
        <f t="shared" si="88"/>
        <v>1433.4751739000001</v>
      </c>
      <c r="Z78" s="236">
        <f t="shared" si="88"/>
        <v>1501.9012839000002</v>
      </c>
      <c r="AA78" s="236">
        <f t="shared" si="88"/>
        <v>1512.2329056000001</v>
      </c>
      <c r="AB78" s="236">
        <f t="shared" si="88"/>
        <v>0</v>
      </c>
      <c r="AC78" s="236">
        <f t="shared" si="88"/>
        <v>0</v>
      </c>
      <c r="AD78" s="236">
        <f t="shared" si="88"/>
        <v>0</v>
      </c>
      <c r="AE78" s="237">
        <f t="shared" si="88"/>
        <v>0</v>
      </c>
      <c r="AF78" s="235">
        <f t="shared" si="88"/>
        <v>137.13015569999999</v>
      </c>
      <c r="AG78" s="236">
        <f t="shared" si="88"/>
        <v>148.50274489999998</v>
      </c>
      <c r="AH78" s="236">
        <f t="shared" si="88"/>
        <v>139.05922329999999</v>
      </c>
      <c r="AI78" s="236">
        <f t="shared" si="88"/>
        <v>135.8396607</v>
      </c>
      <c r="AJ78" s="236">
        <f t="shared" si="88"/>
        <v>146.8299446</v>
      </c>
      <c r="AK78" s="236">
        <f t="shared" si="88"/>
        <v>152.58874119999999</v>
      </c>
      <c r="AL78" s="236">
        <f t="shared" ref="AL78:BQ78" si="89">AL9+AL31+AL35+AL56</f>
        <v>154.17390410000002</v>
      </c>
      <c r="AM78" s="236">
        <f t="shared" si="89"/>
        <v>174.59156680000001</v>
      </c>
      <c r="AN78" s="236">
        <f t="shared" si="89"/>
        <v>170.05830399999999</v>
      </c>
      <c r="AO78" s="236">
        <f t="shared" si="89"/>
        <v>0</v>
      </c>
      <c r="AP78" s="236">
        <f t="shared" si="89"/>
        <v>0</v>
      </c>
      <c r="AQ78" s="236">
        <f t="shared" si="89"/>
        <v>0</v>
      </c>
      <c r="AR78" s="237">
        <f t="shared" si="89"/>
        <v>0</v>
      </c>
      <c r="AS78" s="235">
        <f t="shared" si="89"/>
        <v>0</v>
      </c>
      <c r="AT78" s="236">
        <f t="shared" si="89"/>
        <v>0</v>
      </c>
      <c r="AU78" s="236">
        <f t="shared" si="89"/>
        <v>0</v>
      </c>
      <c r="AV78" s="236">
        <f t="shared" si="89"/>
        <v>0</v>
      </c>
      <c r="AW78" s="236">
        <f t="shared" si="89"/>
        <v>0</v>
      </c>
      <c r="AX78" s="236">
        <f t="shared" si="89"/>
        <v>0</v>
      </c>
      <c r="AY78" s="236">
        <f t="shared" si="89"/>
        <v>0</v>
      </c>
      <c r="AZ78" s="236">
        <f t="shared" si="89"/>
        <v>0</v>
      </c>
      <c r="BA78" s="236">
        <f t="shared" si="89"/>
        <v>0</v>
      </c>
      <c r="BB78" s="236">
        <f t="shared" si="89"/>
        <v>0</v>
      </c>
      <c r="BC78" s="236">
        <f t="shared" si="89"/>
        <v>0</v>
      </c>
      <c r="BD78" s="236">
        <f t="shared" si="89"/>
        <v>0</v>
      </c>
      <c r="BE78" s="237">
        <f t="shared" si="89"/>
        <v>0</v>
      </c>
      <c r="BF78" s="235">
        <f t="shared" si="89"/>
        <v>3.4847234999999999</v>
      </c>
      <c r="BG78" s="236">
        <f t="shared" si="89"/>
        <v>5.9209670000000001</v>
      </c>
      <c r="BH78" s="236">
        <f t="shared" si="89"/>
        <v>3.4310203000000001</v>
      </c>
      <c r="BI78" s="236">
        <f t="shared" si="89"/>
        <v>0.80615729999999997</v>
      </c>
      <c r="BJ78" s="236">
        <f t="shared" si="89"/>
        <v>6.4677214999999997</v>
      </c>
      <c r="BK78" s="236">
        <f t="shared" si="89"/>
        <v>3.7546423999999998</v>
      </c>
      <c r="BL78" s="236">
        <f t="shared" si="89"/>
        <v>5.1716785000000005</v>
      </c>
      <c r="BM78" s="236">
        <f t="shared" si="89"/>
        <v>6.4306089000000002</v>
      </c>
      <c r="BN78" s="236">
        <f t="shared" si="89"/>
        <v>5.6497071999999999</v>
      </c>
      <c r="BO78" s="236">
        <f t="shared" si="89"/>
        <v>0</v>
      </c>
      <c r="BP78" s="236">
        <f t="shared" si="89"/>
        <v>0</v>
      </c>
      <c r="BQ78" s="236">
        <f t="shared" si="89"/>
        <v>0</v>
      </c>
      <c r="BR78" s="237">
        <f t="shared" ref="BR78:CW78" si="90">BR9+BR31+BR35+BR56</f>
        <v>0</v>
      </c>
      <c r="BS78" s="235">
        <f t="shared" si="90"/>
        <v>0</v>
      </c>
      <c r="BT78" s="236">
        <f t="shared" si="90"/>
        <v>112.89835539999999</v>
      </c>
      <c r="BU78" s="236">
        <f t="shared" si="90"/>
        <v>156.26189970000001</v>
      </c>
      <c r="BV78" s="236">
        <f t="shared" si="90"/>
        <v>46.079558399999996</v>
      </c>
      <c r="BW78" s="236">
        <f t="shared" si="90"/>
        <v>18.767832599999998</v>
      </c>
      <c r="BX78" s="236">
        <f t="shared" si="90"/>
        <v>-0.94915799999999995</v>
      </c>
      <c r="BY78" s="236">
        <f t="shared" si="90"/>
        <v>0</v>
      </c>
      <c r="BZ78" s="236">
        <f t="shared" si="90"/>
        <v>0</v>
      </c>
      <c r="CA78" s="236">
        <f t="shared" si="90"/>
        <v>0</v>
      </c>
      <c r="CB78" s="236">
        <f t="shared" si="90"/>
        <v>0</v>
      </c>
      <c r="CC78" s="236">
        <f t="shared" si="90"/>
        <v>0</v>
      </c>
      <c r="CD78" s="236">
        <f t="shared" si="90"/>
        <v>0</v>
      </c>
      <c r="CE78" s="237">
        <f t="shared" si="90"/>
        <v>0</v>
      </c>
      <c r="CF78" s="235">
        <f t="shared" si="90"/>
        <v>1276.8464195000001</v>
      </c>
      <c r="CG78" s="236">
        <f t="shared" si="90"/>
        <v>1283.6186181</v>
      </c>
      <c r="CH78" s="236">
        <f t="shared" si="90"/>
        <v>1351.3371513000002</v>
      </c>
      <c r="CI78" s="236">
        <f t="shared" si="90"/>
        <v>1467.0066041</v>
      </c>
      <c r="CJ78" s="236">
        <f t="shared" si="90"/>
        <v>1506.1304272000002</v>
      </c>
      <c r="CK78" s="236">
        <f t="shared" si="90"/>
        <v>1538.7564698000001</v>
      </c>
      <c r="CL78" s="236">
        <f t="shared" si="90"/>
        <v>1592.8207565</v>
      </c>
      <c r="CM78" s="236">
        <f t="shared" si="90"/>
        <v>1682.9234596000001</v>
      </c>
      <c r="CN78" s="236">
        <f t="shared" si="90"/>
        <v>1687.9409168</v>
      </c>
      <c r="CO78" s="236">
        <f t="shared" si="90"/>
        <v>0</v>
      </c>
      <c r="CP78" s="236">
        <f t="shared" si="90"/>
        <v>0</v>
      </c>
      <c r="CQ78" s="236">
        <f t="shared" si="90"/>
        <v>0</v>
      </c>
      <c r="CR78" s="237">
        <f t="shared" si="90"/>
        <v>0</v>
      </c>
      <c r="CS78" s="235">
        <f t="shared" si="90"/>
        <v>894.25242370000001</v>
      </c>
      <c r="CT78" s="236">
        <f t="shared" si="90"/>
        <v>905.43676400000004</v>
      </c>
      <c r="CU78" s="236">
        <f t="shared" si="90"/>
        <v>918.38098889999992</v>
      </c>
      <c r="CV78" s="236">
        <f t="shared" si="90"/>
        <v>1069.8160288000001</v>
      </c>
      <c r="CW78" s="236">
        <f t="shared" si="90"/>
        <v>1092.1466694000001</v>
      </c>
      <c r="CX78" s="236">
        <f t="shared" ref="CX78:DE78" si="91">CX9+CX31+CX35+CX56</f>
        <v>1128.2082351000001</v>
      </c>
      <c r="CY78" s="236">
        <f t="shared" si="91"/>
        <v>1169.3835261000002</v>
      </c>
      <c r="CZ78" s="236">
        <f t="shared" si="91"/>
        <v>1228.2317895000001</v>
      </c>
      <c r="DA78" s="236">
        <f t="shared" si="91"/>
        <v>1263.0528440999999</v>
      </c>
      <c r="DB78" s="236">
        <f t="shared" si="91"/>
        <v>0</v>
      </c>
      <c r="DC78" s="236">
        <f t="shared" si="91"/>
        <v>0</v>
      </c>
      <c r="DD78" s="236">
        <f t="shared" si="91"/>
        <v>0</v>
      </c>
      <c r="DE78" s="237">
        <f t="shared" si="91"/>
        <v>0</v>
      </c>
      <c r="DF78" s="221">
        <f t="shared" ref="DF78:DK78" si="92">+AF78/CF78</f>
        <v>0.10739753317685516</v>
      </c>
      <c r="DG78" s="222">
        <f t="shared" si="92"/>
        <v>0.11569070657436577</v>
      </c>
      <c r="DH78" s="222">
        <f t="shared" si="92"/>
        <v>0.1029049065706686</v>
      </c>
      <c r="DI78" s="222">
        <f t="shared" si="92"/>
        <v>9.2596488877660393E-2</v>
      </c>
      <c r="DJ78" s="222">
        <f t="shared" si="92"/>
        <v>9.7488200190581728E-2</v>
      </c>
      <c r="DK78" s="222">
        <f t="shared" si="92"/>
        <v>9.9163671571650777E-2</v>
      </c>
      <c r="DL78" s="222">
        <f t="shared" ref="DL78:DR78" si="93">IFERROR((+AL78/CL78),0)</f>
        <v>9.6793002898063391E-2</v>
      </c>
      <c r="DM78" s="222">
        <f t="shared" si="93"/>
        <v>0.10374302277626887</v>
      </c>
      <c r="DN78" s="222">
        <f t="shared" si="93"/>
        <v>0.10074896716313785</v>
      </c>
      <c r="DO78" s="222">
        <f t="shared" si="93"/>
        <v>0</v>
      </c>
      <c r="DP78" s="222">
        <f t="shared" si="93"/>
        <v>0</v>
      </c>
      <c r="DQ78" s="222">
        <f t="shared" si="93"/>
        <v>0</v>
      </c>
      <c r="DR78" s="223">
        <f t="shared" si="93"/>
        <v>0</v>
      </c>
      <c r="DS78" s="99"/>
      <c r="DT78" s="97"/>
      <c r="DU78" s="97"/>
      <c r="DV78" s="97"/>
      <c r="DW78" s="97"/>
      <c r="DX78" s="97"/>
      <c r="DY78" s="97"/>
      <c r="DZ78" s="97"/>
      <c r="EA78" s="97"/>
      <c r="EB78" s="97"/>
      <c r="EC78" s="97"/>
      <c r="ED78" s="97"/>
      <c r="EE78" s="100"/>
      <c r="EF78" s="99"/>
      <c r="EG78" s="97"/>
      <c r="EH78" s="97"/>
      <c r="EI78" s="97"/>
      <c r="EJ78" s="97"/>
      <c r="EK78" s="97"/>
      <c r="EL78" s="97"/>
      <c r="EM78" s="97"/>
      <c r="EN78" s="97"/>
      <c r="EO78" s="97"/>
      <c r="EP78" s="97"/>
      <c r="EQ78" s="97"/>
      <c r="ER78" s="100"/>
      <c r="ES78" s="99"/>
      <c r="ET78" s="97"/>
      <c r="EU78" s="97"/>
      <c r="EV78" s="97"/>
      <c r="EW78" s="97"/>
      <c r="EX78" s="97"/>
      <c r="EY78" s="97"/>
      <c r="EZ78" s="97"/>
      <c r="FA78" s="97"/>
      <c r="FB78" s="97"/>
      <c r="FC78" s="97"/>
      <c r="FD78" s="97"/>
      <c r="FE78" s="100"/>
      <c r="FF78" s="99"/>
      <c r="FG78" s="97"/>
      <c r="FH78" s="97"/>
      <c r="FI78" s="97"/>
      <c r="FJ78" s="97"/>
      <c r="FK78" s="97"/>
      <c r="FL78" s="97"/>
      <c r="FM78" s="97"/>
      <c r="FN78" s="97"/>
      <c r="FO78" s="97"/>
      <c r="FP78" s="97"/>
      <c r="FQ78" s="97"/>
      <c r="FR78" s="100"/>
    </row>
    <row r="79" spans="1:174" ht="15.6" x14ac:dyDescent="0.3">
      <c r="S79" s="238"/>
      <c r="T79" s="238"/>
      <c r="U79" s="238"/>
      <c r="V79" s="238"/>
      <c r="W79" s="238"/>
      <c r="X79" s="238"/>
      <c r="Y79" s="238"/>
      <c r="Z79" s="238"/>
      <c r="AA79" s="238"/>
      <c r="AB79" s="238"/>
      <c r="AC79" s="238"/>
      <c r="AD79" s="238"/>
      <c r="AE79" s="238"/>
      <c r="BT79" s="4"/>
      <c r="BU79" s="4"/>
      <c r="BV79" s="4"/>
      <c r="BW79" s="4"/>
    </row>
    <row r="80" spans="1:174" ht="15.6" x14ac:dyDescent="0.3">
      <c r="S80" s="238"/>
      <c r="T80" s="238"/>
      <c r="U80" s="238"/>
      <c r="V80" s="238"/>
      <c r="W80" s="238"/>
      <c r="X80" s="238"/>
      <c r="Y80" s="238"/>
      <c r="Z80" s="238"/>
      <c r="AA80" s="238"/>
      <c r="AB80" s="238"/>
      <c r="AC80" s="238"/>
      <c r="AD80" s="238"/>
      <c r="AE80" s="238"/>
    </row>
    <row r="81" spans="13:31" ht="15.6" x14ac:dyDescent="0.3">
      <c r="S81" s="238"/>
      <c r="T81" s="238"/>
      <c r="U81" s="238"/>
      <c r="V81" s="238"/>
      <c r="W81" s="238"/>
      <c r="X81" s="238"/>
      <c r="Y81" s="238"/>
      <c r="Z81" s="238"/>
      <c r="AA81" s="238"/>
      <c r="AB81" s="238"/>
      <c r="AC81" s="238"/>
      <c r="AD81" s="238"/>
      <c r="AE81" s="238"/>
    </row>
    <row r="82" spans="13:31" ht="15.6" x14ac:dyDescent="0.3">
      <c r="M82" s="103"/>
      <c r="N82" s="103"/>
      <c r="O82" s="103"/>
      <c r="P82" s="103"/>
      <c r="Q82" s="103"/>
      <c r="R82" s="103"/>
      <c r="S82" s="238"/>
      <c r="T82" s="238"/>
      <c r="U82" s="238"/>
      <c r="V82" s="238"/>
      <c r="W82" s="238"/>
      <c r="X82" s="238"/>
      <c r="Y82" s="238"/>
      <c r="Z82" s="238"/>
      <c r="AA82" s="238"/>
      <c r="AB82" s="238"/>
      <c r="AC82" s="238"/>
      <c r="AD82" s="238"/>
      <c r="AE82" s="238"/>
    </row>
    <row r="83" spans="13:31" ht="15.6" x14ac:dyDescent="0.3">
      <c r="S83" s="238"/>
      <c r="T83" s="238"/>
      <c r="U83" s="238"/>
      <c r="V83" s="238"/>
      <c r="W83" s="238"/>
      <c r="X83" s="238"/>
      <c r="Y83" s="238"/>
      <c r="Z83" s="238"/>
      <c r="AA83" s="238"/>
      <c r="AB83" s="238"/>
      <c r="AC83" s="238"/>
      <c r="AD83" s="238"/>
      <c r="AE83" s="238"/>
    </row>
    <row r="84" spans="13:31" ht="15.6" x14ac:dyDescent="0.3">
      <c r="S84" s="238"/>
      <c r="T84" s="238"/>
      <c r="U84" s="238"/>
      <c r="V84" s="238"/>
      <c r="W84" s="238"/>
      <c r="X84" s="238"/>
      <c r="Y84" s="238"/>
      <c r="Z84" s="238"/>
      <c r="AA84" s="238"/>
      <c r="AB84" s="238"/>
      <c r="AC84" s="238"/>
      <c r="AD84" s="238"/>
      <c r="AE84" s="238"/>
    </row>
    <row r="85" spans="13:31" ht="15.6" x14ac:dyDescent="0.3">
      <c r="M85" s="103"/>
      <c r="N85" s="103"/>
      <c r="O85" s="103"/>
      <c r="P85" s="103"/>
      <c r="Q85" s="103"/>
      <c r="R85" s="103"/>
      <c r="S85" s="238"/>
      <c r="T85" s="238"/>
      <c r="U85" s="238"/>
      <c r="V85" s="238"/>
      <c r="W85" s="238"/>
      <c r="X85" s="238"/>
      <c r="Y85" s="238"/>
      <c r="Z85" s="238"/>
      <c r="AA85" s="238"/>
      <c r="AB85" s="238"/>
      <c r="AC85" s="238"/>
      <c r="AD85" s="238"/>
      <c r="AE85" s="238"/>
    </row>
    <row r="86" spans="13:31" ht="15.6" x14ac:dyDescent="0.3">
      <c r="S86" s="238"/>
      <c r="T86" s="238"/>
      <c r="U86" s="238"/>
      <c r="V86" s="238"/>
      <c r="W86" s="238"/>
      <c r="X86" s="238"/>
      <c r="Y86" s="238"/>
      <c r="Z86" s="238"/>
      <c r="AA86" s="238"/>
      <c r="AB86" s="238"/>
      <c r="AC86" s="238"/>
      <c r="AD86" s="238"/>
      <c r="AE86" s="238"/>
    </row>
    <row r="87" spans="13:31" ht="15.6" x14ac:dyDescent="0.3">
      <c r="S87" s="238"/>
      <c r="T87" s="238"/>
      <c r="U87" s="238"/>
      <c r="V87" s="238"/>
      <c r="W87" s="238"/>
      <c r="X87" s="238"/>
      <c r="Y87" s="238"/>
      <c r="Z87" s="238"/>
      <c r="AA87" s="238"/>
      <c r="AB87" s="238"/>
      <c r="AC87" s="238"/>
      <c r="AD87" s="238"/>
      <c r="AE87" s="238"/>
    </row>
    <row r="88" spans="13:31" ht="15.6" x14ac:dyDescent="0.3">
      <c r="S88" s="238"/>
      <c r="T88" s="238"/>
      <c r="U88" s="238"/>
      <c r="V88" s="238"/>
      <c r="W88" s="238"/>
      <c r="X88" s="238"/>
      <c r="Y88" s="238"/>
      <c r="Z88" s="238"/>
      <c r="AA88" s="238"/>
      <c r="AB88" s="238"/>
      <c r="AC88" s="238"/>
      <c r="AD88" s="238"/>
      <c r="AE88" s="238"/>
    </row>
    <row r="89" spans="13:31" ht="15.6" x14ac:dyDescent="0.3">
      <c r="S89" s="238"/>
      <c r="T89" s="238"/>
      <c r="U89" s="238"/>
      <c r="V89" s="238"/>
      <c r="W89" s="238"/>
      <c r="X89" s="238"/>
      <c r="Y89" s="238"/>
      <c r="Z89" s="238"/>
      <c r="AA89" s="238"/>
      <c r="AB89" s="238"/>
      <c r="AC89" s="238"/>
      <c r="AD89" s="238"/>
      <c r="AE89" s="238"/>
    </row>
  </sheetData>
  <mergeCells count="13">
    <mergeCell ref="EF4:ER4"/>
    <mergeCell ref="ES4:FE4"/>
    <mergeCell ref="FF4:FR4"/>
    <mergeCell ref="BS4:CE4"/>
    <mergeCell ref="CF4:CR4"/>
    <mergeCell ref="CS4:DE4"/>
    <mergeCell ref="DF4:DR4"/>
    <mergeCell ref="DS4:EE4"/>
    <mergeCell ref="F4:R4"/>
    <mergeCell ref="S4:AE4"/>
    <mergeCell ref="AF4:AR4"/>
    <mergeCell ref="AS4:BE4"/>
    <mergeCell ref="BF4:BR4"/>
  </mergeCells>
  <pageMargins left="0.7" right="0.7" top="0.75" bottom="0.75" header="0.511811023622047" footer="0.511811023622047"/>
  <pageSetup paperSize="8"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FR85"/>
  <sheetViews>
    <sheetView showGridLines="0" zoomScale="85" zoomScaleNormal="85" workbookViewId="0">
      <pane xSplit="5" ySplit="5" topLeftCell="F46" activePane="bottomRight" state="frozen"/>
      <selection pane="topRight" activeCell="ES1" sqref="ES1"/>
      <selection pane="bottomLeft" activeCell="A11" sqref="A11"/>
      <selection pane="bottomRight" activeCell="E4" sqref="E4"/>
    </sheetView>
  </sheetViews>
  <sheetFormatPr defaultColWidth="9" defaultRowHeight="15.75" outlineLevelCol="1" x14ac:dyDescent="0.25"/>
  <cols>
    <col min="1" max="3" width="9" style="2" hidden="1" outlineLevel="1"/>
    <col min="4" max="4" width="9" style="75" hidden="1" outlineLevel="1"/>
    <col min="5" max="5" width="32.625" style="2" customWidth="1" collapsed="1"/>
    <col min="6" max="25" width="8.625" style="2" customWidth="1"/>
    <col min="26" max="31" width="9.375" style="2" customWidth="1"/>
    <col min="32" max="83" width="8.625" style="2" customWidth="1"/>
    <col min="84" max="109" width="8.625" style="2" customWidth="1" outlineLevel="1"/>
    <col min="110" max="110" width="12.375" style="2" customWidth="1"/>
    <col min="111" max="130" width="8.625" style="2" customWidth="1"/>
    <col min="131" max="131" width="10.125" style="2" customWidth="1"/>
    <col min="132" max="135" width="8.625" style="2" customWidth="1"/>
    <col min="136" max="136" width="12.375" style="2" customWidth="1"/>
    <col min="137" max="138" width="8.625" style="2" customWidth="1"/>
    <col min="139" max="140" width="9" style="2"/>
    <col min="141" max="142" width="7" style="2" customWidth="1"/>
    <col min="143" max="143" width="8" style="2" customWidth="1"/>
    <col min="144" max="146" width="7" style="2" customWidth="1"/>
    <col min="147" max="148" width="9" style="2"/>
    <col min="149" max="149" width="14.5" style="2" customWidth="1"/>
    <col min="150" max="151" width="10.625" style="2" customWidth="1"/>
    <col min="152" max="153" width="11.625" style="2" customWidth="1"/>
    <col min="154" max="155" width="11.125" style="2" customWidth="1"/>
    <col min="156" max="156" width="8.125" style="2" customWidth="1"/>
    <col min="157" max="157" width="7" style="2" customWidth="1"/>
    <col min="158" max="159" width="6.25" style="2" customWidth="1"/>
    <col min="160" max="160" width="7" style="2" customWidth="1"/>
    <col min="161" max="161" width="6.25" style="2" customWidth="1"/>
    <col min="162" max="16384" width="9" style="2"/>
  </cols>
  <sheetData>
    <row r="1" spans="4:174" x14ac:dyDescent="0.25">
      <c r="E1" s="4"/>
    </row>
    <row r="2" spans="4:174" x14ac:dyDescent="0.25">
      <c r="F2" s="3"/>
      <c r="G2" s="3"/>
      <c r="H2" s="3"/>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row>
    <row r="3" spans="4:174" x14ac:dyDescent="0.25">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row>
    <row r="4" spans="4:174" s="77" customFormat="1" ht="40.5" customHeight="1" x14ac:dyDescent="0.2">
      <c r="D4" s="78"/>
      <c r="E4" s="79" t="s">
        <v>17</v>
      </c>
      <c r="F4" s="321" t="s">
        <v>26</v>
      </c>
      <c r="G4" s="321"/>
      <c r="H4" s="321"/>
      <c r="I4" s="321"/>
      <c r="J4" s="321"/>
      <c r="K4" s="321"/>
      <c r="L4" s="321"/>
      <c r="M4" s="321"/>
      <c r="N4" s="321"/>
      <c r="O4" s="321"/>
      <c r="P4" s="321"/>
      <c r="Q4" s="321"/>
      <c r="R4" s="321"/>
      <c r="S4" s="325" t="s">
        <v>27</v>
      </c>
      <c r="T4" s="325"/>
      <c r="U4" s="325"/>
      <c r="V4" s="325"/>
      <c r="W4" s="325"/>
      <c r="X4" s="325"/>
      <c r="Y4" s="325"/>
      <c r="Z4" s="325"/>
      <c r="AA4" s="325"/>
      <c r="AB4" s="325"/>
      <c r="AC4" s="325"/>
      <c r="AD4" s="325"/>
      <c r="AE4" s="325"/>
      <c r="AF4" s="321" t="s">
        <v>28</v>
      </c>
      <c r="AG4" s="321"/>
      <c r="AH4" s="321"/>
      <c r="AI4" s="321"/>
      <c r="AJ4" s="321"/>
      <c r="AK4" s="321"/>
      <c r="AL4" s="321"/>
      <c r="AM4" s="321"/>
      <c r="AN4" s="321"/>
      <c r="AO4" s="321"/>
      <c r="AP4" s="321"/>
      <c r="AQ4" s="321"/>
      <c r="AR4" s="321"/>
      <c r="AS4" s="321" t="s">
        <v>29</v>
      </c>
      <c r="AT4" s="321"/>
      <c r="AU4" s="321"/>
      <c r="AV4" s="321"/>
      <c r="AW4" s="321"/>
      <c r="AX4" s="321"/>
      <c r="AY4" s="321"/>
      <c r="AZ4" s="321"/>
      <c r="BA4" s="321"/>
      <c r="BB4" s="321"/>
      <c r="BC4" s="321"/>
      <c r="BD4" s="321"/>
      <c r="BE4" s="321"/>
      <c r="BF4" s="321" t="s">
        <v>30</v>
      </c>
      <c r="BG4" s="321"/>
      <c r="BH4" s="321"/>
      <c r="BI4" s="321"/>
      <c r="BJ4" s="321"/>
      <c r="BK4" s="321"/>
      <c r="BL4" s="321"/>
      <c r="BM4" s="321"/>
      <c r="BN4" s="321"/>
      <c r="BO4" s="321"/>
      <c r="BP4" s="321"/>
      <c r="BQ4" s="321"/>
      <c r="BR4" s="321"/>
      <c r="BS4" s="321" t="s">
        <v>31</v>
      </c>
      <c r="BT4" s="321"/>
      <c r="BU4" s="321"/>
      <c r="BV4" s="321"/>
      <c r="BW4" s="321"/>
      <c r="BX4" s="321"/>
      <c r="BY4" s="321"/>
      <c r="BZ4" s="321"/>
      <c r="CA4" s="321"/>
      <c r="CB4" s="321"/>
      <c r="CC4" s="321"/>
      <c r="CD4" s="321"/>
      <c r="CE4" s="321"/>
      <c r="CF4" s="321" t="s">
        <v>32</v>
      </c>
      <c r="CG4" s="321"/>
      <c r="CH4" s="321"/>
      <c r="CI4" s="321"/>
      <c r="CJ4" s="321"/>
      <c r="CK4" s="321"/>
      <c r="CL4" s="321"/>
      <c r="CM4" s="321"/>
      <c r="CN4" s="321"/>
      <c r="CO4" s="321"/>
      <c r="CP4" s="321"/>
      <c r="CQ4" s="321"/>
      <c r="CR4" s="321"/>
      <c r="CS4" s="321" t="s">
        <v>33</v>
      </c>
      <c r="CT4" s="321"/>
      <c r="CU4" s="321"/>
      <c r="CV4" s="321"/>
      <c r="CW4" s="321"/>
      <c r="CX4" s="321"/>
      <c r="CY4" s="321"/>
      <c r="CZ4" s="321"/>
      <c r="DA4" s="321"/>
      <c r="DB4" s="321"/>
      <c r="DC4" s="321"/>
      <c r="DD4" s="321"/>
      <c r="DE4" s="321"/>
      <c r="DF4" s="321" t="s">
        <v>34</v>
      </c>
      <c r="DG4" s="321"/>
      <c r="DH4" s="321"/>
      <c r="DI4" s="321"/>
      <c r="DJ4" s="321"/>
      <c r="DK4" s="321"/>
      <c r="DL4" s="321"/>
      <c r="DM4" s="321"/>
      <c r="DN4" s="321"/>
      <c r="DO4" s="321"/>
      <c r="DP4" s="321"/>
      <c r="DQ4" s="321"/>
      <c r="DR4" s="321"/>
      <c r="DS4" s="321" t="s">
        <v>35</v>
      </c>
      <c r="DT4" s="321"/>
      <c r="DU4" s="321"/>
      <c r="DV4" s="321"/>
      <c r="DW4" s="321"/>
      <c r="DX4" s="321"/>
      <c r="DY4" s="321"/>
      <c r="DZ4" s="321"/>
      <c r="EA4" s="321"/>
      <c r="EB4" s="321"/>
      <c r="EC4" s="321"/>
      <c r="ED4" s="321"/>
      <c r="EE4" s="321"/>
      <c r="EF4" s="321" t="s">
        <v>36</v>
      </c>
      <c r="EG4" s="321"/>
      <c r="EH4" s="321"/>
      <c r="EI4" s="321"/>
      <c r="EJ4" s="321"/>
      <c r="EK4" s="321"/>
      <c r="EL4" s="321"/>
      <c r="EM4" s="321"/>
      <c r="EN4" s="321"/>
      <c r="EO4" s="321"/>
      <c r="EP4" s="321"/>
      <c r="EQ4" s="321"/>
      <c r="ER4" s="321"/>
      <c r="ES4" s="321" t="s">
        <v>49</v>
      </c>
      <c r="ET4" s="321"/>
      <c r="EU4" s="321"/>
      <c r="EV4" s="321"/>
      <c r="EW4" s="321"/>
      <c r="EX4" s="321"/>
      <c r="EY4" s="321"/>
      <c r="EZ4" s="321"/>
      <c r="FA4" s="321"/>
      <c r="FB4" s="321"/>
      <c r="FC4" s="321"/>
      <c r="FD4" s="321"/>
      <c r="FE4" s="321"/>
      <c r="FF4" s="321" t="s">
        <v>50</v>
      </c>
      <c r="FG4" s="321"/>
      <c r="FH4" s="321"/>
      <c r="FI4" s="321"/>
      <c r="FJ4" s="321"/>
      <c r="FK4" s="321"/>
      <c r="FL4" s="321"/>
      <c r="FM4" s="321"/>
      <c r="FN4" s="321"/>
      <c r="FO4" s="321"/>
      <c r="FP4" s="321"/>
      <c r="FQ4" s="321"/>
      <c r="FR4" s="321"/>
    </row>
    <row r="5" spans="4:174" x14ac:dyDescent="0.25">
      <c r="E5" s="80"/>
      <c r="F5" s="81" t="s">
        <v>310</v>
      </c>
      <c r="G5" s="80" t="s">
        <v>311</v>
      </c>
      <c r="H5" s="80" t="s">
        <v>312</v>
      </c>
      <c r="I5" s="10" t="s">
        <v>313</v>
      </c>
      <c r="J5" s="10" t="s">
        <v>314</v>
      </c>
      <c r="K5" s="10" t="s">
        <v>315</v>
      </c>
      <c r="L5" s="82" t="s">
        <v>42</v>
      </c>
      <c r="M5" s="82" t="s">
        <v>43</v>
      </c>
      <c r="N5" s="82" t="s">
        <v>37</v>
      </c>
      <c r="O5" s="10" t="s">
        <v>38</v>
      </c>
      <c r="P5" s="10" t="s">
        <v>39</v>
      </c>
      <c r="Q5" s="10" t="s">
        <v>40</v>
      </c>
      <c r="R5" s="11" t="s">
        <v>41</v>
      </c>
      <c r="S5" s="10" t="s">
        <v>310</v>
      </c>
      <c r="T5" s="3" t="s">
        <v>311</v>
      </c>
      <c r="U5" s="3" t="s">
        <v>312</v>
      </c>
      <c r="V5" s="82" t="s">
        <v>313</v>
      </c>
      <c r="W5" s="82" t="s">
        <v>314</v>
      </c>
      <c r="X5" s="82" t="s">
        <v>315</v>
      </c>
      <c r="Y5" s="82" t="s">
        <v>42</v>
      </c>
      <c r="Z5" s="82" t="s">
        <v>43</v>
      </c>
      <c r="AA5" s="82" t="s">
        <v>37</v>
      </c>
      <c r="AB5" s="10" t="s">
        <v>38</v>
      </c>
      <c r="AC5" s="10" t="s">
        <v>39</v>
      </c>
      <c r="AD5" s="10" t="s">
        <v>40</v>
      </c>
      <c r="AE5" s="10" t="s">
        <v>41</v>
      </c>
      <c r="AF5" s="81" t="s">
        <v>310</v>
      </c>
      <c r="AG5" s="80" t="s">
        <v>311</v>
      </c>
      <c r="AH5" s="80" t="s">
        <v>312</v>
      </c>
      <c r="AI5" s="10" t="s">
        <v>313</v>
      </c>
      <c r="AJ5" s="10" t="s">
        <v>314</v>
      </c>
      <c r="AK5" s="10" t="s">
        <v>315</v>
      </c>
      <c r="AL5" s="82" t="s">
        <v>42</v>
      </c>
      <c r="AM5" s="82" t="s">
        <v>43</v>
      </c>
      <c r="AN5" s="82" t="s">
        <v>37</v>
      </c>
      <c r="AO5" s="10" t="s">
        <v>38</v>
      </c>
      <c r="AP5" s="10" t="s">
        <v>39</v>
      </c>
      <c r="AQ5" s="10" t="s">
        <v>40</v>
      </c>
      <c r="AR5" s="11" t="s">
        <v>41</v>
      </c>
      <c r="AS5" s="81" t="s">
        <v>310</v>
      </c>
      <c r="AT5" s="80" t="s">
        <v>311</v>
      </c>
      <c r="AU5" s="80" t="s">
        <v>312</v>
      </c>
      <c r="AV5" s="10" t="s">
        <v>313</v>
      </c>
      <c r="AW5" s="10" t="s">
        <v>314</v>
      </c>
      <c r="AX5" s="10" t="s">
        <v>315</v>
      </c>
      <c r="AY5" s="82" t="s">
        <v>42</v>
      </c>
      <c r="AZ5" s="82" t="s">
        <v>43</v>
      </c>
      <c r="BA5" s="82" t="s">
        <v>37</v>
      </c>
      <c r="BB5" s="10" t="s">
        <v>38</v>
      </c>
      <c r="BC5" s="10" t="s">
        <v>39</v>
      </c>
      <c r="BD5" s="10" t="s">
        <v>40</v>
      </c>
      <c r="BE5" s="11" t="s">
        <v>41</v>
      </c>
      <c r="BF5" s="81" t="s">
        <v>310</v>
      </c>
      <c r="BG5" s="80" t="s">
        <v>311</v>
      </c>
      <c r="BH5" s="80" t="s">
        <v>312</v>
      </c>
      <c r="BI5" s="10" t="s">
        <v>313</v>
      </c>
      <c r="BJ5" s="10" t="s">
        <v>314</v>
      </c>
      <c r="BK5" s="10" t="s">
        <v>315</v>
      </c>
      <c r="BL5" s="82" t="s">
        <v>42</v>
      </c>
      <c r="BM5" s="82" t="s">
        <v>43</v>
      </c>
      <c r="BN5" s="82" t="s">
        <v>37</v>
      </c>
      <c r="BO5" s="10" t="s">
        <v>38</v>
      </c>
      <c r="BP5" s="10" t="s">
        <v>39</v>
      </c>
      <c r="BQ5" s="10" t="s">
        <v>40</v>
      </c>
      <c r="BR5" s="11" t="s">
        <v>41</v>
      </c>
      <c r="BS5" s="81" t="s">
        <v>310</v>
      </c>
      <c r="BT5" s="80" t="s">
        <v>311</v>
      </c>
      <c r="BU5" s="80" t="s">
        <v>312</v>
      </c>
      <c r="BV5" s="10" t="s">
        <v>313</v>
      </c>
      <c r="BW5" s="10" t="s">
        <v>314</v>
      </c>
      <c r="BX5" s="10" t="s">
        <v>315</v>
      </c>
      <c r="BY5" s="82" t="s">
        <v>42</v>
      </c>
      <c r="BZ5" s="82" t="s">
        <v>43</v>
      </c>
      <c r="CA5" s="82" t="s">
        <v>37</v>
      </c>
      <c r="CB5" s="10" t="s">
        <v>38</v>
      </c>
      <c r="CC5" s="10" t="s">
        <v>39</v>
      </c>
      <c r="CD5" s="10" t="s">
        <v>40</v>
      </c>
      <c r="CE5" s="11" t="s">
        <v>41</v>
      </c>
      <c r="CF5" s="81" t="s">
        <v>310</v>
      </c>
      <c r="CG5" s="80" t="s">
        <v>311</v>
      </c>
      <c r="CH5" s="80" t="s">
        <v>312</v>
      </c>
      <c r="CI5" s="10" t="s">
        <v>313</v>
      </c>
      <c r="CJ5" s="10" t="s">
        <v>314</v>
      </c>
      <c r="CK5" s="10" t="s">
        <v>315</v>
      </c>
      <c r="CL5" s="82" t="s">
        <v>42</v>
      </c>
      <c r="CM5" s="82" t="s">
        <v>43</v>
      </c>
      <c r="CN5" s="82" t="s">
        <v>37</v>
      </c>
      <c r="CO5" s="10" t="s">
        <v>38</v>
      </c>
      <c r="CP5" s="10" t="s">
        <v>39</v>
      </c>
      <c r="CQ5" s="10" t="s">
        <v>40</v>
      </c>
      <c r="CR5" s="11" t="s">
        <v>41</v>
      </c>
      <c r="CS5" s="81" t="s">
        <v>310</v>
      </c>
      <c r="CT5" s="80" t="s">
        <v>311</v>
      </c>
      <c r="CU5" s="80" t="s">
        <v>312</v>
      </c>
      <c r="CV5" s="10" t="s">
        <v>313</v>
      </c>
      <c r="CW5" s="10" t="s">
        <v>314</v>
      </c>
      <c r="CX5" s="10" t="s">
        <v>315</v>
      </c>
      <c r="CY5" s="82" t="s">
        <v>42</v>
      </c>
      <c r="CZ5" s="82" t="s">
        <v>43</v>
      </c>
      <c r="DA5" s="82" t="s">
        <v>37</v>
      </c>
      <c r="DB5" s="10" t="s">
        <v>38</v>
      </c>
      <c r="DC5" s="10" t="s">
        <v>39</v>
      </c>
      <c r="DD5" s="10" t="s">
        <v>40</v>
      </c>
      <c r="DE5" s="11" t="s">
        <v>41</v>
      </c>
      <c r="DF5" s="81" t="s">
        <v>310</v>
      </c>
      <c r="DG5" s="80" t="s">
        <v>311</v>
      </c>
      <c r="DH5" s="80" t="s">
        <v>312</v>
      </c>
      <c r="DI5" s="10" t="s">
        <v>313</v>
      </c>
      <c r="DJ5" s="10" t="s">
        <v>314</v>
      </c>
      <c r="DK5" s="10" t="s">
        <v>315</v>
      </c>
      <c r="DL5" s="82" t="s">
        <v>42</v>
      </c>
      <c r="DM5" s="82" t="s">
        <v>43</v>
      </c>
      <c r="DN5" s="82" t="s">
        <v>37</v>
      </c>
      <c r="DO5" s="10" t="s">
        <v>38</v>
      </c>
      <c r="DP5" s="10" t="s">
        <v>39</v>
      </c>
      <c r="DQ5" s="10" t="s">
        <v>40</v>
      </c>
      <c r="DR5" s="11" t="s">
        <v>41</v>
      </c>
      <c r="DS5" s="81" t="s">
        <v>310</v>
      </c>
      <c r="DT5" s="3" t="s">
        <v>311</v>
      </c>
      <c r="DU5" s="3" t="s">
        <v>312</v>
      </c>
      <c r="DV5" s="82" t="s">
        <v>313</v>
      </c>
      <c r="DW5" s="82" t="s">
        <v>314</v>
      </c>
      <c r="DX5" s="82" t="s">
        <v>315</v>
      </c>
      <c r="DY5" s="82" t="s">
        <v>42</v>
      </c>
      <c r="DZ5" s="82" t="s">
        <v>43</v>
      </c>
      <c r="EA5" s="82" t="s">
        <v>37</v>
      </c>
      <c r="EB5" s="82" t="s">
        <v>38</v>
      </c>
      <c r="EC5" s="10" t="s">
        <v>39</v>
      </c>
      <c r="ED5" s="10" t="s">
        <v>40</v>
      </c>
      <c r="EE5" s="11" t="s">
        <v>41</v>
      </c>
      <c r="EF5" s="83" t="s">
        <v>310</v>
      </c>
      <c r="EG5" s="3" t="s">
        <v>311</v>
      </c>
      <c r="EH5" s="3" t="s">
        <v>312</v>
      </c>
      <c r="EI5" s="82" t="s">
        <v>313</v>
      </c>
      <c r="EJ5" s="82" t="s">
        <v>314</v>
      </c>
      <c r="EK5" s="82" t="s">
        <v>315</v>
      </c>
      <c r="EL5" s="82" t="s">
        <v>42</v>
      </c>
      <c r="EM5" s="82" t="s">
        <v>43</v>
      </c>
      <c r="EN5" s="82" t="s">
        <v>37</v>
      </c>
      <c r="EO5" s="82" t="s">
        <v>38</v>
      </c>
      <c r="EP5" s="82" t="s">
        <v>39</v>
      </c>
      <c r="EQ5" s="10" t="s">
        <v>40</v>
      </c>
      <c r="ER5" s="11" t="s">
        <v>41</v>
      </c>
      <c r="ES5" s="81" t="s">
        <v>310</v>
      </c>
      <c r="ET5" s="3" t="s">
        <v>311</v>
      </c>
      <c r="EU5" s="3" t="s">
        <v>312</v>
      </c>
      <c r="EV5" s="82" t="s">
        <v>313</v>
      </c>
      <c r="EW5" s="82" t="s">
        <v>314</v>
      </c>
      <c r="EX5" s="82" t="s">
        <v>315</v>
      </c>
      <c r="EY5" s="82" t="s">
        <v>42</v>
      </c>
      <c r="EZ5" s="82" t="s">
        <v>43</v>
      </c>
      <c r="FA5" s="82" t="s">
        <v>37</v>
      </c>
      <c r="FB5" s="82" t="s">
        <v>38</v>
      </c>
      <c r="FC5" s="82" t="s">
        <v>39</v>
      </c>
      <c r="FD5" s="10" t="s">
        <v>40</v>
      </c>
      <c r="FE5" s="11" t="s">
        <v>41</v>
      </c>
      <c r="FF5" s="83" t="s">
        <v>310</v>
      </c>
      <c r="FG5" s="3" t="s">
        <v>311</v>
      </c>
      <c r="FH5" s="3" t="s">
        <v>312</v>
      </c>
      <c r="FI5" s="82" t="s">
        <v>313</v>
      </c>
      <c r="FJ5" s="82" t="s">
        <v>314</v>
      </c>
      <c r="FK5" s="82" t="s">
        <v>315</v>
      </c>
      <c r="FL5" s="82" t="s">
        <v>42</v>
      </c>
      <c r="FM5" s="82" t="s">
        <v>43</v>
      </c>
      <c r="FN5" s="82" t="s">
        <v>37</v>
      </c>
      <c r="FO5" s="82" t="s">
        <v>38</v>
      </c>
      <c r="FP5" s="82" t="s">
        <v>39</v>
      </c>
      <c r="FQ5" s="10" t="s">
        <v>40</v>
      </c>
      <c r="FR5" s="11" t="s">
        <v>41</v>
      </c>
    </row>
    <row r="6" spans="4:174" ht="16.5" customHeight="1" x14ac:dyDescent="0.25">
      <c r="E6" s="84" t="s">
        <v>44</v>
      </c>
      <c r="F6" s="85">
        <f t="shared" ref="F6:AN6" si="0">F9+F31+F35+F56</f>
        <v>264.49999999999994</v>
      </c>
      <c r="G6" s="86">
        <f t="shared" si="0"/>
        <v>200.70000000000002</v>
      </c>
      <c r="H6" s="86">
        <f t="shared" si="0"/>
        <v>177.30000000000004</v>
      </c>
      <c r="I6" s="86">
        <f t="shared" si="0"/>
        <v>246.3</v>
      </c>
      <c r="J6" s="86">
        <f t="shared" si="0"/>
        <v>259.60000000000002</v>
      </c>
      <c r="K6" s="86">
        <f t="shared" si="0"/>
        <v>272.59999999999997</v>
      </c>
      <c r="L6" s="86">
        <f t="shared" si="0"/>
        <v>262.60000000000002</v>
      </c>
      <c r="M6" s="86">
        <f t="shared" si="0"/>
        <v>260.10000000000002</v>
      </c>
      <c r="N6" s="86">
        <f t="shared" si="0"/>
        <v>259.2</v>
      </c>
      <c r="O6" s="86">
        <f t="shared" si="0"/>
        <v>0</v>
      </c>
      <c r="P6" s="86">
        <f t="shared" si="0"/>
        <v>0</v>
      </c>
      <c r="Q6" s="86">
        <f t="shared" si="0"/>
        <v>0</v>
      </c>
      <c r="R6" s="87">
        <f t="shared" si="0"/>
        <v>0</v>
      </c>
      <c r="S6" s="86">
        <f t="shared" si="0"/>
        <v>892.5</v>
      </c>
      <c r="T6" s="86">
        <f t="shared" si="0"/>
        <v>863</v>
      </c>
      <c r="U6" s="86">
        <f t="shared" si="0"/>
        <v>860.4</v>
      </c>
      <c r="V6" s="86">
        <f t="shared" si="0"/>
        <v>933.5</v>
      </c>
      <c r="W6" s="86">
        <f t="shared" si="0"/>
        <v>971.8</v>
      </c>
      <c r="X6" s="86">
        <f t="shared" si="0"/>
        <v>990.69999999999982</v>
      </c>
      <c r="Y6" s="86">
        <f t="shared" si="0"/>
        <v>967.8</v>
      </c>
      <c r="Z6" s="86">
        <f t="shared" si="0"/>
        <v>997.5</v>
      </c>
      <c r="AA6" s="86">
        <f t="shared" si="0"/>
        <v>1007.5999999999999</v>
      </c>
      <c r="AB6" s="86">
        <f t="shared" si="0"/>
        <v>0</v>
      </c>
      <c r="AC6" s="86">
        <f t="shared" si="0"/>
        <v>0</v>
      </c>
      <c r="AD6" s="86">
        <f t="shared" si="0"/>
        <v>0</v>
      </c>
      <c r="AE6" s="87">
        <f t="shared" si="0"/>
        <v>0</v>
      </c>
      <c r="AF6" s="86">
        <f t="shared" si="0"/>
        <v>114.59999999999998</v>
      </c>
      <c r="AG6" s="86">
        <f t="shared" si="0"/>
        <v>113.10000000000002</v>
      </c>
      <c r="AH6" s="86">
        <f t="shared" si="0"/>
        <v>117</v>
      </c>
      <c r="AI6" s="86">
        <f t="shared" si="0"/>
        <v>120.6</v>
      </c>
      <c r="AJ6" s="86">
        <f t="shared" si="0"/>
        <v>116.3</v>
      </c>
      <c r="AK6" s="86">
        <f t="shared" si="0"/>
        <v>115.6</v>
      </c>
      <c r="AL6" s="86">
        <f t="shared" si="0"/>
        <v>120</v>
      </c>
      <c r="AM6" s="86">
        <f t="shared" si="0"/>
        <v>136.19999999999999</v>
      </c>
      <c r="AN6" s="86">
        <f t="shared" si="0"/>
        <v>137.19999999999999</v>
      </c>
      <c r="AO6" s="86">
        <f t="shared" ref="AO6:BK6" si="1">AO56</f>
        <v>0</v>
      </c>
      <c r="AP6" s="86">
        <f t="shared" si="1"/>
        <v>0</v>
      </c>
      <c r="AQ6" s="86">
        <f t="shared" si="1"/>
        <v>0</v>
      </c>
      <c r="AR6" s="87">
        <f t="shared" si="1"/>
        <v>0</v>
      </c>
      <c r="AS6" s="85">
        <f t="shared" si="1"/>
        <v>0</v>
      </c>
      <c r="AT6" s="86">
        <f t="shared" si="1"/>
        <v>0</v>
      </c>
      <c r="AU6" s="86">
        <f t="shared" si="1"/>
        <v>0</v>
      </c>
      <c r="AV6" s="86">
        <f t="shared" si="1"/>
        <v>0</v>
      </c>
      <c r="AW6" s="86">
        <f t="shared" si="1"/>
        <v>0</v>
      </c>
      <c r="AX6" s="86">
        <f t="shared" si="1"/>
        <v>0</v>
      </c>
      <c r="AY6" s="86">
        <f t="shared" si="1"/>
        <v>0</v>
      </c>
      <c r="AZ6" s="86">
        <f t="shared" si="1"/>
        <v>0</v>
      </c>
      <c r="BA6" s="86">
        <f t="shared" si="1"/>
        <v>0</v>
      </c>
      <c r="BB6" s="86">
        <f t="shared" si="1"/>
        <v>0</v>
      </c>
      <c r="BC6" s="86">
        <f t="shared" si="1"/>
        <v>0</v>
      </c>
      <c r="BD6" s="86">
        <f t="shared" si="1"/>
        <v>0</v>
      </c>
      <c r="BE6" s="87">
        <f t="shared" si="1"/>
        <v>0</v>
      </c>
      <c r="BF6" s="85">
        <f t="shared" si="1"/>
        <v>0.3</v>
      </c>
      <c r="BG6" s="86">
        <f t="shared" si="1"/>
        <v>0.7</v>
      </c>
      <c r="BH6" s="86">
        <f t="shared" si="1"/>
        <v>0.2</v>
      </c>
      <c r="BI6" s="86">
        <f t="shared" si="1"/>
        <v>0.8</v>
      </c>
      <c r="BJ6" s="86">
        <f t="shared" si="1"/>
        <v>-1.3</v>
      </c>
      <c r="BK6" s="86">
        <f t="shared" si="1"/>
        <v>-2.1</v>
      </c>
      <c r="BL6" s="86">
        <v>1.1000000000000001</v>
      </c>
      <c r="BM6" s="86">
        <f t="shared" ref="BM6:BR6" si="2">BM56</f>
        <v>-1.22</v>
      </c>
      <c r="BN6" s="86">
        <f t="shared" si="2"/>
        <v>-1.4</v>
      </c>
      <c r="BO6" s="86">
        <f t="shared" si="2"/>
        <v>0</v>
      </c>
      <c r="BP6" s="86">
        <f t="shared" si="2"/>
        <v>0</v>
      </c>
      <c r="BQ6" s="86">
        <f t="shared" si="2"/>
        <v>0</v>
      </c>
      <c r="BR6" s="87">
        <f t="shared" si="2"/>
        <v>0</v>
      </c>
      <c r="BS6" s="30">
        <v>0</v>
      </c>
      <c r="BT6" s="31">
        <f>BT9+BT31+BT35+BT56</f>
        <v>46.000000000000007</v>
      </c>
      <c r="BU6" s="31">
        <f>BU9+BU31+BU35+BU56</f>
        <v>97.3</v>
      </c>
      <c r="BV6" s="31">
        <f>BV9+BV31+BV35+BV56</f>
        <v>26.3</v>
      </c>
      <c r="BW6" s="31">
        <f>BW9+BW31+BW35+BW56</f>
        <v>18.399999999999999</v>
      </c>
      <c r="BX6" s="31"/>
      <c r="BY6" s="31"/>
      <c r="BZ6" s="31"/>
      <c r="CA6" s="31"/>
      <c r="CB6" s="31"/>
      <c r="CC6" s="31"/>
      <c r="CD6" s="31"/>
      <c r="CE6" s="88"/>
      <c r="CF6" s="31">
        <f t="shared" ref="CF6:CR6" si="3">+BF6+AS6+AF6+S6</f>
        <v>1007.4</v>
      </c>
      <c r="CG6" s="31">
        <f t="shared" si="3"/>
        <v>976.80000000000007</v>
      </c>
      <c r="CH6" s="31">
        <f t="shared" si="3"/>
        <v>977.6</v>
      </c>
      <c r="CI6" s="31">
        <f t="shared" si="3"/>
        <v>1054.9000000000001</v>
      </c>
      <c r="CJ6" s="31">
        <f t="shared" si="3"/>
        <v>1086.8</v>
      </c>
      <c r="CK6" s="31">
        <f t="shared" si="3"/>
        <v>1104.1999999999998</v>
      </c>
      <c r="CL6" s="31">
        <f t="shared" si="3"/>
        <v>1088.8999999999999</v>
      </c>
      <c r="CM6" s="31">
        <f t="shared" si="3"/>
        <v>1132.48</v>
      </c>
      <c r="CN6" s="31">
        <f t="shared" si="3"/>
        <v>1143.3999999999999</v>
      </c>
      <c r="CO6" s="31">
        <f t="shared" si="3"/>
        <v>0</v>
      </c>
      <c r="CP6" s="31">
        <f t="shared" si="3"/>
        <v>0</v>
      </c>
      <c r="CQ6" s="31">
        <f t="shared" si="3"/>
        <v>0</v>
      </c>
      <c r="CR6" s="88">
        <f t="shared" si="3"/>
        <v>0</v>
      </c>
      <c r="CS6" s="30">
        <f t="shared" ref="CS6:DE6" si="4">+CF6-BS6-F6</f>
        <v>742.90000000000009</v>
      </c>
      <c r="CT6" s="31">
        <f t="shared" si="4"/>
        <v>730.1</v>
      </c>
      <c r="CU6" s="31">
        <f t="shared" si="4"/>
        <v>703</v>
      </c>
      <c r="CV6" s="31">
        <f t="shared" si="4"/>
        <v>782.30000000000018</v>
      </c>
      <c r="CW6" s="31">
        <f t="shared" si="4"/>
        <v>808.79999999999984</v>
      </c>
      <c r="CX6" s="31">
        <f t="shared" si="4"/>
        <v>831.59999999999991</v>
      </c>
      <c r="CY6" s="31">
        <f t="shared" si="4"/>
        <v>826.29999999999984</v>
      </c>
      <c r="CZ6" s="31">
        <f t="shared" si="4"/>
        <v>872.38</v>
      </c>
      <c r="DA6" s="31">
        <f t="shared" si="4"/>
        <v>884.19999999999982</v>
      </c>
      <c r="DB6" s="31">
        <f t="shared" si="4"/>
        <v>0</v>
      </c>
      <c r="DC6" s="31">
        <f t="shared" si="4"/>
        <v>0</v>
      </c>
      <c r="DD6" s="31">
        <f t="shared" si="4"/>
        <v>0</v>
      </c>
      <c r="DE6" s="88">
        <f t="shared" si="4"/>
        <v>0</v>
      </c>
      <c r="DF6" s="32">
        <f t="shared" ref="DF6:DK6" si="5">+AF6/CF6</f>
        <v>0.11375818939845145</v>
      </c>
      <c r="DG6" s="33">
        <f t="shared" si="5"/>
        <v>0.11578624078624081</v>
      </c>
      <c r="DH6" s="33">
        <f t="shared" si="5"/>
        <v>0.11968085106382978</v>
      </c>
      <c r="DI6" s="33">
        <f t="shared" si="5"/>
        <v>0.11432363257180773</v>
      </c>
      <c r="DJ6" s="33">
        <f t="shared" si="5"/>
        <v>0.10701140964298859</v>
      </c>
      <c r="DK6" s="33">
        <f t="shared" si="5"/>
        <v>0.10469117913421483</v>
      </c>
      <c r="DL6" s="33">
        <f t="shared" ref="DL6:DR6" si="6">IFERROR((+AL6/CL6),0)</f>
        <v>0.11020295711268253</v>
      </c>
      <c r="DM6" s="33">
        <f t="shared" si="6"/>
        <v>0.12026702458321559</v>
      </c>
      <c r="DN6" s="33">
        <f t="shared" si="6"/>
        <v>0.11999300332342137</v>
      </c>
      <c r="DO6" s="33">
        <f t="shared" si="6"/>
        <v>0</v>
      </c>
      <c r="DP6" s="33">
        <f t="shared" si="6"/>
        <v>0</v>
      </c>
      <c r="DQ6" s="33">
        <f t="shared" si="6"/>
        <v>0</v>
      </c>
      <c r="DR6" s="34">
        <f t="shared" si="6"/>
        <v>0</v>
      </c>
      <c r="DS6" s="139">
        <f t="shared" ref="DS6:EC6" si="7">DS35</f>
        <v>841838</v>
      </c>
      <c r="DT6" s="35">
        <f t="shared" si="7"/>
        <v>833700</v>
      </c>
      <c r="DU6" s="35">
        <f t="shared" si="7"/>
        <v>804414</v>
      </c>
      <c r="DV6" s="35">
        <f t="shared" si="7"/>
        <v>796022</v>
      </c>
      <c r="DW6" s="35">
        <f t="shared" si="7"/>
        <v>785940</v>
      </c>
      <c r="DX6" s="35">
        <f t="shared" si="7"/>
        <v>773528</v>
      </c>
      <c r="DY6" s="35">
        <f t="shared" si="7"/>
        <v>771832</v>
      </c>
      <c r="DZ6" s="35">
        <f t="shared" si="7"/>
        <v>778171</v>
      </c>
      <c r="EA6" s="35">
        <f t="shared" si="7"/>
        <v>783220</v>
      </c>
      <c r="EB6" s="35">
        <f t="shared" si="7"/>
        <v>0</v>
      </c>
      <c r="EC6" s="35">
        <f t="shared" si="7"/>
        <v>0</v>
      </c>
      <c r="ED6" s="89"/>
      <c r="EE6" s="34"/>
      <c r="EF6" s="35">
        <f t="shared" ref="EF6:EP6" si="8">EF31</f>
        <v>5851</v>
      </c>
      <c r="EG6" s="35">
        <f t="shared" si="8"/>
        <v>5752</v>
      </c>
      <c r="EH6" s="35">
        <f t="shared" si="8"/>
        <v>5743</v>
      </c>
      <c r="EI6" s="35">
        <f t="shared" si="8"/>
        <v>5848</v>
      </c>
      <c r="EJ6" s="35">
        <f t="shared" si="8"/>
        <v>5774</v>
      </c>
      <c r="EK6" s="35">
        <f t="shared" si="8"/>
        <v>5747</v>
      </c>
      <c r="EL6" s="35">
        <f t="shared" si="8"/>
        <v>5615</v>
      </c>
      <c r="EM6" s="35">
        <f t="shared" si="8"/>
        <v>0</v>
      </c>
      <c r="EN6" s="35">
        <f t="shared" si="8"/>
        <v>0</v>
      </c>
      <c r="EO6" s="35">
        <f t="shared" si="8"/>
        <v>0</v>
      </c>
      <c r="EP6" s="35">
        <f t="shared" si="8"/>
        <v>0</v>
      </c>
      <c r="EQ6" s="89"/>
      <c r="ER6" s="90"/>
      <c r="ES6" s="139">
        <f t="shared" ref="ES6:FC6" si="9">ES31+ES35</f>
        <v>14338372</v>
      </c>
      <c r="ET6" s="35">
        <f t="shared" si="9"/>
        <v>9420348</v>
      </c>
      <c r="EU6" s="35">
        <f t="shared" si="9"/>
        <v>8490102</v>
      </c>
      <c r="EV6" s="35">
        <f t="shared" si="9"/>
        <v>11534884</v>
      </c>
      <c r="EW6" s="35">
        <f t="shared" si="9"/>
        <v>11772238</v>
      </c>
      <c r="EX6" s="35">
        <f t="shared" si="9"/>
        <v>11891197</v>
      </c>
      <c r="EY6" s="35">
        <f t="shared" si="9"/>
        <v>12221230</v>
      </c>
      <c r="EZ6" s="35">
        <f t="shared" si="9"/>
        <v>0</v>
      </c>
      <c r="FA6" s="35">
        <f t="shared" si="9"/>
        <v>0</v>
      </c>
      <c r="FB6" s="35">
        <f t="shared" si="9"/>
        <v>0</v>
      </c>
      <c r="FC6" s="35">
        <f t="shared" si="9"/>
        <v>0</v>
      </c>
      <c r="FD6" s="89"/>
      <c r="FE6" s="90"/>
      <c r="FF6" s="35">
        <f t="shared" ref="FF6:FP6" si="10">FF31</f>
        <v>310000</v>
      </c>
      <c r="FG6" s="35">
        <f t="shared" si="10"/>
        <v>305000</v>
      </c>
      <c r="FH6" s="35">
        <f t="shared" si="10"/>
        <v>304000</v>
      </c>
      <c r="FI6" s="35">
        <f t="shared" si="10"/>
        <v>310000</v>
      </c>
      <c r="FJ6" s="35">
        <f t="shared" si="10"/>
        <v>306000</v>
      </c>
      <c r="FK6" s="35">
        <f t="shared" si="10"/>
        <v>316000</v>
      </c>
      <c r="FL6" s="35">
        <f t="shared" si="10"/>
        <v>297581</v>
      </c>
      <c r="FM6" s="35">
        <f t="shared" si="10"/>
        <v>297581</v>
      </c>
      <c r="FN6" s="35">
        <f t="shared" si="10"/>
        <v>0</v>
      </c>
      <c r="FO6" s="35">
        <f t="shared" si="10"/>
        <v>0</v>
      </c>
      <c r="FP6" s="35">
        <f t="shared" si="10"/>
        <v>0</v>
      </c>
      <c r="FQ6" s="89"/>
      <c r="FR6" s="90"/>
    </row>
    <row r="7" spans="4:174" ht="16.5" customHeight="1" x14ac:dyDescent="0.25">
      <c r="F7" s="91"/>
      <c r="R7" s="13"/>
      <c r="AF7" s="91"/>
      <c r="AR7" s="13"/>
      <c r="AS7" s="91"/>
      <c r="BE7" s="13"/>
      <c r="BF7" s="91"/>
      <c r="BR7" s="13"/>
      <c r="BS7" s="91"/>
      <c r="CE7" s="13"/>
      <c r="CF7" s="91"/>
      <c r="CR7" s="13"/>
      <c r="CS7" s="91"/>
      <c r="DE7" s="13"/>
      <c r="DF7" s="91"/>
      <c r="DR7" s="13"/>
      <c r="DS7" s="91"/>
      <c r="EE7" s="13"/>
      <c r="EF7" s="91"/>
      <c r="ER7" s="13"/>
      <c r="ES7" s="91"/>
      <c r="FE7" s="13"/>
      <c r="FF7" s="91"/>
      <c r="FR7" s="13"/>
    </row>
    <row r="8" spans="4:174" x14ac:dyDescent="0.25">
      <c r="F8" s="91"/>
      <c r="R8" s="13"/>
      <c r="AF8" s="91"/>
      <c r="AR8" s="13"/>
      <c r="AS8" s="91"/>
      <c r="BE8" s="13"/>
      <c r="BF8" s="91"/>
      <c r="BR8" s="13"/>
      <c r="BS8" s="91"/>
      <c r="CE8" s="13"/>
      <c r="CF8" s="91"/>
      <c r="CR8" s="13"/>
      <c r="CS8" s="91"/>
      <c r="DE8" s="13"/>
      <c r="DF8" s="91"/>
      <c r="DR8" s="13"/>
      <c r="DS8" s="91"/>
      <c r="EE8" s="13"/>
      <c r="EF8" s="91"/>
      <c r="ER8" s="13"/>
      <c r="ES8" s="91"/>
      <c r="FE8" s="13"/>
      <c r="FF8" s="91"/>
      <c r="FR8" s="13"/>
    </row>
    <row r="9" spans="4:174" s="4" customFormat="1" ht="24.75" customHeight="1" x14ac:dyDescent="0.3">
      <c r="D9" s="92"/>
      <c r="E9" s="93" t="s">
        <v>51</v>
      </c>
      <c r="F9" s="95">
        <f t="shared" ref="F9:K9" si="11">SUM(F10:F21)</f>
        <v>17.900000000000002</v>
      </c>
      <c r="G9" s="95">
        <f t="shared" si="11"/>
        <v>13.2</v>
      </c>
      <c r="H9" s="95">
        <f t="shared" si="11"/>
        <v>17.8</v>
      </c>
      <c r="I9" s="95">
        <f t="shared" si="11"/>
        <v>20</v>
      </c>
      <c r="J9" s="95">
        <f t="shared" si="11"/>
        <v>22.6</v>
      </c>
      <c r="K9" s="95">
        <f t="shared" si="11"/>
        <v>25.1</v>
      </c>
      <c r="L9" s="95">
        <f t="shared" ref="L9:R9" si="12">SUM(L10:L28)</f>
        <v>27.1</v>
      </c>
      <c r="M9" s="95">
        <f t="shared" si="12"/>
        <v>26.2</v>
      </c>
      <c r="N9" s="95">
        <f t="shared" si="12"/>
        <v>26.9</v>
      </c>
      <c r="O9" s="95">
        <f t="shared" si="12"/>
        <v>0</v>
      </c>
      <c r="P9" s="95">
        <f t="shared" si="12"/>
        <v>0</v>
      </c>
      <c r="Q9" s="95">
        <f t="shared" si="12"/>
        <v>0</v>
      </c>
      <c r="R9" s="96">
        <f t="shared" si="12"/>
        <v>0</v>
      </c>
      <c r="S9" s="95">
        <f t="shared" ref="S9:Y9" si="13">SUM(S10:S21)</f>
        <v>256.59999999999997</v>
      </c>
      <c r="T9" s="95">
        <f t="shared" si="13"/>
        <v>244.20000000000002</v>
      </c>
      <c r="U9" s="95">
        <f t="shared" si="13"/>
        <v>255.7</v>
      </c>
      <c r="V9" s="95">
        <f t="shared" si="13"/>
        <v>274.2</v>
      </c>
      <c r="W9" s="95">
        <f t="shared" si="13"/>
        <v>303.3</v>
      </c>
      <c r="X9" s="95">
        <f t="shared" si="13"/>
        <v>326.60000000000002</v>
      </c>
      <c r="Y9" s="95">
        <f t="shared" si="13"/>
        <v>294.49999999999994</v>
      </c>
      <c r="Z9" s="95">
        <f t="shared" ref="Z9:AE9" si="14">SUM(Z10:Z29)</f>
        <v>302.70000000000005</v>
      </c>
      <c r="AA9" s="95">
        <f t="shared" si="14"/>
        <v>299.69999999999993</v>
      </c>
      <c r="AB9" s="95">
        <f t="shared" si="14"/>
        <v>0</v>
      </c>
      <c r="AC9" s="95">
        <f t="shared" si="14"/>
        <v>0</v>
      </c>
      <c r="AD9" s="95">
        <f t="shared" si="14"/>
        <v>0</v>
      </c>
      <c r="AE9" s="95">
        <f t="shared" si="14"/>
        <v>0</v>
      </c>
      <c r="AF9" s="99">
        <f t="shared" ref="AF9:AN9" si="15">SUM(AF10:AF21)</f>
        <v>34.4</v>
      </c>
      <c r="AG9" s="95">
        <f t="shared" si="15"/>
        <v>39.1</v>
      </c>
      <c r="AH9" s="95">
        <f t="shared" si="15"/>
        <v>35.800000000000004</v>
      </c>
      <c r="AI9" s="95">
        <f t="shared" si="15"/>
        <v>40</v>
      </c>
      <c r="AJ9" s="95">
        <f t="shared" si="15"/>
        <v>37.699999999999996</v>
      </c>
      <c r="AK9" s="95">
        <f t="shared" si="15"/>
        <v>39.200000000000003</v>
      </c>
      <c r="AL9" s="95">
        <f t="shared" si="15"/>
        <v>39.099999999999994</v>
      </c>
      <c r="AM9" s="95">
        <f t="shared" si="15"/>
        <v>45.199999999999996</v>
      </c>
      <c r="AN9" s="95">
        <f t="shared" si="15"/>
        <v>47.3</v>
      </c>
      <c r="AO9" s="98"/>
      <c r="AP9" s="98"/>
      <c r="AQ9" s="98"/>
      <c r="AR9" s="239"/>
      <c r="AS9" s="99"/>
      <c r="AT9" s="97"/>
      <c r="AU9" s="97"/>
      <c r="AV9" s="97"/>
      <c r="AW9" s="97"/>
      <c r="AX9" s="97"/>
      <c r="AY9" s="97"/>
      <c r="AZ9" s="97"/>
      <c r="BA9" s="97"/>
      <c r="BB9" s="97"/>
      <c r="BC9" s="97"/>
      <c r="BD9" s="97"/>
      <c r="BE9" s="100"/>
      <c r="BF9" s="99"/>
      <c r="BG9" s="97"/>
      <c r="BH9" s="97"/>
      <c r="BI9" s="97"/>
      <c r="BJ9" s="97"/>
      <c r="BK9" s="97"/>
      <c r="BL9" s="97"/>
      <c r="BM9" s="97"/>
      <c r="BN9" s="97"/>
      <c r="BO9" s="97"/>
      <c r="BP9" s="97"/>
      <c r="BQ9" s="97"/>
      <c r="BR9" s="100"/>
      <c r="BS9" s="99"/>
      <c r="BT9" s="97">
        <f t="shared" ref="BT9:CA9" si="16">SUM(BT10:BT21)</f>
        <v>-28.2</v>
      </c>
      <c r="BU9" s="97">
        <f t="shared" si="16"/>
        <v>9.3000000000000007</v>
      </c>
      <c r="BV9" s="97">
        <f t="shared" si="16"/>
        <v>0</v>
      </c>
      <c r="BW9" s="97">
        <f t="shared" si="16"/>
        <v>0</v>
      </c>
      <c r="BX9" s="97">
        <f t="shared" si="16"/>
        <v>0</v>
      </c>
      <c r="BY9" s="97">
        <f t="shared" si="16"/>
        <v>0</v>
      </c>
      <c r="BZ9" s="97">
        <f t="shared" si="16"/>
        <v>0</v>
      </c>
      <c r="CA9" s="97">
        <f t="shared" si="16"/>
        <v>0</v>
      </c>
      <c r="CB9" s="97"/>
      <c r="CC9" s="97"/>
      <c r="CD9" s="97"/>
      <c r="CE9" s="100"/>
      <c r="CF9" s="97"/>
      <c r="CG9" s="97"/>
      <c r="CH9" s="97"/>
      <c r="CI9" s="97"/>
      <c r="CJ9" s="97"/>
      <c r="CK9" s="97"/>
      <c r="CL9" s="97"/>
      <c r="CM9" s="97"/>
      <c r="CN9" s="97"/>
      <c r="CO9" s="95"/>
      <c r="CP9" s="95"/>
      <c r="CQ9" s="95"/>
      <c r="CR9" s="240"/>
      <c r="CS9" s="97"/>
      <c r="CT9" s="97"/>
      <c r="CU9" s="97"/>
      <c r="CV9" s="97"/>
      <c r="CW9" s="97"/>
      <c r="CX9" s="97"/>
      <c r="CY9" s="97"/>
      <c r="CZ9" s="97"/>
      <c r="DA9" s="97"/>
      <c r="DB9" s="95"/>
      <c r="DC9" s="95"/>
      <c r="DD9" s="95"/>
      <c r="DE9" s="95"/>
      <c r="DF9" s="99"/>
      <c r="DG9" s="97"/>
      <c r="DH9" s="97"/>
      <c r="DI9" s="97"/>
      <c r="DJ9" s="97"/>
      <c r="DK9" s="98"/>
      <c r="DL9" s="98"/>
      <c r="DM9" s="98"/>
      <c r="DN9" s="98"/>
      <c r="DO9" s="98"/>
      <c r="DP9" s="98"/>
      <c r="DQ9" s="98"/>
      <c r="DR9" s="98"/>
      <c r="DS9" s="99"/>
      <c r="DT9" s="97"/>
      <c r="DU9" s="97"/>
      <c r="DV9" s="97"/>
      <c r="DW9" s="97"/>
      <c r="DX9" s="97"/>
      <c r="DY9" s="97"/>
      <c r="DZ9" s="97"/>
      <c r="EA9" s="97"/>
      <c r="EB9" s="97"/>
      <c r="EC9" s="97"/>
      <c r="ED9" s="97"/>
      <c r="EE9" s="100"/>
      <c r="EF9" s="99"/>
      <c r="EG9" s="97"/>
      <c r="EH9" s="97"/>
      <c r="EI9" s="97"/>
      <c r="EJ9" s="97"/>
      <c r="EK9" s="97"/>
      <c r="EL9" s="97"/>
      <c r="EM9" s="97"/>
      <c r="EN9" s="97"/>
      <c r="EO9" s="97"/>
      <c r="EP9" s="97"/>
      <c r="EQ9" s="97"/>
      <c r="ER9" s="100"/>
      <c r="ES9" s="99"/>
      <c r="ET9" s="97"/>
      <c r="EU9" s="97"/>
      <c r="EV9" s="97"/>
      <c r="EW9" s="97"/>
      <c r="EX9" s="97"/>
      <c r="EY9" s="97"/>
      <c r="EZ9" s="97"/>
      <c r="FA9" s="97"/>
      <c r="FB9" s="97"/>
      <c r="FC9" s="97"/>
      <c r="FD9" s="97"/>
      <c r="FE9" s="100"/>
      <c r="FF9" s="99"/>
      <c r="FG9" s="97"/>
      <c r="FH9" s="97"/>
      <c r="FI9" s="97"/>
      <c r="FJ9" s="97"/>
      <c r="FK9" s="97"/>
      <c r="FL9" s="97"/>
      <c r="FM9" s="97"/>
      <c r="FN9" s="97"/>
      <c r="FO9" s="97"/>
      <c r="FP9" s="97"/>
      <c r="FQ9" s="97"/>
      <c r="FR9" s="100"/>
    </row>
    <row r="10" spans="4:174" x14ac:dyDescent="0.25">
      <c r="E10" s="2" t="s">
        <v>225</v>
      </c>
      <c r="F10" s="91">
        <v>8.3000000000000007</v>
      </c>
      <c r="G10" s="2">
        <v>0</v>
      </c>
      <c r="H10" s="2">
        <v>0</v>
      </c>
      <c r="I10" s="2">
        <v>0</v>
      </c>
      <c r="J10" s="2">
        <v>0</v>
      </c>
      <c r="K10" s="2">
        <v>0</v>
      </c>
      <c r="L10" s="2">
        <v>0</v>
      </c>
      <c r="M10" s="2">
        <v>0</v>
      </c>
      <c r="N10" s="2">
        <v>0</v>
      </c>
      <c r="R10" s="13"/>
      <c r="S10" s="2">
        <v>174.5</v>
      </c>
      <c r="T10" s="2">
        <f>1.9+174.4</f>
        <v>176.3</v>
      </c>
      <c r="U10" s="2">
        <f>0.1+172.2</f>
        <v>172.29999999999998</v>
      </c>
      <c r="V10" s="2">
        <f>0.2+176.4</f>
        <v>176.6</v>
      </c>
      <c r="W10" s="2">
        <f>0.6+193.2</f>
        <v>193.79999999999998</v>
      </c>
      <c r="X10" s="2">
        <f>1+205.8</f>
        <v>206.8</v>
      </c>
      <c r="Y10" s="2">
        <v>187.6</v>
      </c>
      <c r="Z10" s="103">
        <v>194.5</v>
      </c>
      <c r="AA10" s="103">
        <v>192</v>
      </c>
      <c r="AB10" s="103"/>
      <c r="AC10" s="103"/>
      <c r="AD10" s="103"/>
      <c r="AE10" s="103"/>
      <c r="AF10" s="91">
        <v>15.1</v>
      </c>
      <c r="AG10" s="2">
        <f>6.3+4.2+7.6</f>
        <v>18.100000000000001</v>
      </c>
      <c r="AH10" s="2">
        <f>5.1+3.9+7</f>
        <v>16</v>
      </c>
      <c r="AI10" s="2">
        <f>5.7+4.4+6.9</f>
        <v>17</v>
      </c>
      <c r="AJ10" s="2">
        <f>0.1+4.7+4.1+6.2</f>
        <v>15.099999999999998</v>
      </c>
      <c r="AK10" s="2">
        <f>0.1+4.5+4.3+7</f>
        <v>15.899999999999999</v>
      </c>
      <c r="AL10" s="2">
        <f>0.1+3.7+4.1+7.5</f>
        <v>15.4</v>
      </c>
      <c r="AM10" s="2">
        <f>0.1+5.5+5.8+7.5</f>
        <v>18.899999999999999</v>
      </c>
      <c r="AN10" s="2">
        <f>0.1+5.3+6.1+7.5</f>
        <v>19</v>
      </c>
      <c r="AO10" s="15"/>
      <c r="AP10" s="15"/>
      <c r="AQ10" s="15"/>
      <c r="AR10" s="145"/>
      <c r="AS10" s="91"/>
      <c r="BE10" s="13"/>
      <c r="BF10" s="91"/>
      <c r="BR10" s="13"/>
      <c r="BS10" s="91"/>
      <c r="BT10" s="2">
        <v>-6.6</v>
      </c>
      <c r="BU10" s="2">
        <v>3.5</v>
      </c>
      <c r="BV10" s="2">
        <v>0</v>
      </c>
      <c r="BW10" s="2">
        <v>0</v>
      </c>
      <c r="CE10" s="13"/>
      <c r="CF10" s="2">
        <f t="shared" ref="CF10:CF21" si="17">+BF10+AS10+AF10+S10</f>
        <v>189.6</v>
      </c>
      <c r="CG10" s="2">
        <f t="shared" ref="CG10:CG21" si="18">+BG10+AT10+AG10+T10</f>
        <v>194.4</v>
      </c>
      <c r="CH10" s="2">
        <f t="shared" ref="CH10:CH21" si="19">+BH10+AU10+AH10+U10</f>
        <v>188.29999999999998</v>
      </c>
      <c r="CI10" s="2">
        <f t="shared" ref="CI10:CI21" si="20">+BI10+AV10+AI10+V10</f>
        <v>193.6</v>
      </c>
      <c r="CJ10" s="2">
        <f t="shared" ref="CJ10:CJ21" si="21">+BJ10+AW10+AJ10+W10</f>
        <v>208.89999999999998</v>
      </c>
      <c r="CK10" s="2">
        <f t="shared" ref="CK10:CK21" si="22">+BK10+AX10+AK10+X10</f>
        <v>222.70000000000002</v>
      </c>
      <c r="CL10" s="2">
        <f t="shared" ref="CL10:CL21" si="23">+BL10+AY10+AL10+Y10</f>
        <v>203</v>
      </c>
      <c r="CM10" s="2">
        <f t="shared" ref="CM10:CM21" si="24">+BM10+AZ10+AM10+Z10</f>
        <v>213.4</v>
      </c>
      <c r="CN10" s="2">
        <f t="shared" ref="CN10:CN21" si="25">+BN10+BA10+AN10+AA10</f>
        <v>211</v>
      </c>
      <c r="CO10" s="2">
        <f t="shared" ref="CO10:CO21" si="26">+BO10+BB10+AO10+AB10</f>
        <v>0</v>
      </c>
      <c r="CP10" s="2">
        <f t="shared" ref="CP10:CP21" si="27">+BP10+BC10+AP10+AC10</f>
        <v>0</v>
      </c>
      <c r="CQ10" s="2">
        <f t="shared" ref="CQ10:CQ21" si="28">+BQ10+BD10+AQ10+AD10</f>
        <v>0</v>
      </c>
      <c r="CR10" s="115">
        <f t="shared" ref="CR10:CR21" si="29">+BR10+BE10+AR10+AE10</f>
        <v>0</v>
      </c>
      <c r="CS10" s="2">
        <f t="shared" ref="CS10:CS21" si="30">+CF10-BS10-F10</f>
        <v>181.29999999999998</v>
      </c>
      <c r="CT10" s="2">
        <f t="shared" ref="CT10:CT21" si="31">+CG10-BT10-G10</f>
        <v>201</v>
      </c>
      <c r="CU10" s="2">
        <f t="shared" ref="CU10:CU21" si="32">+CH10-BU10-H10</f>
        <v>184.79999999999998</v>
      </c>
      <c r="CV10" s="2">
        <f t="shared" ref="CV10:CV21" si="33">+CI10-BV10-I10</f>
        <v>193.6</v>
      </c>
      <c r="CW10" s="2">
        <f t="shared" ref="CW10:CW21" si="34">+CJ10-BW10-J10</f>
        <v>208.89999999999998</v>
      </c>
      <c r="CX10" s="2">
        <f t="shared" ref="CX10:CX21" si="35">+CK10-BX10-K10</f>
        <v>222.70000000000002</v>
      </c>
      <c r="CY10" s="2">
        <f t="shared" ref="CY10:CY21" si="36">+CL10-BY10-L10</f>
        <v>203</v>
      </c>
      <c r="CZ10" s="2">
        <f t="shared" ref="CZ10:CZ21" si="37">+CM10-BZ10-M10</f>
        <v>213.4</v>
      </c>
      <c r="DA10" s="2">
        <f t="shared" ref="DA10:DA21" si="38">+CN10-CA10-N10</f>
        <v>211</v>
      </c>
      <c r="DE10" s="13"/>
      <c r="DF10" s="18">
        <f t="shared" ref="DF10:DF21" si="39">+AF10/CF10</f>
        <v>7.9641350210970463E-2</v>
      </c>
      <c r="DG10" s="18">
        <f t="shared" ref="DG10:DG21" si="40">+AG10/CG10</f>
        <v>9.3106995884773669E-2</v>
      </c>
      <c r="DH10" s="18">
        <f t="shared" ref="DH10:DH21" si="41">+AH10/CH10</f>
        <v>8.4970791290493897E-2</v>
      </c>
      <c r="DI10" s="18">
        <f t="shared" ref="DI10:DI21" si="42">+AI10/CI10</f>
        <v>8.78099173553719E-2</v>
      </c>
      <c r="DJ10" s="18">
        <f t="shared" ref="DJ10:DJ21" si="43">+AJ10/CJ10</f>
        <v>7.2283389181426516E-2</v>
      </c>
      <c r="DK10" s="18">
        <f t="shared" ref="DK10:DK21" si="44">+AK10/CK10</f>
        <v>7.1396497530309827E-2</v>
      </c>
      <c r="DL10" s="18">
        <f t="shared" ref="DL10:DL21" si="45">+AL10/CL10</f>
        <v>7.586206896551724E-2</v>
      </c>
      <c r="DM10" s="18">
        <f t="shared" ref="DM10:DM21" si="46">+AM10/CM10</f>
        <v>8.8566073102155571E-2</v>
      </c>
      <c r="DN10" s="18">
        <f t="shared" ref="DN10:DN21" si="47">+AN10/CN10</f>
        <v>9.004739336492891E-2</v>
      </c>
      <c r="DR10" s="13"/>
      <c r="DS10" s="15"/>
      <c r="EE10" s="13"/>
      <c r="EF10" s="15"/>
      <c r="ER10" s="13"/>
      <c r="ES10" s="15"/>
      <c r="FE10" s="13"/>
      <c r="FF10" s="15"/>
      <c r="FR10" s="13"/>
    </row>
    <row r="11" spans="4:174" x14ac:dyDescent="0.25">
      <c r="E11" s="2" t="s">
        <v>226</v>
      </c>
      <c r="F11" s="91">
        <v>0.4</v>
      </c>
      <c r="G11" s="2">
        <f>0.3+0.1</f>
        <v>0.4</v>
      </c>
      <c r="H11" s="2">
        <f>0.4+0.1</f>
        <v>0.5</v>
      </c>
      <c r="I11" s="2">
        <f>0.6+0.2</f>
        <v>0.8</v>
      </c>
      <c r="J11" s="2">
        <f>0.7+0.2</f>
        <v>0.89999999999999991</v>
      </c>
      <c r="K11" s="2">
        <f>0.6+0.3</f>
        <v>0.89999999999999991</v>
      </c>
      <c r="L11" s="2">
        <v>1</v>
      </c>
      <c r="M11" s="2">
        <v>1</v>
      </c>
      <c r="N11" s="2">
        <v>1.1000000000000001</v>
      </c>
      <c r="R11" s="13"/>
      <c r="S11" s="2">
        <f>0.9+0.8+0.7</f>
        <v>2.4000000000000004</v>
      </c>
      <c r="T11" s="2">
        <f>0.7+0.4+0.6+0.1</f>
        <v>1.8000000000000003</v>
      </c>
      <c r="U11" s="2">
        <f>1+0.6+1.2</f>
        <v>2.8</v>
      </c>
      <c r="V11" s="2">
        <f>1.6+0.8+0.8</f>
        <v>3.2</v>
      </c>
      <c r="W11" s="2">
        <f>1.7+1.1+0.8</f>
        <v>3.5999999999999996</v>
      </c>
      <c r="X11" s="2">
        <f>1.6+1.2+1.1</f>
        <v>3.9</v>
      </c>
      <c r="Y11" s="2">
        <v>3.5</v>
      </c>
      <c r="Z11" s="103">
        <v>4.4000000000000004</v>
      </c>
      <c r="AA11" s="103">
        <v>4.0999999999999996</v>
      </c>
      <c r="AB11" s="103"/>
      <c r="AC11" s="103"/>
      <c r="AD11" s="103"/>
      <c r="AE11" s="103"/>
      <c r="AF11" s="91">
        <f>0.1+0.4</f>
        <v>0.5</v>
      </c>
      <c r="AG11" s="2">
        <f>0.2+0.2+0.1</f>
        <v>0.5</v>
      </c>
      <c r="AH11" s="2">
        <f>0.3+0.2+0.1</f>
        <v>0.6</v>
      </c>
      <c r="AI11" s="2">
        <f>0.4+0.2+0.1</f>
        <v>0.70000000000000007</v>
      </c>
      <c r="AJ11" s="2">
        <f>0.4+0.2+0.1</f>
        <v>0.70000000000000007</v>
      </c>
      <c r="AK11" s="2">
        <f>0.3+0.2+0.1</f>
        <v>0.6</v>
      </c>
      <c r="AL11" s="2">
        <f>0.4+0.1+0.2+0.1</f>
        <v>0.79999999999999993</v>
      </c>
      <c r="AM11" s="2">
        <f>0.9+0.1+0.2+0.1</f>
        <v>1.3</v>
      </c>
      <c r="AN11" s="2">
        <f>0.9+0.1+0.2+0.1</f>
        <v>1.3</v>
      </c>
      <c r="AO11" s="15"/>
      <c r="AP11" s="15"/>
      <c r="AQ11" s="15"/>
      <c r="AR11" s="145"/>
      <c r="AS11" s="91"/>
      <c r="BE11" s="13"/>
      <c r="BF11" s="91"/>
      <c r="BR11" s="13"/>
      <c r="BS11" s="91"/>
      <c r="BT11" s="2">
        <f>-0.2-0.5-0.1</f>
        <v>-0.79999999999999993</v>
      </c>
      <c r="BU11" s="2">
        <f>0.1-0.1+0.6</f>
        <v>0.6</v>
      </c>
      <c r="BV11" s="2">
        <v>0</v>
      </c>
      <c r="BW11" s="2">
        <v>0</v>
      </c>
      <c r="CE11" s="13"/>
      <c r="CF11" s="2">
        <f t="shared" si="17"/>
        <v>2.9000000000000004</v>
      </c>
      <c r="CG11" s="2">
        <f t="shared" si="18"/>
        <v>2.3000000000000003</v>
      </c>
      <c r="CH11" s="2">
        <f t="shared" si="19"/>
        <v>3.4</v>
      </c>
      <c r="CI11" s="2">
        <f t="shared" si="20"/>
        <v>3.9000000000000004</v>
      </c>
      <c r="CJ11" s="2">
        <f t="shared" si="21"/>
        <v>4.3</v>
      </c>
      <c r="CK11" s="2">
        <f t="shared" si="22"/>
        <v>4.5</v>
      </c>
      <c r="CL11" s="2">
        <f t="shared" si="23"/>
        <v>4.3</v>
      </c>
      <c r="CM11" s="2">
        <f t="shared" si="24"/>
        <v>5.7</v>
      </c>
      <c r="CN11" s="2">
        <f t="shared" si="25"/>
        <v>5.3999999999999995</v>
      </c>
      <c r="CO11" s="2">
        <f t="shared" si="26"/>
        <v>0</v>
      </c>
      <c r="CP11" s="2">
        <f t="shared" si="27"/>
        <v>0</v>
      </c>
      <c r="CQ11" s="2">
        <f t="shared" si="28"/>
        <v>0</v>
      </c>
      <c r="CR11" s="13">
        <f t="shared" si="29"/>
        <v>0</v>
      </c>
      <c r="CS11" s="2">
        <f t="shared" si="30"/>
        <v>2.5000000000000004</v>
      </c>
      <c r="CT11" s="2">
        <f t="shared" si="31"/>
        <v>2.7</v>
      </c>
      <c r="CU11" s="2">
        <f t="shared" si="32"/>
        <v>2.2999999999999998</v>
      </c>
      <c r="CV11" s="2">
        <f t="shared" si="33"/>
        <v>3.1000000000000005</v>
      </c>
      <c r="CW11" s="2">
        <f t="shared" si="34"/>
        <v>3.4</v>
      </c>
      <c r="CX11" s="2">
        <f t="shared" si="35"/>
        <v>3.6</v>
      </c>
      <c r="CY11" s="2">
        <f t="shared" si="36"/>
        <v>3.3</v>
      </c>
      <c r="CZ11" s="2">
        <f t="shared" si="37"/>
        <v>4.7</v>
      </c>
      <c r="DA11" s="2">
        <f t="shared" si="38"/>
        <v>4.2999999999999989</v>
      </c>
      <c r="DE11" s="13"/>
      <c r="DF11" s="18">
        <f t="shared" si="39"/>
        <v>0.17241379310344826</v>
      </c>
      <c r="DG11" s="18">
        <f t="shared" si="40"/>
        <v>0.21739130434782605</v>
      </c>
      <c r="DH11" s="18">
        <f t="shared" si="41"/>
        <v>0.17647058823529413</v>
      </c>
      <c r="DI11" s="18">
        <f t="shared" si="42"/>
        <v>0.17948717948717949</v>
      </c>
      <c r="DJ11" s="18">
        <f t="shared" si="43"/>
        <v>0.16279069767441862</v>
      </c>
      <c r="DK11" s="18">
        <f t="shared" si="44"/>
        <v>0.13333333333333333</v>
      </c>
      <c r="DL11" s="18">
        <f t="shared" si="45"/>
        <v>0.18604651162790697</v>
      </c>
      <c r="DM11" s="18">
        <f t="shared" si="46"/>
        <v>0.22807017543859648</v>
      </c>
      <c r="DN11" s="18">
        <f t="shared" si="47"/>
        <v>0.24074074074074078</v>
      </c>
      <c r="DR11" s="13"/>
      <c r="DS11" s="15"/>
      <c r="EE11" s="13"/>
      <c r="EF11" s="15"/>
      <c r="ER11" s="13"/>
      <c r="ES11" s="15"/>
      <c r="FE11" s="13"/>
      <c r="FF11" s="15"/>
      <c r="FR11" s="13"/>
    </row>
    <row r="12" spans="4:174" x14ac:dyDescent="0.25">
      <c r="E12" s="2" t="s">
        <v>227</v>
      </c>
      <c r="F12" s="91">
        <v>0.7</v>
      </c>
      <c r="G12" s="2">
        <f>0.6+0.7</f>
        <v>1.2999999999999998</v>
      </c>
      <c r="H12" s="2">
        <f>0.8+0.9</f>
        <v>1.7000000000000002</v>
      </c>
      <c r="I12" s="2">
        <f>0.9+1</f>
        <v>1.9</v>
      </c>
      <c r="J12" s="2">
        <f>1+1.2</f>
        <v>2.2000000000000002</v>
      </c>
      <c r="K12" s="2">
        <f>1.2+1.2</f>
        <v>2.4</v>
      </c>
      <c r="L12" s="2">
        <v>2.7</v>
      </c>
      <c r="M12" s="2">
        <v>2.6</v>
      </c>
      <c r="N12" s="2">
        <v>2.5</v>
      </c>
      <c r="R12" s="13"/>
      <c r="S12" s="2">
        <f>5.1+1.5+4.4</f>
        <v>11</v>
      </c>
      <c r="T12" s="2">
        <f>1.6+3.9+3.8+0.8</f>
        <v>10.100000000000001</v>
      </c>
      <c r="U12" s="2">
        <f>2.2+4.9+5.1</f>
        <v>12.2</v>
      </c>
      <c r="V12" s="2">
        <f>2.8+5.7+5.4</f>
        <v>13.9</v>
      </c>
      <c r="W12" s="2">
        <f>2.7+6.4+6.4</f>
        <v>15.500000000000002</v>
      </c>
      <c r="X12" s="2">
        <f>3.2+6.9+7.2</f>
        <v>17.3</v>
      </c>
      <c r="Y12" s="2">
        <v>10.4</v>
      </c>
      <c r="Z12" s="103">
        <v>9.3000000000000007</v>
      </c>
      <c r="AA12" s="103">
        <v>9.1999999999999993</v>
      </c>
      <c r="AB12" s="103"/>
      <c r="AC12" s="103"/>
      <c r="AD12" s="103"/>
      <c r="AE12" s="103"/>
      <c r="AF12" s="91">
        <f>0.8+1.1</f>
        <v>1.9000000000000001</v>
      </c>
      <c r="AG12" s="2">
        <f>0.5+0.6+0.7+0.5</f>
        <v>2.2999999999999998</v>
      </c>
      <c r="AH12" s="2">
        <f>0.9+0.5+0.7+0.5</f>
        <v>2.5999999999999996</v>
      </c>
      <c r="AI12" s="2">
        <f>0.6+0.5+0.8+0.4</f>
        <v>2.3000000000000003</v>
      </c>
      <c r="AJ12" s="2">
        <f>0.6+0.5+0.8+0.4</f>
        <v>2.3000000000000003</v>
      </c>
      <c r="AK12" s="2">
        <f>0.6+0.6+0.8+0.4</f>
        <v>2.4</v>
      </c>
      <c r="AL12" s="2">
        <f>0.6+0.6+0.9+0.1</f>
        <v>2.2000000000000002</v>
      </c>
      <c r="AM12" s="2">
        <f>0.7+0.7+1</f>
        <v>2.4</v>
      </c>
      <c r="AN12" s="2">
        <f>0.7+0.7+1</f>
        <v>2.4</v>
      </c>
      <c r="AO12" s="15"/>
      <c r="AP12" s="15"/>
      <c r="AQ12" s="15"/>
      <c r="AR12" s="145"/>
      <c r="AS12" s="91"/>
      <c r="BE12" s="13"/>
      <c r="BF12" s="91"/>
      <c r="BR12" s="13"/>
      <c r="BS12" s="91"/>
      <c r="BT12" s="2">
        <f>-1.4-0.6</f>
        <v>-2</v>
      </c>
      <c r="BU12" s="2">
        <f>0.4+0.2+0.6</f>
        <v>1.2000000000000002</v>
      </c>
      <c r="BV12" s="2">
        <v>0</v>
      </c>
      <c r="BW12" s="2">
        <v>0</v>
      </c>
      <c r="CE12" s="13"/>
      <c r="CF12" s="2">
        <f t="shared" si="17"/>
        <v>12.9</v>
      </c>
      <c r="CG12" s="2">
        <f t="shared" si="18"/>
        <v>12.400000000000002</v>
      </c>
      <c r="CH12" s="2">
        <f t="shared" si="19"/>
        <v>14.799999999999999</v>
      </c>
      <c r="CI12" s="2">
        <f t="shared" si="20"/>
        <v>16.2</v>
      </c>
      <c r="CJ12" s="2">
        <f t="shared" si="21"/>
        <v>17.8</v>
      </c>
      <c r="CK12" s="2">
        <f t="shared" si="22"/>
        <v>19.7</v>
      </c>
      <c r="CL12" s="2">
        <f t="shared" si="23"/>
        <v>12.600000000000001</v>
      </c>
      <c r="CM12" s="2">
        <f t="shared" si="24"/>
        <v>11.700000000000001</v>
      </c>
      <c r="CN12" s="2">
        <f t="shared" si="25"/>
        <v>11.6</v>
      </c>
      <c r="CO12" s="2">
        <f t="shared" si="26"/>
        <v>0</v>
      </c>
      <c r="CP12" s="2">
        <f t="shared" si="27"/>
        <v>0</v>
      </c>
      <c r="CQ12" s="2">
        <f t="shared" si="28"/>
        <v>0</v>
      </c>
      <c r="CR12" s="13">
        <f t="shared" si="29"/>
        <v>0</v>
      </c>
      <c r="CS12" s="2">
        <f t="shared" si="30"/>
        <v>12.200000000000001</v>
      </c>
      <c r="CT12" s="2">
        <f t="shared" si="31"/>
        <v>13.100000000000001</v>
      </c>
      <c r="CU12" s="2">
        <f t="shared" si="32"/>
        <v>11.899999999999999</v>
      </c>
      <c r="CV12" s="2">
        <f t="shared" si="33"/>
        <v>14.299999999999999</v>
      </c>
      <c r="CW12" s="2">
        <f t="shared" si="34"/>
        <v>15.600000000000001</v>
      </c>
      <c r="CX12" s="2">
        <f t="shared" si="35"/>
        <v>17.3</v>
      </c>
      <c r="CY12" s="2">
        <f t="shared" si="36"/>
        <v>9.9000000000000021</v>
      </c>
      <c r="CZ12" s="2">
        <f t="shared" si="37"/>
        <v>9.1000000000000014</v>
      </c>
      <c r="DA12" s="2">
        <f t="shared" si="38"/>
        <v>9.1</v>
      </c>
      <c r="DE12" s="13"/>
      <c r="DF12" s="18">
        <f t="shared" si="39"/>
        <v>0.14728682170542637</v>
      </c>
      <c r="DG12" s="18">
        <f t="shared" si="40"/>
        <v>0.18548387096774188</v>
      </c>
      <c r="DH12" s="18">
        <f t="shared" si="41"/>
        <v>0.17567567567567566</v>
      </c>
      <c r="DI12" s="18">
        <f t="shared" si="42"/>
        <v>0.14197530864197533</v>
      </c>
      <c r="DJ12" s="18">
        <f t="shared" si="43"/>
        <v>0.12921348314606743</v>
      </c>
      <c r="DK12" s="18">
        <f t="shared" si="44"/>
        <v>0.12182741116751269</v>
      </c>
      <c r="DL12" s="18">
        <f t="shared" si="45"/>
        <v>0.17460317460317459</v>
      </c>
      <c r="DM12" s="18">
        <f t="shared" si="46"/>
        <v>0.20512820512820509</v>
      </c>
      <c r="DN12" s="18">
        <f t="shared" si="47"/>
        <v>0.20689655172413793</v>
      </c>
      <c r="DR12" s="13"/>
      <c r="DS12" s="15"/>
      <c r="EE12" s="13"/>
      <c r="EF12" s="15"/>
      <c r="ER12" s="13"/>
      <c r="ES12" s="15"/>
      <c r="FE12" s="13"/>
      <c r="FF12" s="15"/>
      <c r="FR12" s="13"/>
    </row>
    <row r="13" spans="4:174" x14ac:dyDescent="0.25">
      <c r="E13" s="2" t="s">
        <v>228</v>
      </c>
      <c r="F13" s="91">
        <v>0.4</v>
      </c>
      <c r="G13" s="2">
        <f>0.3+0.5</f>
        <v>0.8</v>
      </c>
      <c r="H13" s="2">
        <f>0.5+0.6</f>
        <v>1.1000000000000001</v>
      </c>
      <c r="I13" s="2">
        <f>0.5+0.7</f>
        <v>1.2</v>
      </c>
      <c r="J13" s="2">
        <f>0.5+0.8</f>
        <v>1.3</v>
      </c>
      <c r="K13" s="2">
        <f>0.7+0.9</f>
        <v>1.6</v>
      </c>
      <c r="L13" s="2">
        <v>1.7</v>
      </c>
      <c r="M13" s="2">
        <v>1.6</v>
      </c>
      <c r="N13" s="2">
        <v>1.7</v>
      </c>
      <c r="R13" s="13"/>
      <c r="S13" s="2">
        <f>2.6+0.9</f>
        <v>3.5</v>
      </c>
      <c r="T13" s="2">
        <f>0.8+1.9+0.2</f>
        <v>2.9000000000000004</v>
      </c>
      <c r="U13" s="2">
        <f>1.2+2.6</f>
        <v>3.8</v>
      </c>
      <c r="V13" s="2">
        <f>1.2+3.1</f>
        <v>4.3</v>
      </c>
      <c r="W13" s="2">
        <f>1.3+3.9</f>
        <v>5.2</v>
      </c>
      <c r="X13" s="2">
        <f>1.7+4.1</f>
        <v>5.8</v>
      </c>
      <c r="Y13" s="2">
        <v>5.9</v>
      </c>
      <c r="Z13" s="103">
        <v>5.7</v>
      </c>
      <c r="AA13" s="103">
        <v>5.7</v>
      </c>
      <c r="AB13" s="103"/>
      <c r="AC13" s="103"/>
      <c r="AD13" s="103"/>
      <c r="AE13" s="103"/>
      <c r="AF13" s="91">
        <f>0.6+0.6</f>
        <v>1.2</v>
      </c>
      <c r="AG13" s="2">
        <f>0.4+0.4+0.5</f>
        <v>1.3</v>
      </c>
      <c r="AH13" s="2">
        <f>0.4+0.3+0.5</f>
        <v>1.2</v>
      </c>
      <c r="AI13" s="2">
        <f>0.4+0.4+0.6</f>
        <v>1.4</v>
      </c>
      <c r="AJ13" s="2">
        <f>0.4+0.6+0.4</f>
        <v>1.4</v>
      </c>
      <c r="AK13" s="2">
        <f>0.5+0.4+0.6</f>
        <v>1.5</v>
      </c>
      <c r="AL13" s="2">
        <f>0.5+0.4+0.6</f>
        <v>1.5</v>
      </c>
      <c r="AM13" s="2">
        <f>0.5+0.5+0.7</f>
        <v>1.7</v>
      </c>
      <c r="AN13" s="2">
        <f>0.6+0.5+0.8</f>
        <v>1.9000000000000001</v>
      </c>
      <c r="AO13" s="15"/>
      <c r="AP13" s="15"/>
      <c r="AQ13" s="15"/>
      <c r="AR13" s="145"/>
      <c r="AS13" s="91"/>
      <c r="BE13" s="13"/>
      <c r="BF13" s="91"/>
      <c r="BR13" s="13"/>
      <c r="BS13" s="91"/>
      <c r="BT13" s="2">
        <f>-0.2-0.7</f>
        <v>-0.89999999999999991</v>
      </c>
      <c r="BU13" s="2">
        <f>0.3+0.1</f>
        <v>0.4</v>
      </c>
      <c r="BV13" s="2">
        <v>0</v>
      </c>
      <c r="BW13" s="2">
        <v>0</v>
      </c>
      <c r="CE13" s="13"/>
      <c r="CF13" s="2">
        <f t="shared" si="17"/>
        <v>4.7</v>
      </c>
      <c r="CG13" s="2">
        <f t="shared" si="18"/>
        <v>4.2</v>
      </c>
      <c r="CH13" s="2">
        <f t="shared" si="19"/>
        <v>5</v>
      </c>
      <c r="CI13" s="2">
        <f t="shared" si="20"/>
        <v>5.6999999999999993</v>
      </c>
      <c r="CJ13" s="2">
        <f t="shared" si="21"/>
        <v>6.6</v>
      </c>
      <c r="CK13" s="2">
        <f t="shared" si="22"/>
        <v>7.3</v>
      </c>
      <c r="CL13" s="2">
        <f t="shared" si="23"/>
        <v>7.4</v>
      </c>
      <c r="CM13" s="2">
        <f t="shared" si="24"/>
        <v>7.4</v>
      </c>
      <c r="CN13" s="2">
        <f t="shared" si="25"/>
        <v>7.6000000000000005</v>
      </c>
      <c r="CO13" s="2">
        <f t="shared" si="26"/>
        <v>0</v>
      </c>
      <c r="CP13" s="2">
        <f t="shared" si="27"/>
        <v>0</v>
      </c>
      <c r="CQ13" s="2">
        <f t="shared" si="28"/>
        <v>0</v>
      </c>
      <c r="CR13" s="13">
        <f t="shared" si="29"/>
        <v>0</v>
      </c>
      <c r="CS13" s="2">
        <f t="shared" si="30"/>
        <v>4.3</v>
      </c>
      <c r="CT13" s="2">
        <f t="shared" si="31"/>
        <v>4.3</v>
      </c>
      <c r="CU13" s="2">
        <f t="shared" si="32"/>
        <v>3.4999999999999996</v>
      </c>
      <c r="CV13" s="2">
        <f t="shared" si="33"/>
        <v>4.4999999999999991</v>
      </c>
      <c r="CW13" s="2">
        <f t="shared" si="34"/>
        <v>5.3</v>
      </c>
      <c r="CX13" s="2">
        <f t="shared" si="35"/>
        <v>5.6999999999999993</v>
      </c>
      <c r="CY13" s="2">
        <f t="shared" si="36"/>
        <v>5.7</v>
      </c>
      <c r="CZ13" s="2">
        <f t="shared" si="37"/>
        <v>5.8000000000000007</v>
      </c>
      <c r="DA13" s="2">
        <f t="shared" si="38"/>
        <v>5.9</v>
      </c>
      <c r="DE13" s="13"/>
      <c r="DF13" s="18">
        <f t="shared" si="39"/>
        <v>0.25531914893617019</v>
      </c>
      <c r="DG13" s="18">
        <f t="shared" si="40"/>
        <v>0.30952380952380953</v>
      </c>
      <c r="DH13" s="18">
        <f t="shared" si="41"/>
        <v>0.24</v>
      </c>
      <c r="DI13" s="18">
        <f t="shared" si="42"/>
        <v>0.24561403508771931</v>
      </c>
      <c r="DJ13" s="18">
        <f t="shared" si="43"/>
        <v>0.21212121212121213</v>
      </c>
      <c r="DK13" s="18">
        <f t="shared" si="44"/>
        <v>0.20547945205479454</v>
      </c>
      <c r="DL13" s="18">
        <f t="shared" si="45"/>
        <v>0.20270270270270269</v>
      </c>
      <c r="DM13" s="18">
        <f t="shared" si="46"/>
        <v>0.22972972972972971</v>
      </c>
      <c r="DN13" s="18">
        <f t="shared" si="47"/>
        <v>0.25</v>
      </c>
      <c r="DR13" s="13"/>
      <c r="DS13" s="15"/>
      <c r="EE13" s="13"/>
      <c r="EF13" s="15"/>
      <c r="ER13" s="13"/>
      <c r="ES13" s="15"/>
      <c r="FE13" s="13"/>
      <c r="FF13" s="15"/>
      <c r="FR13" s="13"/>
    </row>
    <row r="14" spans="4:174" x14ac:dyDescent="0.25">
      <c r="E14" s="2" t="s">
        <v>229</v>
      </c>
      <c r="F14" s="91">
        <v>0.9</v>
      </c>
      <c r="G14" s="2">
        <f>0.6+0.5</f>
        <v>1.1000000000000001</v>
      </c>
      <c r="H14" s="2">
        <f>1+0.7</f>
        <v>1.7</v>
      </c>
      <c r="I14" s="2">
        <f>1+0.8</f>
        <v>1.8</v>
      </c>
      <c r="J14" s="2">
        <f>1.2+0.8</f>
        <v>2</v>
      </c>
      <c r="K14" s="2">
        <f>0.9+1.4</f>
        <v>2.2999999999999998</v>
      </c>
      <c r="L14" s="2">
        <v>2.4</v>
      </c>
      <c r="M14" s="2">
        <v>2.2999999999999998</v>
      </c>
      <c r="N14" s="2">
        <v>2.4</v>
      </c>
      <c r="R14" s="13"/>
      <c r="S14" s="2">
        <f>3.8+1.5+4.4</f>
        <v>9.6999999999999993</v>
      </c>
      <c r="T14" s="2">
        <f>1.1+2.4+2.7+0.3</f>
        <v>6.5</v>
      </c>
      <c r="U14" s="2">
        <f>2+3.1+3.4</f>
        <v>8.5</v>
      </c>
      <c r="V14" s="2">
        <f>2.3+3.8+4.1</f>
        <v>10.199999999999999</v>
      </c>
      <c r="W14" s="2">
        <f>2.6+3.8+4.2</f>
        <v>10.600000000000001</v>
      </c>
      <c r="X14" s="2">
        <f>2.9+4.1+4</f>
        <v>11</v>
      </c>
      <c r="Y14" s="2">
        <v>11.3</v>
      </c>
      <c r="Z14" s="103">
        <v>10.9</v>
      </c>
      <c r="AA14" s="103">
        <v>11.3</v>
      </c>
      <c r="AB14" s="103"/>
      <c r="AC14" s="103"/>
      <c r="AD14" s="103"/>
      <c r="AE14" s="103"/>
      <c r="AF14" s="91">
        <f>0.8+1.4</f>
        <v>2.2000000000000002</v>
      </c>
      <c r="AG14" s="2">
        <f>0.6+0.5+0.8+0.5</f>
        <v>2.4000000000000004</v>
      </c>
      <c r="AH14" s="2">
        <f>0.6+0.3+0.7+0.5</f>
        <v>2.0999999999999996</v>
      </c>
      <c r="AI14" s="2">
        <f>0.8+0.4+0.8+0.6</f>
        <v>2.6</v>
      </c>
      <c r="AJ14" s="2">
        <f>0.8+0.3+0.9+0.6</f>
        <v>2.6</v>
      </c>
      <c r="AK14" s="2">
        <f>0.8+0.4+0.8+0.4</f>
        <v>2.4</v>
      </c>
      <c r="AL14" s="2">
        <f>0.8+0.4+0.9+0.3</f>
        <v>2.4</v>
      </c>
      <c r="AM14" s="2">
        <f>0.9+0.4+1+0.4</f>
        <v>2.6999999999999997</v>
      </c>
      <c r="AN14" s="2">
        <f>1+0.4+1.1+0.4</f>
        <v>2.9</v>
      </c>
      <c r="AO14" s="15"/>
      <c r="AP14" s="15"/>
      <c r="AQ14" s="15"/>
      <c r="AR14" s="145"/>
      <c r="AS14" s="91"/>
      <c r="BE14" s="13"/>
      <c r="BF14" s="91"/>
      <c r="BR14" s="13"/>
      <c r="BS14" s="91"/>
      <c r="BT14" s="2">
        <f>-0.5-1.5-1.9</f>
        <v>-3.9</v>
      </c>
      <c r="BU14" s="2">
        <f>0.5-0.1-0.1</f>
        <v>0.30000000000000004</v>
      </c>
      <c r="BV14" s="2">
        <v>0</v>
      </c>
      <c r="BW14" s="2">
        <v>0</v>
      </c>
      <c r="CE14" s="13"/>
      <c r="CF14" s="2">
        <f t="shared" si="17"/>
        <v>11.899999999999999</v>
      </c>
      <c r="CG14" s="2">
        <f t="shared" si="18"/>
        <v>8.9</v>
      </c>
      <c r="CH14" s="2">
        <f t="shared" si="19"/>
        <v>10.6</v>
      </c>
      <c r="CI14" s="2">
        <f t="shared" si="20"/>
        <v>12.799999999999999</v>
      </c>
      <c r="CJ14" s="2">
        <f t="shared" si="21"/>
        <v>13.200000000000001</v>
      </c>
      <c r="CK14" s="2">
        <f t="shared" si="22"/>
        <v>13.4</v>
      </c>
      <c r="CL14" s="2">
        <f t="shared" si="23"/>
        <v>13.700000000000001</v>
      </c>
      <c r="CM14" s="2">
        <f t="shared" si="24"/>
        <v>13.6</v>
      </c>
      <c r="CN14" s="2">
        <f t="shared" si="25"/>
        <v>14.200000000000001</v>
      </c>
      <c r="CO14" s="2">
        <f t="shared" si="26"/>
        <v>0</v>
      </c>
      <c r="CP14" s="2">
        <f t="shared" si="27"/>
        <v>0</v>
      </c>
      <c r="CQ14" s="2">
        <f t="shared" si="28"/>
        <v>0</v>
      </c>
      <c r="CR14" s="13">
        <f t="shared" si="29"/>
        <v>0</v>
      </c>
      <c r="CS14" s="2">
        <f t="shared" si="30"/>
        <v>10.999999999999998</v>
      </c>
      <c r="CT14" s="2">
        <f t="shared" si="31"/>
        <v>11.700000000000001</v>
      </c>
      <c r="CU14" s="2">
        <f t="shared" si="32"/>
        <v>8.6</v>
      </c>
      <c r="CV14" s="2">
        <f t="shared" si="33"/>
        <v>10.999999999999998</v>
      </c>
      <c r="CW14" s="2">
        <f t="shared" si="34"/>
        <v>11.200000000000001</v>
      </c>
      <c r="CX14" s="2">
        <f t="shared" si="35"/>
        <v>11.100000000000001</v>
      </c>
      <c r="CY14" s="2">
        <f t="shared" si="36"/>
        <v>11.3</v>
      </c>
      <c r="CZ14" s="2">
        <f t="shared" si="37"/>
        <v>11.3</v>
      </c>
      <c r="DA14" s="2">
        <f t="shared" si="38"/>
        <v>11.8</v>
      </c>
      <c r="DE14" s="13"/>
      <c r="DF14" s="18">
        <f t="shared" si="39"/>
        <v>0.18487394957983197</v>
      </c>
      <c r="DG14" s="18">
        <f t="shared" si="40"/>
        <v>0.26966292134831465</v>
      </c>
      <c r="DH14" s="18">
        <f t="shared" si="41"/>
        <v>0.1981132075471698</v>
      </c>
      <c r="DI14" s="18">
        <f t="shared" si="42"/>
        <v>0.20312500000000003</v>
      </c>
      <c r="DJ14" s="18">
        <f t="shared" si="43"/>
        <v>0.19696969696969696</v>
      </c>
      <c r="DK14" s="18">
        <f t="shared" si="44"/>
        <v>0.17910447761194029</v>
      </c>
      <c r="DL14" s="18">
        <f t="shared" si="45"/>
        <v>0.1751824817518248</v>
      </c>
      <c r="DM14" s="18">
        <f t="shared" si="46"/>
        <v>0.19852941176470587</v>
      </c>
      <c r="DN14" s="18">
        <f t="shared" si="47"/>
        <v>0.20422535211267603</v>
      </c>
      <c r="DR14" s="13"/>
      <c r="DS14" s="15"/>
      <c r="EE14" s="13"/>
      <c r="EF14" s="15"/>
      <c r="ER14" s="13"/>
      <c r="ES14" s="15"/>
      <c r="FE14" s="13"/>
      <c r="FF14" s="15"/>
      <c r="FR14" s="13"/>
    </row>
    <row r="15" spans="4:174" x14ac:dyDescent="0.25">
      <c r="E15" s="2" t="s">
        <v>230</v>
      </c>
      <c r="F15" s="91">
        <v>1.1000000000000001</v>
      </c>
      <c r="G15" s="2">
        <f>0.9+0.9</f>
        <v>1.8</v>
      </c>
      <c r="H15" s="2">
        <f>1.3+1</f>
        <v>2.2999999999999998</v>
      </c>
      <c r="I15" s="2">
        <f>1.4+1.2</f>
        <v>2.5999999999999996</v>
      </c>
      <c r="J15" s="2">
        <f>1.5+1.4</f>
        <v>2.9</v>
      </c>
      <c r="K15" s="2">
        <f>1.6+1.5</f>
        <v>3.1</v>
      </c>
      <c r="L15" s="2">
        <v>3.4</v>
      </c>
      <c r="M15" s="2">
        <v>3.3</v>
      </c>
      <c r="N15" s="2">
        <v>3.4</v>
      </c>
      <c r="R15" s="13"/>
      <c r="S15" s="2">
        <f>5.1+3.1</f>
        <v>8.1999999999999993</v>
      </c>
      <c r="T15" s="2">
        <f>2.4+3.7+0.7</f>
        <v>6.8</v>
      </c>
      <c r="U15" s="2">
        <f>3.6+4.7</f>
        <v>8.3000000000000007</v>
      </c>
      <c r="V15" s="2">
        <f>4.5+5.8</f>
        <v>10.3</v>
      </c>
      <c r="W15" s="2">
        <f>4.3+6.5</f>
        <v>10.8</v>
      </c>
      <c r="X15" s="2">
        <f>5+6.9</f>
        <v>11.9</v>
      </c>
      <c r="Y15" s="2">
        <v>11.6</v>
      </c>
      <c r="Z15" s="103">
        <v>11.6</v>
      </c>
      <c r="AA15" s="103">
        <v>11.6</v>
      </c>
      <c r="AB15" s="103"/>
      <c r="AC15" s="103"/>
      <c r="AD15" s="103"/>
      <c r="AE15" s="103"/>
      <c r="AF15" s="91">
        <f>1.1+1.3</f>
        <v>2.4000000000000004</v>
      </c>
      <c r="AG15" s="2">
        <f>0.8+0.8+1</f>
        <v>2.6</v>
      </c>
      <c r="AH15" s="2">
        <f>1+0.6+0.9</f>
        <v>2.5</v>
      </c>
      <c r="AI15" s="2">
        <f>1.2+0.7+1.2</f>
        <v>3.0999999999999996</v>
      </c>
      <c r="AJ15" s="2">
        <f>1+0.6+1.2</f>
        <v>2.8</v>
      </c>
      <c r="AK15" s="2">
        <f>1.1+0.7+1.2</f>
        <v>3</v>
      </c>
      <c r="AL15" s="2">
        <f>1+0.7+1.3</f>
        <v>3</v>
      </c>
      <c r="AM15" s="2">
        <f>1.2+0.8+1.4</f>
        <v>3.4</v>
      </c>
      <c r="AN15" s="2">
        <f>1.3+0.8+1.5</f>
        <v>3.6</v>
      </c>
      <c r="AO15" s="15"/>
      <c r="AP15" s="15"/>
      <c r="AQ15" s="15"/>
      <c r="AR15" s="145"/>
      <c r="AS15" s="91"/>
      <c r="BE15" s="13"/>
      <c r="BF15" s="91"/>
      <c r="BR15" s="13"/>
      <c r="BS15" s="91"/>
      <c r="BT15" s="2">
        <f>-1.1-1.3</f>
        <v>-2.4000000000000004</v>
      </c>
      <c r="BU15" s="2">
        <f>0.8+0.1</f>
        <v>0.9</v>
      </c>
      <c r="BV15" s="2">
        <v>0</v>
      </c>
      <c r="BW15" s="2">
        <v>0</v>
      </c>
      <c r="CE15" s="13"/>
      <c r="CF15" s="2">
        <f t="shared" si="17"/>
        <v>10.6</v>
      </c>
      <c r="CG15" s="2">
        <f t="shared" si="18"/>
        <v>9.4</v>
      </c>
      <c r="CH15" s="2">
        <f t="shared" si="19"/>
        <v>10.8</v>
      </c>
      <c r="CI15" s="2">
        <f t="shared" si="20"/>
        <v>13.4</v>
      </c>
      <c r="CJ15" s="2">
        <f t="shared" si="21"/>
        <v>13.600000000000001</v>
      </c>
      <c r="CK15" s="2">
        <f t="shared" si="22"/>
        <v>14.9</v>
      </c>
      <c r="CL15" s="2">
        <f t="shared" si="23"/>
        <v>14.6</v>
      </c>
      <c r="CM15" s="2">
        <f t="shared" si="24"/>
        <v>15</v>
      </c>
      <c r="CN15" s="2">
        <f t="shared" si="25"/>
        <v>15.2</v>
      </c>
      <c r="CO15" s="2">
        <f t="shared" si="26"/>
        <v>0</v>
      </c>
      <c r="CP15" s="2">
        <f t="shared" si="27"/>
        <v>0</v>
      </c>
      <c r="CQ15" s="2">
        <f t="shared" si="28"/>
        <v>0</v>
      </c>
      <c r="CR15" s="13">
        <f t="shared" si="29"/>
        <v>0</v>
      </c>
      <c r="CS15" s="2">
        <f t="shared" si="30"/>
        <v>9.5</v>
      </c>
      <c r="CT15" s="2">
        <f t="shared" si="31"/>
        <v>10</v>
      </c>
      <c r="CU15" s="2">
        <f t="shared" si="32"/>
        <v>7.6000000000000005</v>
      </c>
      <c r="CV15" s="2">
        <f t="shared" si="33"/>
        <v>10.8</v>
      </c>
      <c r="CW15" s="2">
        <f t="shared" si="34"/>
        <v>10.700000000000001</v>
      </c>
      <c r="CX15" s="2">
        <f t="shared" si="35"/>
        <v>11.8</v>
      </c>
      <c r="CY15" s="2">
        <f t="shared" si="36"/>
        <v>11.2</v>
      </c>
      <c r="CZ15" s="2">
        <f t="shared" si="37"/>
        <v>11.7</v>
      </c>
      <c r="DA15" s="2">
        <f t="shared" si="38"/>
        <v>11.799999999999999</v>
      </c>
      <c r="DE15" s="13"/>
      <c r="DF15" s="18">
        <f t="shared" si="39"/>
        <v>0.22641509433962267</v>
      </c>
      <c r="DG15" s="18">
        <f t="shared" si="40"/>
        <v>0.27659574468085107</v>
      </c>
      <c r="DH15" s="18">
        <f t="shared" si="41"/>
        <v>0.23148148148148145</v>
      </c>
      <c r="DI15" s="18">
        <f t="shared" si="42"/>
        <v>0.23134328358208953</v>
      </c>
      <c r="DJ15" s="18">
        <f t="shared" si="43"/>
        <v>0.20588235294117643</v>
      </c>
      <c r="DK15" s="18">
        <f t="shared" si="44"/>
        <v>0.20134228187919462</v>
      </c>
      <c r="DL15" s="18">
        <f t="shared" si="45"/>
        <v>0.20547945205479454</v>
      </c>
      <c r="DM15" s="18">
        <f t="shared" si="46"/>
        <v>0.22666666666666666</v>
      </c>
      <c r="DN15" s="18">
        <f t="shared" si="47"/>
        <v>0.23684210526315791</v>
      </c>
      <c r="DR15" s="13"/>
      <c r="DS15" s="15"/>
      <c r="EE15" s="13"/>
      <c r="EF15" s="15"/>
      <c r="ER15" s="13"/>
      <c r="ES15" s="15"/>
      <c r="FE15" s="13"/>
      <c r="FF15" s="15"/>
      <c r="FR15" s="13"/>
    </row>
    <row r="16" spans="4:174" x14ac:dyDescent="0.25">
      <c r="E16" s="2" t="s">
        <v>231</v>
      </c>
      <c r="F16" s="91">
        <v>1</v>
      </c>
      <c r="G16" s="2">
        <f>0.8+0.3</f>
        <v>1.1000000000000001</v>
      </c>
      <c r="H16" s="2">
        <f>1.1+0.4</f>
        <v>1.5</v>
      </c>
      <c r="I16" s="2">
        <f>1.3+0.4</f>
        <v>1.7000000000000002</v>
      </c>
      <c r="J16" s="2">
        <f>1.5+0.4</f>
        <v>1.9</v>
      </c>
      <c r="K16" s="2">
        <f>1.6+0.5</f>
        <v>2.1</v>
      </c>
      <c r="L16" s="2">
        <v>2.2000000000000002</v>
      </c>
      <c r="M16" s="2">
        <v>2.1</v>
      </c>
      <c r="N16" s="2">
        <v>2.1</v>
      </c>
      <c r="R16" s="13"/>
      <c r="S16" s="2">
        <f>2+2.9+0.2</f>
        <v>5.1000000000000005</v>
      </c>
      <c r="T16" s="2">
        <f>2.5+1.6+0.1</f>
        <v>4.1999999999999993</v>
      </c>
      <c r="U16" s="2">
        <f>3.2+1.9</f>
        <v>5.0999999999999996</v>
      </c>
      <c r="V16" s="2">
        <f>3.9+2.1</f>
        <v>6</v>
      </c>
      <c r="W16" s="2">
        <f>4.4+2.5</f>
        <v>6.9</v>
      </c>
      <c r="X16" s="2">
        <f>4.6+2.9</f>
        <v>7.5</v>
      </c>
      <c r="Y16" s="2">
        <v>7.1</v>
      </c>
      <c r="Z16" s="103">
        <v>7.2</v>
      </c>
      <c r="AA16" s="103">
        <v>7.2</v>
      </c>
      <c r="AB16" s="103"/>
      <c r="AC16" s="103"/>
      <c r="AD16" s="103"/>
      <c r="AE16" s="103"/>
      <c r="AF16" s="91">
        <f>0.3+0.8</f>
        <v>1.1000000000000001</v>
      </c>
      <c r="AG16" s="2">
        <f>0.7+0.3+0.2</f>
        <v>1.2</v>
      </c>
      <c r="AH16" s="2">
        <f>0.7+0.2+0.2</f>
        <v>1.0999999999999999</v>
      </c>
      <c r="AI16" s="2">
        <f>0.9+0.2+0.2</f>
        <v>1.3</v>
      </c>
      <c r="AJ16" s="2">
        <f>0.9+0.2+0.2</f>
        <v>1.3</v>
      </c>
      <c r="AK16" s="2">
        <f>1+0.2+0.2</f>
        <v>1.4</v>
      </c>
      <c r="AL16" s="2">
        <f>0.9+0.2+0.3</f>
        <v>1.4000000000000001</v>
      </c>
      <c r="AM16" s="2">
        <f>1+0.2+0.3</f>
        <v>1.5</v>
      </c>
      <c r="AN16" s="2">
        <f>1.1+0.2+0.3</f>
        <v>1.6</v>
      </c>
      <c r="AO16" s="15"/>
      <c r="AP16" s="15"/>
      <c r="AQ16" s="15"/>
      <c r="AR16" s="145"/>
      <c r="AS16" s="91"/>
      <c r="BE16" s="13"/>
      <c r="BF16" s="91"/>
      <c r="BR16" s="13"/>
      <c r="BS16" s="91"/>
      <c r="BT16" s="2">
        <f>-0.5-0.4</f>
        <v>-0.9</v>
      </c>
      <c r="BU16" s="2">
        <f>0.3-0.6</f>
        <v>-0.3</v>
      </c>
      <c r="BV16" s="2">
        <v>0</v>
      </c>
      <c r="BW16" s="2">
        <v>0</v>
      </c>
      <c r="CE16" s="13"/>
      <c r="CF16" s="2">
        <f t="shared" si="17"/>
        <v>6.2000000000000011</v>
      </c>
      <c r="CG16" s="2">
        <f t="shared" si="18"/>
        <v>5.3999999999999995</v>
      </c>
      <c r="CH16" s="2">
        <f t="shared" si="19"/>
        <v>6.1999999999999993</v>
      </c>
      <c r="CI16" s="2">
        <f t="shared" si="20"/>
        <v>7.3</v>
      </c>
      <c r="CJ16" s="2">
        <f t="shared" si="21"/>
        <v>8.2000000000000011</v>
      </c>
      <c r="CK16" s="2">
        <f t="shared" si="22"/>
        <v>8.9</v>
      </c>
      <c r="CL16" s="2">
        <f t="shared" si="23"/>
        <v>8.5</v>
      </c>
      <c r="CM16" s="2">
        <f t="shared" si="24"/>
        <v>8.6999999999999993</v>
      </c>
      <c r="CN16" s="2">
        <f t="shared" si="25"/>
        <v>8.8000000000000007</v>
      </c>
      <c r="CO16" s="2">
        <f t="shared" si="26"/>
        <v>0</v>
      </c>
      <c r="CP16" s="2">
        <f t="shared" si="27"/>
        <v>0</v>
      </c>
      <c r="CQ16" s="2">
        <f t="shared" si="28"/>
        <v>0</v>
      </c>
      <c r="CR16" s="13">
        <f t="shared" si="29"/>
        <v>0</v>
      </c>
      <c r="CS16" s="2">
        <f t="shared" si="30"/>
        <v>5.2000000000000011</v>
      </c>
      <c r="CT16" s="2">
        <f t="shared" si="31"/>
        <v>5.1999999999999993</v>
      </c>
      <c r="CU16" s="2">
        <f t="shared" si="32"/>
        <v>4.9999999999999991</v>
      </c>
      <c r="CV16" s="2">
        <f t="shared" si="33"/>
        <v>5.6</v>
      </c>
      <c r="CW16" s="2">
        <f t="shared" si="34"/>
        <v>6.3000000000000007</v>
      </c>
      <c r="CX16" s="2">
        <f t="shared" si="35"/>
        <v>6.8000000000000007</v>
      </c>
      <c r="CY16" s="2">
        <f t="shared" si="36"/>
        <v>6.3</v>
      </c>
      <c r="CZ16" s="2">
        <f t="shared" si="37"/>
        <v>6.6</v>
      </c>
      <c r="DA16" s="2">
        <f t="shared" si="38"/>
        <v>6.7000000000000011</v>
      </c>
      <c r="DE16" s="13"/>
      <c r="DF16" s="18">
        <f t="shared" si="39"/>
        <v>0.17741935483870966</v>
      </c>
      <c r="DG16" s="18">
        <f t="shared" si="40"/>
        <v>0.22222222222222224</v>
      </c>
      <c r="DH16" s="18">
        <f t="shared" si="41"/>
        <v>0.17741935483870969</v>
      </c>
      <c r="DI16" s="18">
        <f t="shared" si="42"/>
        <v>0.17808219178082194</v>
      </c>
      <c r="DJ16" s="18">
        <f t="shared" si="43"/>
        <v>0.15853658536585363</v>
      </c>
      <c r="DK16" s="18">
        <f t="shared" si="44"/>
        <v>0.15730337078651685</v>
      </c>
      <c r="DL16" s="18">
        <f t="shared" si="45"/>
        <v>0.1647058823529412</v>
      </c>
      <c r="DM16" s="18">
        <f t="shared" si="46"/>
        <v>0.17241379310344829</v>
      </c>
      <c r="DN16" s="18">
        <f t="shared" si="47"/>
        <v>0.18181818181818182</v>
      </c>
      <c r="DR16" s="13"/>
      <c r="DS16" s="15"/>
      <c r="EE16" s="13"/>
      <c r="EF16" s="15"/>
      <c r="ER16" s="13"/>
      <c r="ES16" s="15"/>
      <c r="FE16" s="13"/>
      <c r="FF16" s="15"/>
      <c r="FR16" s="13"/>
    </row>
    <row r="17" spans="4:174" x14ac:dyDescent="0.25">
      <c r="E17" s="2" t="s">
        <v>232</v>
      </c>
      <c r="F17" s="91">
        <v>0.8</v>
      </c>
      <c r="G17" s="2">
        <f>0.5+0.2</f>
        <v>0.7</v>
      </c>
      <c r="H17" s="2">
        <f>0.7+0.2</f>
        <v>0.89999999999999991</v>
      </c>
      <c r="I17" s="2">
        <f>0.9+0.3</f>
        <v>1.2</v>
      </c>
      <c r="J17" s="2">
        <f>1.1+0.3</f>
        <v>1.4000000000000001</v>
      </c>
      <c r="K17" s="2">
        <f>1.2+0.3</f>
        <v>1.5</v>
      </c>
      <c r="L17" s="2">
        <v>1.5</v>
      </c>
      <c r="M17" s="2">
        <v>1.5</v>
      </c>
      <c r="N17" s="2">
        <v>1.5</v>
      </c>
      <c r="R17" s="13"/>
      <c r="S17" s="2">
        <f>1.5+2.1</f>
        <v>3.6</v>
      </c>
      <c r="T17" s="2">
        <f>2+1+0.3</f>
        <v>3.3</v>
      </c>
      <c r="U17" s="2">
        <f>2.3+1.2</f>
        <v>3.5</v>
      </c>
      <c r="V17" s="2">
        <f>3.3+1.4</f>
        <v>4.6999999999999993</v>
      </c>
      <c r="W17" s="2">
        <f>3+1.4</f>
        <v>4.4000000000000004</v>
      </c>
      <c r="X17" s="2">
        <f>2.9+1.5</f>
        <v>4.4000000000000004</v>
      </c>
      <c r="Y17" s="2">
        <v>3.6</v>
      </c>
      <c r="Z17" s="103">
        <v>4</v>
      </c>
      <c r="AA17" s="103">
        <v>4.0999999999999996</v>
      </c>
      <c r="AB17" s="103"/>
      <c r="AC17" s="103"/>
      <c r="AD17" s="103"/>
      <c r="AE17" s="103"/>
      <c r="AF17" s="91">
        <f>0.2+0.6</f>
        <v>0.8</v>
      </c>
      <c r="AG17" s="2">
        <f>0.6+0.1+0.2</f>
        <v>0.89999999999999991</v>
      </c>
      <c r="AH17" s="2">
        <f>0.6+0.1+0.2</f>
        <v>0.89999999999999991</v>
      </c>
      <c r="AI17" s="2">
        <f>0.7+0.1+0.2</f>
        <v>1</v>
      </c>
      <c r="AJ17" s="2">
        <f>0.7+0.1+0.2</f>
        <v>1</v>
      </c>
      <c r="AK17" s="2">
        <f>0.7+0.1+0.2</f>
        <v>1</v>
      </c>
      <c r="AL17" s="2">
        <f>0.6+0.1+0.2</f>
        <v>0.89999999999999991</v>
      </c>
      <c r="AM17" s="2">
        <f>0.7+0.1+0.3</f>
        <v>1.0999999999999999</v>
      </c>
      <c r="AN17" s="2">
        <f>0.7+0.1+0.3</f>
        <v>1.0999999999999999</v>
      </c>
      <c r="AO17" s="15"/>
      <c r="AP17" s="15"/>
      <c r="AQ17" s="15"/>
      <c r="AR17" s="145"/>
      <c r="AS17" s="91"/>
      <c r="BE17" s="13"/>
      <c r="BF17" s="91"/>
      <c r="BR17" s="13"/>
      <c r="BS17" s="91"/>
      <c r="BT17" s="2">
        <f>-0.2-0.5</f>
        <v>-0.7</v>
      </c>
      <c r="BU17" s="2">
        <v>-0.4</v>
      </c>
      <c r="BV17" s="2">
        <v>0</v>
      </c>
      <c r="BW17" s="2">
        <v>0</v>
      </c>
      <c r="CE17" s="13"/>
      <c r="CF17" s="2">
        <f t="shared" si="17"/>
        <v>4.4000000000000004</v>
      </c>
      <c r="CG17" s="2">
        <f t="shared" si="18"/>
        <v>4.1999999999999993</v>
      </c>
      <c r="CH17" s="2">
        <f t="shared" si="19"/>
        <v>4.4000000000000004</v>
      </c>
      <c r="CI17" s="2">
        <f t="shared" si="20"/>
        <v>5.6999999999999993</v>
      </c>
      <c r="CJ17" s="2">
        <f t="shared" si="21"/>
        <v>5.4</v>
      </c>
      <c r="CK17" s="2">
        <f t="shared" si="22"/>
        <v>5.4</v>
      </c>
      <c r="CL17" s="2">
        <f t="shared" si="23"/>
        <v>4.5</v>
      </c>
      <c r="CM17" s="2">
        <f t="shared" si="24"/>
        <v>5.0999999999999996</v>
      </c>
      <c r="CN17" s="2">
        <f t="shared" si="25"/>
        <v>5.1999999999999993</v>
      </c>
      <c r="CO17" s="2">
        <f t="shared" si="26"/>
        <v>0</v>
      </c>
      <c r="CP17" s="2">
        <f t="shared" si="27"/>
        <v>0</v>
      </c>
      <c r="CQ17" s="2">
        <f t="shared" si="28"/>
        <v>0</v>
      </c>
      <c r="CR17" s="13">
        <f t="shared" si="29"/>
        <v>0</v>
      </c>
      <c r="CS17" s="2">
        <f t="shared" si="30"/>
        <v>3.6000000000000005</v>
      </c>
      <c r="CT17" s="2">
        <f t="shared" si="31"/>
        <v>4.1999999999999993</v>
      </c>
      <c r="CU17" s="2">
        <f t="shared" si="32"/>
        <v>3.9000000000000008</v>
      </c>
      <c r="CV17" s="2">
        <f t="shared" si="33"/>
        <v>4.4999999999999991</v>
      </c>
      <c r="CW17" s="2">
        <f t="shared" si="34"/>
        <v>4</v>
      </c>
      <c r="CX17" s="2">
        <f t="shared" si="35"/>
        <v>3.9000000000000004</v>
      </c>
      <c r="CY17" s="2">
        <f t="shared" si="36"/>
        <v>3</v>
      </c>
      <c r="CZ17" s="2">
        <f t="shared" si="37"/>
        <v>3.5999999999999996</v>
      </c>
      <c r="DA17" s="2">
        <f t="shared" si="38"/>
        <v>3.6999999999999993</v>
      </c>
      <c r="DE17" s="13"/>
      <c r="DF17" s="18">
        <f t="shared" si="39"/>
        <v>0.18181818181818182</v>
      </c>
      <c r="DG17" s="18">
        <f t="shared" si="40"/>
        <v>0.2142857142857143</v>
      </c>
      <c r="DH17" s="18">
        <f t="shared" si="41"/>
        <v>0.2045454545454545</v>
      </c>
      <c r="DI17" s="18">
        <f t="shared" si="42"/>
        <v>0.17543859649122809</v>
      </c>
      <c r="DJ17" s="18">
        <f t="shared" si="43"/>
        <v>0.18518518518518517</v>
      </c>
      <c r="DK17" s="18">
        <f t="shared" si="44"/>
        <v>0.18518518518518517</v>
      </c>
      <c r="DL17" s="18">
        <f t="shared" si="45"/>
        <v>0.19999999999999998</v>
      </c>
      <c r="DM17" s="18">
        <f t="shared" si="46"/>
        <v>0.2156862745098039</v>
      </c>
      <c r="DN17" s="18">
        <f t="shared" si="47"/>
        <v>0.21153846153846154</v>
      </c>
      <c r="DR17" s="13"/>
      <c r="DS17" s="15"/>
      <c r="EE17" s="13"/>
      <c r="EF17" s="15"/>
      <c r="ER17" s="13"/>
      <c r="ES17" s="15"/>
      <c r="FE17" s="13"/>
      <c r="FF17" s="15"/>
      <c r="FR17" s="13"/>
    </row>
    <row r="18" spans="4:174" x14ac:dyDescent="0.25">
      <c r="E18" s="2" t="s">
        <v>233</v>
      </c>
      <c r="F18" s="91">
        <v>1.8</v>
      </c>
      <c r="G18" s="2">
        <f>1.4+1.3</f>
        <v>2.7</v>
      </c>
      <c r="H18" s="2">
        <f>1.7+1.7</f>
        <v>3.4</v>
      </c>
      <c r="I18" s="2">
        <f>1.9+1.8</f>
        <v>3.7</v>
      </c>
      <c r="J18" s="2">
        <f>2.2+2.1</f>
        <v>4.3000000000000007</v>
      </c>
      <c r="K18" s="2">
        <f>2.5+2.1</f>
        <v>4.5999999999999996</v>
      </c>
      <c r="L18" s="2">
        <v>5.0999999999999996</v>
      </c>
      <c r="M18" s="2">
        <v>4.9000000000000004</v>
      </c>
      <c r="N18" s="2">
        <v>5.2</v>
      </c>
      <c r="R18" s="13"/>
      <c r="S18" s="2">
        <f>7.4+4.8+4.6</f>
        <v>16.799999999999997</v>
      </c>
      <c r="T18" s="2">
        <f>3.4+5.8+4.6+0.7</f>
        <v>14.499999999999998</v>
      </c>
      <c r="U18" s="2">
        <f>4.1+7.6+4.4</f>
        <v>16.100000000000001</v>
      </c>
      <c r="V18" s="2">
        <f>5.1+9.2+4.6</f>
        <v>18.899999999999999</v>
      </c>
      <c r="W18" s="2">
        <f>5.6+10.5+6.6</f>
        <v>22.700000000000003</v>
      </c>
      <c r="X18" s="2">
        <f>6.6+10.7+7.8</f>
        <v>25.099999999999998</v>
      </c>
      <c r="Y18" s="2">
        <v>23.7</v>
      </c>
      <c r="Z18" s="103">
        <v>24.5</v>
      </c>
      <c r="AA18" s="103">
        <v>24.6</v>
      </c>
      <c r="AB18" s="103"/>
      <c r="AC18" s="103"/>
      <c r="AD18" s="103"/>
      <c r="AE18" s="103"/>
      <c r="AF18" s="91">
        <f>1.5+2.5</f>
        <v>4</v>
      </c>
      <c r="AG18" s="2">
        <f>1.1+1.1+1.3+0.9</f>
        <v>4.4000000000000004</v>
      </c>
      <c r="AH18" s="2">
        <f>1.1+0.9+1.2+0.6</f>
        <v>3.8000000000000003</v>
      </c>
      <c r="AI18" s="2">
        <f>1.3+1+1.5+0.6</f>
        <v>4.3999999999999995</v>
      </c>
      <c r="AJ18" s="2">
        <f>1.3+0.9+1.5+0.8</f>
        <v>4.5</v>
      </c>
      <c r="AK18" s="2">
        <f>1.4+1+1.5+0.8</f>
        <v>4.7</v>
      </c>
      <c r="AL18" s="2">
        <f>1.5+0.9+1.6+0.8</f>
        <v>4.8</v>
      </c>
      <c r="AM18" s="2">
        <f>1.6+1.1+1.7+0.3</f>
        <v>4.7</v>
      </c>
      <c r="AN18" s="2">
        <f>1.8+1.1+1.9+1</f>
        <v>5.8000000000000007</v>
      </c>
      <c r="AO18" s="15"/>
      <c r="AP18" s="15"/>
      <c r="AQ18" s="15"/>
      <c r="AR18" s="145"/>
      <c r="AS18" s="91"/>
      <c r="BE18" s="13"/>
      <c r="BF18" s="91"/>
      <c r="BR18" s="13"/>
      <c r="BS18" s="91"/>
      <c r="BT18" s="2">
        <f>-1.6+0.1-1.9</f>
        <v>-3.4</v>
      </c>
      <c r="BU18" s="2">
        <f>0.1-0.4+0.2</f>
        <v>-0.10000000000000003</v>
      </c>
      <c r="BV18" s="2">
        <v>0</v>
      </c>
      <c r="BW18" s="2">
        <v>0</v>
      </c>
      <c r="CE18" s="13"/>
      <c r="CF18" s="2">
        <f t="shared" si="17"/>
        <v>20.799999999999997</v>
      </c>
      <c r="CG18" s="2">
        <f t="shared" si="18"/>
        <v>18.899999999999999</v>
      </c>
      <c r="CH18" s="2">
        <f t="shared" si="19"/>
        <v>19.900000000000002</v>
      </c>
      <c r="CI18" s="2">
        <f t="shared" si="20"/>
        <v>23.299999999999997</v>
      </c>
      <c r="CJ18" s="2">
        <f t="shared" si="21"/>
        <v>27.200000000000003</v>
      </c>
      <c r="CK18" s="2">
        <f t="shared" si="22"/>
        <v>29.799999999999997</v>
      </c>
      <c r="CL18" s="2">
        <f t="shared" si="23"/>
        <v>28.5</v>
      </c>
      <c r="CM18" s="2">
        <f t="shared" si="24"/>
        <v>29.2</v>
      </c>
      <c r="CN18" s="2">
        <f t="shared" si="25"/>
        <v>30.400000000000002</v>
      </c>
      <c r="CO18" s="2">
        <f t="shared" si="26"/>
        <v>0</v>
      </c>
      <c r="CP18" s="2">
        <f t="shared" si="27"/>
        <v>0</v>
      </c>
      <c r="CQ18" s="2">
        <f t="shared" si="28"/>
        <v>0</v>
      </c>
      <c r="CR18" s="13">
        <f t="shared" si="29"/>
        <v>0</v>
      </c>
      <c r="CS18" s="2">
        <f t="shared" si="30"/>
        <v>18.999999999999996</v>
      </c>
      <c r="CT18" s="2">
        <f t="shared" si="31"/>
        <v>19.599999999999998</v>
      </c>
      <c r="CU18" s="2">
        <f t="shared" si="32"/>
        <v>16.600000000000005</v>
      </c>
      <c r="CV18" s="2">
        <f t="shared" si="33"/>
        <v>19.599999999999998</v>
      </c>
      <c r="CW18" s="2">
        <f t="shared" si="34"/>
        <v>22.900000000000002</v>
      </c>
      <c r="CX18" s="2">
        <f t="shared" si="35"/>
        <v>25.199999999999996</v>
      </c>
      <c r="CY18" s="2">
        <f t="shared" si="36"/>
        <v>23.4</v>
      </c>
      <c r="CZ18" s="2">
        <f t="shared" si="37"/>
        <v>24.299999999999997</v>
      </c>
      <c r="DA18" s="2">
        <f t="shared" si="38"/>
        <v>25.200000000000003</v>
      </c>
      <c r="DE18" s="13"/>
      <c r="DF18" s="18">
        <f t="shared" si="39"/>
        <v>0.19230769230769235</v>
      </c>
      <c r="DG18" s="18">
        <f t="shared" si="40"/>
        <v>0.23280423280423285</v>
      </c>
      <c r="DH18" s="18">
        <f t="shared" si="41"/>
        <v>0.19095477386934673</v>
      </c>
      <c r="DI18" s="18">
        <f t="shared" si="42"/>
        <v>0.18884120171673821</v>
      </c>
      <c r="DJ18" s="18">
        <f t="shared" si="43"/>
        <v>0.16544117647058823</v>
      </c>
      <c r="DK18" s="18">
        <f t="shared" si="44"/>
        <v>0.15771812080536915</v>
      </c>
      <c r="DL18" s="18">
        <f t="shared" si="45"/>
        <v>0.16842105263157894</v>
      </c>
      <c r="DM18" s="18">
        <f t="shared" si="46"/>
        <v>0.16095890410958905</v>
      </c>
      <c r="DN18" s="18">
        <f t="shared" si="47"/>
        <v>0.19078947368421054</v>
      </c>
      <c r="DR18" s="13"/>
      <c r="DS18" s="15"/>
      <c r="EE18" s="13"/>
      <c r="EF18" s="15"/>
      <c r="ER18" s="13"/>
      <c r="ES18" s="15"/>
      <c r="FE18" s="13"/>
      <c r="FF18" s="15"/>
      <c r="FR18" s="13"/>
    </row>
    <row r="19" spans="4:174" x14ac:dyDescent="0.25">
      <c r="E19" s="2" t="s">
        <v>234</v>
      </c>
      <c r="F19" s="91">
        <v>1.1000000000000001</v>
      </c>
      <c r="G19" s="2">
        <f>0.6+0.8</f>
        <v>1.4</v>
      </c>
      <c r="H19" s="2">
        <f>0.9+1</f>
        <v>1.9</v>
      </c>
      <c r="I19" s="2">
        <f>1.1+1</f>
        <v>2.1</v>
      </c>
      <c r="J19" s="2">
        <f>1.3+1</f>
        <v>2.2999999999999998</v>
      </c>
      <c r="K19" s="2">
        <f>1.6+1.1</f>
        <v>2.7</v>
      </c>
      <c r="L19" s="2">
        <v>3</v>
      </c>
      <c r="M19" s="2">
        <v>2.9</v>
      </c>
      <c r="N19" s="2">
        <v>3</v>
      </c>
      <c r="R19" s="13"/>
      <c r="S19" s="2">
        <f>4.5+2.3</f>
        <v>6.8</v>
      </c>
      <c r="T19" s="2">
        <f>1.3+3.7+0.5</f>
        <v>5.5</v>
      </c>
      <c r="U19" s="2">
        <f>2+4.7</f>
        <v>6.7</v>
      </c>
      <c r="V19" s="2">
        <f>2.9+4.8</f>
        <v>7.6999999999999993</v>
      </c>
      <c r="W19" s="2">
        <f>3.1+5.4+1.1</f>
        <v>9.6</v>
      </c>
      <c r="X19" s="2">
        <f>3.8+5.7+1.7</f>
        <v>11.2</v>
      </c>
      <c r="Y19" s="2">
        <v>10.199999999999999</v>
      </c>
      <c r="Z19" s="103">
        <v>10.5</v>
      </c>
      <c r="AA19" s="103">
        <v>10.4</v>
      </c>
      <c r="AB19" s="103"/>
      <c r="AC19" s="103"/>
      <c r="AD19" s="103"/>
      <c r="AE19" s="103"/>
      <c r="AF19" s="91">
        <f>0.9+1.2</f>
        <v>2.1</v>
      </c>
      <c r="AG19" s="2">
        <f>0.5+0.7+0.8</f>
        <v>2</v>
      </c>
      <c r="AH19" s="2">
        <f>0.6+0.6+0.7</f>
        <v>1.9</v>
      </c>
      <c r="AI19" s="2">
        <f>0.8+0.6+0.9</f>
        <v>2.2999999999999998</v>
      </c>
      <c r="AJ19" s="2">
        <f>0.8+0.5+0.9+0.1</f>
        <v>2.3000000000000003</v>
      </c>
      <c r="AK19" s="2">
        <f>1+0.5+0.9+0.2</f>
        <v>2.6</v>
      </c>
      <c r="AL19" s="2">
        <f>1+0.5+1+0.2</f>
        <v>2.7</v>
      </c>
      <c r="AM19" s="2">
        <f>1.1+0.6+1.1+0.2</f>
        <v>3.0000000000000004</v>
      </c>
      <c r="AN19" s="2">
        <f>1.2+0.6+1.2+0.2</f>
        <v>3.2</v>
      </c>
      <c r="AO19" s="15"/>
      <c r="AP19" s="15"/>
      <c r="AQ19" s="15"/>
      <c r="AR19" s="145"/>
      <c r="AS19" s="91"/>
      <c r="BE19" s="13"/>
      <c r="BF19" s="91"/>
      <c r="BR19" s="13"/>
      <c r="BS19" s="91"/>
      <c r="BT19" s="2">
        <f>-1.2-0.8</f>
        <v>-2</v>
      </c>
      <c r="BU19" s="2">
        <f>0.3+0.4</f>
        <v>0.7</v>
      </c>
      <c r="BV19" s="2">
        <v>0</v>
      </c>
      <c r="BW19" s="2">
        <v>0</v>
      </c>
      <c r="CE19" s="13"/>
      <c r="CF19" s="2">
        <f t="shared" si="17"/>
        <v>8.9</v>
      </c>
      <c r="CG19" s="2">
        <f t="shared" si="18"/>
        <v>7.5</v>
      </c>
      <c r="CH19" s="2">
        <f t="shared" si="19"/>
        <v>8.6</v>
      </c>
      <c r="CI19" s="2">
        <f t="shared" si="20"/>
        <v>10</v>
      </c>
      <c r="CJ19" s="2">
        <f t="shared" si="21"/>
        <v>11.9</v>
      </c>
      <c r="CK19" s="2">
        <f t="shared" si="22"/>
        <v>13.799999999999999</v>
      </c>
      <c r="CL19" s="2">
        <f t="shared" si="23"/>
        <v>12.899999999999999</v>
      </c>
      <c r="CM19" s="2">
        <f t="shared" si="24"/>
        <v>13.5</v>
      </c>
      <c r="CN19" s="2">
        <f t="shared" si="25"/>
        <v>13.600000000000001</v>
      </c>
      <c r="CO19" s="2">
        <f t="shared" si="26"/>
        <v>0</v>
      </c>
      <c r="CP19" s="2">
        <f t="shared" si="27"/>
        <v>0</v>
      </c>
      <c r="CQ19" s="2">
        <f t="shared" si="28"/>
        <v>0</v>
      </c>
      <c r="CR19" s="13">
        <f t="shared" si="29"/>
        <v>0</v>
      </c>
      <c r="CS19" s="2">
        <f t="shared" si="30"/>
        <v>7.8000000000000007</v>
      </c>
      <c r="CT19" s="2">
        <f t="shared" si="31"/>
        <v>8.1</v>
      </c>
      <c r="CU19" s="2">
        <f t="shared" si="32"/>
        <v>6</v>
      </c>
      <c r="CV19" s="2">
        <f t="shared" si="33"/>
        <v>7.9</v>
      </c>
      <c r="CW19" s="2">
        <f t="shared" si="34"/>
        <v>9.6000000000000014</v>
      </c>
      <c r="CX19" s="2">
        <f t="shared" si="35"/>
        <v>11.099999999999998</v>
      </c>
      <c r="CY19" s="2">
        <f t="shared" si="36"/>
        <v>9.8999999999999986</v>
      </c>
      <c r="CZ19" s="2">
        <f t="shared" si="37"/>
        <v>10.6</v>
      </c>
      <c r="DA19" s="2">
        <f t="shared" si="38"/>
        <v>10.600000000000001</v>
      </c>
      <c r="DE19" s="13"/>
      <c r="DF19" s="18">
        <f t="shared" si="39"/>
        <v>0.23595505617977527</v>
      </c>
      <c r="DG19" s="18">
        <f t="shared" si="40"/>
        <v>0.26666666666666666</v>
      </c>
      <c r="DH19" s="18">
        <f t="shared" si="41"/>
        <v>0.22093023255813954</v>
      </c>
      <c r="DI19" s="18">
        <f t="shared" si="42"/>
        <v>0.22999999999999998</v>
      </c>
      <c r="DJ19" s="18">
        <f t="shared" si="43"/>
        <v>0.19327731092436976</v>
      </c>
      <c r="DK19" s="18">
        <f t="shared" si="44"/>
        <v>0.18840579710144931</v>
      </c>
      <c r="DL19" s="18">
        <f t="shared" si="45"/>
        <v>0.20930232558139539</v>
      </c>
      <c r="DM19" s="18">
        <f t="shared" si="46"/>
        <v>0.22222222222222227</v>
      </c>
      <c r="DN19" s="18">
        <f t="shared" si="47"/>
        <v>0.23529411764705882</v>
      </c>
      <c r="DR19" s="13"/>
      <c r="EE19" s="13"/>
      <c r="ER19" s="13"/>
      <c r="FE19" s="13"/>
      <c r="FR19" s="13"/>
    </row>
    <row r="20" spans="4:174" x14ac:dyDescent="0.25">
      <c r="E20" s="2" t="s">
        <v>235</v>
      </c>
      <c r="F20" s="91">
        <v>0.4</v>
      </c>
      <c r="G20" s="2">
        <f>0.3+0.4</f>
        <v>0.7</v>
      </c>
      <c r="H20" s="2">
        <f>0.5+0.5</f>
        <v>1</v>
      </c>
      <c r="I20" s="2">
        <f>0.5+0.6</f>
        <v>1.1000000000000001</v>
      </c>
      <c r="J20" s="2">
        <f>0.6+0.7</f>
        <v>1.2999999999999998</v>
      </c>
      <c r="K20" s="2">
        <f>0.7+0.8</f>
        <v>1.5</v>
      </c>
      <c r="L20" s="2">
        <v>1.5</v>
      </c>
      <c r="M20" s="2">
        <v>1.5</v>
      </c>
      <c r="N20" s="2">
        <v>1.5</v>
      </c>
      <c r="R20" s="13"/>
      <c r="S20" s="2">
        <f>2.8+0.8+2.2</f>
        <v>5.8</v>
      </c>
      <c r="T20" s="2">
        <f>0.6+1.9+1.7+1</f>
        <v>5.2</v>
      </c>
      <c r="U20" s="2">
        <f>1.2+2.7+2.6</f>
        <v>6.5</v>
      </c>
      <c r="V20" s="2">
        <f>1.5+3+2.9</f>
        <v>7.4</v>
      </c>
      <c r="W20" s="2">
        <f>1.6+3.7+3.1</f>
        <v>8.4</v>
      </c>
      <c r="X20" s="2">
        <f>1.7+4+2.7</f>
        <v>8.4</v>
      </c>
      <c r="Y20" s="2">
        <v>7.7</v>
      </c>
      <c r="Z20" s="103">
        <v>7.8</v>
      </c>
      <c r="AA20" s="103">
        <v>7.7</v>
      </c>
      <c r="AB20" s="103"/>
      <c r="AC20" s="103"/>
      <c r="AD20" s="103"/>
      <c r="AE20" s="103"/>
      <c r="AF20" s="91">
        <f>0.4+0.6</f>
        <v>1</v>
      </c>
      <c r="AG20" s="2">
        <f>0.2+0.3+0.4+0.2</f>
        <v>1.1000000000000001</v>
      </c>
      <c r="AH20" s="2">
        <f>0.2+0.2+0.3+0.2</f>
        <v>0.89999999999999991</v>
      </c>
      <c r="AI20" s="2">
        <f>0.3+0.3+0.4+0.3</f>
        <v>1.3</v>
      </c>
      <c r="AJ20" s="2">
        <f>0.3+0.3+0.4+0.3</f>
        <v>1.3</v>
      </c>
      <c r="AK20" s="2">
        <f>0.3+0.3+0.4+0.2</f>
        <v>1.2</v>
      </c>
      <c r="AL20" s="2">
        <f>0.3+0.3+0.5+0.2</f>
        <v>1.3</v>
      </c>
      <c r="AM20" s="2">
        <f>0.4+0.3+0.5+0.3</f>
        <v>1.5</v>
      </c>
      <c r="AN20" s="2">
        <f>0.4+0.3+0.5+0.3</f>
        <v>1.5</v>
      </c>
      <c r="AO20" s="15"/>
      <c r="AP20" s="15"/>
      <c r="AQ20" s="15"/>
      <c r="AR20" s="145"/>
      <c r="AS20" s="91"/>
      <c r="BE20" s="13"/>
      <c r="BF20" s="91"/>
      <c r="BR20" s="13"/>
      <c r="BS20" s="91"/>
      <c r="BT20" s="2">
        <f>-0.2-1-0.6</f>
        <v>-1.7999999999999998</v>
      </c>
      <c r="BU20" s="2">
        <f>0.4-0.2+0.9</f>
        <v>1.1000000000000001</v>
      </c>
      <c r="BV20" s="2">
        <v>0</v>
      </c>
      <c r="BW20" s="2">
        <v>0</v>
      </c>
      <c r="CE20" s="13"/>
      <c r="CF20" s="2">
        <f t="shared" si="17"/>
        <v>6.8</v>
      </c>
      <c r="CG20" s="2">
        <f t="shared" si="18"/>
        <v>6.3000000000000007</v>
      </c>
      <c r="CH20" s="2">
        <f t="shared" si="19"/>
        <v>7.4</v>
      </c>
      <c r="CI20" s="2">
        <f t="shared" si="20"/>
        <v>8.7000000000000011</v>
      </c>
      <c r="CJ20" s="2">
        <f t="shared" si="21"/>
        <v>9.7000000000000011</v>
      </c>
      <c r="CK20" s="2">
        <f t="shared" si="22"/>
        <v>9.6</v>
      </c>
      <c r="CL20" s="2">
        <f t="shared" si="23"/>
        <v>9</v>
      </c>
      <c r="CM20" s="2">
        <f t="shared" si="24"/>
        <v>9.3000000000000007</v>
      </c>
      <c r="CN20" s="2">
        <f t="shared" si="25"/>
        <v>9.1999999999999993</v>
      </c>
      <c r="CO20" s="2">
        <f t="shared" si="26"/>
        <v>0</v>
      </c>
      <c r="CP20" s="2">
        <f t="shared" si="27"/>
        <v>0</v>
      </c>
      <c r="CQ20" s="2">
        <f t="shared" si="28"/>
        <v>0</v>
      </c>
      <c r="CR20" s="13">
        <f t="shared" si="29"/>
        <v>0</v>
      </c>
      <c r="CS20" s="2">
        <f t="shared" si="30"/>
        <v>6.3999999999999995</v>
      </c>
      <c r="CT20" s="2">
        <f t="shared" si="31"/>
        <v>7.4000000000000012</v>
      </c>
      <c r="CU20" s="2">
        <f t="shared" si="32"/>
        <v>5.3000000000000007</v>
      </c>
      <c r="CV20" s="2">
        <f t="shared" si="33"/>
        <v>7.6000000000000014</v>
      </c>
      <c r="CW20" s="2">
        <f t="shared" si="34"/>
        <v>8.4000000000000021</v>
      </c>
      <c r="CX20" s="2">
        <f t="shared" si="35"/>
        <v>8.1</v>
      </c>
      <c r="CY20" s="2">
        <f t="shared" si="36"/>
        <v>7.5</v>
      </c>
      <c r="CZ20" s="2">
        <f t="shared" si="37"/>
        <v>7.8000000000000007</v>
      </c>
      <c r="DA20" s="2">
        <f t="shared" si="38"/>
        <v>7.6999999999999993</v>
      </c>
      <c r="DE20" s="13"/>
      <c r="DF20" s="18">
        <f t="shared" si="39"/>
        <v>0.14705882352941177</v>
      </c>
      <c r="DG20" s="18">
        <f t="shared" si="40"/>
        <v>0.17460317460317459</v>
      </c>
      <c r="DH20" s="18">
        <f t="shared" si="41"/>
        <v>0.1216216216216216</v>
      </c>
      <c r="DI20" s="18">
        <f t="shared" si="42"/>
        <v>0.14942528735632182</v>
      </c>
      <c r="DJ20" s="18">
        <f t="shared" si="43"/>
        <v>0.13402061855670103</v>
      </c>
      <c r="DK20" s="18">
        <f t="shared" si="44"/>
        <v>0.125</v>
      </c>
      <c r="DL20" s="18">
        <f t="shared" si="45"/>
        <v>0.14444444444444446</v>
      </c>
      <c r="DM20" s="18">
        <f t="shared" si="46"/>
        <v>0.16129032258064516</v>
      </c>
      <c r="DN20" s="18">
        <f t="shared" si="47"/>
        <v>0.16304347826086957</v>
      </c>
      <c r="DR20" s="13"/>
      <c r="DS20" s="15"/>
      <c r="EE20" s="13"/>
      <c r="EF20" s="15"/>
      <c r="ER20" s="13"/>
      <c r="ES20" s="15"/>
      <c r="FE20" s="13"/>
      <c r="FF20" s="15"/>
      <c r="FR20" s="13"/>
    </row>
    <row r="21" spans="4:174" x14ac:dyDescent="0.25">
      <c r="E21" s="2" t="s">
        <v>236</v>
      </c>
      <c r="F21" s="91">
        <v>1</v>
      </c>
      <c r="G21" s="2">
        <f>0.7+0.5</f>
        <v>1.2</v>
      </c>
      <c r="H21" s="2">
        <f>1.1+0.7</f>
        <v>1.8</v>
      </c>
      <c r="I21" s="2">
        <f>1.2+0.7</f>
        <v>1.9</v>
      </c>
      <c r="J21" s="2">
        <f>1.4+0.7</f>
        <v>2.0999999999999996</v>
      </c>
      <c r="K21" s="2">
        <f>1.6+0.8</f>
        <v>2.4000000000000004</v>
      </c>
      <c r="L21" s="2">
        <v>2.6</v>
      </c>
      <c r="M21" s="2">
        <v>2.5</v>
      </c>
      <c r="N21" s="2">
        <v>2.5</v>
      </c>
      <c r="R21" s="13"/>
      <c r="S21" s="2">
        <f>3.7+1.9+3.6</f>
        <v>9.1999999999999993</v>
      </c>
      <c r="T21" s="2">
        <f>1.4+2.6+2.7+0.4</f>
        <v>7.1000000000000005</v>
      </c>
      <c r="U21" s="2">
        <f>2.3+3.5+4.1</f>
        <v>9.8999999999999986</v>
      </c>
      <c r="V21" s="2">
        <f>2.8+3.6+4.6</f>
        <v>11</v>
      </c>
      <c r="W21" s="2">
        <f>3.1+3.8+4.9</f>
        <v>11.8</v>
      </c>
      <c r="X21" s="2">
        <f>3.7+4.1+5.5</f>
        <v>13.3</v>
      </c>
      <c r="Y21" s="2">
        <v>11.9</v>
      </c>
      <c r="Z21" s="103">
        <v>12.3</v>
      </c>
      <c r="AA21" s="103">
        <v>11.8</v>
      </c>
      <c r="AB21" s="103"/>
      <c r="AC21" s="103"/>
      <c r="AD21" s="103"/>
      <c r="AE21" s="103"/>
      <c r="AF21" s="91">
        <f>0.7+1.4</f>
        <v>2.0999999999999996</v>
      </c>
      <c r="AG21" s="2">
        <f>0.6+0.5+0.7+0.5</f>
        <v>2.2999999999999998</v>
      </c>
      <c r="AH21" s="2">
        <f>0.7+0.4+0.6+0.5</f>
        <v>2.2000000000000002</v>
      </c>
      <c r="AI21" s="2">
        <f>0.9+0.4+0.7+0.6</f>
        <v>2.6</v>
      </c>
      <c r="AJ21" s="2">
        <f>0.8+0.3+0.8+0.5</f>
        <v>2.4000000000000004</v>
      </c>
      <c r="AK21" s="2">
        <f>0.9+0.4+0.7+0.5</f>
        <v>2.5</v>
      </c>
      <c r="AL21" s="2">
        <f>1+0.4+0.8+0.5</f>
        <v>2.7</v>
      </c>
      <c r="AM21" s="2">
        <f>1.1+0.4+0.9+0.6</f>
        <v>3</v>
      </c>
      <c r="AN21" s="2">
        <f>1.1+0.4+0.9+0.6</f>
        <v>3</v>
      </c>
      <c r="AO21" s="15"/>
      <c r="AP21" s="15"/>
      <c r="AQ21" s="15"/>
      <c r="AR21" s="145"/>
      <c r="AS21" s="91"/>
      <c r="BE21" s="13"/>
      <c r="BF21" s="91"/>
      <c r="BR21" s="13"/>
      <c r="BS21" s="91"/>
      <c r="BT21" s="2">
        <f>-0.6-1.2-1</f>
        <v>-2.8</v>
      </c>
      <c r="BU21" s="2">
        <f>0.6+0.8</f>
        <v>1.4</v>
      </c>
      <c r="BV21" s="2">
        <v>0</v>
      </c>
      <c r="BW21" s="2">
        <v>0</v>
      </c>
      <c r="CE21" s="13"/>
      <c r="CF21" s="2">
        <f t="shared" si="17"/>
        <v>11.299999999999999</v>
      </c>
      <c r="CG21" s="2">
        <f t="shared" si="18"/>
        <v>9.4</v>
      </c>
      <c r="CH21" s="2">
        <f t="shared" si="19"/>
        <v>12.099999999999998</v>
      </c>
      <c r="CI21" s="2">
        <f t="shared" si="20"/>
        <v>13.6</v>
      </c>
      <c r="CJ21" s="2">
        <f t="shared" si="21"/>
        <v>14.200000000000001</v>
      </c>
      <c r="CK21" s="2">
        <f t="shared" si="22"/>
        <v>15.8</v>
      </c>
      <c r="CL21" s="2">
        <f t="shared" si="23"/>
        <v>14.600000000000001</v>
      </c>
      <c r="CM21" s="2">
        <f t="shared" si="24"/>
        <v>15.3</v>
      </c>
      <c r="CN21" s="2">
        <f t="shared" si="25"/>
        <v>14.8</v>
      </c>
      <c r="CO21" s="2">
        <f t="shared" si="26"/>
        <v>0</v>
      </c>
      <c r="CP21" s="2">
        <f t="shared" si="27"/>
        <v>0</v>
      </c>
      <c r="CQ21" s="2">
        <f t="shared" si="28"/>
        <v>0</v>
      </c>
      <c r="CR21" s="13">
        <f t="shared" si="29"/>
        <v>0</v>
      </c>
      <c r="CS21" s="2">
        <f t="shared" si="30"/>
        <v>10.299999999999999</v>
      </c>
      <c r="CT21" s="2">
        <f t="shared" si="31"/>
        <v>11</v>
      </c>
      <c r="CU21" s="2">
        <f t="shared" si="32"/>
        <v>8.8999999999999968</v>
      </c>
      <c r="CV21" s="2">
        <f t="shared" si="33"/>
        <v>11.7</v>
      </c>
      <c r="CW21" s="2">
        <f t="shared" si="34"/>
        <v>12.100000000000001</v>
      </c>
      <c r="CX21" s="2">
        <f t="shared" si="35"/>
        <v>13.4</v>
      </c>
      <c r="CY21" s="2">
        <f t="shared" si="36"/>
        <v>12.000000000000002</v>
      </c>
      <c r="CZ21" s="2">
        <f t="shared" si="37"/>
        <v>12.8</v>
      </c>
      <c r="DA21" s="2">
        <f t="shared" si="38"/>
        <v>12.3</v>
      </c>
      <c r="DE21" s="13"/>
      <c r="DF21" s="18">
        <f t="shared" si="39"/>
        <v>0.18584070796460175</v>
      </c>
      <c r="DG21" s="18">
        <f t="shared" si="40"/>
        <v>0.24468085106382975</v>
      </c>
      <c r="DH21" s="18">
        <f t="shared" si="41"/>
        <v>0.18181818181818188</v>
      </c>
      <c r="DI21" s="18">
        <f t="shared" si="42"/>
        <v>0.19117647058823531</v>
      </c>
      <c r="DJ21" s="18">
        <f t="shared" si="43"/>
        <v>0.16901408450704228</v>
      </c>
      <c r="DK21" s="18">
        <f t="shared" si="44"/>
        <v>0.15822784810126581</v>
      </c>
      <c r="DL21" s="18">
        <f t="shared" si="45"/>
        <v>0.18493150684931506</v>
      </c>
      <c r="DM21" s="18">
        <f t="shared" si="46"/>
        <v>0.19607843137254902</v>
      </c>
      <c r="DN21" s="18">
        <f t="shared" si="47"/>
        <v>0.20270270270270269</v>
      </c>
      <c r="DR21" s="13"/>
      <c r="DS21" s="15"/>
      <c r="EE21" s="13"/>
      <c r="EF21" s="15"/>
      <c r="ER21" s="13"/>
      <c r="ES21" s="15"/>
      <c r="FE21" s="13"/>
      <c r="FF21" s="15"/>
      <c r="FR21" s="13"/>
    </row>
    <row r="22" spans="4:174" x14ac:dyDescent="0.25">
      <c r="F22" s="91"/>
      <c r="M22" s="103"/>
      <c r="N22" s="103"/>
      <c r="O22" s="103"/>
      <c r="P22" s="103"/>
      <c r="Q22" s="103"/>
      <c r="R22" s="104"/>
      <c r="Z22" s="103"/>
      <c r="AA22" s="103"/>
      <c r="AB22" s="103"/>
      <c r="AC22" s="103"/>
      <c r="AD22" s="103"/>
      <c r="AE22" s="103"/>
      <c r="AF22" s="91"/>
      <c r="AJ22" s="15"/>
      <c r="AK22" s="15"/>
      <c r="AL22" s="15"/>
      <c r="AM22" s="15"/>
      <c r="AN22" s="15"/>
      <c r="AO22" s="15"/>
      <c r="AP22" s="15"/>
      <c r="AQ22" s="15"/>
      <c r="AR22" s="145"/>
      <c r="AS22" s="91"/>
      <c r="BE22" s="13"/>
      <c r="BF22" s="91"/>
      <c r="BR22" s="13"/>
      <c r="BS22" s="91"/>
      <c r="CE22" s="13"/>
      <c r="CF22" s="91"/>
      <c r="CR22" s="13"/>
      <c r="CS22" s="91"/>
      <c r="DE22" s="13"/>
      <c r="DF22" s="91"/>
      <c r="DR22" s="13"/>
      <c r="DS22" s="15"/>
      <c r="EE22" s="13"/>
      <c r="EF22" s="15"/>
      <c r="ER22" s="13"/>
      <c r="ES22" s="15"/>
      <c r="FE22" s="13"/>
      <c r="FF22" s="15"/>
      <c r="FR22" s="13"/>
    </row>
    <row r="23" spans="4:174" x14ac:dyDescent="0.25">
      <c r="F23" s="91"/>
      <c r="M23" s="103"/>
      <c r="N23" s="103"/>
      <c r="O23" s="103"/>
      <c r="P23" s="103"/>
      <c r="Q23" s="103"/>
      <c r="R23" s="104"/>
      <c r="Z23" s="103"/>
      <c r="AA23" s="103"/>
      <c r="AB23" s="103"/>
      <c r="AC23" s="103"/>
      <c r="AD23" s="103"/>
      <c r="AE23" s="103"/>
      <c r="AF23" s="91"/>
      <c r="AJ23" s="15"/>
      <c r="AK23" s="15"/>
      <c r="AL23" s="15"/>
      <c r="AM23" s="15"/>
      <c r="AN23" s="15"/>
      <c r="AO23" s="15"/>
      <c r="AP23" s="15"/>
      <c r="AQ23" s="15"/>
      <c r="AR23" s="145"/>
      <c r="AS23" s="91"/>
      <c r="BE23" s="13"/>
      <c r="BF23" s="91"/>
      <c r="BR23" s="13"/>
      <c r="BS23" s="91"/>
      <c r="CE23" s="13"/>
      <c r="CF23" s="91"/>
      <c r="CR23" s="13"/>
      <c r="CS23" s="91"/>
      <c r="DE23" s="13"/>
      <c r="DF23" s="91"/>
      <c r="DR23" s="13"/>
      <c r="DS23" s="15"/>
      <c r="EE23" s="13"/>
      <c r="EF23" s="15"/>
      <c r="ER23" s="13"/>
      <c r="ES23" s="15"/>
      <c r="FE23" s="13"/>
      <c r="FF23" s="15"/>
      <c r="FR23" s="13"/>
    </row>
    <row r="24" spans="4:174" x14ac:dyDescent="0.25">
      <c r="F24" s="91"/>
      <c r="M24" s="103"/>
      <c r="N24" s="103"/>
      <c r="O24" s="103"/>
      <c r="P24" s="103"/>
      <c r="Q24" s="103"/>
      <c r="R24" s="104"/>
      <c r="Z24" s="103"/>
      <c r="AA24" s="103"/>
      <c r="AB24" s="103"/>
      <c r="AC24" s="103"/>
      <c r="AD24" s="103"/>
      <c r="AE24" s="103"/>
      <c r="AF24" s="91"/>
      <c r="AJ24" s="15"/>
      <c r="AK24" s="15"/>
      <c r="AL24" s="15"/>
      <c r="AM24" s="15"/>
      <c r="AN24" s="15"/>
      <c r="AO24" s="15"/>
      <c r="AP24" s="15"/>
      <c r="AQ24" s="15"/>
      <c r="AR24" s="145"/>
      <c r="AS24" s="91"/>
      <c r="BE24" s="13"/>
      <c r="BF24" s="91"/>
      <c r="BR24" s="13"/>
      <c r="BS24" s="91"/>
      <c r="CE24" s="13"/>
      <c r="CF24" s="91"/>
      <c r="CR24" s="13"/>
      <c r="CS24" s="91"/>
      <c r="DE24" s="13"/>
      <c r="DF24" s="91"/>
      <c r="DR24" s="13"/>
      <c r="DS24" s="15"/>
      <c r="EE24" s="13"/>
      <c r="EF24" s="15"/>
      <c r="ER24" s="13"/>
      <c r="ES24" s="15"/>
      <c r="FE24" s="13"/>
      <c r="FF24" s="15"/>
      <c r="FR24" s="13"/>
    </row>
    <row r="25" spans="4:174" x14ac:dyDescent="0.25">
      <c r="F25" s="91"/>
      <c r="M25" s="103"/>
      <c r="N25" s="103"/>
      <c r="O25" s="103"/>
      <c r="P25" s="103"/>
      <c r="Q25" s="103"/>
      <c r="R25" s="104"/>
      <c r="Z25" s="103"/>
      <c r="AA25" s="103"/>
      <c r="AB25" s="103"/>
      <c r="AC25" s="103"/>
      <c r="AD25" s="103"/>
      <c r="AE25" s="103"/>
      <c r="AF25" s="91"/>
      <c r="AJ25" s="15"/>
      <c r="AK25" s="15"/>
      <c r="AL25" s="15"/>
      <c r="AM25" s="15"/>
      <c r="AN25" s="15"/>
      <c r="AO25" s="15"/>
      <c r="AP25" s="15"/>
      <c r="AQ25" s="15"/>
      <c r="AR25" s="145"/>
      <c r="AS25" s="91"/>
      <c r="BE25" s="13"/>
      <c r="BF25" s="91"/>
      <c r="BR25" s="13"/>
      <c r="BS25" s="91"/>
      <c r="CE25" s="13"/>
      <c r="CF25" s="91"/>
      <c r="CR25" s="13"/>
      <c r="CS25" s="91"/>
      <c r="DE25" s="13"/>
      <c r="DF25" s="91"/>
      <c r="DR25" s="13"/>
      <c r="DS25" s="15"/>
      <c r="EE25" s="13"/>
      <c r="EF25" s="15"/>
      <c r="ER25" s="13"/>
      <c r="ES25" s="15"/>
      <c r="FE25" s="13"/>
      <c r="FF25" s="15"/>
      <c r="FR25" s="13"/>
    </row>
    <row r="26" spans="4:174" x14ac:dyDescent="0.25">
      <c r="F26" s="91"/>
      <c r="M26" s="103"/>
      <c r="N26" s="103"/>
      <c r="O26" s="103"/>
      <c r="P26" s="103"/>
      <c r="Q26" s="103"/>
      <c r="R26" s="104"/>
      <c r="Z26" s="103"/>
      <c r="AA26" s="103"/>
      <c r="AB26" s="103"/>
      <c r="AC26" s="103"/>
      <c r="AD26" s="103"/>
      <c r="AE26" s="103"/>
      <c r="AF26" s="91"/>
      <c r="AJ26" s="15"/>
      <c r="AK26" s="15"/>
      <c r="AL26" s="15"/>
      <c r="AM26" s="15"/>
      <c r="AN26" s="15"/>
      <c r="AO26" s="15"/>
      <c r="AP26" s="15"/>
      <c r="AQ26" s="15"/>
      <c r="AR26" s="145"/>
      <c r="AS26" s="91"/>
      <c r="BE26" s="13"/>
      <c r="BF26" s="91"/>
      <c r="BR26" s="13"/>
      <c r="BS26" s="91"/>
      <c r="CE26" s="13"/>
      <c r="CF26" s="91"/>
      <c r="CR26" s="13"/>
      <c r="CS26" s="91"/>
      <c r="DE26" s="13"/>
      <c r="DF26" s="91"/>
      <c r="DR26" s="13"/>
      <c r="DS26" s="15"/>
      <c r="EE26" s="13"/>
      <c r="EF26" s="15"/>
      <c r="ER26" s="13"/>
      <c r="ES26" s="15"/>
      <c r="FE26" s="13"/>
      <c r="FF26" s="15"/>
      <c r="FR26" s="13"/>
    </row>
    <row r="27" spans="4:174" x14ac:dyDescent="0.25">
      <c r="F27" s="91"/>
      <c r="M27" s="103"/>
      <c r="N27" s="103"/>
      <c r="O27" s="103"/>
      <c r="P27" s="103"/>
      <c r="Q27" s="103"/>
      <c r="R27" s="104"/>
      <c r="Z27" s="103"/>
      <c r="AA27" s="103"/>
      <c r="AB27" s="103"/>
      <c r="AC27" s="103"/>
      <c r="AD27" s="103"/>
      <c r="AE27" s="103"/>
      <c r="AF27" s="91"/>
      <c r="AJ27" s="15"/>
      <c r="AK27" s="15"/>
      <c r="AL27" s="15"/>
      <c r="AM27" s="15"/>
      <c r="AN27" s="15"/>
      <c r="AO27" s="15"/>
      <c r="AP27" s="15"/>
      <c r="AQ27" s="15"/>
      <c r="AR27" s="145"/>
      <c r="AS27" s="91"/>
      <c r="BE27" s="13"/>
      <c r="BF27" s="91"/>
      <c r="BR27" s="13"/>
      <c r="BS27" s="91"/>
      <c r="CE27" s="13"/>
      <c r="CF27" s="91"/>
      <c r="CR27" s="13"/>
      <c r="CS27" s="91"/>
      <c r="DE27" s="13"/>
      <c r="DF27" s="91"/>
      <c r="DR27" s="13"/>
      <c r="DS27" s="15"/>
      <c r="EE27" s="13"/>
      <c r="EF27" s="15"/>
      <c r="ER27" s="13"/>
      <c r="ES27" s="15"/>
      <c r="FE27" s="13"/>
      <c r="FF27" s="15"/>
      <c r="FR27" s="13"/>
    </row>
    <row r="28" spans="4:174" x14ac:dyDescent="0.25">
      <c r="F28" s="91"/>
      <c r="M28" s="103"/>
      <c r="N28" s="103"/>
      <c r="O28" s="103"/>
      <c r="P28" s="103"/>
      <c r="Q28" s="103"/>
      <c r="R28" s="104"/>
      <c r="Z28" s="103"/>
      <c r="AA28" s="103"/>
      <c r="AB28" s="103"/>
      <c r="AC28" s="103"/>
      <c r="AD28" s="103"/>
      <c r="AE28" s="103"/>
      <c r="AF28" s="91"/>
      <c r="AJ28" s="15"/>
      <c r="AK28" s="15"/>
      <c r="AL28" s="15"/>
      <c r="AM28" s="15"/>
      <c r="AN28" s="15"/>
      <c r="AO28" s="15"/>
      <c r="AP28" s="15"/>
      <c r="AQ28" s="15"/>
      <c r="AR28" s="145"/>
      <c r="AS28" s="91"/>
      <c r="BE28" s="13"/>
      <c r="BF28" s="91"/>
      <c r="BR28" s="13"/>
      <c r="BS28" s="91"/>
      <c r="CE28" s="13"/>
      <c r="CF28" s="91"/>
      <c r="CR28" s="13"/>
      <c r="CS28" s="91"/>
      <c r="DE28" s="13"/>
      <c r="DF28" s="91"/>
      <c r="DR28" s="13"/>
      <c r="DS28" s="15"/>
      <c r="EE28" s="13"/>
      <c r="EF28" s="15"/>
      <c r="ER28" s="13"/>
      <c r="ES28" s="15"/>
      <c r="FE28" s="13"/>
      <c r="FF28" s="15"/>
      <c r="FR28" s="13"/>
    </row>
    <row r="29" spans="4:174" x14ac:dyDescent="0.25">
      <c r="F29" s="91"/>
      <c r="M29" s="103"/>
      <c r="N29" s="103"/>
      <c r="O29" s="103"/>
      <c r="P29" s="103"/>
      <c r="Q29" s="103"/>
      <c r="R29" s="104"/>
      <c r="Z29" s="103"/>
      <c r="AA29" s="103"/>
      <c r="AB29" s="103"/>
      <c r="AC29" s="103"/>
      <c r="AD29" s="103"/>
      <c r="AE29" s="103"/>
      <c r="AF29" s="91"/>
      <c r="AJ29" s="15"/>
      <c r="AK29" s="15"/>
      <c r="AL29" s="15"/>
      <c r="AM29" s="15"/>
      <c r="AN29" s="15"/>
      <c r="AO29" s="15"/>
      <c r="AP29" s="15"/>
      <c r="AQ29" s="15"/>
      <c r="AR29" s="145"/>
      <c r="AS29" s="91"/>
      <c r="BE29" s="13"/>
      <c r="BF29" s="91"/>
      <c r="BR29" s="13"/>
      <c r="BS29" s="91"/>
      <c r="CE29" s="13"/>
      <c r="CF29" s="91"/>
      <c r="CR29" s="13"/>
      <c r="CS29" s="91"/>
      <c r="DE29" s="13"/>
      <c r="DF29" s="91"/>
      <c r="DR29" s="13"/>
      <c r="DS29" s="15"/>
      <c r="EE29" s="13"/>
      <c r="EF29" s="15"/>
      <c r="ER29" s="13"/>
      <c r="ES29" s="15"/>
      <c r="FE29" s="13"/>
      <c r="FF29" s="15"/>
      <c r="FR29" s="13"/>
    </row>
    <row r="30" spans="4:174" x14ac:dyDescent="0.25">
      <c r="F30" s="91"/>
      <c r="R30" s="13"/>
      <c r="AF30" s="91"/>
      <c r="AJ30" s="15"/>
      <c r="AK30" s="15"/>
      <c r="AL30" s="15"/>
      <c r="AM30" s="15"/>
      <c r="AN30" s="15"/>
      <c r="AO30" s="15"/>
      <c r="AP30" s="15"/>
      <c r="AQ30" s="15"/>
      <c r="AR30" s="145"/>
      <c r="AS30" s="91"/>
      <c r="BE30" s="13"/>
      <c r="BF30" s="91"/>
      <c r="BR30" s="13"/>
      <c r="BS30" s="91"/>
      <c r="CE30" s="13"/>
      <c r="CF30" s="91"/>
      <c r="CR30" s="13"/>
      <c r="CS30" s="91"/>
      <c r="DE30" s="13"/>
      <c r="DF30" s="91"/>
      <c r="DR30" s="13"/>
      <c r="DS30" s="91"/>
      <c r="EE30" s="13"/>
      <c r="EF30" s="91"/>
      <c r="ER30" s="13"/>
      <c r="ES30" s="91"/>
      <c r="FE30" s="13"/>
      <c r="FF30" s="91"/>
      <c r="FR30" s="13"/>
    </row>
    <row r="31" spans="4:174" s="4" customFormat="1" ht="18.75" customHeight="1" x14ac:dyDescent="0.3">
      <c r="D31" s="92"/>
      <c r="E31" s="105" t="s">
        <v>52</v>
      </c>
      <c r="F31" s="99">
        <f>+F32</f>
        <v>3</v>
      </c>
      <c r="G31" s="97">
        <f>+G32</f>
        <v>1.8</v>
      </c>
      <c r="H31" s="97">
        <v>0</v>
      </c>
      <c r="I31" s="97">
        <v>0</v>
      </c>
      <c r="J31" s="97">
        <v>0</v>
      </c>
      <c r="K31" s="97">
        <v>0</v>
      </c>
      <c r="L31" s="95">
        <f t="shared" ref="L31:R31" si="48">SUM(L32:L33)</f>
        <v>0</v>
      </c>
      <c r="M31" s="95">
        <f t="shared" si="48"/>
        <v>0</v>
      </c>
      <c r="N31" s="95">
        <f t="shared" si="48"/>
        <v>0</v>
      </c>
      <c r="O31" s="95">
        <f t="shared" si="48"/>
        <v>0</v>
      </c>
      <c r="P31" s="95">
        <f t="shared" si="48"/>
        <v>0</v>
      </c>
      <c r="Q31" s="95">
        <f t="shared" si="48"/>
        <v>0</v>
      </c>
      <c r="R31" s="96">
        <f t="shared" si="48"/>
        <v>0</v>
      </c>
      <c r="S31" s="95">
        <f t="shared" ref="S31:AA31" si="49">+S32</f>
        <v>30.7</v>
      </c>
      <c r="T31" s="95">
        <f t="shared" si="49"/>
        <v>30.3</v>
      </c>
      <c r="U31" s="95">
        <f t="shared" si="49"/>
        <v>15.7</v>
      </c>
      <c r="V31" s="95">
        <f t="shared" si="49"/>
        <v>17.5</v>
      </c>
      <c r="W31" s="95">
        <f t="shared" si="49"/>
        <v>19.3</v>
      </c>
      <c r="X31" s="95">
        <f t="shared" si="49"/>
        <v>19.7</v>
      </c>
      <c r="Y31" s="95">
        <f t="shared" si="49"/>
        <v>20.3</v>
      </c>
      <c r="Z31" s="95">
        <f t="shared" si="49"/>
        <v>20.3</v>
      </c>
      <c r="AA31" s="95">
        <f t="shared" si="49"/>
        <v>20.3</v>
      </c>
      <c r="AB31" s="95">
        <f>SUM(AB32:AB33)</f>
        <v>0</v>
      </c>
      <c r="AC31" s="95">
        <f>SUM(AC32:AC33)</f>
        <v>0</v>
      </c>
      <c r="AD31" s="95">
        <f>SUM(AD32:AD33)</f>
        <v>0</v>
      </c>
      <c r="AE31" s="95">
        <f>SUM(AE32:AE33)</f>
        <v>0</v>
      </c>
      <c r="AF31" s="99">
        <f t="shared" ref="AF31:AN31" si="50">+AF32</f>
        <v>0.4</v>
      </c>
      <c r="AG31" s="97">
        <f t="shared" si="50"/>
        <v>0.4</v>
      </c>
      <c r="AH31" s="97">
        <f t="shared" si="50"/>
        <v>0.4</v>
      </c>
      <c r="AI31" s="97">
        <f t="shared" si="50"/>
        <v>0.4</v>
      </c>
      <c r="AJ31" s="97">
        <f t="shared" si="50"/>
        <v>0.4</v>
      </c>
      <c r="AK31" s="97">
        <f t="shared" si="50"/>
        <v>0.4</v>
      </c>
      <c r="AL31" s="97">
        <f t="shared" si="50"/>
        <v>0.4</v>
      </c>
      <c r="AM31" s="97">
        <f t="shared" si="50"/>
        <v>0.5</v>
      </c>
      <c r="AN31" s="97">
        <f t="shared" si="50"/>
        <v>0.5</v>
      </c>
      <c r="AO31" s="97"/>
      <c r="AP31" s="97"/>
      <c r="AQ31" s="97"/>
      <c r="AR31" s="100"/>
      <c r="AS31" s="99"/>
      <c r="AT31" s="97"/>
      <c r="AU31" s="97"/>
      <c r="AV31" s="97"/>
      <c r="AW31" s="97"/>
      <c r="AX31" s="97"/>
      <c r="AY31" s="97"/>
      <c r="AZ31" s="97"/>
      <c r="BA31" s="97"/>
      <c r="BB31" s="97"/>
      <c r="BC31" s="97"/>
      <c r="BD31" s="97"/>
      <c r="BE31" s="100"/>
      <c r="BF31" s="99"/>
      <c r="BG31" s="97"/>
      <c r="BH31" s="97"/>
      <c r="BI31" s="97"/>
      <c r="BJ31" s="97"/>
      <c r="BK31" s="97"/>
      <c r="BL31" s="97"/>
      <c r="BM31" s="97"/>
      <c r="BN31" s="97"/>
      <c r="BO31" s="97"/>
      <c r="BP31" s="97"/>
      <c r="BQ31" s="97"/>
      <c r="BR31" s="100"/>
      <c r="BS31" s="99"/>
      <c r="BT31" s="97">
        <f t="shared" ref="BT31:CA31" si="51">+BT32</f>
        <v>0.8</v>
      </c>
      <c r="BU31" s="97">
        <f t="shared" si="51"/>
        <v>0</v>
      </c>
      <c r="BV31" s="97">
        <f t="shared" si="51"/>
        <v>0</v>
      </c>
      <c r="BW31" s="97">
        <f t="shared" si="51"/>
        <v>0</v>
      </c>
      <c r="BX31" s="97">
        <f t="shared" si="51"/>
        <v>0</v>
      </c>
      <c r="BY31" s="97">
        <f t="shared" si="51"/>
        <v>0</v>
      </c>
      <c r="BZ31" s="97">
        <f t="shared" si="51"/>
        <v>0</v>
      </c>
      <c r="CA31" s="97">
        <f t="shared" si="51"/>
        <v>0</v>
      </c>
      <c r="CB31" s="97"/>
      <c r="CC31" s="97"/>
      <c r="CD31" s="97"/>
      <c r="CE31" s="100"/>
      <c r="CF31" s="93"/>
      <c r="CG31" s="95"/>
      <c r="CH31" s="95"/>
      <c r="CI31" s="95"/>
      <c r="CJ31" s="95"/>
      <c r="CK31" s="95"/>
      <c r="CL31" s="95"/>
      <c r="CM31" s="95"/>
      <c r="CN31" s="95"/>
      <c r="CO31" s="95"/>
      <c r="CP31" s="95"/>
      <c r="CQ31" s="95"/>
      <c r="CR31" s="96"/>
      <c r="CS31" s="99"/>
      <c r="CT31" s="95"/>
      <c r="CU31" s="95"/>
      <c r="CV31" s="95"/>
      <c r="CW31" s="95"/>
      <c r="CX31" s="95"/>
      <c r="CY31" s="95"/>
      <c r="CZ31" s="95"/>
      <c r="DA31" s="95"/>
      <c r="DB31" s="95"/>
      <c r="DC31" s="95"/>
      <c r="DD31" s="95"/>
      <c r="DE31" s="96"/>
      <c r="DF31" s="93"/>
      <c r="DG31" s="95"/>
      <c r="DH31" s="95"/>
      <c r="DI31" s="95"/>
      <c r="DJ31" s="95"/>
      <c r="DK31" s="95"/>
      <c r="DL31" s="95"/>
      <c r="DM31" s="95"/>
      <c r="DN31" s="95"/>
      <c r="DO31" s="95"/>
      <c r="DP31" s="95"/>
      <c r="DQ31" s="95"/>
      <c r="DR31" s="96"/>
      <c r="DS31" s="108"/>
      <c r="DT31" s="108"/>
      <c r="DU31" s="108"/>
      <c r="DV31" s="108"/>
      <c r="DW31" s="108"/>
      <c r="DX31" s="108"/>
      <c r="DY31" s="108"/>
      <c r="DZ31" s="108"/>
      <c r="EA31" s="108"/>
      <c r="EB31" s="108"/>
      <c r="EC31" s="108"/>
      <c r="ED31" s="97"/>
      <c r="EE31" s="100"/>
      <c r="EF31" s="108">
        <f t="shared" ref="EF31:EQ31" si="52">EF32</f>
        <v>5851</v>
      </c>
      <c r="EG31" s="108">
        <f t="shared" si="52"/>
        <v>5752</v>
      </c>
      <c r="EH31" s="108">
        <f t="shared" si="52"/>
        <v>5743</v>
      </c>
      <c r="EI31" s="108">
        <f t="shared" si="52"/>
        <v>5848</v>
      </c>
      <c r="EJ31" s="108">
        <f t="shared" si="52"/>
        <v>5774</v>
      </c>
      <c r="EK31" s="108">
        <f t="shared" si="52"/>
        <v>5747</v>
      </c>
      <c r="EL31" s="108">
        <f t="shared" si="52"/>
        <v>5615</v>
      </c>
      <c r="EM31" s="108">
        <f t="shared" si="52"/>
        <v>0</v>
      </c>
      <c r="EN31" s="108">
        <f t="shared" si="52"/>
        <v>0</v>
      </c>
      <c r="EO31" s="108">
        <f t="shared" si="52"/>
        <v>0</v>
      </c>
      <c r="EP31" s="108">
        <f t="shared" si="52"/>
        <v>0</v>
      </c>
      <c r="EQ31" s="108">
        <f t="shared" si="52"/>
        <v>0</v>
      </c>
      <c r="ER31" s="100"/>
      <c r="ES31" s="220">
        <f t="shared" ref="ES31:FB31" si="53">ES32</f>
        <v>219211</v>
      </c>
      <c r="ET31" s="220">
        <f t="shared" si="53"/>
        <v>159332</v>
      </c>
      <c r="EU31" s="220">
        <f t="shared" si="53"/>
        <v>131141</v>
      </c>
      <c r="EV31" s="220">
        <f t="shared" si="53"/>
        <v>180465</v>
      </c>
      <c r="EW31" s="220">
        <f t="shared" si="53"/>
        <v>186156</v>
      </c>
      <c r="EX31" s="108">
        <f t="shared" si="53"/>
        <v>167201</v>
      </c>
      <c r="EY31" s="108">
        <f t="shared" si="53"/>
        <v>150653</v>
      </c>
      <c r="EZ31" s="108">
        <f t="shared" si="53"/>
        <v>0</v>
      </c>
      <c r="FA31" s="108">
        <f t="shared" si="53"/>
        <v>0</v>
      </c>
      <c r="FB31" s="108">
        <f t="shared" si="53"/>
        <v>0</v>
      </c>
      <c r="FC31" s="108"/>
      <c r="FD31" s="108"/>
      <c r="FE31" s="100"/>
      <c r="FF31" s="108">
        <f t="shared" ref="FF31:FQ31" si="54">FF32</f>
        <v>310000</v>
      </c>
      <c r="FG31" s="108">
        <f t="shared" si="54"/>
        <v>305000</v>
      </c>
      <c r="FH31" s="108">
        <f t="shared" si="54"/>
        <v>304000</v>
      </c>
      <c r="FI31" s="108">
        <f t="shared" si="54"/>
        <v>310000</v>
      </c>
      <c r="FJ31" s="108">
        <f t="shared" si="54"/>
        <v>306000</v>
      </c>
      <c r="FK31" s="108">
        <f t="shared" si="54"/>
        <v>316000</v>
      </c>
      <c r="FL31" s="108">
        <f t="shared" si="54"/>
        <v>297581</v>
      </c>
      <c r="FM31" s="108">
        <f t="shared" si="54"/>
        <v>297581</v>
      </c>
      <c r="FN31" s="108">
        <f t="shared" si="54"/>
        <v>0</v>
      </c>
      <c r="FO31" s="108">
        <f t="shared" si="54"/>
        <v>0</v>
      </c>
      <c r="FP31" s="108">
        <f t="shared" si="54"/>
        <v>0</v>
      </c>
      <c r="FQ31" s="108">
        <f t="shared" si="54"/>
        <v>0</v>
      </c>
      <c r="FR31" s="100"/>
    </row>
    <row r="32" spans="4:174" x14ac:dyDescent="0.25">
      <c r="E32" s="2" t="s">
        <v>225</v>
      </c>
      <c r="F32" s="91">
        <v>3</v>
      </c>
      <c r="G32" s="2">
        <v>1.8</v>
      </c>
      <c r="H32" s="2">
        <v>0</v>
      </c>
      <c r="I32" s="2">
        <v>0</v>
      </c>
      <c r="J32" s="2">
        <v>0</v>
      </c>
      <c r="M32" s="103"/>
      <c r="N32" s="103"/>
      <c r="O32" s="103"/>
      <c r="P32" s="103"/>
      <c r="Q32" s="103"/>
      <c r="R32" s="104"/>
      <c r="S32" s="2">
        <v>30.7</v>
      </c>
      <c r="T32" s="2">
        <v>30.3</v>
      </c>
      <c r="U32" s="2">
        <v>15.7</v>
      </c>
      <c r="V32" s="2">
        <v>17.5</v>
      </c>
      <c r="W32" s="2">
        <v>19.3</v>
      </c>
      <c r="X32" s="2">
        <v>19.7</v>
      </c>
      <c r="Y32" s="2">
        <v>20.3</v>
      </c>
      <c r="Z32" s="103">
        <v>20.3</v>
      </c>
      <c r="AA32" s="103">
        <v>20.3</v>
      </c>
      <c r="AB32" s="103"/>
      <c r="AC32" s="103"/>
      <c r="AD32" s="103"/>
      <c r="AE32" s="103"/>
      <c r="AF32" s="91">
        <v>0.4</v>
      </c>
      <c r="AG32" s="2">
        <v>0.4</v>
      </c>
      <c r="AH32" s="2">
        <v>0.4</v>
      </c>
      <c r="AI32" s="2">
        <v>0.4</v>
      </c>
      <c r="AJ32" s="2">
        <v>0.4</v>
      </c>
      <c r="AK32" s="2">
        <v>0.4</v>
      </c>
      <c r="AL32" s="2">
        <v>0.4</v>
      </c>
      <c r="AM32" s="2">
        <v>0.5</v>
      </c>
      <c r="AN32" s="2">
        <v>0.5</v>
      </c>
      <c r="AR32" s="13"/>
      <c r="AS32" s="91"/>
      <c r="BE32" s="13"/>
      <c r="BF32" s="91"/>
      <c r="BR32" s="13"/>
      <c r="BS32" s="91"/>
      <c r="BT32" s="2">
        <v>0.8</v>
      </c>
      <c r="BU32" s="2">
        <v>0</v>
      </c>
      <c r="BV32" s="2">
        <v>0</v>
      </c>
      <c r="BW32" s="2">
        <v>0</v>
      </c>
      <c r="CE32" s="13"/>
      <c r="CF32" s="2">
        <f t="shared" ref="CF32:CR32" si="55">+BF32+AS32+AF32+S32</f>
        <v>31.099999999999998</v>
      </c>
      <c r="CG32" s="2">
        <f t="shared" si="55"/>
        <v>30.7</v>
      </c>
      <c r="CH32" s="2">
        <f t="shared" si="55"/>
        <v>16.099999999999998</v>
      </c>
      <c r="CI32" s="2">
        <f t="shared" si="55"/>
        <v>17.899999999999999</v>
      </c>
      <c r="CJ32" s="2">
        <f t="shared" si="55"/>
        <v>19.7</v>
      </c>
      <c r="CK32" s="2">
        <f t="shared" si="55"/>
        <v>20.099999999999998</v>
      </c>
      <c r="CL32" s="2">
        <f t="shared" si="55"/>
        <v>20.7</v>
      </c>
      <c r="CM32" s="2">
        <f t="shared" si="55"/>
        <v>20.8</v>
      </c>
      <c r="CN32" s="2">
        <f t="shared" si="55"/>
        <v>20.8</v>
      </c>
      <c r="CO32" s="2">
        <f t="shared" si="55"/>
        <v>0</v>
      </c>
      <c r="CP32" s="2">
        <f t="shared" si="55"/>
        <v>0</v>
      </c>
      <c r="CQ32" s="2">
        <f t="shared" si="55"/>
        <v>0</v>
      </c>
      <c r="CR32" s="13">
        <f t="shared" si="55"/>
        <v>0</v>
      </c>
      <c r="CS32" s="2">
        <f t="shared" ref="CS32:DA32" si="56">+CF32-BS32-F32</f>
        <v>28.099999999999998</v>
      </c>
      <c r="CT32" s="2">
        <f t="shared" si="56"/>
        <v>28.099999999999998</v>
      </c>
      <c r="CU32" s="2">
        <f t="shared" si="56"/>
        <v>16.099999999999998</v>
      </c>
      <c r="CV32" s="2">
        <f t="shared" si="56"/>
        <v>17.899999999999999</v>
      </c>
      <c r="CW32" s="2">
        <f t="shared" si="56"/>
        <v>19.7</v>
      </c>
      <c r="CX32" s="2">
        <f t="shared" si="56"/>
        <v>20.099999999999998</v>
      </c>
      <c r="CY32" s="2">
        <f t="shared" si="56"/>
        <v>20.7</v>
      </c>
      <c r="CZ32" s="2">
        <f t="shared" si="56"/>
        <v>20.8</v>
      </c>
      <c r="DA32" s="2">
        <f t="shared" si="56"/>
        <v>20.8</v>
      </c>
      <c r="DE32" s="13"/>
      <c r="DF32" s="18">
        <f t="shared" ref="DF32:DN32" si="57">+AF32/CF32</f>
        <v>1.2861736334405146E-2</v>
      </c>
      <c r="DG32" s="18">
        <f t="shared" si="57"/>
        <v>1.3029315960912053E-2</v>
      </c>
      <c r="DH32" s="18">
        <f t="shared" si="57"/>
        <v>2.4844720496894415E-2</v>
      </c>
      <c r="DI32" s="18">
        <f t="shared" si="57"/>
        <v>2.2346368715083803E-2</v>
      </c>
      <c r="DJ32" s="18">
        <f t="shared" si="57"/>
        <v>2.0304568527918784E-2</v>
      </c>
      <c r="DK32" s="18">
        <f t="shared" si="57"/>
        <v>1.9900497512437814E-2</v>
      </c>
      <c r="DL32" s="18">
        <f t="shared" si="57"/>
        <v>1.9323671497584544E-2</v>
      </c>
      <c r="DM32" s="18">
        <f t="shared" si="57"/>
        <v>2.4038461538461536E-2</v>
      </c>
      <c r="DN32" s="18">
        <f t="shared" si="57"/>
        <v>2.4038461538461536E-2</v>
      </c>
      <c r="DR32" s="13"/>
      <c r="DS32" s="20"/>
      <c r="DT32" s="21"/>
      <c r="DU32" s="21"/>
      <c r="DV32" s="21"/>
      <c r="DW32" s="21"/>
      <c r="DX32" s="21"/>
      <c r="EE32" s="13"/>
      <c r="EF32" s="20">
        <v>5851</v>
      </c>
      <c r="EG32" s="21">
        <v>5752</v>
      </c>
      <c r="EH32" s="21">
        <v>5743</v>
      </c>
      <c r="EI32" s="21">
        <v>5848</v>
      </c>
      <c r="EJ32" s="21">
        <v>5774</v>
      </c>
      <c r="EK32" s="21">
        <v>5747</v>
      </c>
      <c r="EL32" s="21">
        <v>5615</v>
      </c>
      <c r="ER32" s="13"/>
      <c r="ES32" s="150">
        <v>219211</v>
      </c>
      <c r="ET32" s="150">
        <v>159332</v>
      </c>
      <c r="EU32" s="150">
        <v>131141</v>
      </c>
      <c r="EV32" s="150">
        <v>180465</v>
      </c>
      <c r="EW32" s="150">
        <v>186156</v>
      </c>
      <c r="EX32" s="21">
        <v>167201</v>
      </c>
      <c r="EY32" s="21">
        <v>150653</v>
      </c>
      <c r="FE32" s="13"/>
      <c r="FF32" s="20">
        <v>310000</v>
      </c>
      <c r="FG32" s="21">
        <v>305000</v>
      </c>
      <c r="FH32" s="21">
        <v>304000</v>
      </c>
      <c r="FI32" s="21">
        <v>310000</v>
      </c>
      <c r="FJ32" s="21">
        <v>306000</v>
      </c>
      <c r="FK32" s="21">
        <v>316000</v>
      </c>
      <c r="FL32" s="21">
        <v>297581</v>
      </c>
      <c r="FM32" s="241">
        <v>297581</v>
      </c>
      <c r="FR32" s="13"/>
    </row>
    <row r="33" spans="4:174" x14ac:dyDescent="0.25">
      <c r="F33" s="91"/>
      <c r="M33" s="103"/>
      <c r="N33" s="103"/>
      <c r="O33" s="103"/>
      <c r="P33" s="103"/>
      <c r="Q33" s="103"/>
      <c r="R33" s="104"/>
      <c r="Z33" s="103"/>
      <c r="AA33" s="103"/>
      <c r="AB33" s="103"/>
      <c r="AC33" s="103"/>
      <c r="AD33" s="103"/>
      <c r="AE33" s="103"/>
      <c r="AF33" s="91"/>
      <c r="AR33" s="13"/>
      <c r="AS33" s="91"/>
      <c r="BE33" s="13"/>
      <c r="BF33" s="91"/>
      <c r="BR33" s="13"/>
      <c r="BS33" s="91"/>
      <c r="CE33" s="13"/>
      <c r="CF33" s="91"/>
      <c r="CJ33" s="107"/>
      <c r="CR33" s="13"/>
      <c r="CS33" s="91"/>
      <c r="DE33" s="13"/>
      <c r="DF33" s="91"/>
      <c r="DR33" s="13"/>
      <c r="DS33" s="20"/>
      <c r="DT33" s="21"/>
      <c r="DU33" s="21"/>
      <c r="DV33" s="21"/>
      <c r="DW33" s="21"/>
      <c r="DX33" s="21"/>
      <c r="EE33" s="13"/>
      <c r="EF33" s="20"/>
      <c r="EG33" s="21"/>
      <c r="EH33" s="21"/>
      <c r="EI33" s="21"/>
      <c r="EJ33" s="21"/>
      <c r="EK33" s="21"/>
      <c r="ER33" s="13"/>
      <c r="ES33" s="20"/>
      <c r="ET33" s="21"/>
      <c r="EU33" s="21"/>
      <c r="EV33" s="21"/>
      <c r="EW33" s="21"/>
      <c r="EX33" s="21"/>
      <c r="FE33" s="13"/>
      <c r="FF33" s="20"/>
      <c r="FG33" s="21"/>
      <c r="FH33" s="21"/>
      <c r="FI33" s="21"/>
      <c r="FJ33" s="21"/>
      <c r="FK33" s="21"/>
      <c r="FR33" s="13"/>
    </row>
    <row r="34" spans="4:174" x14ac:dyDescent="0.25">
      <c r="F34" s="91"/>
      <c r="R34" s="13"/>
      <c r="AF34" s="91"/>
      <c r="AR34" s="13"/>
      <c r="AS34" s="91"/>
      <c r="BE34" s="13"/>
      <c r="BF34" s="91"/>
      <c r="BR34" s="13"/>
      <c r="BS34" s="91"/>
      <c r="CE34" s="13"/>
      <c r="CF34" s="91"/>
      <c r="CJ34" s="107"/>
      <c r="CR34" s="13"/>
      <c r="CS34" s="91"/>
      <c r="DE34" s="13"/>
      <c r="DF34" s="91"/>
      <c r="DR34" s="13"/>
      <c r="DS34" s="91"/>
      <c r="EE34" s="13"/>
      <c r="EF34" s="91"/>
      <c r="ER34" s="13"/>
      <c r="ES34" s="91"/>
      <c r="FE34" s="13"/>
      <c r="FF34" s="91"/>
      <c r="FR34" s="13"/>
    </row>
    <row r="35" spans="4:174" s="4" customFormat="1" ht="18.75" customHeight="1" x14ac:dyDescent="0.3">
      <c r="D35" s="92"/>
      <c r="E35" s="105" t="s">
        <v>53</v>
      </c>
      <c r="F35" s="94">
        <f t="shared" ref="F35:K35" si="58">SUM(F36:F47)</f>
        <v>243.59999999999997</v>
      </c>
      <c r="G35" s="95">
        <f t="shared" si="58"/>
        <v>185.70000000000002</v>
      </c>
      <c r="H35" s="95">
        <f t="shared" si="58"/>
        <v>159.50000000000003</v>
      </c>
      <c r="I35" s="95">
        <f t="shared" si="58"/>
        <v>226.3</v>
      </c>
      <c r="J35" s="95">
        <f t="shared" si="58"/>
        <v>237</v>
      </c>
      <c r="K35" s="95">
        <f t="shared" si="58"/>
        <v>247.49999999999997</v>
      </c>
      <c r="L35" s="95">
        <f t="shared" ref="L35:R35" si="59">SUM(L36:L54)</f>
        <v>235.5</v>
      </c>
      <c r="M35" s="95">
        <f t="shared" si="59"/>
        <v>233.9</v>
      </c>
      <c r="N35" s="95">
        <f t="shared" si="59"/>
        <v>232.3</v>
      </c>
      <c r="O35" s="95">
        <f t="shared" si="59"/>
        <v>0</v>
      </c>
      <c r="P35" s="95">
        <f t="shared" si="59"/>
        <v>0</v>
      </c>
      <c r="Q35" s="95">
        <f t="shared" si="59"/>
        <v>0</v>
      </c>
      <c r="R35" s="96">
        <f t="shared" si="59"/>
        <v>0</v>
      </c>
      <c r="S35" s="95">
        <f t="shared" ref="S35:X35" si="60">SUM(S36:S47)</f>
        <v>605.20000000000005</v>
      </c>
      <c r="T35" s="95">
        <f t="shared" si="60"/>
        <v>588.5</v>
      </c>
      <c r="U35" s="95">
        <f t="shared" si="60"/>
        <v>589</v>
      </c>
      <c r="V35" s="95">
        <f t="shared" si="60"/>
        <v>641.80000000000007</v>
      </c>
      <c r="W35" s="95">
        <f t="shared" si="60"/>
        <v>649.19999999999993</v>
      </c>
      <c r="X35" s="95">
        <f t="shared" si="60"/>
        <v>644.39999999999986</v>
      </c>
      <c r="Y35" s="95">
        <f t="shared" ref="Y35:AE35" si="61">SUM(Y36:Y54)</f>
        <v>653</v>
      </c>
      <c r="Z35" s="95">
        <f t="shared" si="61"/>
        <v>674.5</v>
      </c>
      <c r="AA35" s="95">
        <f t="shared" si="61"/>
        <v>687.6</v>
      </c>
      <c r="AB35" s="95">
        <f t="shared" si="61"/>
        <v>0</v>
      </c>
      <c r="AC35" s="95">
        <f t="shared" si="61"/>
        <v>0</v>
      </c>
      <c r="AD35" s="95">
        <f t="shared" si="61"/>
        <v>0</v>
      </c>
      <c r="AE35" s="95">
        <f t="shared" si="61"/>
        <v>0</v>
      </c>
      <c r="AF35" s="99">
        <f t="shared" ref="AF35:AN35" si="62">SUM(AF36:AF47)</f>
        <v>79.799999999999983</v>
      </c>
      <c r="AG35" s="95">
        <f t="shared" si="62"/>
        <v>73.600000000000023</v>
      </c>
      <c r="AH35" s="95">
        <f t="shared" si="62"/>
        <v>80.8</v>
      </c>
      <c r="AI35" s="95">
        <f t="shared" si="62"/>
        <v>80.2</v>
      </c>
      <c r="AJ35" s="95">
        <f t="shared" si="62"/>
        <v>78.2</v>
      </c>
      <c r="AK35" s="95">
        <f t="shared" si="62"/>
        <v>75.999999999999986</v>
      </c>
      <c r="AL35" s="95">
        <f t="shared" si="62"/>
        <v>80.5</v>
      </c>
      <c r="AM35" s="95">
        <f t="shared" si="62"/>
        <v>90.5</v>
      </c>
      <c r="AN35" s="95">
        <f t="shared" si="62"/>
        <v>89.4</v>
      </c>
      <c r="AO35" s="97"/>
      <c r="AP35" s="97"/>
      <c r="AQ35" s="97"/>
      <c r="AR35" s="100"/>
      <c r="AS35" s="99"/>
      <c r="AT35" s="97"/>
      <c r="AU35" s="97"/>
      <c r="AV35" s="97"/>
      <c r="AW35" s="97"/>
      <c r="AX35" s="97"/>
      <c r="AY35" s="97"/>
      <c r="AZ35" s="97"/>
      <c r="BA35" s="97"/>
      <c r="BB35" s="97"/>
      <c r="BC35" s="97"/>
      <c r="BD35" s="97"/>
      <c r="BE35" s="100"/>
      <c r="BF35" s="99"/>
      <c r="BG35" s="97"/>
      <c r="BH35" s="97"/>
      <c r="BI35" s="97"/>
      <c r="BJ35" s="97"/>
      <c r="BK35" s="97"/>
      <c r="BL35" s="97"/>
      <c r="BM35" s="97"/>
      <c r="BN35" s="97"/>
      <c r="BO35" s="97"/>
      <c r="BP35" s="97"/>
      <c r="BQ35" s="97"/>
      <c r="BR35" s="100"/>
      <c r="BS35" s="99"/>
      <c r="BT35" s="97">
        <f t="shared" ref="BT35:CA35" si="63">SUM(BT36:BT47)</f>
        <v>73.400000000000006</v>
      </c>
      <c r="BU35" s="97">
        <f t="shared" si="63"/>
        <v>88</v>
      </c>
      <c r="BV35" s="97">
        <f t="shared" si="63"/>
        <v>26.3</v>
      </c>
      <c r="BW35" s="97">
        <f t="shared" si="63"/>
        <v>9.2000000000000011</v>
      </c>
      <c r="BX35" s="97">
        <f t="shared" si="63"/>
        <v>0</v>
      </c>
      <c r="BY35" s="97">
        <f t="shared" si="63"/>
        <v>0</v>
      </c>
      <c r="BZ35" s="97">
        <f t="shared" si="63"/>
        <v>0</v>
      </c>
      <c r="CA35" s="97">
        <f t="shared" si="63"/>
        <v>0</v>
      </c>
      <c r="CB35" s="97"/>
      <c r="CC35" s="97"/>
      <c r="CD35" s="97"/>
      <c r="CE35" s="100"/>
      <c r="CF35" s="93"/>
      <c r="CG35" s="95"/>
      <c r="CH35" s="95"/>
      <c r="CI35" s="95"/>
      <c r="CJ35" s="95"/>
      <c r="CK35" s="95"/>
      <c r="CL35" s="95"/>
      <c r="CM35" s="95"/>
      <c r="CN35" s="95"/>
      <c r="CO35" s="95"/>
      <c r="CP35" s="95"/>
      <c r="CQ35" s="95"/>
      <c r="CR35" s="96"/>
      <c r="CS35" s="99"/>
      <c r="CT35" s="95"/>
      <c r="CU35" s="95"/>
      <c r="CV35" s="95"/>
      <c r="CW35" s="95"/>
      <c r="CX35" s="95"/>
      <c r="CY35" s="95"/>
      <c r="CZ35" s="95"/>
      <c r="DA35" s="95"/>
      <c r="DB35" s="95"/>
      <c r="DC35" s="95"/>
      <c r="DD35" s="95"/>
      <c r="DE35" s="96"/>
      <c r="DF35" s="93"/>
      <c r="DG35" s="95"/>
      <c r="DH35" s="95"/>
      <c r="DI35" s="95"/>
      <c r="DJ35" s="95"/>
      <c r="DK35" s="95"/>
      <c r="DL35" s="95"/>
      <c r="DM35" s="95"/>
      <c r="DN35" s="95"/>
      <c r="DO35" s="95"/>
      <c r="DP35" s="95"/>
      <c r="DQ35" s="95"/>
      <c r="DR35" s="96"/>
      <c r="DS35" s="108">
        <f t="shared" ref="DS35:ED35" si="64">SUM(DS36:DS55)</f>
        <v>841838</v>
      </c>
      <c r="DT35" s="108">
        <f t="shared" si="64"/>
        <v>833700</v>
      </c>
      <c r="DU35" s="108">
        <f t="shared" si="64"/>
        <v>804414</v>
      </c>
      <c r="DV35" s="108">
        <f t="shared" si="64"/>
        <v>796022</v>
      </c>
      <c r="DW35" s="108">
        <f t="shared" si="64"/>
        <v>785940</v>
      </c>
      <c r="DX35" s="108">
        <f t="shared" si="64"/>
        <v>773528</v>
      </c>
      <c r="DY35" s="108">
        <f t="shared" si="64"/>
        <v>771832</v>
      </c>
      <c r="DZ35" s="108">
        <f t="shared" si="64"/>
        <v>778171</v>
      </c>
      <c r="EA35" s="108">
        <f t="shared" si="64"/>
        <v>783220</v>
      </c>
      <c r="EB35" s="108">
        <f t="shared" si="64"/>
        <v>0</v>
      </c>
      <c r="EC35" s="108">
        <f t="shared" si="64"/>
        <v>0</v>
      </c>
      <c r="ED35" s="108">
        <f t="shared" si="64"/>
        <v>0</v>
      </c>
      <c r="EE35" s="100"/>
      <c r="EF35" s="99"/>
      <c r="EG35" s="97"/>
      <c r="EH35" s="97"/>
      <c r="EI35" s="97"/>
      <c r="EJ35" s="97"/>
      <c r="EK35" s="97"/>
      <c r="EL35" s="97"/>
      <c r="EM35" s="97"/>
      <c r="EN35" s="97"/>
      <c r="EO35" s="97"/>
      <c r="EP35" s="97"/>
      <c r="EQ35" s="97"/>
      <c r="ER35" s="100"/>
      <c r="ES35" s="220">
        <f t="shared" ref="ES35:FC35" si="65">SUM(ES36:ES47)</f>
        <v>14119161</v>
      </c>
      <c r="ET35" s="220">
        <f t="shared" si="65"/>
        <v>9261016</v>
      </c>
      <c r="EU35" s="220">
        <f t="shared" si="65"/>
        <v>8358961</v>
      </c>
      <c r="EV35" s="220">
        <f t="shared" si="65"/>
        <v>11354419</v>
      </c>
      <c r="EW35" s="220">
        <f t="shared" si="65"/>
        <v>11586082</v>
      </c>
      <c r="EX35" s="108">
        <f t="shared" si="65"/>
        <v>11723996</v>
      </c>
      <c r="EY35" s="108">
        <f t="shared" si="65"/>
        <v>12070577</v>
      </c>
      <c r="EZ35" s="108">
        <f t="shared" si="65"/>
        <v>0</v>
      </c>
      <c r="FA35" s="108">
        <f t="shared" si="65"/>
        <v>0</v>
      </c>
      <c r="FB35" s="108">
        <f t="shared" si="65"/>
        <v>0</v>
      </c>
      <c r="FC35" s="108">
        <f t="shared" si="65"/>
        <v>0</v>
      </c>
      <c r="FD35" s="97"/>
      <c r="FE35" s="100"/>
      <c r="FF35" s="99"/>
      <c r="FG35" s="97"/>
      <c r="FH35" s="97"/>
      <c r="FI35" s="97"/>
      <c r="FJ35" s="97"/>
      <c r="FK35" s="97"/>
      <c r="FL35" s="97"/>
      <c r="FM35" s="97"/>
      <c r="FN35" s="97"/>
      <c r="FO35" s="97"/>
      <c r="FP35" s="97"/>
      <c r="FQ35" s="97"/>
      <c r="FR35" s="100"/>
    </row>
    <row r="36" spans="4:174" x14ac:dyDescent="0.25">
      <c r="E36" s="2" t="s">
        <v>225</v>
      </c>
      <c r="F36" s="91">
        <v>99.3</v>
      </c>
      <c r="G36" s="2">
        <v>71.7</v>
      </c>
      <c r="H36" s="2">
        <v>57.3</v>
      </c>
      <c r="I36" s="2">
        <v>94.8</v>
      </c>
      <c r="J36" s="2">
        <v>99.4</v>
      </c>
      <c r="K36" s="2">
        <v>103.3</v>
      </c>
      <c r="L36" s="2">
        <v>95.1</v>
      </c>
      <c r="M36" s="2">
        <v>99.5</v>
      </c>
      <c r="N36" s="2">
        <v>99.1</v>
      </c>
      <c r="R36" s="13"/>
      <c r="S36" s="2">
        <f>173.8+14.1</f>
        <v>187.9</v>
      </c>
      <c r="T36" s="2">
        <f>169.2+12.9</f>
        <v>182.1</v>
      </c>
      <c r="U36" s="2">
        <f>168.2+13</f>
        <v>181.2</v>
      </c>
      <c r="V36" s="2">
        <f>179.2+13.3</f>
        <v>192.5</v>
      </c>
      <c r="W36" s="2">
        <f>184.8+12.8</f>
        <v>197.60000000000002</v>
      </c>
      <c r="X36" s="2">
        <f>188.1+14.5</f>
        <v>202.6</v>
      </c>
      <c r="Y36" s="2">
        <v>205.1</v>
      </c>
      <c r="Z36" s="103">
        <v>211.8</v>
      </c>
      <c r="AA36" s="103">
        <v>216.4</v>
      </c>
      <c r="AB36" s="103"/>
      <c r="AC36" s="103"/>
      <c r="AD36" s="103"/>
      <c r="AE36" s="103"/>
      <c r="AF36" s="91">
        <f>6.8+8.3+0.8+0.9+0.1+9.3+0.3</f>
        <v>26.500000000000004</v>
      </c>
      <c r="AG36" s="2">
        <f>3.4+0.8+0.3+7.4+0.3+1.7+0.6+0.5+9.6</f>
        <v>24.6</v>
      </c>
      <c r="AH36" s="2">
        <f>3.1+0.2+0.4+6.9+0.3+0.7+0.7+0.4+10.3+2.2</f>
        <v>25.2</v>
      </c>
      <c r="AI36" s="2">
        <f>0.7+3.1+1+0.4+7.7+0.4+0.8+1.4+0.4+10.8</f>
        <v>26.700000000000003</v>
      </c>
      <c r="AJ36" s="2">
        <f>3+1+0.4+7.3+0.5+0.7+1.1+0.4+11</f>
        <v>25.4</v>
      </c>
      <c r="AK36" s="2">
        <f>3.3+1+0.3+7.2+0.3+0.7+0.7+0.2+11.1</f>
        <v>24.799999999999997</v>
      </c>
      <c r="AL36" s="2">
        <f>3.3+0.7+0.1+7.3+0.4+0.8+1+0.3+11.5</f>
        <v>25.4</v>
      </c>
      <c r="AM36" s="2">
        <f>3.5+1.1+0.2+8.4+0.5+0.9+1+0.4+13</f>
        <v>29</v>
      </c>
      <c r="AN36" s="2">
        <f>3.5+1.1+8.7+0.5+0.9+1+0.4+12.2</f>
        <v>28.299999999999997</v>
      </c>
      <c r="AR36" s="13"/>
      <c r="AS36" s="91"/>
      <c r="BE36" s="13"/>
      <c r="BF36" s="91"/>
      <c r="BR36" s="13"/>
      <c r="BS36" s="91"/>
      <c r="BT36" s="2">
        <v>34.1</v>
      </c>
      <c r="BU36" s="2">
        <v>40.200000000000003</v>
      </c>
      <c r="BV36" s="2">
        <v>12</v>
      </c>
      <c r="BW36" s="2">
        <v>2.8</v>
      </c>
      <c r="CE36" s="13"/>
      <c r="CF36" s="2">
        <f t="shared" ref="CF36:CF47" si="66">+BF36+AS36+AF36+S36</f>
        <v>214.4</v>
      </c>
      <c r="CG36" s="2">
        <f t="shared" ref="CG36:CG47" si="67">+BG36+AT36+AG36+T36</f>
        <v>206.7</v>
      </c>
      <c r="CH36" s="2">
        <f t="shared" ref="CH36:CH47" si="68">+BH36+AU36+AH36+U36</f>
        <v>206.39999999999998</v>
      </c>
      <c r="CI36" s="2">
        <f t="shared" ref="CI36:CI47" si="69">+BI36+AV36+AI36+V36</f>
        <v>219.2</v>
      </c>
      <c r="CJ36" s="2">
        <f t="shared" ref="CJ36:CJ47" si="70">+BJ36+AW36+AJ36+W36</f>
        <v>223.00000000000003</v>
      </c>
      <c r="CK36" s="2">
        <f t="shared" ref="CK36:CK47" si="71">+BK36+AX36+AK36+X36</f>
        <v>227.39999999999998</v>
      </c>
      <c r="CL36" s="2">
        <f t="shared" ref="CL36:CL47" si="72">+BL36+AY36+AL36+Y36</f>
        <v>230.5</v>
      </c>
      <c r="CM36" s="2">
        <f t="shared" ref="CM36:CM47" si="73">+BM36+AZ36+AM36+Z36</f>
        <v>240.8</v>
      </c>
      <c r="CN36" s="2">
        <f t="shared" ref="CN36:CN47" si="74">+BN36+BA36+AN36+AA36</f>
        <v>244.7</v>
      </c>
      <c r="CO36" s="2">
        <f t="shared" ref="CO36:CO47" si="75">+BO36+BB36+AO36+AB36</f>
        <v>0</v>
      </c>
      <c r="CP36" s="2">
        <f t="shared" ref="CP36:CP47" si="76">+BP36+BC36+AP36+AC36</f>
        <v>0</v>
      </c>
      <c r="CQ36" s="2">
        <f t="shared" ref="CQ36:CQ47" si="77">+BQ36+BD36+AQ36+AD36</f>
        <v>0</v>
      </c>
      <c r="CR36" s="13">
        <f t="shared" ref="CR36:CR47" si="78">+BR36+BE36+AR36+AE36</f>
        <v>0</v>
      </c>
      <c r="CS36" s="2">
        <f t="shared" ref="CS36:CS47" si="79">+CF36-BS36-F36</f>
        <v>115.10000000000001</v>
      </c>
      <c r="CT36" s="2">
        <f t="shared" ref="CT36:CT47" si="80">+CG36-BT36-G36</f>
        <v>100.89999999999999</v>
      </c>
      <c r="CU36" s="2">
        <f t="shared" ref="CU36:CU47" si="81">+CH36-BU36-H36</f>
        <v>108.89999999999999</v>
      </c>
      <c r="CV36" s="2">
        <f t="shared" ref="CV36:CV47" si="82">+CI36-BV36-I36</f>
        <v>112.39999999999999</v>
      </c>
      <c r="CW36" s="2">
        <f t="shared" ref="CW36:CW47" si="83">+CJ36-BW36-J36</f>
        <v>120.80000000000001</v>
      </c>
      <c r="CX36" s="2">
        <f t="shared" ref="CX36:CX47" si="84">+CK36-BX36-K36</f>
        <v>124.09999999999998</v>
      </c>
      <c r="CY36" s="2">
        <f t="shared" ref="CY36:CY47" si="85">+CL36-BY36-L36</f>
        <v>135.4</v>
      </c>
      <c r="CZ36" s="2">
        <f t="shared" ref="CZ36:CZ47" si="86">+CM36-BZ36-M36</f>
        <v>141.30000000000001</v>
      </c>
      <c r="DA36" s="2">
        <f t="shared" ref="DA36:DA47" si="87">+CN36-CA36-N36</f>
        <v>145.6</v>
      </c>
      <c r="DE36" s="13"/>
      <c r="DF36" s="18">
        <f t="shared" ref="DF36:DF47" si="88">+AF36/CF36</f>
        <v>0.12360074626865673</v>
      </c>
      <c r="DG36" s="18">
        <f t="shared" ref="DG36:DG47" si="89">+AG36/CG36</f>
        <v>0.11901306240928884</v>
      </c>
      <c r="DH36" s="18">
        <f t="shared" ref="DH36:DH47" si="90">+AH36/CH36</f>
        <v>0.12209302325581396</v>
      </c>
      <c r="DI36" s="18">
        <f t="shared" ref="DI36:DI47" si="91">+AI36/CI36</f>
        <v>0.12180656934306572</v>
      </c>
      <c r="DJ36" s="18">
        <f t="shared" ref="DJ36:DJ47" si="92">+AJ36/CJ36</f>
        <v>0.1139013452914798</v>
      </c>
      <c r="DK36" s="18">
        <f t="shared" ref="DK36:DK47" si="93">+AK36/CK36</f>
        <v>0.1090589270008795</v>
      </c>
      <c r="DL36" s="18">
        <f t="shared" ref="DL36:DL47" si="94">+AL36/CL36</f>
        <v>0.11019522776572667</v>
      </c>
      <c r="DM36" s="18">
        <f t="shared" ref="DM36:DM47" si="95">+AM36/CM36</f>
        <v>0.12043189368770764</v>
      </c>
      <c r="DN36" s="18">
        <f t="shared" ref="DN36:DN47" si="96">+AN36/CN36</f>
        <v>0.11565181855333061</v>
      </c>
      <c r="DR36" s="13"/>
      <c r="DS36" s="242">
        <v>262285</v>
      </c>
      <c r="DT36" s="150">
        <v>256117</v>
      </c>
      <c r="DU36" s="150">
        <v>243928</v>
      </c>
      <c r="DV36" s="228">
        <v>238637</v>
      </c>
      <c r="DW36" s="150">
        <v>236636</v>
      </c>
      <c r="DX36" s="21">
        <v>232196</v>
      </c>
      <c r="DY36" s="21">
        <v>230046</v>
      </c>
      <c r="DZ36" s="21">
        <v>231767</v>
      </c>
      <c r="EA36" s="21">
        <v>232652</v>
      </c>
      <c r="EE36" s="13"/>
      <c r="EF36" s="20"/>
      <c r="EG36" s="21"/>
      <c r="EH36" s="21"/>
      <c r="EI36" s="21"/>
      <c r="EJ36" s="21"/>
      <c r="EK36" s="21"/>
      <c r="ER36" s="13"/>
      <c r="ES36" s="242">
        <v>3431623</v>
      </c>
      <c r="ET36" s="150">
        <v>2198259</v>
      </c>
      <c r="EU36" s="150">
        <v>2034266</v>
      </c>
      <c r="EV36" s="150">
        <v>2952991</v>
      </c>
      <c r="EW36" s="150">
        <v>3029465</v>
      </c>
      <c r="EX36" s="21">
        <v>2997480</v>
      </c>
      <c r="EY36" s="21">
        <v>2878435</v>
      </c>
      <c r="FE36" s="13"/>
      <c r="FF36" s="20"/>
      <c r="FG36" s="21"/>
      <c r="FH36" s="21"/>
      <c r="FI36" s="21"/>
      <c r="FJ36" s="21"/>
      <c r="FK36" s="21"/>
      <c r="FR36" s="13"/>
    </row>
    <row r="37" spans="4:174" x14ac:dyDescent="0.25">
      <c r="E37" s="2" t="s">
        <v>226</v>
      </c>
      <c r="F37" s="91">
        <f>1.5-0.4</f>
        <v>1.1000000000000001</v>
      </c>
      <c r="G37" s="2">
        <v>1.1000000000000001</v>
      </c>
      <c r="H37" s="2">
        <v>0.6</v>
      </c>
      <c r="I37" s="2">
        <v>0.6</v>
      </c>
      <c r="J37" s="2">
        <v>0.8</v>
      </c>
      <c r="K37" s="2">
        <v>1</v>
      </c>
      <c r="L37" s="2">
        <v>0.8</v>
      </c>
      <c r="M37" s="2">
        <v>0.9</v>
      </c>
      <c r="N37" s="2">
        <v>0.7</v>
      </c>
      <c r="R37" s="13"/>
      <c r="S37" s="2">
        <f>9.3-0.8</f>
        <v>8.5</v>
      </c>
      <c r="T37" s="2">
        <v>8.3000000000000007</v>
      </c>
      <c r="U37" s="2">
        <v>8.1999999999999993</v>
      </c>
      <c r="V37" s="2">
        <v>9</v>
      </c>
      <c r="W37" s="2">
        <v>9.1999999999999993</v>
      </c>
      <c r="X37" s="2">
        <v>9.8000000000000007</v>
      </c>
      <c r="Y37" s="2">
        <v>8.8000000000000007</v>
      </c>
      <c r="Z37" s="103">
        <v>7.8</v>
      </c>
      <c r="AA37" s="103">
        <v>7.2</v>
      </c>
      <c r="AB37" s="103"/>
      <c r="AC37" s="103"/>
      <c r="AD37" s="103"/>
      <c r="AE37" s="103"/>
      <c r="AF37" s="91">
        <f>0.2+0.1+0.1+0.4</f>
        <v>0.8</v>
      </c>
      <c r="AG37" s="2">
        <f>0.1+0.2+0.1+0.4</f>
        <v>0.8</v>
      </c>
      <c r="AH37" s="2">
        <f>0.1+0.2+0.1+0.4+0.2</f>
        <v>1</v>
      </c>
      <c r="AI37" s="2">
        <f>0.2+0.2+0.4</f>
        <v>0.8</v>
      </c>
      <c r="AJ37" s="2">
        <f>0.1+0.2+0.4</f>
        <v>0.70000000000000007</v>
      </c>
      <c r="AK37" s="2">
        <f>0.1+0.2+0.4</f>
        <v>0.70000000000000007</v>
      </c>
      <c r="AL37" s="2">
        <f>0.1+0.2+0.4</f>
        <v>0.70000000000000007</v>
      </c>
      <c r="AM37" s="2">
        <f>0.1+0.2+0.1+0.4</f>
        <v>0.8</v>
      </c>
      <c r="AN37" s="2">
        <f>0.1+0.2+0.1+0.4</f>
        <v>0.8</v>
      </c>
      <c r="AR37" s="13"/>
      <c r="AS37" s="91"/>
      <c r="BE37" s="13"/>
      <c r="BF37" s="91"/>
      <c r="BR37" s="13"/>
      <c r="BS37" s="91"/>
      <c r="BT37" s="2">
        <v>0.2</v>
      </c>
      <c r="BU37" s="2">
        <v>0.6</v>
      </c>
      <c r="BV37" s="2">
        <v>0.3</v>
      </c>
      <c r="BW37" s="2">
        <v>0.1</v>
      </c>
      <c r="CE37" s="13"/>
      <c r="CF37" s="2">
        <f t="shared" si="66"/>
        <v>9.3000000000000007</v>
      </c>
      <c r="CG37" s="2">
        <f t="shared" si="67"/>
        <v>9.1000000000000014</v>
      </c>
      <c r="CH37" s="2">
        <f t="shared" si="68"/>
        <v>9.1999999999999993</v>
      </c>
      <c r="CI37" s="2">
        <f t="shared" si="69"/>
        <v>9.8000000000000007</v>
      </c>
      <c r="CJ37" s="2">
        <f t="shared" si="70"/>
        <v>9.8999999999999986</v>
      </c>
      <c r="CK37" s="2">
        <f t="shared" si="71"/>
        <v>10.5</v>
      </c>
      <c r="CL37" s="2">
        <f t="shared" si="72"/>
        <v>9.5</v>
      </c>
      <c r="CM37" s="2">
        <f t="shared" si="73"/>
        <v>8.6</v>
      </c>
      <c r="CN37" s="2">
        <f t="shared" si="74"/>
        <v>8</v>
      </c>
      <c r="CO37" s="2">
        <f t="shared" si="75"/>
        <v>0</v>
      </c>
      <c r="CP37" s="2">
        <f t="shared" si="76"/>
        <v>0</v>
      </c>
      <c r="CQ37" s="2">
        <f t="shared" si="77"/>
        <v>0</v>
      </c>
      <c r="CR37" s="13">
        <f t="shared" si="78"/>
        <v>0</v>
      </c>
      <c r="CS37" s="2">
        <f t="shared" si="79"/>
        <v>8.2000000000000011</v>
      </c>
      <c r="CT37" s="2">
        <f t="shared" si="80"/>
        <v>7.8000000000000025</v>
      </c>
      <c r="CU37" s="2">
        <f t="shared" si="81"/>
        <v>8</v>
      </c>
      <c r="CV37" s="2">
        <f t="shared" si="82"/>
        <v>8.9</v>
      </c>
      <c r="CW37" s="2">
        <f t="shared" si="83"/>
        <v>8.9999999999999982</v>
      </c>
      <c r="CX37" s="2">
        <f t="shared" si="84"/>
        <v>9.5</v>
      </c>
      <c r="CY37" s="2">
        <f t="shared" si="85"/>
        <v>8.6999999999999993</v>
      </c>
      <c r="CZ37" s="2">
        <f t="shared" si="86"/>
        <v>7.6999999999999993</v>
      </c>
      <c r="DA37" s="2">
        <f t="shared" si="87"/>
        <v>7.3</v>
      </c>
      <c r="DE37" s="13"/>
      <c r="DF37" s="18">
        <f t="shared" si="88"/>
        <v>8.6021505376344079E-2</v>
      </c>
      <c r="DG37" s="18">
        <f t="shared" si="89"/>
        <v>8.7912087912087905E-2</v>
      </c>
      <c r="DH37" s="18">
        <f t="shared" si="90"/>
        <v>0.10869565217391305</v>
      </c>
      <c r="DI37" s="18">
        <f t="shared" si="91"/>
        <v>8.1632653061224483E-2</v>
      </c>
      <c r="DJ37" s="18">
        <f t="shared" si="92"/>
        <v>7.0707070707070718E-2</v>
      </c>
      <c r="DK37" s="18">
        <f t="shared" si="93"/>
        <v>6.666666666666668E-2</v>
      </c>
      <c r="DL37" s="18">
        <f t="shared" si="94"/>
        <v>7.3684210526315796E-2</v>
      </c>
      <c r="DM37" s="18">
        <f t="shared" si="95"/>
        <v>9.3023255813953501E-2</v>
      </c>
      <c r="DN37" s="18">
        <f t="shared" si="96"/>
        <v>0.1</v>
      </c>
      <c r="DR37" s="13"/>
      <c r="DS37" s="242">
        <v>9273</v>
      </c>
      <c r="DT37" s="150">
        <v>9039</v>
      </c>
      <c r="DU37" s="150">
        <v>8585</v>
      </c>
      <c r="DV37" s="150">
        <v>8448</v>
      </c>
      <c r="DW37" s="150">
        <v>8044</v>
      </c>
      <c r="DX37" s="21">
        <v>7986</v>
      </c>
      <c r="DY37" s="21">
        <v>7087</v>
      </c>
      <c r="DZ37" s="21">
        <v>6158</v>
      </c>
      <c r="EA37" s="21">
        <v>5579</v>
      </c>
      <c r="EE37" s="13"/>
      <c r="EF37" s="20"/>
      <c r="EG37" s="21"/>
      <c r="EH37" s="21"/>
      <c r="EI37" s="21"/>
      <c r="EJ37" s="21"/>
      <c r="EK37" s="21"/>
      <c r="ER37" s="13"/>
      <c r="ES37" s="242">
        <v>92359</v>
      </c>
      <c r="ET37" s="150">
        <v>63092</v>
      </c>
      <c r="EU37" s="150">
        <v>48380</v>
      </c>
      <c r="EV37" s="150">
        <v>70066</v>
      </c>
      <c r="EW37" s="150">
        <v>70659</v>
      </c>
      <c r="EX37" s="21">
        <v>69998</v>
      </c>
      <c r="EY37" s="21">
        <v>60073</v>
      </c>
      <c r="FE37" s="13"/>
      <c r="FF37" s="20"/>
      <c r="FG37" s="21"/>
      <c r="FH37" s="21"/>
      <c r="FI37" s="21"/>
      <c r="FJ37" s="21"/>
      <c r="FK37" s="21"/>
      <c r="FR37" s="13"/>
    </row>
    <row r="38" spans="4:174" x14ac:dyDescent="0.25">
      <c r="E38" s="2" t="s">
        <v>227</v>
      </c>
      <c r="F38" s="91">
        <f>30.5-0.7</f>
        <v>29.8</v>
      </c>
      <c r="G38" s="2">
        <v>23.3</v>
      </c>
      <c r="H38" s="2">
        <v>21.7</v>
      </c>
      <c r="I38" s="2">
        <v>29</v>
      </c>
      <c r="J38" s="2">
        <v>31.8</v>
      </c>
      <c r="K38" s="2">
        <v>32.1</v>
      </c>
      <c r="L38" s="2">
        <v>33.1</v>
      </c>
      <c r="M38" s="2">
        <v>32.9</v>
      </c>
      <c r="N38" s="2">
        <v>34.1</v>
      </c>
      <c r="R38" s="13"/>
      <c r="S38" s="2">
        <f>92.3-1.5</f>
        <v>90.8</v>
      </c>
      <c r="T38" s="2">
        <v>87.8</v>
      </c>
      <c r="U38" s="2">
        <v>90.2</v>
      </c>
      <c r="V38" s="2">
        <v>98.6</v>
      </c>
      <c r="W38" s="2">
        <v>101.5</v>
      </c>
      <c r="X38" s="2">
        <v>100</v>
      </c>
      <c r="Y38" s="2">
        <v>103.2</v>
      </c>
      <c r="Z38" s="103">
        <v>105.7</v>
      </c>
      <c r="AA38" s="103">
        <v>107</v>
      </c>
      <c r="AB38" s="103"/>
      <c r="AC38" s="103"/>
      <c r="AD38" s="103"/>
      <c r="AE38" s="103"/>
      <c r="AF38" s="91">
        <f>3.1+0.3+3.3+0.4+0.5+0.1+5</f>
        <v>12.7</v>
      </c>
      <c r="AG38" s="2">
        <f>1.8+0.4+0.1+3.2+0.2+0.3+0.3+0.3+5.2</f>
        <v>11.8</v>
      </c>
      <c r="AH38" s="2">
        <f>1.7+0.3+0.2+2.9+0.2+0.4+0.4+0.2+5.6+1.2</f>
        <v>13.1</v>
      </c>
      <c r="AI38" s="2">
        <f>0.4+1.8+0.4+0.2+3.3+0.2+0.5+0.4+0.2+6.2</f>
        <v>13.600000000000001</v>
      </c>
      <c r="AJ38" s="2">
        <f>1.7+0.4+0.2+3.3+0.3+0.4+0.6+0.2+6.3</f>
        <v>13.399999999999999</v>
      </c>
      <c r="AK38" s="2">
        <f>1.9+0.3+0.2+3.3+0.2+0.4+0.4+0.1+6.3</f>
        <v>13.1</v>
      </c>
      <c r="AL38" s="2">
        <f>2+0.3+0.1+3.7+0.3+0.5+0.6+0.2+7</f>
        <v>14.7</v>
      </c>
      <c r="AM38" s="2">
        <f>2.1+0.4+0.1+4.4+0.3+0.6+0.6+0.2+7.5</f>
        <v>16.2</v>
      </c>
      <c r="AN38" s="2">
        <f>2.1+0.4+4.5+0.3+0.6+0.6+0.3+7.5</f>
        <v>16.3</v>
      </c>
      <c r="AR38" s="13"/>
      <c r="AS38" s="91"/>
      <c r="BE38" s="13"/>
      <c r="BF38" s="91"/>
      <c r="BR38" s="13"/>
      <c r="BS38" s="91"/>
      <c r="BT38" s="2">
        <v>8.6</v>
      </c>
      <c r="BU38" s="2">
        <v>10.5</v>
      </c>
      <c r="BV38" s="2">
        <v>3.1</v>
      </c>
      <c r="BW38" s="2">
        <v>1.4</v>
      </c>
      <c r="CE38" s="13"/>
      <c r="CF38" s="2">
        <f t="shared" si="66"/>
        <v>103.5</v>
      </c>
      <c r="CG38" s="2">
        <f t="shared" si="67"/>
        <v>99.6</v>
      </c>
      <c r="CH38" s="2">
        <f t="shared" si="68"/>
        <v>103.3</v>
      </c>
      <c r="CI38" s="2">
        <f t="shared" si="69"/>
        <v>112.19999999999999</v>
      </c>
      <c r="CJ38" s="2">
        <f t="shared" si="70"/>
        <v>114.9</v>
      </c>
      <c r="CK38" s="2">
        <f t="shared" si="71"/>
        <v>113.1</v>
      </c>
      <c r="CL38" s="2">
        <f t="shared" si="72"/>
        <v>117.9</v>
      </c>
      <c r="CM38" s="2">
        <f t="shared" si="73"/>
        <v>121.9</v>
      </c>
      <c r="CN38" s="2">
        <f t="shared" si="74"/>
        <v>123.3</v>
      </c>
      <c r="CO38" s="2">
        <f t="shared" si="75"/>
        <v>0</v>
      </c>
      <c r="CP38" s="2">
        <f t="shared" si="76"/>
        <v>0</v>
      </c>
      <c r="CQ38" s="2">
        <f t="shared" si="77"/>
        <v>0</v>
      </c>
      <c r="CR38" s="13">
        <f t="shared" si="78"/>
        <v>0</v>
      </c>
      <c r="CS38" s="2">
        <f t="shared" si="79"/>
        <v>73.7</v>
      </c>
      <c r="CT38" s="2">
        <f t="shared" si="80"/>
        <v>67.7</v>
      </c>
      <c r="CU38" s="2">
        <f t="shared" si="81"/>
        <v>71.099999999999994</v>
      </c>
      <c r="CV38" s="2">
        <f t="shared" si="82"/>
        <v>80.099999999999994</v>
      </c>
      <c r="CW38" s="2">
        <f t="shared" si="83"/>
        <v>81.7</v>
      </c>
      <c r="CX38" s="2">
        <f t="shared" si="84"/>
        <v>81</v>
      </c>
      <c r="CY38" s="2">
        <f t="shared" si="85"/>
        <v>84.800000000000011</v>
      </c>
      <c r="CZ38" s="2">
        <f t="shared" si="86"/>
        <v>89</v>
      </c>
      <c r="DA38" s="2">
        <f t="shared" si="87"/>
        <v>89.199999999999989</v>
      </c>
      <c r="DE38" s="13"/>
      <c r="DF38" s="18">
        <f t="shared" si="88"/>
        <v>0.12270531400966182</v>
      </c>
      <c r="DG38" s="18">
        <f t="shared" si="89"/>
        <v>0.11847389558232933</v>
      </c>
      <c r="DH38" s="18">
        <f t="shared" si="90"/>
        <v>0.12681510164569215</v>
      </c>
      <c r="DI38" s="18">
        <f t="shared" si="91"/>
        <v>0.12121212121212124</v>
      </c>
      <c r="DJ38" s="18">
        <f t="shared" si="92"/>
        <v>0.11662315056570929</v>
      </c>
      <c r="DK38" s="18">
        <f t="shared" si="93"/>
        <v>0.11582670203359859</v>
      </c>
      <c r="DL38" s="18">
        <f t="shared" si="94"/>
        <v>0.12468193384223918</v>
      </c>
      <c r="DM38" s="18">
        <f t="shared" si="95"/>
        <v>0.13289581624282198</v>
      </c>
      <c r="DN38" s="18">
        <f t="shared" si="96"/>
        <v>0.13219789132197893</v>
      </c>
      <c r="DR38" s="13"/>
      <c r="DS38" s="242">
        <v>145866</v>
      </c>
      <c r="DT38" s="150">
        <v>147062</v>
      </c>
      <c r="DU38" s="150">
        <v>147049</v>
      </c>
      <c r="DV38" s="150">
        <v>146512</v>
      </c>
      <c r="DW38" s="150">
        <v>143688</v>
      </c>
      <c r="DX38" s="21">
        <v>142993</v>
      </c>
      <c r="DY38" s="21">
        <v>144220</v>
      </c>
      <c r="DZ38" s="21">
        <v>142314</v>
      </c>
      <c r="EA38" s="21">
        <v>142229</v>
      </c>
      <c r="EE38" s="13"/>
      <c r="EF38" s="20"/>
      <c r="EG38" s="21"/>
      <c r="EH38" s="21"/>
      <c r="EI38" s="21"/>
      <c r="EJ38" s="21"/>
      <c r="EK38" s="21"/>
      <c r="ER38" s="13"/>
      <c r="ES38" s="242">
        <v>2409561</v>
      </c>
      <c r="ET38" s="150">
        <v>1590157</v>
      </c>
      <c r="EU38" s="150">
        <v>1410726</v>
      </c>
      <c r="EV38" s="150">
        <v>1908298</v>
      </c>
      <c r="EW38" s="150">
        <v>2033324</v>
      </c>
      <c r="EX38" s="21">
        <v>2088175</v>
      </c>
      <c r="EY38" s="21">
        <v>2087027</v>
      </c>
      <c r="FE38" s="13"/>
      <c r="FF38" s="20"/>
      <c r="FG38" s="21"/>
      <c r="FH38" s="21"/>
      <c r="FI38" s="21"/>
      <c r="FJ38" s="21"/>
      <c r="FK38" s="21"/>
      <c r="FR38" s="13"/>
    </row>
    <row r="39" spans="4:174" x14ac:dyDescent="0.25">
      <c r="E39" s="2" t="s">
        <v>228</v>
      </c>
      <c r="F39" s="91">
        <f>9.6-0.4</f>
        <v>9.1999999999999993</v>
      </c>
      <c r="G39" s="2">
        <v>6.9</v>
      </c>
      <c r="H39" s="2">
        <v>6</v>
      </c>
      <c r="I39" s="2">
        <v>8.6</v>
      </c>
      <c r="J39" s="2">
        <v>9.1999999999999993</v>
      </c>
      <c r="K39" s="2">
        <v>10.199999999999999</v>
      </c>
      <c r="L39" s="2">
        <v>5.8</v>
      </c>
      <c r="M39" s="2">
        <v>2.1</v>
      </c>
      <c r="N39" s="2">
        <v>2.2999999999999998</v>
      </c>
      <c r="R39" s="13"/>
      <c r="S39" s="2">
        <f>24-0.9</f>
        <v>23.1</v>
      </c>
      <c r="T39" s="2">
        <v>23.1</v>
      </c>
      <c r="U39" s="2">
        <v>23</v>
      </c>
      <c r="V39" s="2">
        <v>24.3</v>
      </c>
      <c r="W39" s="2">
        <v>26.7</v>
      </c>
      <c r="X39" s="2">
        <v>28.6</v>
      </c>
      <c r="Y39" s="2">
        <v>29.2</v>
      </c>
      <c r="Z39" s="103">
        <v>30.2</v>
      </c>
      <c r="AA39" s="103">
        <v>30.6</v>
      </c>
      <c r="AB39" s="103"/>
      <c r="AC39" s="103"/>
      <c r="AD39" s="103"/>
      <c r="AE39" s="103"/>
      <c r="AF39" s="91">
        <f>0.9+0.1+1+0.1+0.2+1.5</f>
        <v>3.8000000000000003</v>
      </c>
      <c r="AG39" s="2">
        <f>0.6+0.1+1+0.1+0.1+0.1+0.1+1.6</f>
        <v>3.7</v>
      </c>
      <c r="AH39" s="2">
        <f>0.5+0.1+0.1+0.9+0.2+0.1+0.1+0.1+1.7+0.3</f>
        <v>4.0999999999999996</v>
      </c>
      <c r="AI39" s="2">
        <f>0.1+0.5+0.1+0.1+1+0.1+0.1+0.1+0.1+1.7</f>
        <v>3.9000000000000004</v>
      </c>
      <c r="AJ39" s="2">
        <f>0.5+0.1+1+0.2+0.2+1.8</f>
        <v>3.8</v>
      </c>
      <c r="AK39" s="2">
        <f>0.5+0.1+0.1+1+0.2+0.1+1.8</f>
        <v>3.8</v>
      </c>
      <c r="AL39" s="2">
        <f>0.6+0.1+1+0.1+0.1+0.2+2</f>
        <v>4.0999999999999996</v>
      </c>
      <c r="AM39" s="2">
        <f>0.6+0.1+1.2+0.1+0.1+0.2+0.1+2.1</f>
        <v>4.5</v>
      </c>
      <c r="AN39" s="2">
        <f>0.6+0.1+1.2+0.1+0.2+0.2+0.1+2.1</f>
        <v>4.6000000000000005</v>
      </c>
      <c r="AR39" s="13"/>
      <c r="AS39" s="91"/>
      <c r="BE39" s="13"/>
      <c r="BF39" s="91"/>
      <c r="BR39" s="13"/>
      <c r="BS39" s="91"/>
      <c r="BT39" s="2">
        <v>2.9</v>
      </c>
      <c r="BU39" s="2">
        <v>3.6</v>
      </c>
      <c r="BV39" s="2">
        <v>1.1000000000000001</v>
      </c>
      <c r="BW39" s="2">
        <v>0.4</v>
      </c>
      <c r="CE39" s="13"/>
      <c r="CF39" s="2">
        <f t="shared" si="66"/>
        <v>26.900000000000002</v>
      </c>
      <c r="CG39" s="2">
        <f t="shared" si="67"/>
        <v>26.8</v>
      </c>
      <c r="CH39" s="2">
        <f t="shared" si="68"/>
        <v>27.1</v>
      </c>
      <c r="CI39" s="2">
        <f t="shared" si="69"/>
        <v>28.200000000000003</v>
      </c>
      <c r="CJ39" s="2">
        <f t="shared" si="70"/>
        <v>30.5</v>
      </c>
      <c r="CK39" s="2">
        <f t="shared" si="71"/>
        <v>32.4</v>
      </c>
      <c r="CL39" s="2">
        <f t="shared" si="72"/>
        <v>33.299999999999997</v>
      </c>
      <c r="CM39" s="2">
        <f t="shared" si="73"/>
        <v>34.700000000000003</v>
      </c>
      <c r="CN39" s="2">
        <f t="shared" si="74"/>
        <v>35.200000000000003</v>
      </c>
      <c r="CO39" s="2">
        <f t="shared" si="75"/>
        <v>0</v>
      </c>
      <c r="CP39" s="2">
        <f t="shared" si="76"/>
        <v>0</v>
      </c>
      <c r="CQ39" s="2">
        <f t="shared" si="77"/>
        <v>0</v>
      </c>
      <c r="CR39" s="13">
        <f t="shared" si="78"/>
        <v>0</v>
      </c>
      <c r="CS39" s="2">
        <f t="shared" si="79"/>
        <v>17.700000000000003</v>
      </c>
      <c r="CT39" s="2">
        <f t="shared" si="80"/>
        <v>17</v>
      </c>
      <c r="CU39" s="2">
        <f t="shared" si="81"/>
        <v>17.5</v>
      </c>
      <c r="CV39" s="2">
        <f t="shared" si="82"/>
        <v>18.5</v>
      </c>
      <c r="CW39" s="2">
        <f t="shared" si="83"/>
        <v>20.900000000000002</v>
      </c>
      <c r="CX39" s="2">
        <f t="shared" si="84"/>
        <v>22.2</v>
      </c>
      <c r="CY39" s="2">
        <f t="shared" si="85"/>
        <v>27.499999999999996</v>
      </c>
      <c r="CZ39" s="2">
        <f t="shared" si="86"/>
        <v>32.6</v>
      </c>
      <c r="DA39" s="2">
        <f t="shared" si="87"/>
        <v>32.900000000000006</v>
      </c>
      <c r="DE39" s="13"/>
      <c r="DF39" s="18">
        <f t="shared" si="88"/>
        <v>0.14126394052044611</v>
      </c>
      <c r="DG39" s="18">
        <f t="shared" si="89"/>
        <v>0.13805970149253732</v>
      </c>
      <c r="DH39" s="18">
        <f t="shared" si="90"/>
        <v>0.15129151291512913</v>
      </c>
      <c r="DI39" s="18">
        <f t="shared" si="91"/>
        <v>0.13829787234042554</v>
      </c>
      <c r="DJ39" s="18">
        <f t="shared" si="92"/>
        <v>0.12459016393442622</v>
      </c>
      <c r="DK39" s="18">
        <f t="shared" si="93"/>
        <v>0.11728395061728394</v>
      </c>
      <c r="DL39" s="18">
        <f t="shared" si="94"/>
        <v>0.12312312312312312</v>
      </c>
      <c r="DM39" s="18">
        <f t="shared" si="95"/>
        <v>0.12968299711815562</v>
      </c>
      <c r="DN39" s="18">
        <f t="shared" si="96"/>
        <v>0.13068181818181818</v>
      </c>
      <c r="DR39" s="13"/>
      <c r="DS39" s="242">
        <v>41737</v>
      </c>
      <c r="DT39" s="150">
        <v>41038</v>
      </c>
      <c r="DU39" s="150">
        <v>39581</v>
      </c>
      <c r="DV39" s="150">
        <v>39827</v>
      </c>
      <c r="DW39" s="150">
        <v>41309</v>
      </c>
      <c r="DX39" s="21">
        <v>41754</v>
      </c>
      <c r="DY39" s="21">
        <v>41073</v>
      </c>
      <c r="DZ39" s="21">
        <v>41087</v>
      </c>
      <c r="EA39" s="21">
        <v>41248</v>
      </c>
      <c r="EE39" s="13"/>
      <c r="EF39" s="20"/>
      <c r="EG39" s="21"/>
      <c r="EH39" s="21"/>
      <c r="EI39" s="21"/>
      <c r="EJ39" s="21"/>
      <c r="EK39" s="21"/>
      <c r="ER39" s="13"/>
      <c r="ES39" s="242">
        <v>729495</v>
      </c>
      <c r="ET39" s="150">
        <v>446271</v>
      </c>
      <c r="EU39" s="150">
        <v>426757</v>
      </c>
      <c r="EV39" s="150">
        <v>564982</v>
      </c>
      <c r="EW39" s="150">
        <v>571781</v>
      </c>
      <c r="EX39" s="21">
        <v>604570</v>
      </c>
      <c r="EY39" s="21">
        <v>977834</v>
      </c>
      <c r="FE39" s="13"/>
      <c r="FF39" s="20"/>
      <c r="FG39" s="21"/>
      <c r="FH39" s="21"/>
      <c r="FI39" s="21"/>
      <c r="FJ39" s="21"/>
      <c r="FK39" s="21"/>
      <c r="FR39" s="13"/>
    </row>
    <row r="40" spans="4:174" x14ac:dyDescent="0.25">
      <c r="E40" s="2" t="s">
        <v>229</v>
      </c>
      <c r="F40" s="91">
        <f>9.3-0.9</f>
        <v>8.4</v>
      </c>
      <c r="G40" s="2">
        <v>6.4</v>
      </c>
      <c r="H40" s="2">
        <v>6.1</v>
      </c>
      <c r="I40" s="2">
        <v>6.1</v>
      </c>
      <c r="J40" s="2">
        <v>7.2</v>
      </c>
      <c r="K40" s="2">
        <v>7.8</v>
      </c>
      <c r="L40" s="2">
        <v>8.1</v>
      </c>
      <c r="M40" s="2">
        <v>8.1999999999999993</v>
      </c>
      <c r="N40" s="2">
        <v>7.6</v>
      </c>
      <c r="R40" s="13"/>
      <c r="S40" s="2">
        <f>26.8-1.5</f>
        <v>25.3</v>
      </c>
      <c r="T40" s="2">
        <v>25.4</v>
      </c>
      <c r="U40" s="2">
        <v>25.1</v>
      </c>
      <c r="V40" s="2">
        <v>27.4</v>
      </c>
      <c r="W40" s="2">
        <v>26.9</v>
      </c>
      <c r="X40" s="2">
        <v>25.9</v>
      </c>
      <c r="Y40" s="2">
        <v>27.4</v>
      </c>
      <c r="Z40" s="103">
        <v>28.2</v>
      </c>
      <c r="AA40" s="103">
        <v>28.5</v>
      </c>
      <c r="AB40" s="103"/>
      <c r="AC40" s="103"/>
      <c r="AD40" s="103"/>
      <c r="AE40" s="103"/>
      <c r="AF40" s="91">
        <f>0.9+0.1+0.7+0.1+0.1+1.4</f>
        <v>3.3</v>
      </c>
      <c r="AG40" s="2">
        <f>0.5+0.1+0.7+0.1+0.1+0.1+0.1+1.4</f>
        <v>3.1</v>
      </c>
      <c r="AH40" s="2">
        <f>0.5+0.1+0.1+0.6+0.1+0.1+0.1+1.5+0.5</f>
        <v>3.6</v>
      </c>
      <c r="AI40" s="2">
        <f>0.1+0.5+0.1+0.6+0.1+0.1+0.1+0.1+1.6</f>
        <v>3.3000000000000003</v>
      </c>
      <c r="AJ40" s="2">
        <f>0.4+0.1+0.1+0.6+0.1+0.1+0.2+1.6</f>
        <v>3.2</v>
      </c>
      <c r="AK40" s="2">
        <f>0.5+0.1+0.6+0.2+0.1+1.6</f>
        <v>3.1</v>
      </c>
      <c r="AL40" s="2">
        <f>0.5+0.1+0.6+0.1+0.1+0.2+1.8</f>
        <v>3.4000000000000004</v>
      </c>
      <c r="AM40" s="2">
        <f>0.5+0.1+0.8+0.1+0.1+0.1+1.9</f>
        <v>3.6</v>
      </c>
      <c r="AN40" s="2">
        <f>0.5+0.1+0.7+0.1+0.1+0.2+0.1+1.9</f>
        <v>3.7</v>
      </c>
      <c r="AR40" s="13"/>
      <c r="AS40" s="91"/>
      <c r="BE40" s="13"/>
      <c r="BF40" s="91"/>
      <c r="BR40" s="13"/>
      <c r="BS40" s="91"/>
      <c r="BT40" s="2">
        <v>2.1</v>
      </c>
      <c r="BU40" s="2">
        <v>2.2999999999999998</v>
      </c>
      <c r="BV40" s="2">
        <v>0.7</v>
      </c>
      <c r="BW40" s="2">
        <v>0.4</v>
      </c>
      <c r="CE40" s="13"/>
      <c r="CF40" s="2">
        <f t="shared" si="66"/>
        <v>28.6</v>
      </c>
      <c r="CG40" s="2">
        <f t="shared" si="67"/>
        <v>28.5</v>
      </c>
      <c r="CH40" s="2">
        <f t="shared" si="68"/>
        <v>28.700000000000003</v>
      </c>
      <c r="CI40" s="2">
        <f t="shared" si="69"/>
        <v>30.7</v>
      </c>
      <c r="CJ40" s="2">
        <f t="shared" si="70"/>
        <v>30.099999999999998</v>
      </c>
      <c r="CK40" s="2">
        <f t="shared" si="71"/>
        <v>29</v>
      </c>
      <c r="CL40" s="2">
        <f t="shared" si="72"/>
        <v>30.799999999999997</v>
      </c>
      <c r="CM40" s="2">
        <f t="shared" si="73"/>
        <v>31.8</v>
      </c>
      <c r="CN40" s="2">
        <f t="shared" si="74"/>
        <v>32.200000000000003</v>
      </c>
      <c r="CO40" s="2">
        <f t="shared" si="75"/>
        <v>0</v>
      </c>
      <c r="CP40" s="2">
        <f t="shared" si="76"/>
        <v>0</v>
      </c>
      <c r="CQ40" s="2">
        <f t="shared" si="77"/>
        <v>0</v>
      </c>
      <c r="CR40" s="13">
        <f t="shared" si="78"/>
        <v>0</v>
      </c>
      <c r="CS40" s="2">
        <f t="shared" si="79"/>
        <v>20.200000000000003</v>
      </c>
      <c r="CT40" s="2">
        <f t="shared" si="80"/>
        <v>20</v>
      </c>
      <c r="CU40" s="2">
        <f t="shared" si="81"/>
        <v>20.300000000000004</v>
      </c>
      <c r="CV40" s="2">
        <f t="shared" si="82"/>
        <v>23.9</v>
      </c>
      <c r="CW40" s="2">
        <f t="shared" si="83"/>
        <v>22.5</v>
      </c>
      <c r="CX40" s="2">
        <f t="shared" si="84"/>
        <v>21.2</v>
      </c>
      <c r="CY40" s="2">
        <f t="shared" si="85"/>
        <v>22.699999999999996</v>
      </c>
      <c r="CZ40" s="2">
        <f t="shared" si="86"/>
        <v>23.6</v>
      </c>
      <c r="DA40" s="2">
        <f t="shared" si="87"/>
        <v>24.6</v>
      </c>
      <c r="DE40" s="13"/>
      <c r="DF40" s="18">
        <f t="shared" si="88"/>
        <v>0.11538461538461538</v>
      </c>
      <c r="DG40" s="18">
        <f t="shared" si="89"/>
        <v>0.10877192982456141</v>
      </c>
      <c r="DH40" s="18">
        <f t="shared" si="90"/>
        <v>0.12543554006968641</v>
      </c>
      <c r="DI40" s="18">
        <f t="shared" si="91"/>
        <v>0.10749185667752444</v>
      </c>
      <c r="DJ40" s="18">
        <f t="shared" si="92"/>
        <v>0.106312292358804</v>
      </c>
      <c r="DK40" s="18">
        <f t="shared" si="93"/>
        <v>0.10689655172413794</v>
      </c>
      <c r="DL40" s="18">
        <f t="shared" si="94"/>
        <v>0.11038961038961041</v>
      </c>
      <c r="DM40" s="18">
        <f t="shared" si="95"/>
        <v>0.11320754716981132</v>
      </c>
      <c r="DN40" s="18">
        <f t="shared" si="96"/>
        <v>0.11490683229813664</v>
      </c>
      <c r="DR40" s="13"/>
      <c r="DS40" s="242">
        <v>37900</v>
      </c>
      <c r="DT40" s="150">
        <v>38150</v>
      </c>
      <c r="DU40" s="150">
        <v>37953</v>
      </c>
      <c r="DV40" s="150">
        <v>38153</v>
      </c>
      <c r="DW40" s="150">
        <v>35896</v>
      </c>
      <c r="DX40" s="21">
        <v>33753</v>
      </c>
      <c r="DY40" s="21">
        <v>33681</v>
      </c>
      <c r="DZ40" s="21">
        <v>33682</v>
      </c>
      <c r="EA40" s="21">
        <v>33683</v>
      </c>
      <c r="EE40" s="13"/>
      <c r="EF40" s="20"/>
      <c r="EG40" s="21"/>
      <c r="EH40" s="21"/>
      <c r="EI40" s="21"/>
      <c r="EJ40" s="21"/>
      <c r="EK40" s="21"/>
      <c r="ER40" s="13"/>
      <c r="ES40" s="242">
        <v>716195</v>
      </c>
      <c r="ET40" s="150">
        <v>471921</v>
      </c>
      <c r="EU40" s="150">
        <v>405586</v>
      </c>
      <c r="EV40" s="150">
        <v>529594</v>
      </c>
      <c r="EW40" s="150">
        <v>508873</v>
      </c>
      <c r="EX40" s="21">
        <v>511541</v>
      </c>
      <c r="EY40" s="21">
        <v>488503</v>
      </c>
      <c r="FE40" s="13"/>
      <c r="FF40" s="20"/>
      <c r="FG40" s="21"/>
      <c r="FH40" s="21"/>
      <c r="FI40" s="21"/>
      <c r="FJ40" s="21"/>
      <c r="FK40" s="21"/>
      <c r="FR40" s="13"/>
    </row>
    <row r="41" spans="4:174" x14ac:dyDescent="0.25">
      <c r="E41" s="2" t="s">
        <v>230</v>
      </c>
      <c r="F41" s="91">
        <f>21-1.1</f>
        <v>19.899999999999999</v>
      </c>
      <c r="G41" s="2">
        <v>16.600000000000001</v>
      </c>
      <c r="H41" s="2">
        <v>14.4</v>
      </c>
      <c r="I41" s="2">
        <v>19.3</v>
      </c>
      <c r="J41" s="2">
        <v>21.3</v>
      </c>
      <c r="K41" s="2">
        <v>22.7</v>
      </c>
      <c r="L41" s="2">
        <v>22.3</v>
      </c>
      <c r="M41" s="2">
        <v>22.7</v>
      </c>
      <c r="N41" s="2">
        <v>21.9</v>
      </c>
      <c r="R41" s="13"/>
      <c r="S41" s="2">
        <f>64.5-3.1</f>
        <v>61.4</v>
      </c>
      <c r="T41" s="2">
        <v>61.2</v>
      </c>
      <c r="U41" s="2">
        <v>61.3</v>
      </c>
      <c r="V41" s="2">
        <v>63.6</v>
      </c>
      <c r="W41" s="2">
        <v>64.8</v>
      </c>
      <c r="X41" s="2">
        <v>64.599999999999994</v>
      </c>
      <c r="Y41" s="2">
        <v>65.7</v>
      </c>
      <c r="Z41" s="103">
        <v>70.099999999999994</v>
      </c>
      <c r="AA41" s="103">
        <v>74.3</v>
      </c>
      <c r="AB41" s="103"/>
      <c r="AC41" s="103"/>
      <c r="AD41" s="103"/>
      <c r="AE41" s="103"/>
      <c r="AF41" s="91">
        <f>2.1+0.2+2.4+0.3+0.3+3.3</f>
        <v>8.6</v>
      </c>
      <c r="AG41" s="2">
        <f>1.2+0.3+0.1+2.3+0.1+0.2+0.2+0.2+3.4</f>
        <v>8</v>
      </c>
      <c r="AH41" s="2">
        <f>1.1+0.2+0.1+2.1+0.1+0.2+0.2+0.1+3.7+0.8</f>
        <v>8.6</v>
      </c>
      <c r="AI41" s="2">
        <f>0.3+1.1+0.2+0.1+2.2+0.1+0.3+0.3+0.1+3.8</f>
        <v>8.5</v>
      </c>
      <c r="AJ41" s="2">
        <f>1.1+0.3+0.2+2.2+0.2+0.3+0.4+0.1+3.9</f>
        <v>8.6999999999999993</v>
      </c>
      <c r="AK41" s="2">
        <f>1.1+0.2+0.1+2.2+0.1+0.3+0.4+0.1+3.9</f>
        <v>8.4</v>
      </c>
      <c r="AL41" s="2">
        <f>1.2+0.2+2.3+0.2+0.3+0.4+0.1+4.2</f>
        <v>8.9</v>
      </c>
      <c r="AM41" s="2">
        <f>1.3+0.3+0.1+2.8+0.2+0.3+0.4+0.1+4.6</f>
        <v>10.1</v>
      </c>
      <c r="AN41" s="2">
        <f>1.3+0.3+2.7+0.2+0.3+0.4+0.2+4.5</f>
        <v>9.9000000000000021</v>
      </c>
      <c r="AR41" s="13"/>
      <c r="AS41" s="91"/>
      <c r="BE41" s="13"/>
      <c r="BF41" s="91"/>
      <c r="BR41" s="13"/>
      <c r="BS41" s="91"/>
      <c r="BT41" s="2">
        <v>5.6</v>
      </c>
      <c r="BU41" s="2">
        <v>7.3</v>
      </c>
      <c r="BV41" s="2">
        <v>2.1</v>
      </c>
      <c r="BW41" s="2">
        <v>0.9</v>
      </c>
      <c r="CE41" s="13"/>
      <c r="CF41" s="2">
        <f t="shared" si="66"/>
        <v>70</v>
      </c>
      <c r="CG41" s="2">
        <f t="shared" si="67"/>
        <v>69.2</v>
      </c>
      <c r="CH41" s="2">
        <f t="shared" si="68"/>
        <v>69.899999999999991</v>
      </c>
      <c r="CI41" s="2">
        <f t="shared" si="69"/>
        <v>72.099999999999994</v>
      </c>
      <c r="CJ41" s="2">
        <f t="shared" si="70"/>
        <v>73.5</v>
      </c>
      <c r="CK41" s="2">
        <f t="shared" si="71"/>
        <v>73</v>
      </c>
      <c r="CL41" s="2">
        <f t="shared" si="72"/>
        <v>74.600000000000009</v>
      </c>
      <c r="CM41" s="2">
        <f t="shared" si="73"/>
        <v>80.199999999999989</v>
      </c>
      <c r="CN41" s="2">
        <f t="shared" si="74"/>
        <v>84.2</v>
      </c>
      <c r="CO41" s="2">
        <f t="shared" si="75"/>
        <v>0</v>
      </c>
      <c r="CP41" s="2">
        <f t="shared" si="76"/>
        <v>0</v>
      </c>
      <c r="CQ41" s="2">
        <f t="shared" si="77"/>
        <v>0</v>
      </c>
      <c r="CR41" s="13">
        <f t="shared" si="78"/>
        <v>0</v>
      </c>
      <c r="CS41" s="2">
        <f t="shared" si="79"/>
        <v>50.1</v>
      </c>
      <c r="CT41" s="2">
        <f t="shared" si="80"/>
        <v>47</v>
      </c>
      <c r="CU41" s="2">
        <f t="shared" si="81"/>
        <v>48.199999999999996</v>
      </c>
      <c r="CV41" s="2">
        <f t="shared" si="82"/>
        <v>50.7</v>
      </c>
      <c r="CW41" s="2">
        <f t="shared" si="83"/>
        <v>51.3</v>
      </c>
      <c r="CX41" s="2">
        <f t="shared" si="84"/>
        <v>50.3</v>
      </c>
      <c r="CY41" s="2">
        <f t="shared" si="85"/>
        <v>52.300000000000011</v>
      </c>
      <c r="CZ41" s="2">
        <f t="shared" si="86"/>
        <v>57.499999999999986</v>
      </c>
      <c r="DA41" s="2">
        <f t="shared" si="87"/>
        <v>62.300000000000004</v>
      </c>
      <c r="DE41" s="13"/>
      <c r="DF41" s="18">
        <f t="shared" si="88"/>
        <v>0.12285714285714285</v>
      </c>
      <c r="DG41" s="18">
        <f t="shared" si="89"/>
        <v>0.11560693641618497</v>
      </c>
      <c r="DH41" s="18">
        <f t="shared" si="90"/>
        <v>0.12303290414878398</v>
      </c>
      <c r="DI41" s="18">
        <f t="shared" si="91"/>
        <v>0.11789181692094314</v>
      </c>
      <c r="DJ41" s="18">
        <f t="shared" si="92"/>
        <v>0.1183673469387755</v>
      </c>
      <c r="DK41" s="18">
        <f t="shared" si="93"/>
        <v>0.11506849315068493</v>
      </c>
      <c r="DL41" s="18">
        <f t="shared" si="94"/>
        <v>0.11930294906166219</v>
      </c>
      <c r="DM41" s="18">
        <f t="shared" si="95"/>
        <v>0.1259351620947631</v>
      </c>
      <c r="DN41" s="18">
        <f t="shared" si="96"/>
        <v>0.11757719714964372</v>
      </c>
      <c r="DR41" s="13"/>
      <c r="DS41" s="242">
        <v>89901</v>
      </c>
      <c r="DT41" s="150">
        <v>90552</v>
      </c>
      <c r="DU41" s="150">
        <v>88081</v>
      </c>
      <c r="DV41" s="150">
        <v>87285</v>
      </c>
      <c r="DW41" s="150">
        <v>87304</v>
      </c>
      <c r="DX41" s="21">
        <v>87498</v>
      </c>
      <c r="DY41" s="21">
        <v>87164</v>
      </c>
      <c r="DZ41" s="21">
        <v>91239</v>
      </c>
      <c r="EA41" s="21">
        <v>96784</v>
      </c>
      <c r="EE41" s="13"/>
      <c r="EF41" s="20"/>
      <c r="EG41" s="21"/>
      <c r="EH41" s="21"/>
      <c r="EI41" s="21"/>
      <c r="EJ41" s="21"/>
      <c r="EK41" s="21"/>
      <c r="ER41" s="13"/>
      <c r="ES41" s="242">
        <v>1715293</v>
      </c>
      <c r="ET41" s="150">
        <v>1166679</v>
      </c>
      <c r="EU41" s="150">
        <v>1067302</v>
      </c>
      <c r="EV41" s="150">
        <v>1397627</v>
      </c>
      <c r="EW41" s="150">
        <v>1468712</v>
      </c>
      <c r="EX41" s="21">
        <v>1536956</v>
      </c>
      <c r="EY41" s="21">
        <v>1563755</v>
      </c>
      <c r="FE41" s="13"/>
      <c r="FF41" s="20"/>
      <c r="FG41" s="21"/>
      <c r="FH41" s="21"/>
      <c r="FI41" s="21"/>
      <c r="FJ41" s="21"/>
      <c r="FK41" s="21"/>
      <c r="FR41" s="13"/>
    </row>
    <row r="42" spans="4:174" x14ac:dyDescent="0.25">
      <c r="E42" s="2" t="s">
        <v>231</v>
      </c>
      <c r="F42" s="91">
        <f>6.1-1</f>
        <v>5.0999999999999996</v>
      </c>
      <c r="G42" s="2">
        <v>2.9</v>
      </c>
      <c r="H42" s="2">
        <v>2.4</v>
      </c>
      <c r="I42" s="2">
        <v>3.2</v>
      </c>
      <c r="J42" s="2">
        <v>2.6</v>
      </c>
      <c r="K42" s="2">
        <v>2.7</v>
      </c>
      <c r="L42" s="2">
        <v>2.7</v>
      </c>
      <c r="M42" s="2">
        <v>2.8</v>
      </c>
      <c r="N42" s="2">
        <v>2.8</v>
      </c>
      <c r="R42" s="13"/>
      <c r="S42" s="2">
        <f>17-2.9</f>
        <v>14.1</v>
      </c>
      <c r="T42" s="2">
        <v>13.6</v>
      </c>
      <c r="U42" s="2">
        <v>13.1</v>
      </c>
      <c r="V42" s="2">
        <v>14.2</v>
      </c>
      <c r="W42" s="2">
        <v>12.5</v>
      </c>
      <c r="X42" s="2">
        <v>11.4</v>
      </c>
      <c r="Y42" s="2">
        <v>11.1</v>
      </c>
      <c r="Z42" s="103">
        <v>12.1</v>
      </c>
      <c r="AA42" s="103">
        <v>11.9</v>
      </c>
      <c r="AB42" s="103"/>
      <c r="AC42" s="103"/>
      <c r="AD42" s="103"/>
      <c r="AE42" s="103"/>
      <c r="AF42" s="91">
        <f>0.4+0.3+0.1+0.7</f>
        <v>1.5</v>
      </c>
      <c r="AG42" s="2">
        <f>0.3+0.1+0.3+0.1+0.7</f>
        <v>1.5</v>
      </c>
      <c r="AH42" s="2">
        <f>0.2+0.1+0.2+0.1+0.8+0.2</f>
        <v>1.5999999999999999</v>
      </c>
      <c r="AI42" s="2">
        <f>0.1+0.2+0.1+0.2+0.1+0.7</f>
        <v>1.4</v>
      </c>
      <c r="AJ42" s="2">
        <f>0.2+0.1+0.2+0.1+0.1+0.7</f>
        <v>1.4</v>
      </c>
      <c r="AK42" s="2">
        <f>0.2+0.1+0.2+0.1+0.8</f>
        <v>1.4</v>
      </c>
      <c r="AL42" s="2">
        <f>0.2+0.2+0.1+0.7+0.1</f>
        <v>1.3</v>
      </c>
      <c r="AM42" s="2">
        <f>0.2+0.1+0.3+0.1+0.8</f>
        <v>1.5</v>
      </c>
      <c r="AN42" s="2">
        <f>0.2+0.1+0.3+0.1+0.7</f>
        <v>1.4</v>
      </c>
      <c r="AR42" s="13"/>
      <c r="AS42" s="91"/>
      <c r="BE42" s="13"/>
      <c r="BF42" s="91"/>
      <c r="BR42" s="13"/>
      <c r="BS42" s="91"/>
      <c r="BT42" s="2">
        <v>1.4</v>
      </c>
      <c r="BU42" s="2">
        <v>1.8</v>
      </c>
      <c r="BV42" s="2">
        <v>0.7</v>
      </c>
      <c r="BW42" s="2">
        <v>0.2</v>
      </c>
      <c r="CE42" s="13"/>
      <c r="CF42" s="2">
        <f t="shared" si="66"/>
        <v>15.6</v>
      </c>
      <c r="CG42" s="2">
        <f t="shared" si="67"/>
        <v>15.1</v>
      </c>
      <c r="CH42" s="2">
        <f t="shared" si="68"/>
        <v>14.7</v>
      </c>
      <c r="CI42" s="2">
        <f t="shared" si="69"/>
        <v>15.6</v>
      </c>
      <c r="CJ42" s="2">
        <f t="shared" si="70"/>
        <v>13.9</v>
      </c>
      <c r="CK42" s="2">
        <f t="shared" si="71"/>
        <v>12.8</v>
      </c>
      <c r="CL42" s="2">
        <f t="shared" si="72"/>
        <v>12.4</v>
      </c>
      <c r="CM42" s="2">
        <f t="shared" si="73"/>
        <v>13.6</v>
      </c>
      <c r="CN42" s="2">
        <f t="shared" si="74"/>
        <v>13.3</v>
      </c>
      <c r="CO42" s="2">
        <f t="shared" si="75"/>
        <v>0</v>
      </c>
      <c r="CP42" s="2">
        <f t="shared" si="76"/>
        <v>0</v>
      </c>
      <c r="CQ42" s="2">
        <f t="shared" si="77"/>
        <v>0</v>
      </c>
      <c r="CR42" s="13">
        <f t="shared" si="78"/>
        <v>0</v>
      </c>
      <c r="CS42" s="2">
        <f t="shared" si="79"/>
        <v>10.5</v>
      </c>
      <c r="CT42" s="2">
        <f t="shared" si="80"/>
        <v>10.799999999999999</v>
      </c>
      <c r="CU42" s="2">
        <f t="shared" si="81"/>
        <v>10.499999999999998</v>
      </c>
      <c r="CV42" s="2">
        <f t="shared" si="82"/>
        <v>11.7</v>
      </c>
      <c r="CW42" s="2">
        <f t="shared" si="83"/>
        <v>11.100000000000001</v>
      </c>
      <c r="CX42" s="2">
        <f t="shared" si="84"/>
        <v>10.100000000000001</v>
      </c>
      <c r="CY42" s="2">
        <f t="shared" si="85"/>
        <v>9.6999999999999993</v>
      </c>
      <c r="CZ42" s="2">
        <f t="shared" si="86"/>
        <v>10.8</v>
      </c>
      <c r="DA42" s="2">
        <f t="shared" si="87"/>
        <v>10.5</v>
      </c>
      <c r="DE42" s="13"/>
      <c r="DF42" s="18">
        <f t="shared" si="88"/>
        <v>9.6153846153846159E-2</v>
      </c>
      <c r="DG42" s="18">
        <f t="shared" si="89"/>
        <v>9.9337748344370869E-2</v>
      </c>
      <c r="DH42" s="18">
        <f t="shared" si="90"/>
        <v>0.10884353741496598</v>
      </c>
      <c r="DI42" s="18">
        <f t="shared" si="91"/>
        <v>8.9743589743589744E-2</v>
      </c>
      <c r="DJ42" s="18">
        <f t="shared" si="92"/>
        <v>0.10071942446043164</v>
      </c>
      <c r="DK42" s="18">
        <f t="shared" si="93"/>
        <v>0.10937499999999999</v>
      </c>
      <c r="DL42" s="18">
        <f t="shared" si="94"/>
        <v>0.10483870967741936</v>
      </c>
      <c r="DM42" s="18">
        <f t="shared" si="95"/>
        <v>0.11029411764705882</v>
      </c>
      <c r="DN42" s="18">
        <f t="shared" si="96"/>
        <v>0.10526315789473684</v>
      </c>
      <c r="DR42" s="13"/>
      <c r="DS42" s="242">
        <v>18472</v>
      </c>
      <c r="DT42" s="150">
        <v>17269</v>
      </c>
      <c r="DU42" s="150">
        <v>15446</v>
      </c>
      <c r="DV42" s="150">
        <v>15071</v>
      </c>
      <c r="DW42" s="150">
        <v>13631</v>
      </c>
      <c r="DX42" s="21">
        <v>12166</v>
      </c>
      <c r="DY42" s="21">
        <v>11502</v>
      </c>
      <c r="DZ42" s="21">
        <v>11666</v>
      </c>
      <c r="EA42" s="21">
        <v>11453</v>
      </c>
      <c r="EE42" s="13"/>
      <c r="EF42" s="20"/>
      <c r="EG42" s="21"/>
      <c r="EH42" s="21"/>
      <c r="EI42" s="21"/>
      <c r="EJ42" s="21"/>
      <c r="EK42" s="21"/>
      <c r="ER42" s="13"/>
      <c r="ES42" s="242">
        <v>142811</v>
      </c>
      <c r="ET42" s="150">
        <v>92897</v>
      </c>
      <c r="EU42" s="150">
        <v>66824</v>
      </c>
      <c r="EV42" s="150">
        <v>98141</v>
      </c>
      <c r="EW42" s="150">
        <v>94950</v>
      </c>
      <c r="EX42" s="21">
        <v>96685</v>
      </c>
      <c r="EY42" s="21">
        <v>94841</v>
      </c>
      <c r="FE42" s="13"/>
      <c r="FF42" s="20"/>
      <c r="FG42" s="21"/>
      <c r="FH42" s="21"/>
      <c r="FI42" s="21"/>
      <c r="FJ42" s="21"/>
      <c r="FK42" s="21"/>
      <c r="FR42" s="13"/>
    </row>
    <row r="43" spans="4:174" x14ac:dyDescent="0.25">
      <c r="E43" s="2" t="s">
        <v>232</v>
      </c>
      <c r="F43" s="91">
        <f>3.7-0.8</f>
        <v>2.9000000000000004</v>
      </c>
      <c r="G43" s="2">
        <v>2.1</v>
      </c>
      <c r="H43" s="2">
        <v>1.8</v>
      </c>
      <c r="I43" s="2">
        <v>2</v>
      </c>
      <c r="J43" s="2">
        <v>1.8</v>
      </c>
      <c r="K43" s="2">
        <v>1.8</v>
      </c>
      <c r="L43" s="2">
        <v>1.6</v>
      </c>
      <c r="M43" s="2">
        <v>1.8</v>
      </c>
      <c r="N43" s="2">
        <v>1.7</v>
      </c>
      <c r="R43" s="13"/>
      <c r="S43" s="2">
        <f>15.1-2.1</f>
        <v>13</v>
      </c>
      <c r="T43" s="2">
        <v>13.1</v>
      </c>
      <c r="U43" s="2">
        <v>12.4</v>
      </c>
      <c r="V43" s="2">
        <v>12.6</v>
      </c>
      <c r="W43" s="2">
        <v>12.2</v>
      </c>
      <c r="X43" s="2">
        <v>13.6</v>
      </c>
      <c r="Y43" s="2">
        <v>13.9</v>
      </c>
      <c r="Z43" s="103">
        <v>13.3</v>
      </c>
      <c r="AA43" s="103">
        <v>13.3</v>
      </c>
      <c r="AB43" s="103"/>
      <c r="AC43" s="103"/>
      <c r="AD43" s="103"/>
      <c r="AE43" s="103"/>
      <c r="AF43" s="91">
        <f>0.3+0.2+0.1+0.6</f>
        <v>1.2</v>
      </c>
      <c r="AG43" s="2">
        <f>0.2+0.1+0.2+0.1+0.6</f>
        <v>1.2</v>
      </c>
      <c r="AH43" s="2">
        <f>0.2+0.1+0.2+0.1+0.6+0.2</f>
        <v>1.4</v>
      </c>
      <c r="AI43" s="2">
        <f>0.1+0.2+0.1+0.2+0.1+0.6</f>
        <v>1.3</v>
      </c>
      <c r="AJ43" s="2">
        <f>0.2+0.1+0.2+0.1+0.6</f>
        <v>1.2</v>
      </c>
      <c r="AK43" s="2">
        <f>0.2+0.2+0.1+0.6</f>
        <v>1.1000000000000001</v>
      </c>
      <c r="AL43" s="2">
        <f>0.2+0.2+0.1+0.5</f>
        <v>1</v>
      </c>
      <c r="AM43" s="2">
        <f>0.2+0.2+0.1+0.6</f>
        <v>1.1000000000000001</v>
      </c>
      <c r="AN43" s="2">
        <f>0.2+0.2+0.1+0.6</f>
        <v>1.1000000000000001</v>
      </c>
      <c r="AR43" s="13"/>
      <c r="AS43" s="91"/>
      <c r="BE43" s="13"/>
      <c r="BF43" s="91"/>
      <c r="BR43" s="13"/>
      <c r="BS43" s="91"/>
      <c r="BT43" s="2">
        <v>0.8</v>
      </c>
      <c r="BU43" s="2">
        <v>0.9</v>
      </c>
      <c r="BV43" s="2">
        <v>0.3</v>
      </c>
      <c r="BW43" s="2">
        <v>0.2</v>
      </c>
      <c r="CE43" s="13"/>
      <c r="CF43" s="2">
        <f t="shared" si="66"/>
        <v>14.2</v>
      </c>
      <c r="CG43" s="2">
        <f t="shared" si="67"/>
        <v>14.299999999999999</v>
      </c>
      <c r="CH43" s="2">
        <f t="shared" si="68"/>
        <v>13.8</v>
      </c>
      <c r="CI43" s="2">
        <f t="shared" si="69"/>
        <v>13.9</v>
      </c>
      <c r="CJ43" s="2">
        <f t="shared" si="70"/>
        <v>13.399999999999999</v>
      </c>
      <c r="CK43" s="2">
        <f t="shared" si="71"/>
        <v>14.7</v>
      </c>
      <c r="CL43" s="2">
        <f t="shared" si="72"/>
        <v>14.9</v>
      </c>
      <c r="CM43" s="2">
        <f t="shared" si="73"/>
        <v>14.4</v>
      </c>
      <c r="CN43" s="2">
        <f t="shared" si="74"/>
        <v>14.4</v>
      </c>
      <c r="CO43" s="2">
        <f t="shared" si="75"/>
        <v>0</v>
      </c>
      <c r="CP43" s="2">
        <f t="shared" si="76"/>
        <v>0</v>
      </c>
      <c r="CQ43" s="2">
        <f t="shared" si="77"/>
        <v>0</v>
      </c>
      <c r="CR43" s="13">
        <f t="shared" si="78"/>
        <v>0</v>
      </c>
      <c r="CS43" s="2">
        <f t="shared" si="79"/>
        <v>11.299999999999999</v>
      </c>
      <c r="CT43" s="2">
        <f t="shared" si="80"/>
        <v>11.399999999999999</v>
      </c>
      <c r="CU43" s="2">
        <f t="shared" si="81"/>
        <v>11.1</v>
      </c>
      <c r="CV43" s="2">
        <f t="shared" si="82"/>
        <v>11.6</v>
      </c>
      <c r="CW43" s="2">
        <f t="shared" si="83"/>
        <v>11.399999999999999</v>
      </c>
      <c r="CX43" s="2">
        <f t="shared" si="84"/>
        <v>12.899999999999999</v>
      </c>
      <c r="CY43" s="2">
        <f t="shared" si="85"/>
        <v>13.3</v>
      </c>
      <c r="CZ43" s="2">
        <f t="shared" si="86"/>
        <v>12.6</v>
      </c>
      <c r="DA43" s="2">
        <f t="shared" si="87"/>
        <v>12.700000000000001</v>
      </c>
      <c r="DE43" s="13"/>
      <c r="DF43" s="18">
        <f t="shared" si="88"/>
        <v>8.4507042253521125E-2</v>
      </c>
      <c r="DG43" s="18">
        <f t="shared" si="89"/>
        <v>8.3916083916083919E-2</v>
      </c>
      <c r="DH43" s="18">
        <f t="shared" si="90"/>
        <v>0.10144927536231883</v>
      </c>
      <c r="DI43" s="18">
        <f t="shared" si="91"/>
        <v>9.3525179856115109E-2</v>
      </c>
      <c r="DJ43" s="18">
        <f t="shared" si="92"/>
        <v>8.9552238805970158E-2</v>
      </c>
      <c r="DK43" s="18">
        <f t="shared" si="93"/>
        <v>7.4829931972789129E-2</v>
      </c>
      <c r="DL43" s="18">
        <f t="shared" si="94"/>
        <v>6.7114093959731544E-2</v>
      </c>
      <c r="DM43" s="18">
        <f t="shared" si="95"/>
        <v>7.6388888888888895E-2</v>
      </c>
      <c r="DN43" s="18">
        <f t="shared" si="96"/>
        <v>7.6388888888888895E-2</v>
      </c>
      <c r="DR43" s="13"/>
      <c r="DS43" s="242">
        <v>15014</v>
      </c>
      <c r="DT43" s="150">
        <v>15398</v>
      </c>
      <c r="DU43" s="150">
        <v>13423</v>
      </c>
      <c r="DV43" s="150">
        <v>11896</v>
      </c>
      <c r="DW43" s="150">
        <v>10977</v>
      </c>
      <c r="DX43" s="21">
        <v>10220</v>
      </c>
      <c r="DY43" s="21">
        <v>10131</v>
      </c>
      <c r="DZ43" s="21">
        <v>10193</v>
      </c>
      <c r="EA43" s="21">
        <v>10311</v>
      </c>
      <c r="EE43" s="13"/>
      <c r="EF43" s="20"/>
      <c r="EG43" s="21"/>
      <c r="EH43" s="21"/>
      <c r="EI43" s="21"/>
      <c r="EJ43" s="21"/>
      <c r="EK43" s="21"/>
      <c r="ER43" s="13"/>
      <c r="ES43" s="242">
        <v>171584</v>
      </c>
      <c r="ET43" s="150">
        <v>116751</v>
      </c>
      <c r="EU43" s="150">
        <v>89265</v>
      </c>
      <c r="EV43" s="150">
        <v>133582</v>
      </c>
      <c r="EW43" s="150">
        <v>117568</v>
      </c>
      <c r="EX43" s="21">
        <v>98282</v>
      </c>
      <c r="EY43" s="21">
        <v>95939</v>
      </c>
      <c r="FE43" s="13"/>
      <c r="FF43" s="20"/>
      <c r="FG43" s="21"/>
      <c r="FH43" s="21"/>
      <c r="FI43" s="21"/>
      <c r="FJ43" s="21"/>
      <c r="FK43" s="21"/>
      <c r="FR43" s="13"/>
    </row>
    <row r="44" spans="4:174" x14ac:dyDescent="0.25">
      <c r="E44" s="2" t="s">
        <v>233</v>
      </c>
      <c r="F44" s="91">
        <f>32.3-1.8</f>
        <v>30.499999999999996</v>
      </c>
      <c r="G44" s="2">
        <v>23.8</v>
      </c>
      <c r="H44" s="2">
        <v>21</v>
      </c>
      <c r="I44" s="2">
        <v>28.1</v>
      </c>
      <c r="J44" s="2">
        <v>28.4</v>
      </c>
      <c r="K44" s="2">
        <v>29.7</v>
      </c>
      <c r="L44" s="2">
        <v>29</v>
      </c>
      <c r="M44" s="2">
        <v>25.4</v>
      </c>
      <c r="N44" s="2">
        <v>25.5</v>
      </c>
      <c r="R44" s="13"/>
      <c r="S44" s="2">
        <f>74.1-4.8</f>
        <v>69.3</v>
      </c>
      <c r="T44" s="2">
        <v>64.400000000000006</v>
      </c>
      <c r="U44" s="2">
        <v>63.2</v>
      </c>
      <c r="V44" s="2">
        <v>71.099999999999994</v>
      </c>
      <c r="W44" s="2">
        <v>77</v>
      </c>
      <c r="X44" s="2">
        <v>74.3</v>
      </c>
      <c r="Y44" s="2">
        <v>76.2</v>
      </c>
      <c r="Z44" s="103">
        <v>78.5</v>
      </c>
      <c r="AA44" s="103">
        <v>79.5</v>
      </c>
      <c r="AB44" s="103"/>
      <c r="AC44" s="103"/>
      <c r="AD44" s="103"/>
      <c r="AE44" s="103"/>
      <c r="AF44" s="91">
        <f>2.1+0.2+3+0.3+0.3+3.5</f>
        <v>9.4</v>
      </c>
      <c r="AG44" s="2">
        <f>1.3+0.3+2.7+0.2+0.2+0.2+0.2+3.5</f>
        <v>8.6000000000000014</v>
      </c>
      <c r="AH44" s="2">
        <f>1.2+0.2+0.1+2.6+0.1+0.3+0.3+0.2+3.8+1</f>
        <v>9.7999999999999989</v>
      </c>
      <c r="AI44" s="2">
        <f>0.3+1.1+0.2+0.1+2.7+0.2+0.3+0.3+0.1+3.9</f>
        <v>9.1999999999999993</v>
      </c>
      <c r="AJ44" s="2">
        <f>1.1+0.3+0.2+2.6+0.2+0.3+0.4+0.1+4</f>
        <v>9.1999999999999993</v>
      </c>
      <c r="AK44" s="2">
        <f>1.2+0.2+0.1+2.6+0.1+0.3+0.3+4.1</f>
        <v>8.8999999999999986</v>
      </c>
      <c r="AL44" s="2">
        <f>1.3+0.2+2.7+0.2+0.3+0.4+0.1+4.6</f>
        <v>9.8000000000000007</v>
      </c>
      <c r="AM44" s="2">
        <f>1.4+0.3+0.1+3.3+0.2+0.4+0.4+0.2+4.9</f>
        <v>11.200000000000001</v>
      </c>
      <c r="AN44" s="2">
        <f>1.4+0.3+3.2+0.2+0.4+0.4+0.2+4.9</f>
        <v>11.000000000000002</v>
      </c>
      <c r="AR44" s="13"/>
      <c r="AS44" s="91"/>
      <c r="BE44" s="13"/>
      <c r="BF44" s="91"/>
      <c r="BR44" s="13"/>
      <c r="BS44" s="91"/>
      <c r="BT44" s="2">
        <v>9</v>
      </c>
      <c r="BU44" s="2">
        <v>11.5</v>
      </c>
      <c r="BV44" s="2">
        <v>3.7</v>
      </c>
      <c r="BW44" s="2">
        <v>1</v>
      </c>
      <c r="CE44" s="13"/>
      <c r="CF44" s="2">
        <f t="shared" si="66"/>
        <v>78.7</v>
      </c>
      <c r="CG44" s="2">
        <f t="shared" si="67"/>
        <v>73</v>
      </c>
      <c r="CH44" s="2">
        <f t="shared" si="68"/>
        <v>73</v>
      </c>
      <c r="CI44" s="2">
        <f t="shared" si="69"/>
        <v>80.3</v>
      </c>
      <c r="CJ44" s="2">
        <f t="shared" si="70"/>
        <v>86.2</v>
      </c>
      <c r="CK44" s="2">
        <f t="shared" si="71"/>
        <v>83.199999999999989</v>
      </c>
      <c r="CL44" s="2">
        <f t="shared" si="72"/>
        <v>86</v>
      </c>
      <c r="CM44" s="2">
        <f t="shared" si="73"/>
        <v>89.7</v>
      </c>
      <c r="CN44" s="2">
        <f t="shared" si="74"/>
        <v>90.5</v>
      </c>
      <c r="CO44" s="2">
        <f t="shared" si="75"/>
        <v>0</v>
      </c>
      <c r="CP44" s="2">
        <f t="shared" si="76"/>
        <v>0</v>
      </c>
      <c r="CQ44" s="2">
        <f t="shared" si="77"/>
        <v>0</v>
      </c>
      <c r="CR44" s="13">
        <f t="shared" si="78"/>
        <v>0</v>
      </c>
      <c r="CS44" s="2">
        <f t="shared" si="79"/>
        <v>48.2</v>
      </c>
      <c r="CT44" s="2">
        <f t="shared" si="80"/>
        <v>40.200000000000003</v>
      </c>
      <c r="CU44" s="2">
        <f t="shared" si="81"/>
        <v>40.5</v>
      </c>
      <c r="CV44" s="2">
        <f t="shared" si="82"/>
        <v>48.499999999999993</v>
      </c>
      <c r="CW44" s="2">
        <f t="shared" si="83"/>
        <v>56.800000000000004</v>
      </c>
      <c r="CX44" s="2">
        <f t="shared" si="84"/>
        <v>53.499999999999986</v>
      </c>
      <c r="CY44" s="2">
        <f t="shared" si="85"/>
        <v>57</v>
      </c>
      <c r="CZ44" s="2">
        <f t="shared" si="86"/>
        <v>64.300000000000011</v>
      </c>
      <c r="DA44" s="2">
        <f t="shared" si="87"/>
        <v>65</v>
      </c>
      <c r="DE44" s="13"/>
      <c r="DF44" s="18">
        <f t="shared" si="88"/>
        <v>0.11944091486658195</v>
      </c>
      <c r="DG44" s="18">
        <f t="shared" si="89"/>
        <v>0.11780821917808221</v>
      </c>
      <c r="DH44" s="18">
        <f t="shared" si="90"/>
        <v>0.13424657534246573</v>
      </c>
      <c r="DI44" s="18">
        <f t="shared" si="91"/>
        <v>0.11457036114570361</v>
      </c>
      <c r="DJ44" s="18">
        <f t="shared" si="92"/>
        <v>0.10672853828306263</v>
      </c>
      <c r="DK44" s="18">
        <f t="shared" si="93"/>
        <v>0.10697115384615384</v>
      </c>
      <c r="DL44" s="18">
        <f t="shared" si="94"/>
        <v>0.11395348837209303</v>
      </c>
      <c r="DM44" s="18">
        <f t="shared" si="95"/>
        <v>0.12486064659977704</v>
      </c>
      <c r="DN44" s="18">
        <f t="shared" si="96"/>
        <v>0.12154696132596687</v>
      </c>
      <c r="DR44" s="13"/>
      <c r="DS44" s="242">
        <v>93397</v>
      </c>
      <c r="DT44" s="150">
        <v>92507</v>
      </c>
      <c r="DU44" s="150">
        <v>92184</v>
      </c>
      <c r="DV44" s="150">
        <v>92763</v>
      </c>
      <c r="DW44" s="150">
        <v>94716</v>
      </c>
      <c r="DX44" s="21">
        <v>92556</v>
      </c>
      <c r="DY44" s="21">
        <v>93848</v>
      </c>
      <c r="DZ44" s="21">
        <v>94750</v>
      </c>
      <c r="EA44" s="21">
        <v>94228</v>
      </c>
      <c r="EE44" s="13"/>
      <c r="EF44" s="20"/>
      <c r="EG44" s="21"/>
      <c r="EH44" s="21"/>
      <c r="EI44" s="21"/>
      <c r="EJ44" s="21"/>
      <c r="EK44" s="21"/>
      <c r="ER44" s="13"/>
      <c r="ES44" s="242">
        <v>2132880</v>
      </c>
      <c r="ET44" s="150">
        <v>1398021</v>
      </c>
      <c r="EU44" s="150">
        <v>1311769</v>
      </c>
      <c r="EV44" s="150">
        <v>1661775</v>
      </c>
      <c r="EW44" s="150">
        <v>1670822</v>
      </c>
      <c r="EX44" s="21">
        <v>1681170</v>
      </c>
      <c r="EY44" s="21">
        <v>1847719</v>
      </c>
      <c r="FE44" s="13"/>
      <c r="FF44" s="20"/>
      <c r="FG44" s="21"/>
      <c r="FH44" s="21"/>
      <c r="FI44" s="21"/>
      <c r="FJ44" s="21"/>
      <c r="FK44" s="21"/>
      <c r="FR44" s="13"/>
    </row>
    <row r="45" spans="4:174" x14ac:dyDescent="0.25">
      <c r="E45" s="2" t="s">
        <v>234</v>
      </c>
      <c r="F45" s="91">
        <f>20.1-1.1</f>
        <v>19</v>
      </c>
      <c r="G45" s="2">
        <v>15.1</v>
      </c>
      <c r="H45" s="2">
        <v>13.5</v>
      </c>
      <c r="I45" s="2">
        <v>17.3</v>
      </c>
      <c r="J45" s="2">
        <v>16.8</v>
      </c>
      <c r="K45" s="2">
        <v>17.399999999999999</v>
      </c>
      <c r="L45" s="2">
        <v>17.7</v>
      </c>
      <c r="M45" s="2">
        <v>18.100000000000001</v>
      </c>
      <c r="N45" s="2">
        <v>17.5</v>
      </c>
      <c r="R45" s="13"/>
      <c r="S45" s="2">
        <f>56.8-2.3</f>
        <v>54.5</v>
      </c>
      <c r="T45" s="2">
        <v>51.9</v>
      </c>
      <c r="U45" s="2">
        <v>54.1</v>
      </c>
      <c r="V45" s="2">
        <v>66</v>
      </c>
      <c r="W45" s="2">
        <v>57.9</v>
      </c>
      <c r="X45" s="2">
        <v>56.5</v>
      </c>
      <c r="Y45" s="2">
        <v>58.6</v>
      </c>
      <c r="Z45" s="103">
        <v>61.1</v>
      </c>
      <c r="AA45" s="103">
        <v>62.5</v>
      </c>
      <c r="AB45" s="103"/>
      <c r="AC45" s="103"/>
      <c r="AD45" s="103"/>
      <c r="AE45" s="103"/>
      <c r="AF45" s="91">
        <f>1.4+0.1+1.5+0.2+0.2+3.2</f>
        <v>6.6000000000000005</v>
      </c>
      <c r="AG45" s="2">
        <f>0.8+0.2+1.5+0.1+0.1+0.1+0.1+2.3</f>
        <v>5.2</v>
      </c>
      <c r="AH45" s="2">
        <f>0.8+0.1+0.1+1.4+0.1+0.2+0.2+0.1+2.5+0.6</f>
        <v>6.1</v>
      </c>
      <c r="AI45" s="2">
        <f>0.2+0.7+0.2+0.1+1.4+0.1+0.2+0.2+0.1+2.5</f>
        <v>5.7</v>
      </c>
      <c r="AJ45" s="2">
        <f>0.7+0.2+0.1+1.4+0.1+0.2+0.3+2.6</f>
        <v>5.6</v>
      </c>
      <c r="AK45" s="2">
        <f>0.8+0.1+1.4+0.1+0.2+0.2+2.6</f>
        <v>5.4</v>
      </c>
      <c r="AL45" s="2">
        <f>0.8+0.1+0.1+1.4+0.1+0.2+0.2+2.6</f>
        <v>5.5</v>
      </c>
      <c r="AM45" s="2">
        <f>0.8+0.2+1.7+0.1+0.2+0.2+0.1+2.8</f>
        <v>6.1000000000000005</v>
      </c>
      <c r="AN45" s="2">
        <f>0.8+0.2+1.6+0.1+0.2+0.2+0.1+2.8</f>
        <v>6</v>
      </c>
      <c r="AR45" s="13"/>
      <c r="AS45" s="91"/>
      <c r="BE45" s="13"/>
      <c r="BF45" s="91"/>
      <c r="BR45" s="13"/>
      <c r="BS45" s="91"/>
      <c r="BT45" s="2">
        <v>4.5</v>
      </c>
      <c r="BU45" s="2">
        <v>6</v>
      </c>
      <c r="BV45" s="2">
        <v>1.7</v>
      </c>
      <c r="BW45" s="2">
        <v>0.9</v>
      </c>
      <c r="CE45" s="13"/>
      <c r="CF45" s="2">
        <f t="shared" si="66"/>
        <v>61.1</v>
      </c>
      <c r="CG45" s="2">
        <f t="shared" si="67"/>
        <v>57.1</v>
      </c>
      <c r="CH45" s="2">
        <f t="shared" si="68"/>
        <v>60.2</v>
      </c>
      <c r="CI45" s="2">
        <f t="shared" si="69"/>
        <v>71.7</v>
      </c>
      <c r="CJ45" s="2">
        <f t="shared" si="70"/>
        <v>63.5</v>
      </c>
      <c r="CK45" s="2">
        <f t="shared" si="71"/>
        <v>61.9</v>
      </c>
      <c r="CL45" s="2">
        <f t="shared" si="72"/>
        <v>64.099999999999994</v>
      </c>
      <c r="CM45" s="2">
        <f t="shared" si="73"/>
        <v>67.2</v>
      </c>
      <c r="CN45" s="2">
        <f t="shared" si="74"/>
        <v>68.5</v>
      </c>
      <c r="CO45" s="2">
        <f t="shared" si="75"/>
        <v>0</v>
      </c>
      <c r="CP45" s="2">
        <f t="shared" si="76"/>
        <v>0</v>
      </c>
      <c r="CQ45" s="2">
        <f t="shared" si="77"/>
        <v>0</v>
      </c>
      <c r="CR45" s="13">
        <f t="shared" si="78"/>
        <v>0</v>
      </c>
      <c r="CS45" s="2">
        <f t="shared" si="79"/>
        <v>42.1</v>
      </c>
      <c r="CT45" s="2">
        <f t="shared" si="80"/>
        <v>37.5</v>
      </c>
      <c r="CU45" s="2">
        <f t="shared" si="81"/>
        <v>40.700000000000003</v>
      </c>
      <c r="CV45" s="2">
        <f t="shared" si="82"/>
        <v>52.7</v>
      </c>
      <c r="CW45" s="2">
        <f t="shared" si="83"/>
        <v>45.8</v>
      </c>
      <c r="CX45" s="2">
        <f t="shared" si="84"/>
        <v>44.5</v>
      </c>
      <c r="CY45" s="2">
        <f t="shared" si="85"/>
        <v>46.399999999999991</v>
      </c>
      <c r="CZ45" s="2">
        <f t="shared" si="86"/>
        <v>49.1</v>
      </c>
      <c r="DA45" s="2">
        <f t="shared" si="87"/>
        <v>51</v>
      </c>
      <c r="DE45" s="13"/>
      <c r="DF45" s="18">
        <f t="shared" si="88"/>
        <v>0.10801963993453356</v>
      </c>
      <c r="DG45" s="18">
        <f t="shared" si="89"/>
        <v>9.106830122591944E-2</v>
      </c>
      <c r="DH45" s="18">
        <f t="shared" si="90"/>
        <v>0.10132890365448503</v>
      </c>
      <c r="DI45" s="18">
        <f t="shared" si="91"/>
        <v>7.9497907949790794E-2</v>
      </c>
      <c r="DJ45" s="18">
        <f t="shared" si="92"/>
        <v>8.8188976377952755E-2</v>
      </c>
      <c r="DK45" s="18">
        <f t="shared" si="93"/>
        <v>8.723747980613894E-2</v>
      </c>
      <c r="DL45" s="18">
        <f t="shared" si="94"/>
        <v>8.5803432137285501E-2</v>
      </c>
      <c r="DM45" s="18">
        <f t="shared" si="95"/>
        <v>9.0773809523809534E-2</v>
      </c>
      <c r="DN45" s="18">
        <f t="shared" si="96"/>
        <v>8.7591240875912413E-2</v>
      </c>
      <c r="DR45" s="13"/>
      <c r="DS45" s="242">
        <v>62664</v>
      </c>
      <c r="DT45" s="150">
        <v>59666</v>
      </c>
      <c r="DU45" s="150">
        <v>55859</v>
      </c>
      <c r="DV45" s="150">
        <v>55522</v>
      </c>
      <c r="DW45" s="150">
        <v>53174</v>
      </c>
      <c r="DX45" s="21">
        <v>51477</v>
      </c>
      <c r="DY45" s="21">
        <v>52564</v>
      </c>
      <c r="DZ45" s="21">
        <v>54360</v>
      </c>
      <c r="EA45" s="21">
        <v>54189</v>
      </c>
      <c r="EE45" s="13"/>
      <c r="EF45" s="20"/>
      <c r="EG45" s="21"/>
      <c r="EH45" s="21"/>
      <c r="EI45" s="21"/>
      <c r="EJ45" s="21"/>
      <c r="EK45" s="21"/>
      <c r="ER45" s="13"/>
      <c r="ES45" s="242">
        <v>1347730</v>
      </c>
      <c r="ET45" s="150">
        <v>880924</v>
      </c>
      <c r="EU45" s="150">
        <v>790890</v>
      </c>
      <c r="EV45" s="150">
        <v>1054202</v>
      </c>
      <c r="EW45" s="150">
        <v>1040516</v>
      </c>
      <c r="EX45" s="21">
        <v>1048253</v>
      </c>
      <c r="EY45" s="21">
        <v>1027631</v>
      </c>
      <c r="FE45" s="13"/>
      <c r="FF45" s="20"/>
      <c r="FG45" s="21"/>
      <c r="FH45" s="21"/>
      <c r="FI45" s="21"/>
      <c r="FJ45" s="21"/>
      <c r="FK45" s="21"/>
      <c r="FR45" s="13"/>
    </row>
    <row r="46" spans="4:174" x14ac:dyDescent="0.25">
      <c r="E46" s="2" t="s">
        <v>235</v>
      </c>
      <c r="F46" s="91">
        <f>5.6-0.4</f>
        <v>5.1999999999999993</v>
      </c>
      <c r="G46" s="2">
        <v>4.8</v>
      </c>
      <c r="H46" s="2">
        <v>4.4000000000000004</v>
      </c>
      <c r="I46" s="2">
        <v>5</v>
      </c>
      <c r="J46" s="2">
        <v>5.2</v>
      </c>
      <c r="K46" s="2">
        <v>5.6</v>
      </c>
      <c r="L46" s="2">
        <v>6</v>
      </c>
      <c r="M46" s="2">
        <v>6</v>
      </c>
      <c r="N46" s="2">
        <v>6.1</v>
      </c>
      <c r="R46" s="13"/>
      <c r="S46" s="2">
        <f>22.6-0.8</f>
        <v>21.8</v>
      </c>
      <c r="T46" s="2">
        <v>21.4</v>
      </c>
      <c r="U46" s="2">
        <v>22</v>
      </c>
      <c r="V46" s="2">
        <v>23.5</v>
      </c>
      <c r="W46" s="2">
        <v>23.1</v>
      </c>
      <c r="X46" s="2">
        <v>20.8</v>
      </c>
      <c r="Y46" s="2">
        <v>20</v>
      </c>
      <c r="Z46" s="103">
        <v>20.8</v>
      </c>
      <c r="AA46" s="103">
        <v>21</v>
      </c>
      <c r="AB46" s="103"/>
      <c r="AC46" s="103"/>
      <c r="AD46" s="103"/>
      <c r="AE46" s="103"/>
      <c r="AF46" s="91">
        <f>0.5+0.2+0.1+0.1+0.9</f>
        <v>1.7999999999999998</v>
      </c>
      <c r="AG46" s="2">
        <f>0.3+0.1+0.3+0.1+0.9</f>
        <v>1.7</v>
      </c>
      <c r="AH46" s="2">
        <f>0.3+0.1+0.2+0.1+0.1+1+0.5</f>
        <v>2.2999999999999998</v>
      </c>
      <c r="AI46" s="2">
        <f>0.2+0.3+0.1+0.2+0.1+0.1+1</f>
        <v>2</v>
      </c>
      <c r="AJ46" s="2">
        <f>0.3+0.1+0.3+0.1+0.1+1</f>
        <v>1.9</v>
      </c>
      <c r="AK46" s="2">
        <f>0.3+0.1+0.2+0.1+0.1+1</f>
        <v>1.8</v>
      </c>
      <c r="AL46" s="2">
        <f>0.3+0.1+0.2+0.1+0.1+1</f>
        <v>1.8</v>
      </c>
      <c r="AM46" s="2">
        <f>0.3+0.1+0.3+0.1+0.1+1.1</f>
        <v>2</v>
      </c>
      <c r="AN46" s="2">
        <f>0.3+0.1+0.3+0.1+0.1+1.1</f>
        <v>2</v>
      </c>
      <c r="AR46" s="13"/>
      <c r="AS46" s="91"/>
      <c r="BE46" s="13"/>
      <c r="BF46" s="91"/>
      <c r="BR46" s="13"/>
      <c r="BS46" s="91"/>
      <c r="BT46" s="2">
        <v>1.7</v>
      </c>
      <c r="BU46" s="2">
        <v>1</v>
      </c>
      <c r="BV46" s="2">
        <v>0.1</v>
      </c>
      <c r="BW46" s="2">
        <v>0.3</v>
      </c>
      <c r="CE46" s="13"/>
      <c r="CF46" s="2">
        <f t="shared" si="66"/>
        <v>23.6</v>
      </c>
      <c r="CG46" s="2">
        <f t="shared" si="67"/>
        <v>23.099999999999998</v>
      </c>
      <c r="CH46" s="2">
        <f t="shared" si="68"/>
        <v>24.3</v>
      </c>
      <c r="CI46" s="2">
        <f t="shared" si="69"/>
        <v>25.5</v>
      </c>
      <c r="CJ46" s="2">
        <f t="shared" si="70"/>
        <v>25</v>
      </c>
      <c r="CK46" s="2">
        <f t="shared" si="71"/>
        <v>22.6</v>
      </c>
      <c r="CL46" s="2">
        <f t="shared" si="72"/>
        <v>21.8</v>
      </c>
      <c r="CM46" s="2">
        <f t="shared" si="73"/>
        <v>22.8</v>
      </c>
      <c r="CN46" s="2">
        <f t="shared" si="74"/>
        <v>23</v>
      </c>
      <c r="CO46" s="2">
        <f t="shared" si="75"/>
        <v>0</v>
      </c>
      <c r="CP46" s="2">
        <f t="shared" si="76"/>
        <v>0</v>
      </c>
      <c r="CQ46" s="2">
        <f t="shared" si="77"/>
        <v>0</v>
      </c>
      <c r="CR46" s="13">
        <f t="shared" si="78"/>
        <v>0</v>
      </c>
      <c r="CS46" s="2">
        <f t="shared" si="79"/>
        <v>18.400000000000002</v>
      </c>
      <c r="CT46" s="2">
        <f t="shared" si="80"/>
        <v>16.599999999999998</v>
      </c>
      <c r="CU46" s="2">
        <f t="shared" si="81"/>
        <v>18.899999999999999</v>
      </c>
      <c r="CV46" s="2">
        <f t="shared" si="82"/>
        <v>20.399999999999999</v>
      </c>
      <c r="CW46" s="2">
        <f t="shared" si="83"/>
        <v>19.5</v>
      </c>
      <c r="CX46" s="2">
        <f t="shared" si="84"/>
        <v>17</v>
      </c>
      <c r="CY46" s="2">
        <f t="shared" si="85"/>
        <v>15.8</v>
      </c>
      <c r="CZ46" s="2">
        <f t="shared" si="86"/>
        <v>16.8</v>
      </c>
      <c r="DA46" s="2">
        <f t="shared" si="87"/>
        <v>16.899999999999999</v>
      </c>
      <c r="DE46" s="13"/>
      <c r="DF46" s="18">
        <f t="shared" si="88"/>
        <v>7.6271186440677957E-2</v>
      </c>
      <c r="DG46" s="18">
        <f t="shared" si="89"/>
        <v>7.3593073593073599E-2</v>
      </c>
      <c r="DH46" s="18">
        <f t="shared" si="90"/>
        <v>9.4650205761316858E-2</v>
      </c>
      <c r="DI46" s="18">
        <f t="shared" si="91"/>
        <v>7.8431372549019607E-2</v>
      </c>
      <c r="DJ46" s="18">
        <f t="shared" si="92"/>
        <v>7.5999999999999998E-2</v>
      </c>
      <c r="DK46" s="18">
        <f t="shared" si="93"/>
        <v>7.9646017699115043E-2</v>
      </c>
      <c r="DL46" s="18">
        <f t="shared" si="94"/>
        <v>8.2568807339449546E-2</v>
      </c>
      <c r="DM46" s="18">
        <f t="shared" si="95"/>
        <v>8.771929824561403E-2</v>
      </c>
      <c r="DN46" s="18">
        <f t="shared" si="96"/>
        <v>8.6956521739130432E-2</v>
      </c>
      <c r="DR46" s="13"/>
      <c r="DS46" s="242">
        <v>22850</v>
      </c>
      <c r="DT46" s="150">
        <v>22704</v>
      </c>
      <c r="DU46" s="150">
        <v>21955</v>
      </c>
      <c r="DV46" s="150">
        <v>21448</v>
      </c>
      <c r="DW46" s="150">
        <v>20469</v>
      </c>
      <c r="DX46" s="21">
        <v>20557</v>
      </c>
      <c r="DY46" s="21">
        <v>20526</v>
      </c>
      <c r="DZ46" s="21">
        <v>20715</v>
      </c>
      <c r="EA46" s="21">
        <v>20595</v>
      </c>
      <c r="EE46" s="13"/>
      <c r="EF46" s="20"/>
      <c r="EG46" s="21"/>
      <c r="EH46" s="21"/>
      <c r="EI46" s="21"/>
      <c r="EJ46" s="21"/>
      <c r="EK46" s="21"/>
      <c r="ER46" s="13"/>
      <c r="ES46" s="242">
        <v>324951</v>
      </c>
      <c r="ET46" s="150">
        <v>240639</v>
      </c>
      <c r="EU46" s="150">
        <v>207987</v>
      </c>
      <c r="EV46" s="150">
        <v>290879</v>
      </c>
      <c r="EW46" s="150">
        <v>274793</v>
      </c>
      <c r="EX46" s="21">
        <v>256807</v>
      </c>
      <c r="EY46" s="21">
        <v>253311</v>
      </c>
      <c r="FE46" s="13"/>
      <c r="FF46" s="20"/>
      <c r="FG46" s="21"/>
      <c r="FH46" s="21"/>
      <c r="FI46" s="21"/>
      <c r="FJ46" s="21"/>
      <c r="FK46" s="21"/>
      <c r="FR46" s="13"/>
    </row>
    <row r="47" spans="4:174" x14ac:dyDescent="0.25">
      <c r="E47" s="2" t="s">
        <v>236</v>
      </c>
      <c r="F47" s="91">
        <f>14.2-1</f>
        <v>13.2</v>
      </c>
      <c r="G47" s="2">
        <v>11</v>
      </c>
      <c r="H47" s="2">
        <v>10.3</v>
      </c>
      <c r="I47" s="2">
        <v>12.3</v>
      </c>
      <c r="J47" s="2">
        <v>12.5</v>
      </c>
      <c r="K47" s="2">
        <v>13.2</v>
      </c>
      <c r="L47" s="2">
        <v>13.3</v>
      </c>
      <c r="M47" s="2">
        <v>13.5</v>
      </c>
      <c r="N47" s="2">
        <v>13</v>
      </c>
      <c r="R47" s="13"/>
      <c r="S47" s="2">
        <f>37.3-1.8</f>
        <v>35.5</v>
      </c>
      <c r="T47" s="2">
        <v>36.200000000000003</v>
      </c>
      <c r="U47" s="2">
        <v>35.200000000000003</v>
      </c>
      <c r="V47" s="2">
        <v>39</v>
      </c>
      <c r="W47" s="2">
        <v>39.799999999999997</v>
      </c>
      <c r="X47" s="2">
        <v>36.299999999999997</v>
      </c>
      <c r="Y47" s="2">
        <v>33.799999999999997</v>
      </c>
      <c r="Z47" s="103">
        <v>34.9</v>
      </c>
      <c r="AA47" s="103">
        <v>35.4</v>
      </c>
      <c r="AB47" s="103"/>
      <c r="AC47" s="103"/>
      <c r="AD47" s="103"/>
      <c r="AE47" s="103"/>
      <c r="AF47" s="91">
        <f>0.9+0.1+0.8+0.1+0.2+1.5</f>
        <v>3.6</v>
      </c>
      <c r="AG47" s="2">
        <f>0.6+0.1+0.8+0.1+0.1+0.1+1.6</f>
        <v>3.4000000000000004</v>
      </c>
      <c r="AH47" s="2">
        <f>0.5+0.1+0.1+0.7+0.2+0.1+0.1+1.7+0.5</f>
        <v>4</v>
      </c>
      <c r="AI47" s="2">
        <f>0.2+0.5+0.1+0.1+0.7+0.1+0.1+0.1+0.1+1.8</f>
        <v>3.8</v>
      </c>
      <c r="AJ47" s="2">
        <f>0.5+0.1+0.1+0.7+0.1+0.1+0.2+1.9</f>
        <v>3.7</v>
      </c>
      <c r="AK47" s="2">
        <f>0.5+0.1+0.1+0.7+0.1+0.1+0.1+1.8</f>
        <v>3.5</v>
      </c>
      <c r="AL47" s="2">
        <f>0.6+0.1+0.8+0.1+0.1+0.2+2</f>
        <v>3.9000000000000004</v>
      </c>
      <c r="AM47" s="2">
        <f>0.6+0.1+1+0.1+0.2+0.2+2.2</f>
        <v>4.4000000000000004</v>
      </c>
      <c r="AN47" s="2">
        <f>0.6+0.1+0.9+0.1+0.2+0.2+0.1+2.1</f>
        <v>4.3000000000000007</v>
      </c>
      <c r="AR47" s="13"/>
      <c r="AS47" s="91"/>
      <c r="BE47" s="13"/>
      <c r="BF47" s="91"/>
      <c r="BR47" s="13"/>
      <c r="BS47" s="91"/>
      <c r="BT47" s="2">
        <v>2.5</v>
      </c>
      <c r="BU47" s="2">
        <v>2.2999999999999998</v>
      </c>
      <c r="BV47" s="2">
        <v>0.5</v>
      </c>
      <c r="BW47" s="2">
        <v>0.6</v>
      </c>
      <c r="CE47" s="13"/>
      <c r="CF47" s="2">
        <f t="shared" si="66"/>
        <v>39.1</v>
      </c>
      <c r="CG47" s="2">
        <f t="shared" si="67"/>
        <v>39.6</v>
      </c>
      <c r="CH47" s="2">
        <f t="shared" si="68"/>
        <v>39.200000000000003</v>
      </c>
      <c r="CI47" s="2">
        <f t="shared" si="69"/>
        <v>42.8</v>
      </c>
      <c r="CJ47" s="2">
        <f t="shared" si="70"/>
        <v>43.5</v>
      </c>
      <c r="CK47" s="2">
        <f t="shared" si="71"/>
        <v>39.799999999999997</v>
      </c>
      <c r="CL47" s="2">
        <f t="shared" si="72"/>
        <v>37.699999999999996</v>
      </c>
      <c r="CM47" s="2">
        <f t="shared" si="73"/>
        <v>39.299999999999997</v>
      </c>
      <c r="CN47" s="2">
        <f t="shared" si="74"/>
        <v>39.700000000000003</v>
      </c>
      <c r="CO47" s="2">
        <f t="shared" si="75"/>
        <v>0</v>
      </c>
      <c r="CP47" s="2">
        <f t="shared" si="76"/>
        <v>0</v>
      </c>
      <c r="CQ47" s="2">
        <f t="shared" si="77"/>
        <v>0</v>
      </c>
      <c r="CR47" s="13">
        <f t="shared" si="78"/>
        <v>0</v>
      </c>
      <c r="CS47" s="2">
        <f t="shared" si="79"/>
        <v>25.900000000000002</v>
      </c>
      <c r="CT47" s="2">
        <f t="shared" si="80"/>
        <v>26.1</v>
      </c>
      <c r="CU47" s="2">
        <f t="shared" si="81"/>
        <v>26.600000000000005</v>
      </c>
      <c r="CV47" s="2">
        <f t="shared" si="82"/>
        <v>29.999999999999996</v>
      </c>
      <c r="CW47" s="2">
        <f t="shared" si="83"/>
        <v>30.4</v>
      </c>
      <c r="CX47" s="2">
        <f t="shared" si="84"/>
        <v>26.599999999999998</v>
      </c>
      <c r="CY47" s="2">
        <f t="shared" si="85"/>
        <v>24.399999999999995</v>
      </c>
      <c r="CZ47" s="2">
        <f t="shared" si="86"/>
        <v>25.799999999999997</v>
      </c>
      <c r="DA47" s="2">
        <f t="shared" si="87"/>
        <v>26.700000000000003</v>
      </c>
      <c r="DE47" s="13"/>
      <c r="DF47" s="18">
        <f t="shared" si="88"/>
        <v>9.2071611253196933E-2</v>
      </c>
      <c r="DG47" s="18">
        <f t="shared" si="89"/>
        <v>8.585858585858587E-2</v>
      </c>
      <c r="DH47" s="18">
        <f t="shared" si="90"/>
        <v>0.1020408163265306</v>
      </c>
      <c r="DI47" s="18">
        <f t="shared" si="91"/>
        <v>8.8785046728971959E-2</v>
      </c>
      <c r="DJ47" s="18">
        <f t="shared" si="92"/>
        <v>8.5057471264367815E-2</v>
      </c>
      <c r="DK47" s="18">
        <f t="shared" si="93"/>
        <v>8.7939698492462318E-2</v>
      </c>
      <c r="DL47" s="18">
        <f t="shared" si="94"/>
        <v>0.10344827586206899</v>
      </c>
      <c r="DM47" s="18">
        <f t="shared" si="95"/>
        <v>0.11195928753180663</v>
      </c>
      <c r="DN47" s="18">
        <f t="shared" si="96"/>
        <v>0.10831234256926953</v>
      </c>
      <c r="DR47" s="13"/>
      <c r="DS47" s="242">
        <v>42479</v>
      </c>
      <c r="DT47" s="150">
        <v>44198</v>
      </c>
      <c r="DU47" s="150">
        <v>40370</v>
      </c>
      <c r="DV47" s="150">
        <v>40460</v>
      </c>
      <c r="DW47" s="150">
        <v>40096</v>
      </c>
      <c r="DX47" s="21">
        <v>40372</v>
      </c>
      <c r="DY47" s="21">
        <v>39990</v>
      </c>
      <c r="DZ47" s="21">
        <v>40240</v>
      </c>
      <c r="EA47" s="21">
        <v>40269</v>
      </c>
      <c r="EE47" s="13"/>
      <c r="EF47" s="20"/>
      <c r="EG47" s="21"/>
      <c r="EH47" s="21"/>
      <c r="EI47" s="21"/>
      <c r="EJ47" s="21"/>
      <c r="EK47" s="21"/>
      <c r="ER47" s="13"/>
      <c r="ES47" s="242">
        <v>904679</v>
      </c>
      <c r="ET47" s="150">
        <v>595405</v>
      </c>
      <c r="EU47" s="150">
        <v>499209</v>
      </c>
      <c r="EV47" s="150">
        <v>692282</v>
      </c>
      <c r="EW47" s="150">
        <v>704619</v>
      </c>
      <c r="EX47" s="21">
        <v>734079</v>
      </c>
      <c r="EY47" s="21">
        <v>695509</v>
      </c>
      <c r="FE47" s="13"/>
      <c r="FF47" s="20"/>
      <c r="FG47" s="21"/>
      <c r="FH47" s="21"/>
      <c r="FI47" s="21"/>
      <c r="FJ47" s="21"/>
      <c r="FK47" s="21"/>
      <c r="FR47" s="13"/>
    </row>
    <row r="48" spans="4:174" x14ac:dyDescent="0.25">
      <c r="F48" s="91"/>
      <c r="M48" s="103"/>
      <c r="N48" s="103"/>
      <c r="O48" s="103"/>
      <c r="P48" s="103"/>
      <c r="Q48" s="103"/>
      <c r="R48" s="104"/>
      <c r="Z48" s="103"/>
      <c r="AA48" s="103"/>
      <c r="AB48" s="103"/>
      <c r="AC48" s="103"/>
      <c r="AD48" s="103"/>
      <c r="AE48" s="103"/>
      <c r="AF48" s="91"/>
      <c r="AR48" s="13"/>
      <c r="AS48" s="91"/>
      <c r="BE48" s="13"/>
      <c r="BF48" s="91"/>
      <c r="BR48" s="13"/>
      <c r="BS48" s="91"/>
      <c r="CE48" s="13"/>
      <c r="CF48" s="91"/>
      <c r="CR48" s="13"/>
      <c r="CS48" s="91"/>
      <c r="DE48" s="13"/>
      <c r="DF48" s="91"/>
      <c r="DR48" s="13"/>
      <c r="DS48" s="20"/>
      <c r="DT48" s="21"/>
      <c r="DU48" s="21"/>
      <c r="DV48" s="21"/>
      <c r="DW48" s="21"/>
      <c r="DX48" s="21"/>
      <c r="DY48" s="21"/>
      <c r="EE48" s="13"/>
      <c r="EF48" s="20"/>
      <c r="EG48" s="21"/>
      <c r="EH48" s="21"/>
      <c r="EI48" s="21"/>
      <c r="EJ48" s="21"/>
      <c r="EK48" s="21"/>
      <c r="ER48" s="13"/>
      <c r="ES48" s="20"/>
      <c r="ET48" s="21"/>
      <c r="EU48" s="21"/>
      <c r="EV48" s="21"/>
      <c r="EW48" s="21"/>
      <c r="EX48" s="21"/>
      <c r="FE48" s="13"/>
      <c r="FF48" s="20"/>
      <c r="FG48" s="21"/>
      <c r="FH48" s="21"/>
      <c r="FI48" s="21"/>
      <c r="FJ48" s="21"/>
      <c r="FK48" s="21"/>
      <c r="FR48" s="13"/>
    </row>
    <row r="49" spans="1:174" x14ac:dyDescent="0.25">
      <c r="F49" s="91"/>
      <c r="M49" s="103"/>
      <c r="N49" s="103"/>
      <c r="O49" s="103"/>
      <c r="P49" s="103"/>
      <c r="Q49" s="103"/>
      <c r="R49" s="104"/>
      <c r="Z49" s="103"/>
      <c r="AA49" s="103"/>
      <c r="AB49" s="103"/>
      <c r="AC49" s="103"/>
      <c r="AD49" s="103"/>
      <c r="AE49" s="103"/>
      <c r="AF49" s="91"/>
      <c r="AR49" s="13"/>
      <c r="AS49" s="91"/>
      <c r="BE49" s="13"/>
      <c r="BF49" s="91"/>
      <c r="BR49" s="13"/>
      <c r="BS49" s="91"/>
      <c r="CE49" s="13"/>
      <c r="CF49" s="91"/>
      <c r="CR49" s="13"/>
      <c r="CS49" s="91"/>
      <c r="DE49" s="13"/>
      <c r="DF49" s="91"/>
      <c r="DR49" s="13"/>
      <c r="DS49" s="20"/>
      <c r="DT49" s="21"/>
      <c r="DU49" s="21"/>
      <c r="DV49" s="21"/>
      <c r="DW49" s="21"/>
      <c r="DX49" s="21"/>
      <c r="DY49" s="21"/>
      <c r="EE49" s="13"/>
      <c r="EF49" s="20"/>
      <c r="EG49" s="21"/>
      <c r="EH49" s="21"/>
      <c r="EI49" s="21"/>
      <c r="EJ49" s="21"/>
      <c r="EK49" s="21"/>
      <c r="ER49" s="13"/>
      <c r="ES49" s="20"/>
      <c r="ET49" s="21"/>
      <c r="EU49" s="21"/>
      <c r="EV49" s="21"/>
      <c r="EW49" s="21"/>
      <c r="EX49" s="21"/>
      <c r="FE49" s="13"/>
      <c r="FF49" s="20"/>
      <c r="FG49" s="21"/>
      <c r="FH49" s="21"/>
      <c r="FI49" s="21"/>
      <c r="FJ49" s="21"/>
      <c r="FK49" s="21"/>
      <c r="FR49" s="13"/>
    </row>
    <row r="50" spans="1:174" x14ac:dyDescent="0.25">
      <c r="F50" s="91"/>
      <c r="M50" s="103"/>
      <c r="N50" s="103"/>
      <c r="O50" s="103"/>
      <c r="P50" s="103"/>
      <c r="Q50" s="103"/>
      <c r="R50" s="104"/>
      <c r="Z50" s="103"/>
      <c r="AA50" s="103"/>
      <c r="AB50" s="103"/>
      <c r="AC50" s="103"/>
      <c r="AD50" s="103"/>
      <c r="AE50" s="103"/>
      <c r="AF50" s="91"/>
      <c r="AR50" s="13"/>
      <c r="AS50" s="91"/>
      <c r="BE50" s="13"/>
      <c r="BF50" s="91"/>
      <c r="BR50" s="13"/>
      <c r="BS50" s="91"/>
      <c r="CE50" s="13"/>
      <c r="CF50" s="91"/>
      <c r="CR50" s="13"/>
      <c r="CS50" s="91"/>
      <c r="DE50" s="13"/>
      <c r="DF50" s="91"/>
      <c r="DR50" s="13"/>
      <c r="DS50" s="20"/>
      <c r="DT50" s="21"/>
      <c r="DU50" s="21"/>
      <c r="DV50" s="21"/>
      <c r="DW50" s="21"/>
      <c r="DX50" s="21"/>
      <c r="DY50" s="21"/>
      <c r="EE50" s="13"/>
      <c r="EF50" s="20"/>
      <c r="EG50" s="21"/>
      <c r="EH50" s="21"/>
      <c r="EI50" s="21"/>
      <c r="EJ50" s="21"/>
      <c r="EK50" s="21"/>
      <c r="ER50" s="13"/>
      <c r="ES50" s="20"/>
      <c r="ET50" s="21"/>
      <c r="EU50" s="21"/>
      <c r="EV50" s="21"/>
      <c r="EW50" s="21"/>
      <c r="EX50" s="21"/>
      <c r="FE50" s="13"/>
      <c r="FF50" s="20"/>
      <c r="FG50" s="21"/>
      <c r="FH50" s="21"/>
      <c r="FI50" s="21"/>
      <c r="FJ50" s="21"/>
      <c r="FK50" s="21"/>
      <c r="FR50" s="13"/>
    </row>
    <row r="51" spans="1:174" x14ac:dyDescent="0.25">
      <c r="F51" s="91"/>
      <c r="M51" s="103"/>
      <c r="N51" s="103"/>
      <c r="O51" s="103"/>
      <c r="P51" s="103"/>
      <c r="Q51" s="103"/>
      <c r="R51" s="104"/>
      <c r="Z51" s="103"/>
      <c r="AA51" s="103"/>
      <c r="AB51" s="103"/>
      <c r="AC51" s="103"/>
      <c r="AD51" s="103"/>
      <c r="AE51" s="103"/>
      <c r="AF51" s="91"/>
      <c r="AR51" s="13"/>
      <c r="AS51" s="91"/>
      <c r="BE51" s="13"/>
      <c r="BF51" s="91"/>
      <c r="BR51" s="13"/>
      <c r="BS51" s="91"/>
      <c r="CE51" s="13"/>
      <c r="CF51" s="91"/>
      <c r="CR51" s="13"/>
      <c r="CS51" s="91"/>
      <c r="DE51" s="13"/>
      <c r="DF51" s="91"/>
      <c r="DR51" s="13"/>
      <c r="DS51" s="20"/>
      <c r="DT51" s="21"/>
      <c r="DU51" s="21"/>
      <c r="DV51" s="21"/>
      <c r="DW51" s="21"/>
      <c r="DX51" s="21"/>
      <c r="DY51" s="21"/>
      <c r="EE51" s="13"/>
      <c r="EF51" s="20"/>
      <c r="EG51" s="21"/>
      <c r="EH51" s="21"/>
      <c r="EI51" s="21"/>
      <c r="EJ51" s="21"/>
      <c r="EK51" s="21"/>
      <c r="ER51" s="13"/>
      <c r="ES51" s="20"/>
      <c r="ET51" s="21"/>
      <c r="EU51" s="21"/>
      <c r="EV51" s="21"/>
      <c r="EW51" s="21"/>
      <c r="EX51" s="21"/>
      <c r="FE51" s="13"/>
      <c r="FF51" s="20"/>
      <c r="FG51" s="21"/>
      <c r="FH51" s="21"/>
      <c r="FI51" s="21"/>
      <c r="FJ51" s="21"/>
      <c r="FK51" s="21"/>
      <c r="FR51" s="13"/>
    </row>
    <row r="52" spans="1:174" x14ac:dyDescent="0.25">
      <c r="F52" s="91"/>
      <c r="M52" s="103"/>
      <c r="N52" s="103"/>
      <c r="O52" s="103"/>
      <c r="P52" s="103"/>
      <c r="Q52" s="103"/>
      <c r="R52" s="104"/>
      <c r="Z52" s="103"/>
      <c r="AA52" s="103"/>
      <c r="AB52" s="103"/>
      <c r="AC52" s="103"/>
      <c r="AD52" s="103"/>
      <c r="AE52" s="103"/>
      <c r="AF52" s="91"/>
      <c r="AR52" s="13"/>
      <c r="AS52" s="91"/>
      <c r="BE52" s="13"/>
      <c r="BF52" s="91"/>
      <c r="BR52" s="13"/>
      <c r="BS52" s="91"/>
      <c r="CE52" s="13"/>
      <c r="CF52" s="91"/>
      <c r="CR52" s="13"/>
      <c r="CS52" s="91"/>
      <c r="DE52" s="13"/>
      <c r="DF52" s="91"/>
      <c r="DR52" s="13"/>
      <c r="DS52" s="20"/>
      <c r="DT52" s="21"/>
      <c r="DU52" s="21"/>
      <c r="DV52" s="21"/>
      <c r="DW52" s="21"/>
      <c r="DX52" s="21"/>
      <c r="DY52" s="21"/>
      <c r="EE52" s="13"/>
      <c r="EF52" s="20"/>
      <c r="EG52" s="21"/>
      <c r="EH52" s="21"/>
      <c r="EI52" s="21"/>
      <c r="EJ52" s="21"/>
      <c r="EK52" s="21"/>
      <c r="ER52" s="13"/>
      <c r="ES52" s="20"/>
      <c r="ET52" s="21"/>
      <c r="EU52" s="21"/>
      <c r="EV52" s="21"/>
      <c r="EW52" s="21"/>
      <c r="EX52" s="21"/>
      <c r="FE52" s="13"/>
      <c r="FF52" s="20"/>
      <c r="FG52" s="21"/>
      <c r="FH52" s="21"/>
      <c r="FI52" s="21"/>
      <c r="FJ52" s="21"/>
      <c r="FK52" s="21"/>
      <c r="FR52" s="13"/>
    </row>
    <row r="53" spans="1:174" x14ac:dyDescent="0.25">
      <c r="F53" s="91"/>
      <c r="M53" s="103"/>
      <c r="N53" s="103"/>
      <c r="O53" s="103"/>
      <c r="P53" s="103"/>
      <c r="Q53" s="103"/>
      <c r="R53" s="104"/>
      <c r="Z53" s="103"/>
      <c r="AA53" s="103"/>
      <c r="AB53" s="103"/>
      <c r="AC53" s="103"/>
      <c r="AD53" s="103"/>
      <c r="AE53" s="103"/>
      <c r="AF53" s="91"/>
      <c r="AR53" s="13"/>
      <c r="AS53" s="91"/>
      <c r="BE53" s="13"/>
      <c r="BF53" s="91"/>
      <c r="BR53" s="13"/>
      <c r="BS53" s="91"/>
      <c r="CE53" s="13"/>
      <c r="CF53" s="91"/>
      <c r="CR53" s="13"/>
      <c r="CS53" s="91"/>
      <c r="DE53" s="13"/>
      <c r="DF53" s="91"/>
      <c r="DR53" s="13"/>
      <c r="DS53" s="20"/>
      <c r="DT53" s="21"/>
      <c r="DU53" s="21"/>
      <c r="DV53" s="21"/>
      <c r="DW53" s="21"/>
      <c r="DX53" s="21"/>
      <c r="DY53" s="21"/>
      <c r="EE53" s="13"/>
      <c r="EF53" s="20"/>
      <c r="EG53" s="21"/>
      <c r="EH53" s="21"/>
      <c r="EI53" s="21"/>
      <c r="EJ53" s="21"/>
      <c r="EK53" s="21"/>
      <c r="ER53" s="13"/>
      <c r="ES53" s="20"/>
      <c r="ET53" s="21"/>
      <c r="EU53" s="21"/>
      <c r="EV53" s="21"/>
      <c r="EW53" s="21"/>
      <c r="EX53" s="21"/>
      <c r="FE53" s="13"/>
      <c r="FF53" s="20"/>
      <c r="FG53" s="21"/>
      <c r="FH53" s="21"/>
      <c r="FI53" s="21"/>
      <c r="FJ53" s="21"/>
      <c r="FK53" s="21"/>
      <c r="FR53" s="13"/>
    </row>
    <row r="54" spans="1:174" x14ac:dyDescent="0.25">
      <c r="F54" s="91"/>
      <c r="M54" s="103"/>
      <c r="N54" s="103"/>
      <c r="O54" s="103"/>
      <c r="P54" s="103"/>
      <c r="Q54" s="103"/>
      <c r="R54" s="104"/>
      <c r="Z54" s="103"/>
      <c r="AA54" s="103"/>
      <c r="AB54" s="103"/>
      <c r="AC54" s="103"/>
      <c r="AD54" s="103"/>
      <c r="AE54" s="103"/>
      <c r="AF54" s="91"/>
      <c r="AR54" s="13"/>
      <c r="AS54" s="91"/>
      <c r="BE54" s="13"/>
      <c r="BF54" s="91"/>
      <c r="BR54" s="13"/>
      <c r="BS54" s="91"/>
      <c r="CE54" s="13"/>
      <c r="CF54" s="91"/>
      <c r="CR54" s="13"/>
      <c r="CS54" s="91"/>
      <c r="DE54" s="13"/>
      <c r="DF54" s="91"/>
      <c r="DR54" s="13"/>
      <c r="DS54" s="20"/>
      <c r="DT54" s="21"/>
      <c r="DU54" s="21"/>
      <c r="DV54" s="21"/>
      <c r="DW54" s="21"/>
      <c r="DX54" s="21"/>
      <c r="DY54" s="21"/>
      <c r="EE54" s="13"/>
      <c r="EF54" s="20"/>
      <c r="EG54" s="21"/>
      <c r="EH54" s="21"/>
      <c r="EI54" s="21"/>
      <c r="EJ54" s="21"/>
      <c r="EK54" s="21"/>
      <c r="ER54" s="13"/>
      <c r="ES54" s="20"/>
      <c r="ET54" s="21"/>
      <c r="EU54" s="21"/>
      <c r="EV54" s="21"/>
      <c r="EW54" s="21"/>
      <c r="EX54" s="21"/>
      <c r="FE54" s="13"/>
      <c r="FF54" s="20"/>
      <c r="FG54" s="21"/>
      <c r="FH54" s="21"/>
      <c r="FI54" s="21"/>
      <c r="FJ54" s="21"/>
      <c r="FK54" s="21"/>
      <c r="FR54" s="13"/>
    </row>
    <row r="55" spans="1:174" x14ac:dyDescent="0.25">
      <c r="F55" s="91"/>
      <c r="R55" s="13"/>
      <c r="AF55" s="91"/>
      <c r="AR55" s="13"/>
      <c r="AS55" s="91"/>
      <c r="BE55" s="13"/>
      <c r="BF55" s="91"/>
      <c r="BR55" s="13"/>
      <c r="BS55" s="91"/>
      <c r="CE55" s="13"/>
      <c r="CF55" s="91"/>
      <c r="CR55" s="13"/>
      <c r="CS55" s="91"/>
      <c r="DE55" s="13"/>
      <c r="DF55" s="91"/>
      <c r="DR55" s="13"/>
      <c r="DS55" s="20"/>
      <c r="DT55" s="21"/>
      <c r="DU55" s="21"/>
      <c r="DV55" s="21"/>
      <c r="DW55" s="21"/>
      <c r="DX55" s="21"/>
      <c r="DY55" s="21"/>
      <c r="EE55" s="13"/>
      <c r="EF55" s="20"/>
      <c r="EG55" s="21"/>
      <c r="EH55" s="21"/>
      <c r="EI55" s="21"/>
      <c r="EJ55" s="21"/>
      <c r="EK55" s="21"/>
      <c r="ER55" s="13"/>
      <c r="ES55" s="20"/>
      <c r="ET55" s="21"/>
      <c r="EU55" s="21"/>
      <c r="EV55" s="21"/>
      <c r="EW55" s="21"/>
      <c r="EX55" s="21"/>
      <c r="FE55" s="13"/>
      <c r="FF55" s="20"/>
      <c r="FG55" s="21"/>
      <c r="FH55" s="21"/>
      <c r="FI55" s="21"/>
      <c r="FJ55" s="21"/>
      <c r="FK55" s="21"/>
      <c r="FR55" s="13"/>
    </row>
    <row r="56" spans="1:174" s="4" customFormat="1" ht="18.75" customHeight="1" x14ac:dyDescent="0.3">
      <c r="B56" s="109"/>
      <c r="D56" s="92"/>
      <c r="E56" s="105" t="s">
        <v>55</v>
      </c>
      <c r="F56" s="110">
        <f t="shared" ref="F56:R56" si="97">SUM(F57:F75)</f>
        <v>0</v>
      </c>
      <c r="G56" s="111">
        <f t="shared" si="97"/>
        <v>0</v>
      </c>
      <c r="H56" s="111">
        <f t="shared" si="97"/>
        <v>0</v>
      </c>
      <c r="I56" s="111">
        <f t="shared" si="97"/>
        <v>0</v>
      </c>
      <c r="J56" s="111">
        <f t="shared" si="97"/>
        <v>0</v>
      </c>
      <c r="K56" s="111">
        <f t="shared" si="97"/>
        <v>0</v>
      </c>
      <c r="L56" s="111">
        <f t="shared" si="97"/>
        <v>0</v>
      </c>
      <c r="M56" s="111">
        <f t="shared" si="97"/>
        <v>0</v>
      </c>
      <c r="N56" s="111">
        <f t="shared" si="97"/>
        <v>0</v>
      </c>
      <c r="O56" s="111">
        <f t="shared" si="97"/>
        <v>0</v>
      </c>
      <c r="P56" s="111">
        <f t="shared" si="97"/>
        <v>0</v>
      </c>
      <c r="Q56" s="111">
        <f t="shared" si="97"/>
        <v>0</v>
      </c>
      <c r="R56" s="112">
        <f t="shared" si="97"/>
        <v>0</v>
      </c>
      <c r="S56" s="95">
        <f t="shared" ref="S56:AE56" si="98">SUM(S57:S76)</f>
        <v>0</v>
      </c>
      <c r="T56" s="95">
        <f t="shared" si="98"/>
        <v>0</v>
      </c>
      <c r="U56" s="95">
        <f t="shared" si="98"/>
        <v>0</v>
      </c>
      <c r="V56" s="95">
        <f t="shared" si="98"/>
        <v>0</v>
      </c>
      <c r="W56" s="95">
        <f t="shared" si="98"/>
        <v>0</v>
      </c>
      <c r="X56" s="95">
        <f t="shared" si="98"/>
        <v>0</v>
      </c>
      <c r="Y56" s="95">
        <f t="shared" si="98"/>
        <v>0</v>
      </c>
      <c r="Z56" s="95">
        <f t="shared" si="98"/>
        <v>0</v>
      </c>
      <c r="AA56" s="95">
        <f t="shared" si="98"/>
        <v>0</v>
      </c>
      <c r="AB56" s="95">
        <f t="shared" si="98"/>
        <v>0</v>
      </c>
      <c r="AC56" s="95">
        <f t="shared" si="98"/>
        <v>0</v>
      </c>
      <c r="AD56" s="95">
        <f t="shared" si="98"/>
        <v>0</v>
      </c>
      <c r="AE56" s="95">
        <f t="shared" si="98"/>
        <v>0</v>
      </c>
      <c r="AF56" s="94">
        <f>SUM(AF57:AF68)</f>
        <v>0</v>
      </c>
      <c r="AG56" s="95">
        <v>0</v>
      </c>
      <c r="AH56" s="95">
        <v>0</v>
      </c>
      <c r="AI56" s="95">
        <v>0</v>
      </c>
      <c r="AJ56" s="95">
        <v>0</v>
      </c>
      <c r="AK56" s="95">
        <v>0</v>
      </c>
      <c r="AL56" s="95">
        <f t="shared" ref="AL56:AR56" si="99">SUM(AL57:AL76)</f>
        <v>0</v>
      </c>
      <c r="AM56" s="95">
        <f t="shared" si="99"/>
        <v>0</v>
      </c>
      <c r="AN56" s="95">
        <f t="shared" si="99"/>
        <v>0</v>
      </c>
      <c r="AO56" s="95">
        <f t="shared" si="99"/>
        <v>0</v>
      </c>
      <c r="AP56" s="95">
        <f t="shared" si="99"/>
        <v>0</v>
      </c>
      <c r="AQ56" s="95">
        <f t="shared" si="99"/>
        <v>0</v>
      </c>
      <c r="AR56" s="96">
        <f t="shared" si="99"/>
        <v>0</v>
      </c>
      <c r="AS56" s="94">
        <f t="shared" ref="AS56:BE56" si="100">SUM(AS57:AS75)</f>
        <v>0</v>
      </c>
      <c r="AT56" s="95">
        <f t="shared" si="100"/>
        <v>0</v>
      </c>
      <c r="AU56" s="95">
        <f t="shared" si="100"/>
        <v>0</v>
      </c>
      <c r="AV56" s="95">
        <f t="shared" si="100"/>
        <v>0</v>
      </c>
      <c r="AW56" s="95">
        <f t="shared" si="100"/>
        <v>0</v>
      </c>
      <c r="AX56" s="95">
        <f t="shared" si="100"/>
        <v>0</v>
      </c>
      <c r="AY56" s="95">
        <f t="shared" si="100"/>
        <v>0</v>
      </c>
      <c r="AZ56" s="95">
        <f t="shared" si="100"/>
        <v>0</v>
      </c>
      <c r="BA56" s="95">
        <f t="shared" si="100"/>
        <v>0</v>
      </c>
      <c r="BB56" s="95">
        <f t="shared" si="100"/>
        <v>0</v>
      </c>
      <c r="BC56" s="95">
        <f t="shared" si="100"/>
        <v>0</v>
      </c>
      <c r="BD56" s="95">
        <f t="shared" si="100"/>
        <v>0</v>
      </c>
      <c r="BE56" s="96">
        <f t="shared" si="100"/>
        <v>0</v>
      </c>
      <c r="BF56" s="94">
        <v>0.3</v>
      </c>
      <c r="BG56" s="95">
        <v>0.7</v>
      </c>
      <c r="BH56" s="95">
        <v>0.2</v>
      </c>
      <c r="BI56" s="95">
        <v>0.8</v>
      </c>
      <c r="BJ56" s="95">
        <v>-1.3</v>
      </c>
      <c r="BK56" s="95">
        <v>-2.1</v>
      </c>
      <c r="BL56" s="95">
        <v>0</v>
      </c>
      <c r="BM56" s="95">
        <v>-1.22</v>
      </c>
      <c r="BN56" s="95">
        <v>-1.4</v>
      </c>
      <c r="BO56" s="95"/>
      <c r="BP56" s="95"/>
      <c r="BQ56" s="95"/>
      <c r="BR56" s="96"/>
      <c r="BS56" s="99">
        <v>0</v>
      </c>
      <c r="BT56" s="97">
        <v>0</v>
      </c>
      <c r="BU56" s="97">
        <v>0</v>
      </c>
      <c r="BV56" s="97">
        <v>0</v>
      </c>
      <c r="BW56" s="97">
        <v>9.1999999999999993</v>
      </c>
      <c r="BX56" s="97">
        <v>0.2</v>
      </c>
      <c r="BY56" s="97"/>
      <c r="BZ56" s="97"/>
      <c r="CA56" s="97"/>
      <c r="CB56" s="97"/>
      <c r="CC56" s="97"/>
      <c r="CD56" s="97"/>
      <c r="CE56" s="100"/>
      <c r="CF56" s="93"/>
      <c r="CG56" s="95"/>
      <c r="CH56" s="95"/>
      <c r="CI56" s="95"/>
      <c r="CJ56" s="95"/>
      <c r="CK56" s="95"/>
      <c r="CL56" s="95"/>
      <c r="CM56" s="95"/>
      <c r="CN56" s="95"/>
      <c r="CO56" s="95"/>
      <c r="CP56" s="95"/>
      <c r="CQ56" s="95"/>
      <c r="CR56" s="96"/>
      <c r="CS56" s="93"/>
      <c r="CT56" s="95"/>
      <c r="CU56" s="95"/>
      <c r="CV56" s="95"/>
      <c r="CW56" s="95"/>
      <c r="CX56" s="95"/>
      <c r="CY56" s="95"/>
      <c r="CZ56" s="95"/>
      <c r="DA56" s="95"/>
      <c r="DB56" s="95"/>
      <c r="DC56" s="95"/>
      <c r="DD56" s="95"/>
      <c r="DE56" s="96"/>
      <c r="DF56" s="93"/>
      <c r="DG56" s="95"/>
      <c r="DH56" s="95"/>
      <c r="DI56" s="95"/>
      <c r="DJ56" s="95"/>
      <c r="DK56" s="95"/>
      <c r="DL56" s="95"/>
      <c r="DM56" s="95"/>
      <c r="DN56" s="95"/>
      <c r="DO56" s="95"/>
      <c r="DP56" s="95"/>
      <c r="DQ56" s="95"/>
      <c r="DR56" s="96"/>
      <c r="DS56" s="99"/>
      <c r="DT56" s="97"/>
      <c r="DU56" s="97"/>
      <c r="DV56" s="97"/>
      <c r="DW56" s="97"/>
      <c r="DX56" s="97"/>
      <c r="DY56" s="97"/>
      <c r="DZ56" s="97"/>
      <c r="EA56" s="97"/>
      <c r="EB56" s="97"/>
      <c r="EC56" s="97"/>
      <c r="ED56" s="97"/>
      <c r="EE56" s="100"/>
      <c r="EF56" s="99"/>
      <c r="EG56" s="97"/>
      <c r="EH56" s="97"/>
      <c r="EI56" s="97"/>
      <c r="EJ56" s="97"/>
      <c r="EK56" s="97"/>
      <c r="EL56" s="97"/>
      <c r="EM56" s="97"/>
      <c r="EN56" s="97"/>
      <c r="EO56" s="97"/>
      <c r="EP56" s="97"/>
      <c r="EQ56" s="97"/>
      <c r="ER56" s="100"/>
      <c r="ES56" s="99"/>
      <c r="ET56" s="97"/>
      <c r="EU56" s="97"/>
      <c r="EV56" s="97"/>
      <c r="EW56" s="97"/>
      <c r="EX56" s="97"/>
      <c r="EY56" s="97"/>
      <c r="EZ56" s="97"/>
      <c r="FA56" s="97"/>
      <c r="FB56" s="97"/>
      <c r="FC56" s="97"/>
      <c r="FD56" s="97"/>
      <c r="FE56" s="100"/>
      <c r="FF56" s="99"/>
      <c r="FG56" s="97"/>
      <c r="FH56" s="97"/>
      <c r="FI56" s="97"/>
      <c r="FJ56" s="97"/>
      <c r="FK56" s="97"/>
      <c r="FL56" s="97"/>
      <c r="FM56" s="97"/>
      <c r="FN56" s="97"/>
      <c r="FO56" s="97"/>
      <c r="FP56" s="97"/>
      <c r="FQ56" s="97"/>
      <c r="FR56" s="100"/>
    </row>
    <row r="57" spans="1:174" x14ac:dyDescent="0.25">
      <c r="A57" s="113"/>
      <c r="B57" s="114"/>
      <c r="D57" s="114"/>
      <c r="E57" s="2" t="s">
        <v>225</v>
      </c>
      <c r="F57" s="91"/>
      <c r="M57" s="103"/>
      <c r="N57" s="103"/>
      <c r="O57" s="103"/>
      <c r="P57" s="103"/>
      <c r="Q57" s="103"/>
      <c r="R57" s="104"/>
      <c r="Z57" s="103"/>
      <c r="AA57" s="103"/>
      <c r="AB57" s="103"/>
      <c r="AC57" s="103"/>
      <c r="AD57" s="103"/>
      <c r="AE57" s="103"/>
      <c r="AF57" s="91"/>
      <c r="AR57" s="13"/>
      <c r="AS57" s="91"/>
      <c r="AZ57" s="103"/>
      <c r="BA57" s="103"/>
      <c r="BB57" s="103"/>
      <c r="BC57" s="103"/>
      <c r="BD57" s="103"/>
      <c r="BE57" s="104"/>
      <c r="BF57" s="91"/>
      <c r="BM57" s="103"/>
      <c r="BN57" s="103"/>
      <c r="BO57" s="103"/>
      <c r="BP57" s="103"/>
      <c r="BQ57" s="103"/>
      <c r="BR57" s="104"/>
      <c r="BS57" s="91"/>
      <c r="CE57" s="13"/>
      <c r="CF57" s="91"/>
      <c r="CR57" s="13"/>
      <c r="CS57" s="91"/>
      <c r="DE57" s="13"/>
      <c r="DF57" s="91"/>
      <c r="DR57" s="13"/>
      <c r="EE57" s="115"/>
      <c r="ER57" s="115"/>
      <c r="FE57" s="115"/>
      <c r="FR57" s="115"/>
    </row>
    <row r="58" spans="1:174" x14ac:dyDescent="0.25">
      <c r="A58" s="113"/>
      <c r="B58" s="114"/>
      <c r="D58" s="114"/>
      <c r="E58" s="2" t="s">
        <v>226</v>
      </c>
      <c r="F58" s="91"/>
      <c r="M58" s="103"/>
      <c r="N58" s="103"/>
      <c r="O58" s="103"/>
      <c r="P58" s="103"/>
      <c r="Q58" s="103"/>
      <c r="R58" s="104"/>
      <c r="Z58" s="103"/>
      <c r="AA58" s="103"/>
      <c r="AB58" s="103"/>
      <c r="AC58" s="103"/>
      <c r="AD58" s="103"/>
      <c r="AE58" s="103"/>
      <c r="AF58" s="243"/>
      <c r="AR58" s="13"/>
      <c r="AS58" s="91"/>
      <c r="AZ58" s="103"/>
      <c r="BA58" s="103"/>
      <c r="BB58" s="103"/>
      <c r="BC58" s="103"/>
      <c r="BD58" s="103"/>
      <c r="BE58" s="104"/>
      <c r="BF58" s="91"/>
      <c r="BM58" s="103"/>
      <c r="BN58" s="103"/>
      <c r="BO58" s="103"/>
      <c r="BP58" s="103"/>
      <c r="BQ58" s="103"/>
      <c r="BR58" s="104"/>
      <c r="BS58" s="91"/>
      <c r="CE58" s="13"/>
      <c r="CF58" s="91"/>
      <c r="CR58" s="13"/>
      <c r="CS58" s="91"/>
      <c r="DE58" s="13"/>
      <c r="DF58" s="91"/>
      <c r="DR58" s="13"/>
      <c r="DS58" s="20"/>
      <c r="DT58" s="21"/>
      <c r="DU58" s="21"/>
      <c r="DV58" s="21"/>
      <c r="DW58" s="21"/>
      <c r="DX58" s="21"/>
      <c r="EE58" s="13"/>
      <c r="EF58" s="20"/>
      <c r="EG58" s="21"/>
      <c r="EH58" s="21"/>
      <c r="EI58" s="21"/>
      <c r="EJ58" s="21"/>
      <c r="EK58" s="21"/>
      <c r="ER58" s="13"/>
      <c r="ES58" s="20"/>
      <c r="ET58" s="21"/>
      <c r="EU58" s="21"/>
      <c r="EV58" s="21"/>
      <c r="EW58" s="21"/>
      <c r="EX58" s="21"/>
      <c r="FE58" s="13"/>
      <c r="FF58" s="20"/>
      <c r="FG58" s="21"/>
      <c r="FH58" s="21"/>
      <c r="FI58" s="21"/>
      <c r="FJ58" s="21"/>
      <c r="FK58" s="21"/>
      <c r="FR58" s="13"/>
    </row>
    <row r="59" spans="1:174" x14ac:dyDescent="0.25">
      <c r="A59" s="113"/>
      <c r="B59" s="114"/>
      <c r="D59" s="114"/>
      <c r="E59" s="2" t="s">
        <v>227</v>
      </c>
      <c r="F59" s="91"/>
      <c r="M59" s="103"/>
      <c r="N59" s="103"/>
      <c r="O59" s="103"/>
      <c r="P59" s="103"/>
      <c r="Q59" s="103"/>
      <c r="R59" s="104"/>
      <c r="Z59" s="103"/>
      <c r="AA59" s="103"/>
      <c r="AB59" s="103"/>
      <c r="AC59" s="103"/>
      <c r="AD59" s="103"/>
      <c r="AE59" s="103"/>
      <c r="AF59" s="91"/>
      <c r="AR59" s="13"/>
      <c r="AS59" s="91"/>
      <c r="AZ59" s="103"/>
      <c r="BA59" s="103"/>
      <c r="BB59" s="103"/>
      <c r="BC59" s="103"/>
      <c r="BD59" s="103"/>
      <c r="BE59" s="104"/>
      <c r="BF59" s="91"/>
      <c r="BM59" s="103"/>
      <c r="BN59" s="103"/>
      <c r="BO59" s="103"/>
      <c r="BP59" s="103"/>
      <c r="BQ59" s="103"/>
      <c r="BR59" s="104"/>
      <c r="BS59" s="91"/>
      <c r="CE59" s="13"/>
      <c r="CF59" s="91"/>
      <c r="CR59" s="13"/>
      <c r="CS59" s="91"/>
      <c r="DE59" s="13"/>
      <c r="DF59" s="91"/>
      <c r="DR59" s="13"/>
      <c r="DS59" s="20"/>
      <c r="DT59" s="21"/>
      <c r="DU59" s="21"/>
      <c r="DV59" s="21"/>
      <c r="DW59" s="21"/>
      <c r="DX59" s="21"/>
      <c r="EE59" s="13"/>
      <c r="EF59" s="20"/>
      <c r="EG59" s="21"/>
      <c r="EH59" s="21"/>
      <c r="EI59" s="21"/>
      <c r="EJ59" s="21"/>
      <c r="EK59" s="21"/>
      <c r="ER59" s="13"/>
      <c r="ES59" s="20"/>
      <c r="ET59" s="21"/>
      <c r="EU59" s="21"/>
      <c r="EV59" s="21"/>
      <c r="EW59" s="21"/>
      <c r="EX59" s="21"/>
      <c r="FE59" s="13"/>
      <c r="FF59" s="20"/>
      <c r="FG59" s="21"/>
      <c r="FH59" s="21"/>
      <c r="FI59" s="21"/>
      <c r="FJ59" s="21"/>
      <c r="FK59" s="21"/>
      <c r="FR59" s="13"/>
    </row>
    <row r="60" spans="1:174" x14ac:dyDescent="0.25">
      <c r="A60" s="113"/>
      <c r="B60" s="114"/>
      <c r="D60" s="114"/>
      <c r="E60" s="2" t="s">
        <v>228</v>
      </c>
      <c r="F60" s="91"/>
      <c r="M60" s="103"/>
      <c r="N60" s="103"/>
      <c r="O60" s="103"/>
      <c r="P60" s="103"/>
      <c r="Q60" s="103"/>
      <c r="R60" s="104"/>
      <c r="Z60" s="103"/>
      <c r="AA60" s="103"/>
      <c r="AB60" s="103"/>
      <c r="AC60" s="103"/>
      <c r="AD60" s="103"/>
      <c r="AE60" s="103"/>
      <c r="AF60" s="91"/>
      <c r="AR60" s="13"/>
      <c r="AS60" s="91"/>
      <c r="AZ60" s="103"/>
      <c r="BA60" s="103"/>
      <c r="BB60" s="103"/>
      <c r="BC60" s="103"/>
      <c r="BD60" s="103"/>
      <c r="BE60" s="104"/>
      <c r="BF60" s="91"/>
      <c r="BM60" s="103"/>
      <c r="BN60" s="103"/>
      <c r="BO60" s="103"/>
      <c r="BP60" s="103"/>
      <c r="BQ60" s="103"/>
      <c r="BR60" s="104"/>
      <c r="BS60" s="91"/>
      <c r="CE60" s="13"/>
      <c r="CF60" s="91"/>
      <c r="CR60" s="13"/>
      <c r="CS60" s="91"/>
      <c r="DE60" s="13"/>
      <c r="DF60" s="91"/>
      <c r="DR60" s="13"/>
      <c r="DS60" s="20"/>
      <c r="DT60" s="21"/>
      <c r="DU60" s="21"/>
      <c r="DV60" s="21"/>
      <c r="DW60" s="21"/>
      <c r="DX60" s="21"/>
      <c r="EE60" s="13"/>
      <c r="EF60" s="20"/>
      <c r="EG60" s="21"/>
      <c r="EH60" s="21"/>
      <c r="EI60" s="21"/>
      <c r="EJ60" s="21"/>
      <c r="EK60" s="21"/>
      <c r="ER60" s="13"/>
      <c r="ES60" s="20"/>
      <c r="ET60" s="21"/>
      <c r="EU60" s="21"/>
      <c r="EV60" s="21"/>
      <c r="EW60" s="21"/>
      <c r="EX60" s="21"/>
      <c r="FE60" s="13"/>
      <c r="FF60" s="20"/>
      <c r="FG60" s="21"/>
      <c r="FH60" s="21"/>
      <c r="FI60" s="21"/>
      <c r="FJ60" s="21"/>
      <c r="FK60" s="21"/>
      <c r="FR60" s="13"/>
    </row>
    <row r="61" spans="1:174" x14ac:dyDescent="0.25">
      <c r="A61" s="113"/>
      <c r="B61" s="114"/>
      <c r="D61" s="114"/>
      <c r="E61" s="2" t="s">
        <v>229</v>
      </c>
      <c r="F61" s="91"/>
      <c r="M61" s="103"/>
      <c r="N61" s="103"/>
      <c r="O61" s="103"/>
      <c r="P61" s="103"/>
      <c r="Q61" s="103"/>
      <c r="R61" s="104"/>
      <c r="Z61" s="103"/>
      <c r="AA61" s="103"/>
      <c r="AB61" s="103"/>
      <c r="AC61" s="103"/>
      <c r="AD61" s="103"/>
      <c r="AE61" s="103"/>
      <c r="AF61" s="91"/>
      <c r="AR61" s="13"/>
      <c r="AS61" s="91"/>
      <c r="AZ61" s="103"/>
      <c r="BA61" s="103"/>
      <c r="BB61" s="103"/>
      <c r="BC61" s="103"/>
      <c r="BD61" s="103"/>
      <c r="BE61" s="104"/>
      <c r="BF61" s="91"/>
      <c r="BM61" s="103"/>
      <c r="BN61" s="103"/>
      <c r="BO61" s="103"/>
      <c r="BP61" s="103"/>
      <c r="BQ61" s="103"/>
      <c r="BR61" s="104"/>
      <c r="BS61" s="91"/>
      <c r="CE61" s="13"/>
      <c r="CF61" s="91"/>
      <c r="CR61" s="13"/>
      <c r="CS61" s="91"/>
      <c r="DE61" s="13"/>
      <c r="DF61" s="91"/>
      <c r="DR61" s="13"/>
      <c r="DS61" s="20"/>
      <c r="DT61" s="21"/>
      <c r="DU61" s="21"/>
      <c r="DV61" s="21"/>
      <c r="DW61" s="21"/>
      <c r="DX61" s="21"/>
      <c r="EE61" s="13"/>
      <c r="EF61" s="20"/>
      <c r="EG61" s="21"/>
      <c r="EH61" s="21"/>
      <c r="EI61" s="21"/>
      <c r="EJ61" s="21"/>
      <c r="EK61" s="21"/>
      <c r="ER61" s="13"/>
      <c r="ES61" s="20"/>
      <c r="ET61" s="21"/>
      <c r="EU61" s="21"/>
      <c r="EV61" s="21"/>
      <c r="EW61" s="21"/>
      <c r="EX61" s="21"/>
      <c r="FE61" s="13"/>
      <c r="FF61" s="20"/>
      <c r="FG61" s="21"/>
      <c r="FH61" s="21"/>
      <c r="FI61" s="21"/>
      <c r="FJ61" s="21"/>
      <c r="FK61" s="21"/>
      <c r="FR61" s="13"/>
    </row>
    <row r="62" spans="1:174" x14ac:dyDescent="0.25">
      <c r="A62" s="113"/>
      <c r="B62" s="114"/>
      <c r="D62" s="114"/>
      <c r="E62" s="2" t="s">
        <v>230</v>
      </c>
      <c r="F62" s="91"/>
      <c r="M62" s="103"/>
      <c r="N62" s="103"/>
      <c r="O62" s="103"/>
      <c r="P62" s="103"/>
      <c r="Q62" s="103"/>
      <c r="R62" s="104"/>
      <c r="Z62" s="103"/>
      <c r="AA62" s="103"/>
      <c r="AB62" s="103"/>
      <c r="AC62" s="103"/>
      <c r="AD62" s="103"/>
      <c r="AE62" s="103"/>
      <c r="AF62" s="91"/>
      <c r="AR62" s="13"/>
      <c r="AS62" s="91"/>
      <c r="AZ62" s="103"/>
      <c r="BA62" s="103"/>
      <c r="BB62" s="103"/>
      <c r="BC62" s="103"/>
      <c r="BD62" s="103"/>
      <c r="BE62" s="104"/>
      <c r="BF62" s="91"/>
      <c r="BM62" s="103"/>
      <c r="BN62" s="103"/>
      <c r="BO62" s="103"/>
      <c r="BP62" s="103"/>
      <c r="BQ62" s="103"/>
      <c r="BR62" s="104"/>
      <c r="BS62" s="91"/>
      <c r="CE62" s="13"/>
      <c r="CF62" s="91"/>
      <c r="CR62" s="13"/>
      <c r="CS62" s="91"/>
      <c r="DE62" s="13"/>
      <c r="DF62" s="91"/>
      <c r="DR62" s="13"/>
      <c r="DS62" s="20"/>
      <c r="DT62" s="21"/>
      <c r="DU62" s="21"/>
      <c r="DV62" s="21"/>
      <c r="DW62" s="21"/>
      <c r="DX62" s="21"/>
      <c r="EE62" s="13"/>
      <c r="EF62" s="20"/>
      <c r="EG62" s="21"/>
      <c r="EH62" s="21"/>
      <c r="EI62" s="21"/>
      <c r="EJ62" s="21"/>
      <c r="EK62" s="21"/>
      <c r="ER62" s="13"/>
      <c r="ES62" s="20"/>
      <c r="ET62" s="21"/>
      <c r="EU62" s="21"/>
      <c r="EV62" s="21"/>
      <c r="EW62" s="21"/>
      <c r="EX62" s="21"/>
      <c r="FE62" s="13"/>
      <c r="FF62" s="20"/>
      <c r="FG62" s="21"/>
      <c r="FH62" s="21"/>
      <c r="FI62" s="21"/>
      <c r="FJ62" s="21"/>
      <c r="FK62" s="21"/>
      <c r="FR62" s="13"/>
    </row>
    <row r="63" spans="1:174" x14ac:dyDescent="0.25">
      <c r="A63" s="113"/>
      <c r="B63" s="114"/>
      <c r="D63" s="114"/>
      <c r="E63" s="2" t="s">
        <v>231</v>
      </c>
      <c r="F63" s="91"/>
      <c r="M63" s="103"/>
      <c r="N63" s="103"/>
      <c r="O63" s="103"/>
      <c r="P63" s="103"/>
      <c r="Q63" s="103"/>
      <c r="R63" s="104"/>
      <c r="Z63" s="103"/>
      <c r="AA63" s="103"/>
      <c r="AB63" s="103"/>
      <c r="AC63" s="103"/>
      <c r="AD63" s="103"/>
      <c r="AE63" s="103"/>
      <c r="AF63" s="91"/>
      <c r="AR63" s="13"/>
      <c r="AS63" s="91"/>
      <c r="AZ63" s="103"/>
      <c r="BA63" s="103"/>
      <c r="BB63" s="103"/>
      <c r="BC63" s="103"/>
      <c r="BD63" s="103"/>
      <c r="BE63" s="104"/>
      <c r="BF63" s="91"/>
      <c r="BM63" s="103"/>
      <c r="BN63" s="103"/>
      <c r="BO63" s="103"/>
      <c r="BP63" s="103"/>
      <c r="BQ63" s="103"/>
      <c r="BR63" s="104"/>
      <c r="BS63" s="91"/>
      <c r="CE63" s="13"/>
      <c r="CF63" s="91"/>
      <c r="CR63" s="13"/>
      <c r="CS63" s="91"/>
      <c r="DE63" s="13"/>
      <c r="DF63" s="91"/>
      <c r="DR63" s="13"/>
      <c r="DS63" s="20"/>
      <c r="DT63" s="21"/>
      <c r="DU63" s="21"/>
      <c r="DV63" s="21"/>
      <c r="DW63" s="21"/>
      <c r="DX63" s="21"/>
      <c r="EE63" s="13"/>
      <c r="EF63" s="20"/>
      <c r="EG63" s="21"/>
      <c r="EH63" s="21"/>
      <c r="EI63" s="21"/>
      <c r="EJ63" s="21"/>
      <c r="EK63" s="21"/>
      <c r="ER63" s="13"/>
      <c r="ES63" s="20"/>
      <c r="ET63" s="21"/>
      <c r="EU63" s="21"/>
      <c r="EV63" s="21"/>
      <c r="EW63" s="21"/>
      <c r="EX63" s="21"/>
      <c r="FE63" s="13"/>
      <c r="FF63" s="20"/>
      <c r="FG63" s="21"/>
      <c r="FH63" s="21"/>
      <c r="FI63" s="21"/>
      <c r="FJ63" s="21"/>
      <c r="FK63" s="21"/>
      <c r="FR63" s="13"/>
    </row>
    <row r="64" spans="1:174" x14ac:dyDescent="0.25">
      <c r="A64" s="113"/>
      <c r="B64" s="114"/>
      <c r="D64" s="114"/>
      <c r="E64" s="2" t="s">
        <v>232</v>
      </c>
      <c r="F64" s="91"/>
      <c r="M64" s="103"/>
      <c r="N64" s="103"/>
      <c r="O64" s="103"/>
      <c r="P64" s="103"/>
      <c r="Q64" s="103"/>
      <c r="R64" s="104"/>
      <c r="Z64" s="103"/>
      <c r="AA64" s="103"/>
      <c r="AB64" s="103"/>
      <c r="AC64" s="103"/>
      <c r="AD64" s="103"/>
      <c r="AE64" s="103"/>
      <c r="AF64" s="91"/>
      <c r="AR64" s="13"/>
      <c r="AS64" s="91"/>
      <c r="AZ64" s="103"/>
      <c r="BA64" s="103"/>
      <c r="BB64" s="103"/>
      <c r="BC64" s="103"/>
      <c r="BD64" s="103"/>
      <c r="BE64" s="104"/>
      <c r="BF64" s="91"/>
      <c r="BM64" s="103"/>
      <c r="BN64" s="103"/>
      <c r="BO64" s="103"/>
      <c r="BP64" s="103"/>
      <c r="BQ64" s="103"/>
      <c r="BR64" s="104"/>
      <c r="BS64" s="91"/>
      <c r="CE64" s="13"/>
      <c r="CF64" s="91"/>
      <c r="CR64" s="13"/>
      <c r="CS64" s="91"/>
      <c r="DE64" s="13"/>
      <c r="DF64" s="91"/>
      <c r="DR64" s="13"/>
      <c r="DS64" s="20"/>
      <c r="DT64" s="21"/>
      <c r="DU64" s="21"/>
      <c r="DV64" s="21"/>
      <c r="DW64" s="21"/>
      <c r="DX64" s="21"/>
      <c r="EE64" s="13"/>
      <c r="EF64" s="20"/>
      <c r="EG64" s="21"/>
      <c r="EH64" s="21"/>
      <c r="EI64" s="21"/>
      <c r="EJ64" s="21"/>
      <c r="EK64" s="21"/>
      <c r="ER64" s="13"/>
      <c r="ES64" s="20"/>
      <c r="ET64" s="21"/>
      <c r="EU64" s="21"/>
      <c r="EV64" s="21"/>
      <c r="EW64" s="21"/>
      <c r="EX64" s="21"/>
      <c r="FE64" s="13"/>
      <c r="FF64" s="20"/>
      <c r="FG64" s="21"/>
      <c r="FH64" s="21"/>
      <c r="FI64" s="21"/>
      <c r="FJ64" s="21"/>
      <c r="FK64" s="21"/>
      <c r="FR64" s="13"/>
    </row>
    <row r="65" spans="1:174" x14ac:dyDescent="0.25">
      <c r="A65" s="113"/>
      <c r="B65" s="114"/>
      <c r="D65" s="114"/>
      <c r="E65" s="2" t="s">
        <v>233</v>
      </c>
      <c r="F65" s="91"/>
      <c r="M65" s="103"/>
      <c r="N65" s="103"/>
      <c r="O65" s="103"/>
      <c r="P65" s="103"/>
      <c r="Q65" s="103"/>
      <c r="R65" s="104"/>
      <c r="Z65" s="103"/>
      <c r="AA65" s="103"/>
      <c r="AB65" s="103"/>
      <c r="AC65" s="103"/>
      <c r="AD65" s="103"/>
      <c r="AE65" s="103"/>
      <c r="AF65" s="91"/>
      <c r="AR65" s="13"/>
      <c r="AS65" s="91"/>
      <c r="AZ65" s="103"/>
      <c r="BA65" s="103"/>
      <c r="BB65" s="103"/>
      <c r="BC65" s="103"/>
      <c r="BD65" s="103"/>
      <c r="BE65" s="104"/>
      <c r="BF65" s="91"/>
      <c r="BM65" s="103"/>
      <c r="BN65" s="103"/>
      <c r="BO65" s="103"/>
      <c r="BP65" s="103"/>
      <c r="BQ65" s="103"/>
      <c r="BR65" s="104"/>
      <c r="BS65" s="91"/>
      <c r="CE65" s="13"/>
      <c r="CF65" s="91"/>
      <c r="CR65" s="13"/>
      <c r="CS65" s="91"/>
      <c r="DE65" s="13"/>
      <c r="DF65" s="91"/>
      <c r="DR65" s="13"/>
      <c r="DS65" s="20"/>
      <c r="DT65" s="21"/>
      <c r="DU65" s="21"/>
      <c r="DV65" s="21"/>
      <c r="DW65" s="21"/>
      <c r="DX65" s="21"/>
      <c r="EE65" s="13"/>
      <c r="EF65" s="20"/>
      <c r="EG65" s="21"/>
      <c r="EH65" s="21"/>
      <c r="EI65" s="21"/>
      <c r="EJ65" s="21"/>
      <c r="EK65" s="21"/>
      <c r="ER65" s="13"/>
      <c r="ES65" s="20"/>
      <c r="ET65" s="21"/>
      <c r="EU65" s="21"/>
      <c r="EV65" s="21"/>
      <c r="EW65" s="21"/>
      <c r="EX65" s="21"/>
      <c r="FE65" s="13"/>
      <c r="FF65" s="20"/>
      <c r="FG65" s="21"/>
      <c r="FH65" s="21"/>
      <c r="FI65" s="21"/>
      <c r="FJ65" s="21"/>
      <c r="FK65" s="21"/>
      <c r="FR65" s="13"/>
    </row>
    <row r="66" spans="1:174" x14ac:dyDescent="0.25">
      <c r="A66" s="113"/>
      <c r="B66" s="114"/>
      <c r="D66" s="114"/>
      <c r="E66" s="2" t="s">
        <v>234</v>
      </c>
      <c r="F66" s="91"/>
      <c r="M66" s="103"/>
      <c r="N66" s="103"/>
      <c r="O66" s="103"/>
      <c r="P66" s="103"/>
      <c r="Q66" s="103"/>
      <c r="R66" s="104"/>
      <c r="Z66" s="103"/>
      <c r="AA66" s="103"/>
      <c r="AB66" s="103"/>
      <c r="AC66" s="103"/>
      <c r="AD66" s="103"/>
      <c r="AE66" s="103"/>
      <c r="AF66" s="91"/>
      <c r="AR66" s="13"/>
      <c r="AS66" s="91"/>
      <c r="AZ66" s="103"/>
      <c r="BA66" s="103"/>
      <c r="BB66" s="103"/>
      <c r="BC66" s="103"/>
      <c r="BD66" s="103"/>
      <c r="BE66" s="104"/>
      <c r="BF66" s="91"/>
      <c r="BM66" s="103"/>
      <c r="BN66" s="103"/>
      <c r="BO66" s="103"/>
      <c r="BP66" s="103"/>
      <c r="BQ66" s="103"/>
      <c r="BR66" s="104"/>
      <c r="BS66" s="91"/>
      <c r="CE66" s="13"/>
      <c r="CF66" s="91"/>
      <c r="CR66" s="13"/>
      <c r="CS66" s="91"/>
      <c r="DE66" s="13"/>
      <c r="DF66" s="91"/>
      <c r="DR66" s="13"/>
      <c r="DS66" s="20"/>
      <c r="DT66" s="21"/>
      <c r="DU66" s="21"/>
      <c r="DV66" s="21"/>
      <c r="DW66" s="21"/>
      <c r="DX66" s="21"/>
      <c r="EE66" s="13"/>
      <c r="EF66" s="20"/>
      <c r="EG66" s="21"/>
      <c r="EH66" s="21"/>
      <c r="EI66" s="21"/>
      <c r="EJ66" s="21"/>
      <c r="EK66" s="21"/>
      <c r="ER66" s="13"/>
      <c r="ES66" s="20"/>
      <c r="ET66" s="21"/>
      <c r="EU66" s="21"/>
      <c r="EV66" s="21"/>
      <c r="EW66" s="21"/>
      <c r="EX66" s="21"/>
      <c r="FE66" s="13"/>
      <c r="FF66" s="20"/>
      <c r="FG66" s="21"/>
      <c r="FH66" s="21"/>
      <c r="FI66" s="21"/>
      <c r="FJ66" s="21"/>
      <c r="FK66" s="21"/>
      <c r="FR66" s="13"/>
    </row>
    <row r="67" spans="1:174" x14ac:dyDescent="0.25">
      <c r="A67" s="113"/>
      <c r="B67" s="114"/>
      <c r="D67" s="114"/>
      <c r="E67" s="2" t="s">
        <v>235</v>
      </c>
      <c r="F67" s="91"/>
      <c r="M67" s="103"/>
      <c r="N67" s="103"/>
      <c r="O67" s="103"/>
      <c r="P67" s="103"/>
      <c r="Q67" s="103"/>
      <c r="R67" s="104"/>
      <c r="Z67" s="103"/>
      <c r="AA67" s="103"/>
      <c r="AB67" s="103"/>
      <c r="AC67" s="103"/>
      <c r="AD67" s="103"/>
      <c r="AE67" s="103"/>
      <c r="AF67" s="91"/>
      <c r="AR67" s="13"/>
      <c r="AS67" s="91"/>
      <c r="AZ67" s="103"/>
      <c r="BA67" s="103"/>
      <c r="BB67" s="103"/>
      <c r="BC67" s="103"/>
      <c r="BD67" s="103"/>
      <c r="BE67" s="104"/>
      <c r="BF67" s="91"/>
      <c r="BM67" s="103"/>
      <c r="BN67" s="103"/>
      <c r="BO67" s="103"/>
      <c r="BP67" s="103"/>
      <c r="BQ67" s="103"/>
      <c r="BR67" s="104"/>
      <c r="BS67" s="91"/>
      <c r="CE67" s="13"/>
      <c r="CF67" s="91"/>
      <c r="CR67" s="13"/>
      <c r="CS67" s="91"/>
      <c r="DE67" s="13"/>
      <c r="DF67" s="91"/>
      <c r="DR67" s="13"/>
      <c r="DS67" s="20"/>
      <c r="DT67" s="21"/>
      <c r="DU67" s="21"/>
      <c r="DV67" s="21"/>
      <c r="DW67" s="21"/>
      <c r="DX67" s="21"/>
      <c r="EE67" s="13"/>
      <c r="EF67" s="20"/>
      <c r="EG67" s="21"/>
      <c r="EH67" s="21"/>
      <c r="EI67" s="21"/>
      <c r="EJ67" s="21"/>
      <c r="EK67" s="21"/>
      <c r="ER67" s="13"/>
      <c r="ES67" s="20"/>
      <c r="ET67" s="21"/>
      <c r="EU67" s="21"/>
      <c r="EV67" s="21"/>
      <c r="EW67" s="21"/>
      <c r="EX67" s="21"/>
      <c r="FE67" s="13"/>
      <c r="FF67" s="20"/>
      <c r="FG67" s="21"/>
      <c r="FH67" s="21"/>
      <c r="FI67" s="21"/>
      <c r="FJ67" s="21"/>
      <c r="FK67" s="21"/>
      <c r="FR67" s="13"/>
    </row>
    <row r="68" spans="1:174" x14ac:dyDescent="0.25">
      <c r="A68" s="113"/>
      <c r="B68" s="114"/>
      <c r="D68" s="114"/>
      <c r="E68" s="2" t="s">
        <v>236</v>
      </c>
      <c r="F68" s="91"/>
      <c r="M68" s="103"/>
      <c r="N68" s="103"/>
      <c r="O68" s="103"/>
      <c r="P68" s="103"/>
      <c r="Q68" s="103"/>
      <c r="R68" s="104"/>
      <c r="Z68" s="103"/>
      <c r="AA68" s="103"/>
      <c r="AB68" s="103"/>
      <c r="AC68" s="103"/>
      <c r="AD68" s="103"/>
      <c r="AE68" s="103"/>
      <c r="AF68" s="91"/>
      <c r="AR68" s="13"/>
      <c r="AS68" s="91"/>
      <c r="AZ68" s="103"/>
      <c r="BA68" s="103"/>
      <c r="BB68" s="103"/>
      <c r="BC68" s="103"/>
      <c r="BD68" s="103"/>
      <c r="BE68" s="104"/>
      <c r="BF68" s="91"/>
      <c r="BM68" s="103"/>
      <c r="BN68" s="103"/>
      <c r="BO68" s="103"/>
      <c r="BP68" s="103"/>
      <c r="BQ68" s="103"/>
      <c r="BR68" s="104"/>
      <c r="BS68" s="91"/>
      <c r="CE68" s="13"/>
      <c r="CF68" s="91"/>
      <c r="CR68" s="13"/>
      <c r="CS68" s="91"/>
      <c r="DE68" s="13"/>
      <c r="DF68" s="91"/>
      <c r="DR68" s="13"/>
      <c r="DS68" s="20"/>
      <c r="DT68" s="21"/>
      <c r="DU68" s="21"/>
      <c r="DV68" s="21"/>
      <c r="DW68" s="21"/>
      <c r="DX68" s="21"/>
      <c r="EE68" s="13"/>
      <c r="EF68" s="20"/>
      <c r="EG68" s="21"/>
      <c r="EH68" s="21"/>
      <c r="EI68" s="21"/>
      <c r="EJ68" s="21"/>
      <c r="EK68" s="21"/>
      <c r="ER68" s="13"/>
      <c r="ES68" s="20"/>
      <c r="ET68" s="21"/>
      <c r="EU68" s="21"/>
      <c r="EV68" s="21"/>
      <c r="EW68" s="21"/>
      <c r="EX68" s="21"/>
      <c r="FE68" s="13"/>
      <c r="FF68" s="20"/>
      <c r="FG68" s="21"/>
      <c r="FH68" s="21"/>
      <c r="FI68" s="21"/>
      <c r="FJ68" s="21"/>
      <c r="FK68" s="21"/>
      <c r="FR68" s="13"/>
    </row>
    <row r="69" spans="1:174" x14ac:dyDescent="0.25">
      <c r="A69" s="113"/>
      <c r="B69" s="114"/>
      <c r="D69" s="114"/>
      <c r="F69" s="91"/>
      <c r="M69" s="103"/>
      <c r="N69" s="103"/>
      <c r="O69" s="103"/>
      <c r="P69" s="103"/>
      <c r="Q69" s="103"/>
      <c r="R69" s="104"/>
      <c r="Z69" s="103"/>
      <c r="AA69" s="103"/>
      <c r="AB69" s="103"/>
      <c r="AC69" s="103"/>
      <c r="AD69" s="103"/>
      <c r="AE69" s="103"/>
      <c r="AF69" s="91"/>
      <c r="AM69" s="103"/>
      <c r="AN69" s="103"/>
      <c r="AO69" s="103"/>
      <c r="AP69" s="103"/>
      <c r="AQ69" s="103"/>
      <c r="AR69" s="104"/>
      <c r="AS69" s="91"/>
      <c r="AZ69" s="103"/>
      <c r="BA69" s="103"/>
      <c r="BB69" s="103"/>
      <c r="BC69" s="103"/>
      <c r="BD69" s="103"/>
      <c r="BE69" s="104"/>
      <c r="BF69" s="91"/>
      <c r="BM69" s="103"/>
      <c r="BN69" s="103"/>
      <c r="BO69" s="103"/>
      <c r="BP69" s="103"/>
      <c r="BQ69" s="103"/>
      <c r="BR69" s="104"/>
      <c r="BS69" s="91"/>
      <c r="CE69" s="13"/>
      <c r="CF69" s="91"/>
      <c r="CR69" s="13"/>
      <c r="CS69" s="91"/>
      <c r="DE69" s="13"/>
      <c r="DF69" s="91"/>
      <c r="DR69" s="13"/>
      <c r="DS69" s="20"/>
      <c r="DT69" s="21"/>
      <c r="DU69" s="21"/>
      <c r="DV69" s="21"/>
      <c r="DW69" s="21"/>
      <c r="DX69" s="21"/>
      <c r="EE69" s="13"/>
      <c r="EF69" s="20"/>
      <c r="EG69" s="21"/>
      <c r="EH69" s="21"/>
      <c r="EI69" s="21"/>
      <c r="EJ69" s="21"/>
      <c r="EK69" s="21"/>
      <c r="ER69" s="13"/>
      <c r="ES69" s="20"/>
      <c r="ET69" s="21"/>
      <c r="EU69" s="21"/>
      <c r="EV69" s="21"/>
      <c r="EW69" s="21"/>
      <c r="EX69" s="21"/>
      <c r="FE69" s="13"/>
      <c r="FF69" s="20"/>
      <c r="FG69" s="21"/>
      <c r="FH69" s="21"/>
      <c r="FI69" s="21"/>
      <c r="FJ69" s="21"/>
      <c r="FK69" s="21"/>
      <c r="FR69" s="13"/>
    </row>
    <row r="70" spans="1:174" x14ac:dyDescent="0.25">
      <c r="A70" s="113"/>
      <c r="B70" s="114"/>
      <c r="D70" s="114"/>
      <c r="F70" s="91"/>
      <c r="M70" s="103"/>
      <c r="N70" s="103"/>
      <c r="O70" s="103"/>
      <c r="P70" s="103"/>
      <c r="Q70" s="103"/>
      <c r="R70" s="104"/>
      <c r="Z70" s="103"/>
      <c r="AA70" s="103"/>
      <c r="AB70" s="103"/>
      <c r="AC70" s="103"/>
      <c r="AD70" s="103"/>
      <c r="AE70" s="103"/>
      <c r="AF70" s="91"/>
      <c r="AM70" s="103"/>
      <c r="AN70" s="103"/>
      <c r="AO70" s="103"/>
      <c r="AP70" s="103"/>
      <c r="AQ70" s="103"/>
      <c r="AR70" s="104"/>
      <c r="AS70" s="91"/>
      <c r="AZ70" s="103"/>
      <c r="BA70" s="103"/>
      <c r="BB70" s="103"/>
      <c r="BC70" s="103"/>
      <c r="BD70" s="103"/>
      <c r="BE70" s="104"/>
      <c r="BF70" s="91"/>
      <c r="BM70" s="103"/>
      <c r="BN70" s="103"/>
      <c r="BO70" s="103"/>
      <c r="BP70" s="103"/>
      <c r="BQ70" s="103"/>
      <c r="BR70" s="104"/>
      <c r="BS70" s="91"/>
      <c r="CE70" s="13"/>
      <c r="CF70" s="91"/>
      <c r="CR70" s="13"/>
      <c r="CS70" s="91"/>
      <c r="DE70" s="13"/>
      <c r="DF70" s="91"/>
      <c r="DR70" s="13"/>
      <c r="DS70" s="20"/>
      <c r="DT70" s="21"/>
      <c r="DU70" s="21"/>
      <c r="DV70" s="21"/>
      <c r="DW70" s="21"/>
      <c r="DX70" s="21"/>
      <c r="EE70" s="13"/>
      <c r="EF70" s="20"/>
      <c r="EG70" s="21"/>
      <c r="EH70" s="21"/>
      <c r="EI70" s="21"/>
      <c r="EJ70" s="21"/>
      <c r="EK70" s="21"/>
      <c r="ER70" s="13"/>
      <c r="ES70" s="20"/>
      <c r="ET70" s="21"/>
      <c r="EU70" s="21"/>
      <c r="EV70" s="21"/>
      <c r="EW70" s="21"/>
      <c r="EX70" s="21"/>
      <c r="FE70" s="13"/>
      <c r="FF70" s="20"/>
      <c r="FG70" s="21"/>
      <c r="FH70" s="21"/>
      <c r="FI70" s="21"/>
      <c r="FJ70" s="21"/>
      <c r="FK70" s="21"/>
      <c r="FR70" s="13"/>
    </row>
    <row r="71" spans="1:174" x14ac:dyDescent="0.25">
      <c r="A71" s="113"/>
      <c r="B71" s="114"/>
      <c r="D71" s="114"/>
      <c r="F71" s="91"/>
      <c r="M71" s="103"/>
      <c r="N71" s="103"/>
      <c r="O71" s="103"/>
      <c r="P71" s="103"/>
      <c r="Q71" s="103"/>
      <c r="R71" s="104"/>
      <c r="Z71" s="103"/>
      <c r="AA71" s="103"/>
      <c r="AB71" s="103"/>
      <c r="AC71" s="103"/>
      <c r="AD71" s="103"/>
      <c r="AE71" s="103"/>
      <c r="AF71" s="91"/>
      <c r="AM71" s="103"/>
      <c r="AN71" s="103"/>
      <c r="AO71" s="103"/>
      <c r="AP71" s="103"/>
      <c r="AQ71" s="103"/>
      <c r="AR71" s="104"/>
      <c r="AS71" s="91"/>
      <c r="AZ71" s="103"/>
      <c r="BA71" s="103"/>
      <c r="BB71" s="103"/>
      <c r="BC71" s="103"/>
      <c r="BD71" s="103"/>
      <c r="BE71" s="104"/>
      <c r="BF71" s="91"/>
      <c r="BM71" s="103"/>
      <c r="BN71" s="103"/>
      <c r="BO71" s="103"/>
      <c r="BP71" s="103"/>
      <c r="BQ71" s="103"/>
      <c r="BR71" s="104"/>
      <c r="BS71" s="91"/>
      <c r="CE71" s="13"/>
      <c r="CF71" s="91"/>
      <c r="CR71" s="13"/>
      <c r="CS71" s="91"/>
      <c r="DE71" s="13"/>
      <c r="DF71" s="91"/>
      <c r="DR71" s="13"/>
      <c r="DS71" s="20"/>
      <c r="DT71" s="21"/>
      <c r="DU71" s="21"/>
      <c r="DV71" s="21"/>
      <c r="DW71" s="21"/>
      <c r="DX71" s="21"/>
      <c r="EE71" s="13"/>
      <c r="EF71" s="20"/>
      <c r="EG71" s="21"/>
      <c r="EH71" s="21"/>
      <c r="EI71" s="21"/>
      <c r="EJ71" s="21"/>
      <c r="EK71" s="21"/>
      <c r="ER71" s="13"/>
      <c r="ES71" s="20"/>
      <c r="ET71" s="21"/>
      <c r="EU71" s="21"/>
      <c r="EV71" s="21"/>
      <c r="EW71" s="21"/>
      <c r="EX71" s="21"/>
      <c r="FE71" s="13"/>
      <c r="FF71" s="20"/>
      <c r="FG71" s="21"/>
      <c r="FH71" s="21"/>
      <c r="FI71" s="21"/>
      <c r="FJ71" s="21"/>
      <c r="FK71" s="21"/>
      <c r="FR71" s="13"/>
    </row>
    <row r="72" spans="1:174" x14ac:dyDescent="0.25">
      <c r="A72" s="113"/>
      <c r="B72" s="114"/>
      <c r="D72" s="114"/>
      <c r="F72" s="91"/>
      <c r="M72" s="103"/>
      <c r="N72" s="103"/>
      <c r="O72" s="103"/>
      <c r="P72" s="103"/>
      <c r="Q72" s="103"/>
      <c r="R72" s="104"/>
      <c r="Z72" s="103"/>
      <c r="AA72" s="103"/>
      <c r="AB72" s="103"/>
      <c r="AC72" s="103"/>
      <c r="AD72" s="103"/>
      <c r="AE72" s="103"/>
      <c r="AF72" s="91"/>
      <c r="AM72" s="103"/>
      <c r="AN72" s="103"/>
      <c r="AO72" s="103"/>
      <c r="AP72" s="103"/>
      <c r="AQ72" s="103"/>
      <c r="AR72" s="104"/>
      <c r="AS72" s="91"/>
      <c r="AZ72" s="103"/>
      <c r="BA72" s="103"/>
      <c r="BB72" s="103"/>
      <c r="BC72" s="103"/>
      <c r="BD72" s="103"/>
      <c r="BE72" s="104"/>
      <c r="BF72" s="91"/>
      <c r="BM72" s="103"/>
      <c r="BN72" s="103"/>
      <c r="BO72" s="103"/>
      <c r="BP72" s="103"/>
      <c r="BQ72" s="103"/>
      <c r="BR72" s="104"/>
      <c r="BS72" s="91"/>
      <c r="CE72" s="13"/>
      <c r="CF72" s="91"/>
      <c r="CR72" s="13"/>
      <c r="CS72" s="91"/>
      <c r="DE72" s="13"/>
      <c r="DF72" s="91"/>
      <c r="DR72" s="13"/>
      <c r="DS72" s="20"/>
      <c r="DT72" s="21"/>
      <c r="DU72" s="21"/>
      <c r="DV72" s="21"/>
      <c r="DW72" s="21"/>
      <c r="DX72" s="21"/>
      <c r="EE72" s="13"/>
      <c r="EF72" s="20"/>
      <c r="EG72" s="21"/>
      <c r="EH72" s="21"/>
      <c r="EI72" s="21"/>
      <c r="EJ72" s="21"/>
      <c r="EK72" s="21"/>
      <c r="ER72" s="13"/>
      <c r="ES72" s="20"/>
      <c r="ET72" s="21"/>
      <c r="EU72" s="21"/>
      <c r="EV72" s="21"/>
      <c r="EW72" s="21"/>
      <c r="EX72" s="21"/>
      <c r="FE72" s="13"/>
      <c r="FF72" s="20"/>
      <c r="FG72" s="21"/>
      <c r="FH72" s="21"/>
      <c r="FI72" s="21"/>
      <c r="FJ72" s="21"/>
      <c r="FK72" s="21"/>
      <c r="FR72" s="13"/>
    </row>
    <row r="73" spans="1:174" x14ac:dyDescent="0.25">
      <c r="A73" s="113"/>
      <c r="B73" s="114"/>
      <c r="D73" s="114"/>
      <c r="F73" s="91"/>
      <c r="M73" s="103"/>
      <c r="N73" s="103"/>
      <c r="O73" s="103"/>
      <c r="P73" s="103"/>
      <c r="Q73" s="103"/>
      <c r="R73" s="104"/>
      <c r="Z73" s="103"/>
      <c r="AA73" s="103"/>
      <c r="AB73" s="103"/>
      <c r="AC73" s="103"/>
      <c r="AD73" s="103"/>
      <c r="AE73" s="103"/>
      <c r="AF73" s="91"/>
      <c r="AM73" s="103"/>
      <c r="AN73" s="103"/>
      <c r="AO73" s="103"/>
      <c r="AP73" s="103"/>
      <c r="AQ73" s="103"/>
      <c r="AR73" s="104"/>
      <c r="AS73" s="91"/>
      <c r="AZ73" s="103"/>
      <c r="BA73" s="103"/>
      <c r="BB73" s="103"/>
      <c r="BC73" s="103"/>
      <c r="BD73" s="103"/>
      <c r="BE73" s="104"/>
      <c r="BF73" s="91"/>
      <c r="BM73" s="103"/>
      <c r="BN73" s="103"/>
      <c r="BO73" s="103"/>
      <c r="BP73" s="103"/>
      <c r="BQ73" s="103"/>
      <c r="BR73" s="104"/>
      <c r="BS73" s="91"/>
      <c r="CE73" s="13"/>
      <c r="CF73" s="91"/>
      <c r="CR73" s="13"/>
      <c r="CS73" s="91"/>
      <c r="DE73" s="13"/>
      <c r="DF73" s="91"/>
      <c r="DR73" s="13"/>
      <c r="DS73" s="20"/>
      <c r="DT73" s="21"/>
      <c r="DU73" s="21"/>
      <c r="DV73" s="21"/>
      <c r="DW73" s="21"/>
      <c r="DX73" s="21"/>
      <c r="EE73" s="13"/>
      <c r="EF73" s="20"/>
      <c r="EG73" s="21"/>
      <c r="EH73" s="21"/>
      <c r="EI73" s="21"/>
      <c r="EJ73" s="21"/>
      <c r="EK73" s="21"/>
      <c r="ER73" s="13"/>
      <c r="ES73" s="20"/>
      <c r="ET73" s="21"/>
      <c r="EU73" s="21"/>
      <c r="EV73" s="21"/>
      <c r="EW73" s="21"/>
      <c r="EX73" s="21"/>
      <c r="FE73" s="13"/>
      <c r="FF73" s="20"/>
      <c r="FG73" s="21"/>
      <c r="FH73" s="21"/>
      <c r="FI73" s="21"/>
      <c r="FJ73" s="21"/>
      <c r="FK73" s="21"/>
      <c r="FR73" s="13"/>
    </row>
    <row r="74" spans="1:174" x14ac:dyDescent="0.25">
      <c r="A74" s="113"/>
      <c r="B74" s="114"/>
      <c r="D74" s="114"/>
      <c r="F74" s="91"/>
      <c r="M74" s="103"/>
      <c r="N74" s="103"/>
      <c r="O74" s="103"/>
      <c r="P74" s="103"/>
      <c r="Q74" s="103"/>
      <c r="R74" s="104"/>
      <c r="Z74" s="103"/>
      <c r="AA74" s="103"/>
      <c r="AB74" s="103"/>
      <c r="AC74" s="103"/>
      <c r="AD74" s="103"/>
      <c r="AE74" s="103"/>
      <c r="AF74" s="91"/>
      <c r="AM74" s="103"/>
      <c r="AN74" s="103"/>
      <c r="AO74" s="103"/>
      <c r="AP74" s="103"/>
      <c r="AQ74" s="103"/>
      <c r="AR74" s="104"/>
      <c r="AS74" s="91"/>
      <c r="AZ74" s="103"/>
      <c r="BA74" s="103"/>
      <c r="BB74" s="103"/>
      <c r="BC74" s="103"/>
      <c r="BD74" s="103"/>
      <c r="BE74" s="104"/>
      <c r="BF74" s="91"/>
      <c r="BM74" s="103"/>
      <c r="BN74" s="103"/>
      <c r="BO74" s="103"/>
      <c r="BP74" s="103"/>
      <c r="BQ74" s="103"/>
      <c r="BR74" s="104"/>
      <c r="BS74" s="91"/>
      <c r="CE74" s="13"/>
      <c r="CF74" s="91"/>
      <c r="CR74" s="13"/>
      <c r="CS74" s="91"/>
      <c r="DE74" s="13"/>
      <c r="DF74" s="91"/>
      <c r="DR74" s="13"/>
      <c r="DS74" s="20"/>
      <c r="DT74" s="21"/>
      <c r="DU74" s="21"/>
      <c r="DV74" s="21"/>
      <c r="DW74" s="21"/>
      <c r="DX74" s="21"/>
      <c r="EE74" s="13"/>
      <c r="EF74" s="20"/>
      <c r="EG74" s="21"/>
      <c r="EH74" s="21"/>
      <c r="EI74" s="21"/>
      <c r="EJ74" s="21"/>
      <c r="EK74" s="21"/>
      <c r="ER74" s="13"/>
      <c r="ES74" s="20"/>
      <c r="ET74" s="21"/>
      <c r="EU74" s="21"/>
      <c r="EV74" s="21"/>
      <c r="EW74" s="21"/>
      <c r="EX74" s="21"/>
      <c r="FE74" s="13"/>
      <c r="FF74" s="20"/>
      <c r="FG74" s="21"/>
      <c r="FH74" s="21"/>
      <c r="FI74" s="21"/>
      <c r="FJ74" s="21"/>
      <c r="FK74" s="21"/>
      <c r="FR74" s="13"/>
    </row>
    <row r="75" spans="1:174" x14ac:dyDescent="0.25">
      <c r="A75" s="113"/>
      <c r="B75" s="114"/>
      <c r="D75" s="114"/>
      <c r="F75" s="91"/>
      <c r="M75" s="103"/>
      <c r="N75" s="103"/>
      <c r="O75" s="103"/>
      <c r="P75" s="103"/>
      <c r="Q75" s="103"/>
      <c r="R75" s="104"/>
      <c r="Z75" s="103"/>
      <c r="AA75" s="103"/>
      <c r="AB75" s="103"/>
      <c r="AC75" s="103"/>
      <c r="AD75" s="103"/>
      <c r="AE75" s="103"/>
      <c r="AF75" s="91"/>
      <c r="AM75" s="103"/>
      <c r="AN75" s="103"/>
      <c r="AO75" s="103"/>
      <c r="AP75" s="103"/>
      <c r="AQ75" s="103"/>
      <c r="AR75" s="104"/>
      <c r="AS75" s="91"/>
      <c r="AZ75" s="103"/>
      <c r="BA75" s="103"/>
      <c r="BB75" s="103"/>
      <c r="BC75" s="103"/>
      <c r="BD75" s="103"/>
      <c r="BE75" s="104"/>
      <c r="BF75" s="91"/>
      <c r="BM75" s="103"/>
      <c r="BN75" s="103"/>
      <c r="BO75" s="103"/>
      <c r="BP75" s="103"/>
      <c r="BQ75" s="103"/>
      <c r="BR75" s="104"/>
      <c r="BS75" s="91"/>
      <c r="CE75" s="13"/>
      <c r="CF75" s="91"/>
      <c r="CR75" s="13"/>
      <c r="CS75" s="91"/>
      <c r="DE75" s="13"/>
      <c r="DF75" s="91"/>
      <c r="DR75" s="13"/>
      <c r="DS75" s="20"/>
      <c r="DT75" s="21"/>
      <c r="DU75" s="21"/>
      <c r="DV75" s="21"/>
      <c r="DW75" s="21"/>
      <c r="DX75" s="21"/>
      <c r="EE75" s="13"/>
      <c r="EF75" s="20"/>
      <c r="EG75" s="21"/>
      <c r="EH75" s="21"/>
      <c r="EI75" s="21"/>
      <c r="EJ75" s="21"/>
      <c r="EK75" s="21"/>
      <c r="ER75" s="13"/>
      <c r="ES75" s="20"/>
      <c r="ET75" s="21"/>
      <c r="EU75" s="21"/>
      <c r="EV75" s="21"/>
      <c r="EW75" s="21"/>
      <c r="EX75" s="21"/>
      <c r="FE75" s="13"/>
      <c r="FF75" s="20"/>
      <c r="FG75" s="21"/>
      <c r="FH75" s="21"/>
      <c r="FI75" s="21"/>
      <c r="FJ75" s="21"/>
      <c r="FK75" s="21"/>
      <c r="FR75" s="13"/>
    </row>
    <row r="76" spans="1:174" x14ac:dyDescent="0.25">
      <c r="B76" s="114"/>
      <c r="D76" s="114"/>
      <c r="F76" s="91"/>
      <c r="R76" s="13"/>
      <c r="Z76" s="103"/>
      <c r="AA76" s="103"/>
      <c r="AB76" s="103"/>
      <c r="AC76" s="103"/>
      <c r="AD76" s="103"/>
      <c r="AE76" s="103"/>
      <c r="AF76" s="91"/>
      <c r="AM76" s="103"/>
      <c r="AN76" s="103"/>
      <c r="AO76" s="103"/>
      <c r="AP76" s="103"/>
      <c r="AQ76" s="103"/>
      <c r="AR76" s="104"/>
      <c r="AS76" s="91"/>
      <c r="BE76" s="13"/>
      <c r="BF76" s="91"/>
      <c r="BR76" s="13"/>
      <c r="BS76" s="91"/>
      <c r="CE76" s="13"/>
      <c r="CF76" s="91"/>
      <c r="CR76" s="13"/>
      <c r="CS76" s="91"/>
      <c r="DE76" s="13"/>
      <c r="DF76" s="91"/>
      <c r="DR76" s="13"/>
      <c r="DS76" s="20"/>
      <c r="DT76" s="21"/>
      <c r="DU76" s="21"/>
      <c r="DV76" s="21"/>
      <c r="DW76" s="21"/>
      <c r="DX76" s="21"/>
      <c r="EE76" s="13"/>
      <c r="EF76" s="20"/>
      <c r="EG76" s="21"/>
      <c r="EH76" s="21"/>
      <c r="EI76" s="21"/>
      <c r="EJ76" s="21"/>
      <c r="EK76" s="21"/>
      <c r="ER76" s="13"/>
      <c r="ES76" s="20"/>
      <c r="ET76" s="21"/>
      <c r="EU76" s="21"/>
      <c r="EV76" s="21"/>
      <c r="EW76" s="21"/>
      <c r="EX76" s="21"/>
      <c r="FE76" s="13"/>
      <c r="FF76" s="20"/>
      <c r="FG76" s="21"/>
      <c r="FH76" s="21"/>
      <c r="FI76" s="21"/>
      <c r="FJ76" s="21"/>
      <c r="FK76" s="21"/>
      <c r="FR76" s="13"/>
    </row>
    <row r="77" spans="1:174" x14ac:dyDescent="0.25">
      <c r="F77" s="91"/>
      <c r="R77" s="13"/>
      <c r="Z77" s="116"/>
      <c r="AA77" s="117"/>
      <c r="AB77" s="117"/>
      <c r="AC77" s="117"/>
      <c r="AD77" s="117"/>
      <c r="AE77" s="117"/>
      <c r="AF77" s="91"/>
      <c r="AR77" s="13"/>
      <c r="AS77" s="91"/>
      <c r="BE77" s="13"/>
      <c r="BF77" s="91"/>
      <c r="BR77" s="13"/>
      <c r="BS77" s="91"/>
      <c r="CE77" s="13"/>
      <c r="CF77" s="91"/>
      <c r="CR77" s="13"/>
      <c r="CS77" s="91"/>
      <c r="DE77" s="13"/>
      <c r="DF77" s="91"/>
      <c r="DR77" s="13"/>
      <c r="DS77" s="20"/>
      <c r="DT77" s="21"/>
      <c r="DU77" s="21"/>
      <c r="DV77" s="21"/>
      <c r="DW77" s="21"/>
      <c r="DX77" s="21"/>
      <c r="EE77" s="13"/>
      <c r="EF77" s="20"/>
      <c r="EG77" s="21"/>
      <c r="EH77" s="21"/>
      <c r="EI77" s="21"/>
      <c r="EJ77" s="21"/>
      <c r="EK77" s="21"/>
      <c r="ER77" s="13"/>
      <c r="ES77" s="20"/>
      <c r="ET77" s="21"/>
      <c r="EU77" s="21"/>
      <c r="EV77" s="21"/>
      <c r="EW77" s="21"/>
      <c r="EX77" s="21"/>
      <c r="FE77" s="13"/>
      <c r="FF77" s="20"/>
      <c r="FG77" s="21"/>
      <c r="FH77" s="21"/>
      <c r="FI77" s="21"/>
      <c r="FJ77" s="21"/>
      <c r="FK77" s="21"/>
      <c r="FR77" s="13"/>
    </row>
    <row r="78" spans="1:174" x14ac:dyDescent="0.25">
      <c r="E78" s="119" t="s">
        <v>56</v>
      </c>
      <c r="F78" s="120">
        <f t="shared" ref="F78:AK78" si="101">F9+F31+F35+F56</f>
        <v>264.49999999999994</v>
      </c>
      <c r="G78" s="121">
        <f t="shared" si="101"/>
        <v>200.70000000000002</v>
      </c>
      <c r="H78" s="121">
        <f t="shared" si="101"/>
        <v>177.30000000000004</v>
      </c>
      <c r="I78" s="121">
        <f t="shared" si="101"/>
        <v>246.3</v>
      </c>
      <c r="J78" s="121">
        <f t="shared" si="101"/>
        <v>259.60000000000002</v>
      </c>
      <c r="K78" s="121">
        <f t="shared" si="101"/>
        <v>272.59999999999997</v>
      </c>
      <c r="L78" s="121">
        <f t="shared" si="101"/>
        <v>262.60000000000002</v>
      </c>
      <c r="M78" s="121">
        <f t="shared" si="101"/>
        <v>260.10000000000002</v>
      </c>
      <c r="N78" s="121">
        <f t="shared" si="101"/>
        <v>259.2</v>
      </c>
      <c r="O78" s="121">
        <f t="shared" si="101"/>
        <v>0</v>
      </c>
      <c r="P78" s="121">
        <f t="shared" si="101"/>
        <v>0</v>
      </c>
      <c r="Q78" s="121">
        <f t="shared" si="101"/>
        <v>0</v>
      </c>
      <c r="R78" s="122">
        <f t="shared" si="101"/>
        <v>0</v>
      </c>
      <c r="S78" s="121">
        <f t="shared" si="101"/>
        <v>892.5</v>
      </c>
      <c r="T78" s="121">
        <f t="shared" si="101"/>
        <v>863</v>
      </c>
      <c r="U78" s="121">
        <f t="shared" si="101"/>
        <v>860.4</v>
      </c>
      <c r="V78" s="121">
        <f t="shared" si="101"/>
        <v>933.5</v>
      </c>
      <c r="W78" s="121">
        <f t="shared" si="101"/>
        <v>971.8</v>
      </c>
      <c r="X78" s="121">
        <f t="shared" si="101"/>
        <v>990.69999999999982</v>
      </c>
      <c r="Y78" s="121">
        <f t="shared" si="101"/>
        <v>967.8</v>
      </c>
      <c r="Z78" s="121">
        <f t="shared" si="101"/>
        <v>997.5</v>
      </c>
      <c r="AA78" s="121">
        <f t="shared" si="101"/>
        <v>1007.5999999999999</v>
      </c>
      <c r="AB78" s="121">
        <f t="shared" si="101"/>
        <v>0</v>
      </c>
      <c r="AC78" s="121">
        <f t="shared" si="101"/>
        <v>0</v>
      </c>
      <c r="AD78" s="121">
        <f t="shared" si="101"/>
        <v>0</v>
      </c>
      <c r="AE78" s="121">
        <f t="shared" si="101"/>
        <v>0</v>
      </c>
      <c r="AF78" s="120">
        <f t="shared" si="101"/>
        <v>114.59999999999998</v>
      </c>
      <c r="AG78" s="121">
        <f t="shared" si="101"/>
        <v>113.10000000000002</v>
      </c>
      <c r="AH78" s="121">
        <f t="shared" si="101"/>
        <v>117</v>
      </c>
      <c r="AI78" s="121">
        <f t="shared" si="101"/>
        <v>120.6</v>
      </c>
      <c r="AJ78" s="121">
        <f t="shared" si="101"/>
        <v>116.3</v>
      </c>
      <c r="AK78" s="121">
        <f t="shared" si="101"/>
        <v>115.6</v>
      </c>
      <c r="AL78" s="121">
        <f t="shared" ref="AL78:BQ78" si="102">AL9+AL31+AL35+AL56</f>
        <v>120</v>
      </c>
      <c r="AM78" s="121">
        <f t="shared" si="102"/>
        <v>136.19999999999999</v>
      </c>
      <c r="AN78" s="121">
        <f t="shared" si="102"/>
        <v>137.19999999999999</v>
      </c>
      <c r="AO78" s="121">
        <f t="shared" si="102"/>
        <v>0</v>
      </c>
      <c r="AP78" s="121">
        <f t="shared" si="102"/>
        <v>0</v>
      </c>
      <c r="AQ78" s="121">
        <f t="shared" si="102"/>
        <v>0</v>
      </c>
      <c r="AR78" s="122">
        <f t="shared" si="102"/>
        <v>0</v>
      </c>
      <c r="AS78" s="120">
        <f t="shared" si="102"/>
        <v>0</v>
      </c>
      <c r="AT78" s="121">
        <f t="shared" si="102"/>
        <v>0</v>
      </c>
      <c r="AU78" s="121">
        <f t="shared" si="102"/>
        <v>0</v>
      </c>
      <c r="AV78" s="121">
        <f t="shared" si="102"/>
        <v>0</v>
      </c>
      <c r="AW78" s="121">
        <f t="shared" si="102"/>
        <v>0</v>
      </c>
      <c r="AX78" s="121">
        <f t="shared" si="102"/>
        <v>0</v>
      </c>
      <c r="AY78" s="121">
        <f t="shared" si="102"/>
        <v>0</v>
      </c>
      <c r="AZ78" s="121">
        <f t="shared" si="102"/>
        <v>0</v>
      </c>
      <c r="BA78" s="121">
        <f t="shared" si="102"/>
        <v>0</v>
      </c>
      <c r="BB78" s="121">
        <f t="shared" si="102"/>
        <v>0</v>
      </c>
      <c r="BC78" s="121">
        <f t="shared" si="102"/>
        <v>0</v>
      </c>
      <c r="BD78" s="121">
        <f t="shared" si="102"/>
        <v>0</v>
      </c>
      <c r="BE78" s="122">
        <f t="shared" si="102"/>
        <v>0</v>
      </c>
      <c r="BF78" s="120">
        <f t="shared" si="102"/>
        <v>0.3</v>
      </c>
      <c r="BG78" s="121">
        <f t="shared" si="102"/>
        <v>0.7</v>
      </c>
      <c r="BH78" s="121">
        <f t="shared" si="102"/>
        <v>0.2</v>
      </c>
      <c r="BI78" s="121">
        <f t="shared" si="102"/>
        <v>0.8</v>
      </c>
      <c r="BJ78" s="121">
        <f t="shared" si="102"/>
        <v>-1.3</v>
      </c>
      <c r="BK78" s="121">
        <f t="shared" si="102"/>
        <v>-2.1</v>
      </c>
      <c r="BL78" s="121">
        <f t="shared" si="102"/>
        <v>0</v>
      </c>
      <c r="BM78" s="121">
        <f t="shared" si="102"/>
        <v>-1.22</v>
      </c>
      <c r="BN78" s="121">
        <f t="shared" si="102"/>
        <v>-1.4</v>
      </c>
      <c r="BO78" s="121">
        <f t="shared" si="102"/>
        <v>0</v>
      </c>
      <c r="BP78" s="121">
        <f t="shared" si="102"/>
        <v>0</v>
      </c>
      <c r="BQ78" s="121">
        <f t="shared" si="102"/>
        <v>0</v>
      </c>
      <c r="BR78" s="122">
        <f t="shared" ref="BR78:CE78" si="103">BR9+BR31+BR35+BR56</f>
        <v>0</v>
      </c>
      <c r="BS78" s="120">
        <f t="shared" si="103"/>
        <v>0</v>
      </c>
      <c r="BT78" s="121">
        <f t="shared" si="103"/>
        <v>46.000000000000007</v>
      </c>
      <c r="BU78" s="121">
        <f t="shared" si="103"/>
        <v>97.3</v>
      </c>
      <c r="BV78" s="121">
        <f t="shared" si="103"/>
        <v>26.3</v>
      </c>
      <c r="BW78" s="121">
        <f t="shared" si="103"/>
        <v>18.399999999999999</v>
      </c>
      <c r="BX78" s="121">
        <f t="shared" si="103"/>
        <v>0.2</v>
      </c>
      <c r="BY78" s="121">
        <f t="shared" si="103"/>
        <v>0</v>
      </c>
      <c r="BZ78" s="121">
        <f t="shared" si="103"/>
        <v>0</v>
      </c>
      <c r="CA78" s="121">
        <f t="shared" si="103"/>
        <v>0</v>
      </c>
      <c r="CB78" s="121">
        <f t="shared" si="103"/>
        <v>0</v>
      </c>
      <c r="CC78" s="121">
        <f t="shared" si="103"/>
        <v>0</v>
      </c>
      <c r="CD78" s="121">
        <f t="shared" si="103"/>
        <v>0</v>
      </c>
      <c r="CE78" s="122">
        <f t="shared" si="103"/>
        <v>0</v>
      </c>
      <c r="CF78" s="167"/>
      <c r="CG78" s="119"/>
      <c r="CH78" s="119"/>
      <c r="CI78" s="119"/>
      <c r="CJ78" s="119"/>
      <c r="CK78" s="119"/>
      <c r="CL78" s="119"/>
      <c r="CM78" s="166"/>
      <c r="CN78" s="166"/>
      <c r="CO78" s="166"/>
      <c r="CP78" s="166"/>
      <c r="CQ78" s="166"/>
      <c r="CR78" s="244"/>
      <c r="CS78" s="167"/>
      <c r="CT78" s="119"/>
      <c r="CU78" s="119"/>
      <c r="CV78" s="119"/>
      <c r="CW78" s="119"/>
      <c r="CX78" s="119"/>
      <c r="CY78" s="119"/>
      <c r="CZ78" s="119"/>
      <c r="DA78" s="119"/>
      <c r="DB78" s="119"/>
      <c r="DC78" s="119"/>
      <c r="DD78" s="119"/>
      <c r="DE78" s="168"/>
      <c r="DF78" s="167"/>
      <c r="DG78" s="119"/>
      <c r="DH78" s="119"/>
      <c r="DI78" s="119"/>
      <c r="DJ78" s="119"/>
      <c r="DK78" s="119"/>
      <c r="DL78" s="119"/>
      <c r="DM78" s="119"/>
      <c r="DN78" s="119"/>
      <c r="DO78" s="119"/>
      <c r="DP78" s="119"/>
      <c r="DQ78" s="119"/>
      <c r="DR78" s="168"/>
      <c r="DS78" s="99"/>
      <c r="DT78" s="97"/>
      <c r="DU78" s="97"/>
      <c r="DV78" s="97"/>
      <c r="DW78" s="97"/>
      <c r="DX78" s="97"/>
      <c r="DY78" s="97"/>
      <c r="DZ78" s="97"/>
      <c r="EA78" s="97"/>
      <c r="EB78" s="97"/>
      <c r="EC78" s="97"/>
      <c r="ED78" s="97"/>
      <c r="EE78" s="100"/>
      <c r="EF78" s="99"/>
      <c r="EG78" s="97"/>
      <c r="EH78" s="97"/>
      <c r="EI78" s="97"/>
      <c r="EJ78" s="97"/>
      <c r="EK78" s="97"/>
      <c r="EL78" s="97"/>
      <c r="EM78" s="97"/>
      <c r="EN78" s="97"/>
      <c r="EO78" s="97"/>
      <c r="EP78" s="97"/>
      <c r="EQ78" s="97"/>
      <c r="ER78" s="100"/>
      <c r="ES78" s="99"/>
      <c r="ET78" s="97"/>
      <c r="EU78" s="97"/>
      <c r="EV78" s="97"/>
      <c r="EW78" s="97"/>
      <c r="EX78" s="97"/>
      <c r="EY78" s="97"/>
      <c r="EZ78" s="97"/>
      <c r="FA78" s="97"/>
      <c r="FB78" s="97"/>
      <c r="FC78" s="97"/>
      <c r="FD78" s="97"/>
      <c r="FE78" s="100"/>
      <c r="FF78" s="99"/>
      <c r="FG78" s="97"/>
      <c r="FH78" s="97"/>
      <c r="FI78" s="97"/>
      <c r="FJ78" s="97"/>
      <c r="FK78" s="97"/>
      <c r="FL78" s="97"/>
      <c r="FM78" s="97"/>
      <c r="FN78" s="97"/>
      <c r="FO78" s="97"/>
      <c r="FP78" s="97"/>
      <c r="FQ78" s="97"/>
      <c r="FR78" s="100"/>
    </row>
    <row r="79" spans="1:174" x14ac:dyDescent="0.25">
      <c r="Z79" s="103"/>
      <c r="AA79" s="103"/>
      <c r="AB79" s="103"/>
      <c r="AC79" s="103"/>
      <c r="AD79" s="103"/>
      <c r="AE79" s="103"/>
      <c r="BT79" s="4"/>
      <c r="BU79" s="4"/>
      <c r="BV79" s="4"/>
      <c r="BW79" s="4"/>
    </row>
    <row r="82" spans="13:18" x14ac:dyDescent="0.25">
      <c r="M82" s="103"/>
      <c r="N82" s="103"/>
      <c r="O82" s="103"/>
      <c r="P82" s="103"/>
      <c r="Q82" s="103"/>
      <c r="R82" s="103"/>
    </row>
    <row r="85" spans="13:18" x14ac:dyDescent="0.25">
      <c r="M85" s="103"/>
      <c r="N85" s="103"/>
      <c r="O85" s="103"/>
      <c r="P85" s="103"/>
      <c r="Q85" s="103"/>
      <c r="R85" s="103"/>
    </row>
  </sheetData>
  <mergeCells count="13">
    <mergeCell ref="EF4:ER4"/>
    <mergeCell ref="ES4:FE4"/>
    <mergeCell ref="FF4:FR4"/>
    <mergeCell ref="BS4:CE4"/>
    <mergeCell ref="CF4:CR4"/>
    <mergeCell ref="CS4:DE4"/>
    <mergeCell ref="DF4:DR4"/>
    <mergeCell ref="DS4:EE4"/>
    <mergeCell ref="F4:R4"/>
    <mergeCell ref="S4:AE4"/>
    <mergeCell ref="AF4:AR4"/>
    <mergeCell ref="AS4:BE4"/>
    <mergeCell ref="BF4:BR4"/>
  </mergeCells>
  <pageMargins left="0.7" right="0.7" top="0.75" bottom="0.75" header="0.511811023622047" footer="0.511811023622047"/>
  <pageSetup paperSize="8"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zoomScaleNormal="100" workbookViewId="0">
      <selection activeCell="M41" sqref="M41"/>
    </sheetView>
  </sheetViews>
  <sheetFormatPr defaultColWidth="8.625" defaultRowHeight="14.25" x14ac:dyDescent="0.2"/>
  <cols>
    <col min="13" max="13" width="14.625" customWidth="1"/>
  </cols>
  <sheetData>
    <row r="1" spans="1:11" x14ac:dyDescent="0.2">
      <c r="A1" s="245" t="s">
        <v>237</v>
      </c>
      <c r="B1" s="246"/>
      <c r="C1" s="245"/>
      <c r="D1" s="245"/>
      <c r="E1" s="245"/>
      <c r="F1" s="245" t="s">
        <v>238</v>
      </c>
      <c r="G1" s="245"/>
      <c r="H1" s="245"/>
      <c r="I1" s="245"/>
      <c r="J1" s="245"/>
      <c r="K1" s="245"/>
    </row>
    <row r="2" spans="1:11" x14ac:dyDescent="0.2">
      <c r="B2" s="245"/>
      <c r="C2" s="245"/>
      <c r="D2" s="246" t="s">
        <v>239</v>
      </c>
      <c r="E2" s="245"/>
      <c r="F2" s="245"/>
      <c r="G2" s="245"/>
      <c r="H2" s="245"/>
      <c r="I2" s="246" t="s">
        <v>239</v>
      </c>
      <c r="K2" s="245"/>
    </row>
    <row r="3" spans="1:11" x14ac:dyDescent="0.2">
      <c r="B3" s="245" t="s">
        <v>240</v>
      </c>
      <c r="C3" s="245" t="s">
        <v>241</v>
      </c>
      <c r="D3" s="245" t="s">
        <v>242</v>
      </c>
      <c r="E3" s="245" t="s">
        <v>243</v>
      </c>
      <c r="F3" s="245"/>
      <c r="G3" s="245" t="s">
        <v>244</v>
      </c>
      <c r="H3" s="245" t="s">
        <v>245</v>
      </c>
      <c r="I3" s="245" t="s">
        <v>246</v>
      </c>
      <c r="J3" s="245" t="s">
        <v>247</v>
      </c>
      <c r="K3" s="245" t="s">
        <v>248</v>
      </c>
    </row>
    <row r="4" spans="1:11" x14ac:dyDescent="0.2">
      <c r="A4" t="s">
        <v>249</v>
      </c>
      <c r="B4" s="247">
        <v>3.1</v>
      </c>
      <c r="C4" s="248"/>
      <c r="D4" s="248"/>
      <c r="E4" s="248"/>
      <c r="F4" t="s">
        <v>249</v>
      </c>
      <c r="G4" s="247">
        <v>2.9</v>
      </c>
      <c r="H4" s="248"/>
      <c r="I4" s="248"/>
      <c r="J4" s="248"/>
      <c r="K4" s="248"/>
    </row>
    <row r="5" spans="1:11" x14ac:dyDescent="0.2">
      <c r="A5" t="s">
        <v>250</v>
      </c>
      <c r="B5" s="247">
        <v>2.7</v>
      </c>
      <c r="C5" s="248"/>
      <c r="D5" s="248"/>
      <c r="E5" s="248"/>
      <c r="F5" t="s">
        <v>250</v>
      </c>
      <c r="G5" s="247">
        <v>2.6</v>
      </c>
      <c r="H5" s="248"/>
      <c r="I5" s="248"/>
      <c r="J5" s="248"/>
      <c r="K5" s="248"/>
    </row>
    <row r="6" spans="1:11" x14ac:dyDescent="0.2">
      <c r="A6" t="s">
        <v>251</v>
      </c>
      <c r="B6" s="247">
        <v>2.8</v>
      </c>
      <c r="C6" s="248"/>
      <c r="D6" s="248"/>
      <c r="E6" s="248"/>
      <c r="F6" t="s">
        <v>251</v>
      </c>
      <c r="G6" s="247">
        <v>2.5</v>
      </c>
      <c r="H6" s="248"/>
      <c r="I6" s="248"/>
      <c r="J6" s="248"/>
      <c r="K6" s="248"/>
    </row>
    <row r="7" spans="1:11" x14ac:dyDescent="0.2">
      <c r="A7" t="s">
        <v>252</v>
      </c>
      <c r="B7" s="247">
        <v>2</v>
      </c>
      <c r="C7" s="248"/>
      <c r="D7" s="248"/>
      <c r="E7" s="248"/>
      <c r="F7" t="s">
        <v>252</v>
      </c>
      <c r="G7" s="247">
        <v>1.7</v>
      </c>
      <c r="H7" s="248"/>
      <c r="I7" s="248"/>
      <c r="J7" s="248"/>
      <c r="K7" s="248"/>
    </row>
    <row r="8" spans="1:11" x14ac:dyDescent="0.2">
      <c r="A8" t="s">
        <v>253</v>
      </c>
      <c r="B8" s="247">
        <v>2.2999999999999998</v>
      </c>
      <c r="C8" s="248"/>
      <c r="D8" s="248"/>
      <c r="E8" s="248"/>
      <c r="F8" t="s">
        <v>253</v>
      </c>
      <c r="G8" s="247">
        <v>1.8</v>
      </c>
      <c r="H8" s="248"/>
      <c r="I8" s="248"/>
      <c r="J8" s="248"/>
      <c r="K8" s="248"/>
    </row>
    <row r="9" spans="1:11" x14ac:dyDescent="0.2">
      <c r="A9" t="s">
        <v>254</v>
      </c>
      <c r="B9" s="247">
        <v>2</v>
      </c>
      <c r="C9" s="248"/>
      <c r="D9" s="248"/>
      <c r="E9" s="248"/>
      <c r="F9" t="s">
        <v>254</v>
      </c>
      <c r="G9" s="247">
        <v>1.4</v>
      </c>
      <c r="H9" s="248"/>
      <c r="I9" s="248"/>
      <c r="J9" s="248"/>
      <c r="K9" s="248"/>
    </row>
    <row r="10" spans="1:11" x14ac:dyDescent="0.2">
      <c r="A10" t="s">
        <v>255</v>
      </c>
      <c r="B10" s="247">
        <v>2.9</v>
      </c>
      <c r="C10" s="248"/>
      <c r="D10" s="248"/>
      <c r="E10" s="248"/>
      <c r="F10" t="s">
        <v>255</v>
      </c>
      <c r="G10" s="247">
        <v>2.2000000000000002</v>
      </c>
      <c r="H10" s="248"/>
      <c r="I10" s="248"/>
      <c r="J10" s="248"/>
      <c r="K10" s="248"/>
    </row>
    <row r="11" spans="1:11" x14ac:dyDescent="0.2">
      <c r="A11" t="s">
        <v>256</v>
      </c>
      <c r="B11" s="247">
        <v>2.7</v>
      </c>
      <c r="C11" s="248"/>
      <c r="D11" s="248"/>
      <c r="E11" s="248"/>
      <c r="F11" t="s">
        <v>256</v>
      </c>
      <c r="G11" s="247">
        <v>2.2000000000000002</v>
      </c>
      <c r="H11" s="248"/>
      <c r="I11" s="248"/>
      <c r="J11" s="248"/>
      <c r="K11" s="248"/>
    </row>
    <row r="12" spans="1:11" x14ac:dyDescent="0.2">
      <c r="A12" t="s">
        <v>257</v>
      </c>
      <c r="B12" s="247">
        <v>3.1</v>
      </c>
      <c r="C12" s="247">
        <v>3.2</v>
      </c>
      <c r="D12" s="248"/>
      <c r="E12" s="248"/>
      <c r="F12" t="s">
        <v>257</v>
      </c>
      <c r="G12" s="247">
        <v>2.5</v>
      </c>
      <c r="H12" s="247">
        <v>3</v>
      </c>
      <c r="I12" s="248"/>
      <c r="J12" s="248"/>
      <c r="K12" s="248"/>
    </row>
    <row r="13" spans="1:11" x14ac:dyDescent="0.2">
      <c r="A13" t="s">
        <v>258</v>
      </c>
      <c r="B13" s="247">
        <v>2.9</v>
      </c>
      <c r="C13" s="247">
        <v>3</v>
      </c>
      <c r="D13" s="248"/>
      <c r="E13" s="248"/>
      <c r="F13" t="s">
        <v>258</v>
      </c>
      <c r="G13" s="247">
        <v>2.2999999999999998</v>
      </c>
      <c r="H13" s="247">
        <v>2.9</v>
      </c>
      <c r="I13" s="248"/>
      <c r="J13" s="248"/>
      <c r="K13" s="248"/>
    </row>
    <row r="14" spans="1:11" x14ac:dyDescent="0.2">
      <c r="A14" t="s">
        <v>259</v>
      </c>
      <c r="B14" s="247">
        <v>3.2</v>
      </c>
      <c r="C14" s="247">
        <v>3.2</v>
      </c>
      <c r="D14" s="248"/>
      <c r="E14" s="248"/>
      <c r="F14" t="s">
        <v>259</v>
      </c>
      <c r="G14" s="247">
        <v>2.8</v>
      </c>
      <c r="H14" s="247">
        <v>3</v>
      </c>
      <c r="I14" s="248"/>
      <c r="J14" s="248"/>
      <c r="K14" s="248"/>
    </row>
    <row r="15" spans="1:11" x14ac:dyDescent="0.2">
      <c r="A15" t="s">
        <v>260</v>
      </c>
      <c r="B15" s="247">
        <v>3.5</v>
      </c>
      <c r="C15" s="249">
        <v>3.6</v>
      </c>
      <c r="D15" s="250"/>
      <c r="E15" s="250"/>
      <c r="F15" t="s">
        <v>260</v>
      </c>
      <c r="G15" s="247">
        <v>3</v>
      </c>
      <c r="H15" s="249">
        <v>3.3</v>
      </c>
      <c r="I15" s="250"/>
      <c r="J15" s="250"/>
      <c r="K15" s="250"/>
    </row>
    <row r="16" spans="1:11" x14ac:dyDescent="0.2">
      <c r="A16" t="s">
        <v>261</v>
      </c>
      <c r="B16" s="247">
        <v>2.6</v>
      </c>
      <c r="C16" s="249">
        <v>2.6</v>
      </c>
      <c r="D16" s="250"/>
      <c r="E16" s="250"/>
      <c r="F16" t="s">
        <v>261</v>
      </c>
      <c r="G16" s="247">
        <v>2.4</v>
      </c>
      <c r="H16" s="249">
        <v>2.5</v>
      </c>
      <c r="I16" s="250"/>
      <c r="J16" s="250"/>
      <c r="K16" s="250"/>
    </row>
    <row r="17" spans="1:13" x14ac:dyDescent="0.2">
      <c r="A17" t="s">
        <v>262</v>
      </c>
      <c r="B17" s="247">
        <v>3.5</v>
      </c>
      <c r="C17" s="249">
        <v>3.5</v>
      </c>
      <c r="D17" s="250"/>
      <c r="E17" s="250"/>
      <c r="F17" t="s">
        <v>262</v>
      </c>
      <c r="G17" s="247">
        <v>2.4</v>
      </c>
      <c r="H17" s="249">
        <v>3.1</v>
      </c>
      <c r="I17" s="250"/>
      <c r="J17" s="250"/>
      <c r="K17" s="250"/>
    </row>
    <row r="18" spans="1:13" x14ac:dyDescent="0.2">
      <c r="A18" t="s">
        <v>263</v>
      </c>
      <c r="B18" s="247">
        <v>3.3</v>
      </c>
      <c r="C18" s="249">
        <v>3.3</v>
      </c>
      <c r="D18" s="250"/>
      <c r="E18" s="250"/>
      <c r="F18" t="s">
        <v>263</v>
      </c>
      <c r="G18" s="247">
        <v>2.5</v>
      </c>
      <c r="H18" s="247">
        <v>3</v>
      </c>
      <c r="I18" s="248"/>
      <c r="J18" s="248"/>
      <c r="K18" s="248"/>
    </row>
    <row r="19" spans="1:13" x14ac:dyDescent="0.2">
      <c r="A19" t="s">
        <v>264</v>
      </c>
      <c r="B19" s="249">
        <v>2.6</v>
      </c>
      <c r="C19" s="249">
        <v>2.7</v>
      </c>
      <c r="D19" s="250"/>
      <c r="E19" s="250"/>
      <c r="F19" t="s">
        <v>264</v>
      </c>
      <c r="G19" s="249">
        <v>2.1</v>
      </c>
      <c r="H19" s="249">
        <v>2.4</v>
      </c>
      <c r="I19" s="250"/>
      <c r="J19" s="250"/>
      <c r="K19" s="250"/>
    </row>
    <row r="20" spans="1:13" x14ac:dyDescent="0.2">
      <c r="A20" t="s">
        <v>265</v>
      </c>
      <c r="B20" s="249">
        <v>3.6</v>
      </c>
      <c r="C20" s="247">
        <v>3.8</v>
      </c>
      <c r="D20" s="248"/>
      <c r="E20" s="248"/>
      <c r="F20" t="s">
        <v>265</v>
      </c>
      <c r="G20" s="249">
        <v>2.9</v>
      </c>
      <c r="H20" s="247">
        <v>3.3</v>
      </c>
      <c r="I20" s="248"/>
      <c r="J20" s="248"/>
      <c r="K20" s="248"/>
    </row>
    <row r="21" spans="1:13" x14ac:dyDescent="0.2">
      <c r="A21" t="s">
        <v>266</v>
      </c>
      <c r="B21" s="247">
        <v>3.2</v>
      </c>
      <c r="C21" s="247">
        <v>3.4</v>
      </c>
      <c r="D21" s="248"/>
      <c r="E21" s="248"/>
      <c r="F21" t="s">
        <v>267</v>
      </c>
      <c r="G21" s="247">
        <v>2.2000000000000002</v>
      </c>
      <c r="H21" s="249">
        <v>2.7</v>
      </c>
      <c r="I21" s="250"/>
      <c r="J21" s="250"/>
      <c r="K21" s="250"/>
    </row>
    <row r="22" spans="1:13" x14ac:dyDescent="0.2">
      <c r="A22" t="s">
        <v>268</v>
      </c>
      <c r="B22" s="249">
        <v>3.7</v>
      </c>
      <c r="C22" s="249">
        <v>3.8</v>
      </c>
      <c r="D22" s="250"/>
      <c r="E22" s="250"/>
      <c r="F22" t="s">
        <v>268</v>
      </c>
      <c r="G22" s="249">
        <v>2.4</v>
      </c>
      <c r="H22" s="249">
        <v>3.4</v>
      </c>
      <c r="I22" s="250"/>
      <c r="J22" s="250"/>
      <c r="K22" s="250"/>
    </row>
    <row r="23" spans="1:13" x14ac:dyDescent="0.2">
      <c r="A23" t="s">
        <v>269</v>
      </c>
      <c r="B23" s="247">
        <v>3.9</v>
      </c>
      <c r="C23" s="247">
        <v>4</v>
      </c>
      <c r="D23" s="250"/>
      <c r="E23" s="250"/>
      <c r="F23" t="s">
        <v>269</v>
      </c>
      <c r="G23" s="249">
        <v>2.6</v>
      </c>
      <c r="H23" s="250"/>
      <c r="I23" s="249">
        <v>3.3</v>
      </c>
      <c r="J23" s="247">
        <v>2.2999999999999998</v>
      </c>
      <c r="K23" s="248"/>
    </row>
    <row r="24" spans="1:13" x14ac:dyDescent="0.2">
      <c r="A24" s="246" t="s">
        <v>270</v>
      </c>
      <c r="B24" s="247">
        <v>2.9</v>
      </c>
      <c r="C24" s="250"/>
      <c r="D24" s="247">
        <v>2.8</v>
      </c>
      <c r="E24" s="249">
        <v>1.7</v>
      </c>
      <c r="F24" s="246" t="s">
        <v>270</v>
      </c>
      <c r="G24" s="247">
        <v>2.2000000000000002</v>
      </c>
      <c r="H24" s="251"/>
      <c r="I24" s="249">
        <v>2.5</v>
      </c>
      <c r="J24" s="249">
        <v>3.5</v>
      </c>
      <c r="K24" s="247">
        <v>1</v>
      </c>
    </row>
    <row r="25" spans="1:13" x14ac:dyDescent="0.2">
      <c r="A25" s="246" t="s">
        <v>271</v>
      </c>
      <c r="B25" s="247">
        <v>1.3</v>
      </c>
      <c r="C25" s="250"/>
      <c r="D25" s="249">
        <v>1.1000000000000001</v>
      </c>
      <c r="E25" s="249">
        <v>2.9</v>
      </c>
      <c r="F25" s="246" t="s">
        <v>271</v>
      </c>
      <c r="G25" s="249">
        <v>0.2</v>
      </c>
      <c r="H25" s="251"/>
      <c r="I25" s="249">
        <v>0.6</v>
      </c>
      <c r="J25" s="249">
        <v>2.5</v>
      </c>
      <c r="K25" s="249">
        <v>1.8</v>
      </c>
    </row>
    <row r="26" spans="1:13" x14ac:dyDescent="0.2">
      <c r="A26" s="246" t="s">
        <v>272</v>
      </c>
      <c r="B26" s="247">
        <v>2.4</v>
      </c>
      <c r="C26" s="250"/>
      <c r="D26" s="249">
        <v>2.2999999999999998</v>
      </c>
      <c r="E26" s="247">
        <v>2.2999999999999998</v>
      </c>
      <c r="F26" s="246" t="s">
        <v>272</v>
      </c>
      <c r="G26" s="249">
        <v>1.1000000000000001</v>
      </c>
      <c r="H26" s="251"/>
      <c r="I26" s="247">
        <v>1.4</v>
      </c>
      <c r="J26" s="249">
        <v>2.4</v>
      </c>
      <c r="K26" s="249">
        <v>2.5</v>
      </c>
    </row>
    <row r="27" spans="1:13" x14ac:dyDescent="0.2">
      <c r="A27" s="246" t="s">
        <v>273</v>
      </c>
      <c r="B27" s="247">
        <v>1</v>
      </c>
      <c r="C27" s="250"/>
      <c r="D27" s="249">
        <v>0.9</v>
      </c>
      <c r="E27" s="247">
        <v>1.6</v>
      </c>
      <c r="F27" s="246" t="s">
        <v>273</v>
      </c>
      <c r="G27" s="249">
        <v>0.2</v>
      </c>
      <c r="H27" s="251"/>
      <c r="I27" s="247">
        <v>0.6</v>
      </c>
      <c r="J27" s="249">
        <v>0.8</v>
      </c>
      <c r="K27" s="249">
        <v>1.1000000000000001</v>
      </c>
    </row>
    <row r="28" spans="1:13" x14ac:dyDescent="0.2">
      <c r="A28" s="246" t="s">
        <v>274</v>
      </c>
      <c r="B28" s="247">
        <v>1.4</v>
      </c>
      <c r="C28" s="250"/>
      <c r="D28" s="249">
        <v>1.3</v>
      </c>
      <c r="E28" s="247">
        <v>1.6</v>
      </c>
      <c r="F28" s="246" t="s">
        <v>274</v>
      </c>
      <c r="G28" s="249">
        <v>1.1000000000000001</v>
      </c>
      <c r="H28" s="251"/>
      <c r="I28" s="247">
        <v>1.1000000000000001</v>
      </c>
      <c r="J28" s="249">
        <v>0.9</v>
      </c>
      <c r="K28" s="249">
        <v>1.5</v>
      </c>
    </row>
    <row r="29" spans="1:13" x14ac:dyDescent="0.2">
      <c r="A29" s="246" t="s">
        <v>275</v>
      </c>
      <c r="B29" s="247">
        <v>1.4</v>
      </c>
      <c r="C29" s="250"/>
      <c r="D29" s="249">
        <v>1.3</v>
      </c>
      <c r="E29" s="247">
        <v>1.9</v>
      </c>
      <c r="F29" s="246" t="s">
        <v>275</v>
      </c>
      <c r="G29" s="247">
        <v>1</v>
      </c>
      <c r="H29" s="251"/>
      <c r="I29" s="247">
        <v>1.1000000000000001</v>
      </c>
      <c r="J29" s="247">
        <v>0.5</v>
      </c>
      <c r="K29" s="249">
        <v>1.9</v>
      </c>
    </row>
    <row r="30" spans="1:13" x14ac:dyDescent="0.2">
      <c r="A30" s="246" t="s">
        <v>276</v>
      </c>
      <c r="B30" s="247">
        <v>1.4</v>
      </c>
      <c r="C30" s="250"/>
      <c r="D30" s="249">
        <v>1.5</v>
      </c>
      <c r="E30" s="247">
        <v>1.4</v>
      </c>
      <c r="F30" s="246" t="s">
        <v>276</v>
      </c>
      <c r="G30" s="247">
        <v>0.9</v>
      </c>
      <c r="H30" s="251"/>
      <c r="I30" s="247">
        <v>1</v>
      </c>
      <c r="J30" s="249">
        <v>0.8</v>
      </c>
      <c r="K30" s="249">
        <v>1.4</v>
      </c>
    </row>
    <row r="31" spans="1:13" x14ac:dyDescent="0.2">
      <c r="A31" s="246" t="s">
        <v>277</v>
      </c>
      <c r="B31" s="247">
        <v>1.9</v>
      </c>
      <c r="C31" s="250"/>
      <c r="D31" s="247">
        <v>2</v>
      </c>
      <c r="E31" s="247">
        <v>1.1000000000000001</v>
      </c>
      <c r="F31" s="246" t="s">
        <v>277</v>
      </c>
      <c r="G31" s="249">
        <v>1.4</v>
      </c>
      <c r="H31" s="251"/>
      <c r="I31" s="247">
        <v>1.7</v>
      </c>
      <c r="J31" s="249">
        <v>2.2000000000000002</v>
      </c>
      <c r="K31" s="249">
        <v>1.2</v>
      </c>
    </row>
    <row r="32" spans="1:13" x14ac:dyDescent="0.2">
      <c r="A32" s="246" t="s">
        <v>278</v>
      </c>
      <c r="B32" s="247">
        <v>1.3</v>
      </c>
      <c r="C32" s="250"/>
      <c r="D32" s="247">
        <v>1.3</v>
      </c>
      <c r="E32" s="247">
        <v>1.63562329527346</v>
      </c>
      <c r="F32" s="246" t="s">
        <v>278</v>
      </c>
      <c r="G32" s="249">
        <v>1.1000000000000001</v>
      </c>
      <c r="H32" s="251"/>
      <c r="I32" s="247">
        <v>1.2</v>
      </c>
      <c r="J32" s="249">
        <v>2.2000000000000002</v>
      </c>
      <c r="K32" s="249">
        <v>1.5</v>
      </c>
      <c r="M32" t="s">
        <v>279</v>
      </c>
    </row>
    <row r="33" spans="1:13" x14ac:dyDescent="0.2">
      <c r="A33" s="246" t="s">
        <v>280</v>
      </c>
      <c r="B33" s="247">
        <v>1.5</v>
      </c>
      <c r="C33" s="250"/>
      <c r="D33" s="247">
        <v>1.6</v>
      </c>
      <c r="E33" s="247">
        <v>1</v>
      </c>
      <c r="F33" s="246" t="s">
        <v>280</v>
      </c>
      <c r="G33" s="249">
        <v>1.3</v>
      </c>
      <c r="H33" s="251"/>
      <c r="I33" s="247">
        <v>1.2</v>
      </c>
      <c r="J33" s="249">
        <v>1.6</v>
      </c>
      <c r="K33" s="247">
        <v>1</v>
      </c>
      <c r="L33">
        <v>2019</v>
      </c>
      <c r="M33" s="252">
        <v>1</v>
      </c>
    </row>
    <row r="34" spans="1:13" x14ac:dyDescent="0.2">
      <c r="A34" s="246" t="s">
        <v>281</v>
      </c>
      <c r="B34" s="247">
        <v>1.9</v>
      </c>
      <c r="C34" s="250"/>
      <c r="D34" s="247">
        <v>2.1</v>
      </c>
      <c r="E34" s="247">
        <v>1.1000000000000001</v>
      </c>
      <c r="F34" s="246" t="s">
        <v>281</v>
      </c>
      <c r="G34" s="253">
        <v>1.6</v>
      </c>
      <c r="H34" s="251"/>
      <c r="I34" s="247">
        <v>1.8</v>
      </c>
      <c r="J34" s="249">
        <v>0.5</v>
      </c>
      <c r="K34" s="247">
        <v>0.7</v>
      </c>
      <c r="L34">
        <v>2020</v>
      </c>
      <c r="M34" s="252">
        <f t="shared" ref="M34:M40" si="0">+M33*(1+D34/100)</f>
        <v>1.0209999999999999</v>
      </c>
    </row>
    <row r="35" spans="1:13" x14ac:dyDescent="0.2">
      <c r="A35" s="246" t="s">
        <v>282</v>
      </c>
      <c r="B35" s="247">
        <v>1.7</v>
      </c>
      <c r="C35" s="250"/>
      <c r="D35" s="247">
        <v>1.7</v>
      </c>
      <c r="E35" s="247">
        <v>3.4</v>
      </c>
      <c r="F35" s="246" t="s">
        <v>282</v>
      </c>
      <c r="G35" s="253">
        <v>1.2</v>
      </c>
      <c r="H35" s="251"/>
      <c r="I35" s="253">
        <v>1.4</v>
      </c>
      <c r="J35" s="249">
        <v>3.9</v>
      </c>
      <c r="K35" s="247">
        <v>3</v>
      </c>
      <c r="L35">
        <v>2021</v>
      </c>
      <c r="M35" s="252">
        <f t="shared" si="0"/>
        <v>1.0383569999999998</v>
      </c>
    </row>
    <row r="36" spans="1:13" x14ac:dyDescent="0.2">
      <c r="A36" s="246" t="s">
        <v>283</v>
      </c>
      <c r="B36" s="247">
        <v>3.1</v>
      </c>
      <c r="C36" s="250"/>
      <c r="D36" s="247">
        <v>3.7</v>
      </c>
      <c r="E36" s="247">
        <v>8.1</v>
      </c>
      <c r="F36" s="246" t="s">
        <v>283</v>
      </c>
      <c r="G36" s="253">
        <v>3.7</v>
      </c>
      <c r="H36" s="251"/>
      <c r="I36" s="253">
        <v>3.3</v>
      </c>
      <c r="J36" s="249">
        <v>6.6</v>
      </c>
      <c r="K36" s="247">
        <v>8.6</v>
      </c>
      <c r="L36">
        <v>2022</v>
      </c>
      <c r="M36" s="252">
        <f t="shared" si="0"/>
        <v>1.0767762089999997</v>
      </c>
    </row>
    <row r="37" spans="1:13" x14ac:dyDescent="0.2">
      <c r="A37" s="246" t="s">
        <v>284</v>
      </c>
      <c r="B37" s="247">
        <v>2.7</v>
      </c>
      <c r="C37" s="250"/>
      <c r="D37" s="247">
        <v>2.8</v>
      </c>
      <c r="E37" s="247">
        <v>4.0999999999999996</v>
      </c>
      <c r="F37" s="246" t="s">
        <v>284</v>
      </c>
      <c r="G37" s="253">
        <v>3.1</v>
      </c>
      <c r="H37" s="251"/>
      <c r="I37" s="253">
        <v>2.5</v>
      </c>
      <c r="J37" s="249">
        <v>2.9</v>
      </c>
      <c r="K37" s="247">
        <v>4.3</v>
      </c>
      <c r="L37">
        <v>2023</v>
      </c>
      <c r="M37" s="252">
        <f t="shared" si="0"/>
        <v>1.1069259428519997</v>
      </c>
    </row>
    <row r="38" spans="1:13" ht="13.9" x14ac:dyDescent="0.25">
      <c r="A38" s="246" t="s">
        <v>285</v>
      </c>
      <c r="B38" s="247">
        <v>3.7</v>
      </c>
      <c r="C38" s="250"/>
      <c r="D38" s="247">
        <v>4</v>
      </c>
      <c r="E38" s="247">
        <v>2</v>
      </c>
      <c r="F38" s="246" t="s">
        <v>285</v>
      </c>
      <c r="G38" s="253">
        <v>3.5</v>
      </c>
      <c r="H38" s="251"/>
      <c r="I38" s="253">
        <v>3.6</v>
      </c>
      <c r="J38" s="249">
        <v>3.2</v>
      </c>
      <c r="K38" s="247">
        <v>1.8</v>
      </c>
      <c r="L38">
        <v>2024</v>
      </c>
      <c r="M38" s="252">
        <f t="shared" si="0"/>
        <v>1.1512029805660797</v>
      </c>
    </row>
    <row r="39" spans="1:13" ht="13.9" x14ac:dyDescent="0.25">
      <c r="A39" s="246" t="s">
        <v>286</v>
      </c>
      <c r="B39" s="247">
        <v>3.6</v>
      </c>
      <c r="C39" s="250"/>
      <c r="D39" s="247">
        <v>3.7</v>
      </c>
      <c r="E39" s="247">
        <v>2.6</v>
      </c>
      <c r="F39" s="246" t="s">
        <v>287</v>
      </c>
      <c r="G39" s="253">
        <v>3.2</v>
      </c>
      <c r="H39" s="251"/>
      <c r="I39" s="253">
        <v>3.6</v>
      </c>
      <c r="J39" s="249">
        <v>3.1</v>
      </c>
      <c r="K39" s="247">
        <v>2.6</v>
      </c>
      <c r="L39">
        <v>2025</v>
      </c>
      <c r="M39" s="252">
        <f t="shared" si="0"/>
        <v>1.1937974908470246</v>
      </c>
    </row>
    <row r="40" spans="1:13" ht="13.9" x14ac:dyDescent="0.25">
      <c r="A40" s="246" t="s">
        <v>288</v>
      </c>
      <c r="B40" s="247">
        <v>3.4</v>
      </c>
      <c r="C40" s="250"/>
      <c r="D40" s="249">
        <v>3.1</v>
      </c>
      <c r="E40" s="247">
        <v>2.2000000000000002</v>
      </c>
      <c r="F40" s="246" t="s">
        <v>289</v>
      </c>
      <c r="G40" s="253">
        <v>2.2999999999999998</v>
      </c>
      <c r="H40" s="251"/>
      <c r="I40" s="253">
        <v>2.7</v>
      </c>
      <c r="J40" s="249">
        <v>2.6</v>
      </c>
      <c r="K40" s="247">
        <v>2.1</v>
      </c>
      <c r="L40">
        <v>2026</v>
      </c>
      <c r="M40" s="252">
        <f t="shared" si="0"/>
        <v>1.2308052130632823</v>
      </c>
    </row>
    <row r="41" spans="1:13" ht="13.9" x14ac:dyDescent="0.25">
      <c r="A41" s="246"/>
      <c r="B41" s="247"/>
      <c r="C41" s="247"/>
      <c r="D41" s="249"/>
      <c r="E41" s="247"/>
      <c r="F41" s="246"/>
      <c r="L41" t="s">
        <v>290</v>
      </c>
    </row>
    <row r="42" spans="1:13" ht="13.9" x14ac:dyDescent="0.25">
      <c r="A42" s="246" t="s">
        <v>291</v>
      </c>
      <c r="F42" s="246" t="s">
        <v>292</v>
      </c>
    </row>
    <row r="43" spans="1:13" ht="13.9" x14ac:dyDescent="0.25">
      <c r="A43" s="246" t="s">
        <v>293</v>
      </c>
    </row>
    <row r="44" spans="1:13" ht="13.9" x14ac:dyDescent="0.25">
      <c r="A44" t="s">
        <v>294</v>
      </c>
    </row>
  </sheetData>
  <pageMargins left="0.7" right="0.7" top="0.75" bottom="0.75"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DK85"/>
  <sheetViews>
    <sheetView showGridLines="0" zoomScale="85" zoomScaleNormal="85" workbookViewId="0">
      <pane xSplit="5" ySplit="5" topLeftCell="F6" activePane="bottomRight" state="frozen"/>
      <selection pane="topRight" activeCell="F1" sqref="F1"/>
      <selection pane="bottomLeft" activeCell="A6" sqref="A6"/>
      <selection pane="bottomRight" activeCell="U91" sqref="U91"/>
    </sheetView>
  </sheetViews>
  <sheetFormatPr defaultColWidth="9" defaultRowHeight="15.75" outlineLevelCol="1" x14ac:dyDescent="0.25"/>
  <cols>
    <col min="1" max="3" width="9" style="2" hidden="1" outlineLevel="1"/>
    <col min="4" max="4" width="9" style="75" hidden="1" outlineLevel="1"/>
    <col min="5" max="5" width="32.625" style="2" customWidth="1"/>
    <col min="6" max="12" width="8.625" style="2" customWidth="1"/>
    <col min="13" max="13" width="7.75" style="2" customWidth="1"/>
    <col min="14" max="20" width="8.625" style="2" customWidth="1"/>
    <col min="21" max="21" width="10.875" style="2" customWidth="1"/>
    <col min="22" max="59" width="8.625" style="2" customWidth="1"/>
    <col min="60" max="77" width="8.625" style="2" customWidth="1" outlineLevel="1"/>
    <col min="78" max="78" width="12.375" style="2" customWidth="1"/>
    <col min="79" max="107" width="8.625" style="2" customWidth="1"/>
    <col min="108" max="111" width="7" style="2" customWidth="1"/>
    <col min="112" max="112" width="8" style="2" customWidth="1"/>
    <col min="113" max="115" width="7" style="2" customWidth="1"/>
    <col min="116" max="117" width="9" style="2"/>
    <col min="118" max="123" width="5.75" style="2" customWidth="1"/>
    <col min="124" max="129" width="2.25" style="2" customWidth="1"/>
    <col min="130" max="16384" width="9" style="2"/>
  </cols>
  <sheetData>
    <row r="1" spans="4:115" x14ac:dyDescent="0.25">
      <c r="E1" s="4"/>
    </row>
    <row r="2" spans="4:115" x14ac:dyDescent="0.25">
      <c r="F2" s="3"/>
      <c r="G2" s="3"/>
      <c r="H2" s="3"/>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row>
    <row r="3" spans="4:115" x14ac:dyDescent="0.25">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row>
    <row r="4" spans="4:115" s="77" customFormat="1" ht="40.5" customHeight="1" x14ac:dyDescent="0.25">
      <c r="D4" s="78"/>
      <c r="E4" s="127" t="s">
        <v>224</v>
      </c>
      <c r="F4" s="321" t="s">
        <v>26</v>
      </c>
      <c r="G4" s="321"/>
      <c r="H4" s="321"/>
      <c r="I4" s="321"/>
      <c r="J4" s="321"/>
      <c r="K4" s="321"/>
      <c r="L4" s="321"/>
      <c r="M4" s="321"/>
      <c r="N4" s="321"/>
      <c r="O4" s="321" t="s">
        <v>27</v>
      </c>
      <c r="P4" s="321"/>
      <c r="Q4" s="321"/>
      <c r="R4" s="321"/>
      <c r="S4" s="321"/>
      <c r="T4" s="321"/>
      <c r="U4" s="321"/>
      <c r="V4" s="321"/>
      <c r="W4" s="321"/>
      <c r="X4" s="324" t="s">
        <v>28</v>
      </c>
      <c r="Y4" s="324"/>
      <c r="Z4" s="324"/>
      <c r="AA4" s="324"/>
      <c r="AB4" s="324"/>
      <c r="AC4" s="324"/>
      <c r="AD4" s="324"/>
      <c r="AE4" s="324"/>
      <c r="AF4" s="324"/>
      <c r="AG4" s="321" t="s">
        <v>29</v>
      </c>
      <c r="AH4" s="321"/>
      <c r="AI4" s="321"/>
      <c r="AJ4" s="321"/>
      <c r="AK4" s="321"/>
      <c r="AL4" s="321"/>
      <c r="AM4" s="321"/>
      <c r="AN4" s="321"/>
      <c r="AO4" s="321"/>
      <c r="AP4" s="324" t="s">
        <v>30</v>
      </c>
      <c r="AQ4" s="324"/>
      <c r="AR4" s="324"/>
      <c r="AS4" s="324"/>
      <c r="AT4" s="324"/>
      <c r="AU4" s="324"/>
      <c r="AV4" s="324"/>
      <c r="AW4" s="324"/>
      <c r="AX4" s="324"/>
      <c r="AY4" s="321" t="s">
        <v>31</v>
      </c>
      <c r="AZ4" s="321"/>
      <c r="BA4" s="321"/>
      <c r="BB4" s="321"/>
      <c r="BC4" s="321"/>
      <c r="BD4" s="321"/>
      <c r="BE4" s="321"/>
      <c r="BF4" s="321"/>
      <c r="BG4" s="321"/>
      <c r="BH4" s="324" t="s">
        <v>32</v>
      </c>
      <c r="BI4" s="324"/>
      <c r="BJ4" s="324"/>
      <c r="BK4" s="324"/>
      <c r="BL4" s="324"/>
      <c r="BM4" s="324"/>
      <c r="BN4" s="324"/>
      <c r="BO4" s="324"/>
      <c r="BP4" s="324"/>
      <c r="BQ4" s="321" t="s">
        <v>33</v>
      </c>
      <c r="BR4" s="321"/>
      <c r="BS4" s="321"/>
      <c r="BT4" s="321"/>
      <c r="BU4" s="321"/>
      <c r="BV4" s="321"/>
      <c r="BW4" s="321"/>
      <c r="BX4" s="321"/>
      <c r="BY4" s="321"/>
      <c r="BZ4" s="321" t="s">
        <v>34</v>
      </c>
      <c r="CA4" s="321"/>
      <c r="CB4" s="321"/>
      <c r="CC4" s="321"/>
      <c r="CD4" s="321"/>
      <c r="CE4" s="321"/>
      <c r="CF4" s="321"/>
      <c r="CG4" s="321"/>
      <c r="CH4" s="321"/>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54"/>
    </row>
    <row r="5" spans="4:115" x14ac:dyDescent="0.25">
      <c r="E5" s="128"/>
      <c r="F5" s="81" t="s">
        <v>310</v>
      </c>
      <c r="G5" s="80" t="s">
        <v>311</v>
      </c>
      <c r="H5" s="80" t="s">
        <v>312</v>
      </c>
      <c r="I5" s="10" t="s">
        <v>313</v>
      </c>
      <c r="J5" s="10" t="s">
        <v>314</v>
      </c>
      <c r="K5" s="10" t="s">
        <v>315</v>
      </c>
      <c r="L5" s="10" t="s">
        <v>316</v>
      </c>
      <c r="M5" s="10" t="s">
        <v>317</v>
      </c>
      <c r="N5" s="10" t="s">
        <v>43</v>
      </c>
      <c r="O5" s="81" t="s">
        <v>310</v>
      </c>
      <c r="P5" s="80" t="s">
        <v>311</v>
      </c>
      <c r="Q5" s="80" t="s">
        <v>312</v>
      </c>
      <c r="R5" s="10" t="s">
        <v>313</v>
      </c>
      <c r="S5" s="10" t="s">
        <v>314</v>
      </c>
      <c r="T5" s="10" t="s">
        <v>315</v>
      </c>
      <c r="U5" s="10" t="s">
        <v>316</v>
      </c>
      <c r="V5" s="10" t="s">
        <v>317</v>
      </c>
      <c r="W5" s="11" t="s">
        <v>43</v>
      </c>
      <c r="X5" s="10" t="s">
        <v>310</v>
      </c>
      <c r="Y5" s="80" t="s">
        <v>311</v>
      </c>
      <c r="Z5" s="80" t="s">
        <v>312</v>
      </c>
      <c r="AA5" s="10" t="s">
        <v>313</v>
      </c>
      <c r="AB5" s="10" t="s">
        <v>314</v>
      </c>
      <c r="AC5" s="10" t="s">
        <v>315</v>
      </c>
      <c r="AD5" s="10" t="s">
        <v>316</v>
      </c>
      <c r="AE5" s="10" t="s">
        <v>317</v>
      </c>
      <c r="AF5" s="10" t="s">
        <v>43</v>
      </c>
      <c r="AG5" s="81" t="s">
        <v>310</v>
      </c>
      <c r="AH5" s="80" t="s">
        <v>311</v>
      </c>
      <c r="AI5" s="80" t="s">
        <v>312</v>
      </c>
      <c r="AJ5" s="10" t="s">
        <v>313</v>
      </c>
      <c r="AK5" s="10" t="s">
        <v>314</v>
      </c>
      <c r="AL5" s="10" t="s">
        <v>315</v>
      </c>
      <c r="AM5" s="10" t="s">
        <v>316</v>
      </c>
      <c r="AN5" s="10" t="s">
        <v>317</v>
      </c>
      <c r="AO5" s="11" t="s">
        <v>43</v>
      </c>
      <c r="AP5" s="10" t="s">
        <v>310</v>
      </c>
      <c r="AQ5" s="80" t="s">
        <v>311</v>
      </c>
      <c r="AR5" s="80" t="s">
        <v>312</v>
      </c>
      <c r="AS5" s="10" t="s">
        <v>313</v>
      </c>
      <c r="AT5" s="10" t="s">
        <v>314</v>
      </c>
      <c r="AU5" s="10" t="s">
        <v>315</v>
      </c>
      <c r="AV5" s="10" t="s">
        <v>316</v>
      </c>
      <c r="AW5" s="10" t="s">
        <v>317</v>
      </c>
      <c r="AX5" s="10" t="s">
        <v>43</v>
      </c>
      <c r="AY5" s="81" t="s">
        <v>310</v>
      </c>
      <c r="AZ5" s="80" t="s">
        <v>311</v>
      </c>
      <c r="BA5" s="80" t="s">
        <v>312</v>
      </c>
      <c r="BB5" s="10" t="s">
        <v>313</v>
      </c>
      <c r="BC5" s="10" t="s">
        <v>314</v>
      </c>
      <c r="BD5" s="10" t="s">
        <v>315</v>
      </c>
      <c r="BE5" s="10" t="s">
        <v>316</v>
      </c>
      <c r="BF5" s="10" t="s">
        <v>317</v>
      </c>
      <c r="BG5" s="11" t="s">
        <v>43</v>
      </c>
      <c r="BH5" s="10" t="s">
        <v>310</v>
      </c>
      <c r="BI5" s="80" t="s">
        <v>311</v>
      </c>
      <c r="BJ5" s="80" t="s">
        <v>312</v>
      </c>
      <c r="BK5" s="10" t="s">
        <v>313</v>
      </c>
      <c r="BL5" s="10" t="s">
        <v>314</v>
      </c>
      <c r="BM5" s="10" t="s">
        <v>315</v>
      </c>
      <c r="BN5" s="10" t="s">
        <v>316</v>
      </c>
      <c r="BO5" s="10" t="s">
        <v>317</v>
      </c>
      <c r="BP5" s="11" t="s">
        <v>43</v>
      </c>
      <c r="BQ5" s="81" t="s">
        <v>310</v>
      </c>
      <c r="BR5" s="80" t="s">
        <v>311</v>
      </c>
      <c r="BS5" s="80" t="s">
        <v>312</v>
      </c>
      <c r="BT5" s="10" t="s">
        <v>313</v>
      </c>
      <c r="BU5" s="10" t="s">
        <v>314</v>
      </c>
      <c r="BV5" s="10" t="s">
        <v>315</v>
      </c>
      <c r="BW5" s="10" t="s">
        <v>316</v>
      </c>
      <c r="BX5" s="10" t="s">
        <v>317</v>
      </c>
      <c r="BY5" s="11" t="s">
        <v>43</v>
      </c>
      <c r="BZ5" s="81" t="s">
        <v>310</v>
      </c>
      <c r="CA5" s="80" t="s">
        <v>311</v>
      </c>
      <c r="CB5" s="80" t="s">
        <v>312</v>
      </c>
      <c r="CC5" s="10" t="s">
        <v>313</v>
      </c>
      <c r="CD5" s="10" t="s">
        <v>314</v>
      </c>
      <c r="CE5" s="10" t="s">
        <v>315</v>
      </c>
      <c r="CF5" s="10" t="s">
        <v>316</v>
      </c>
      <c r="CG5" s="10" t="s">
        <v>317</v>
      </c>
      <c r="CH5" s="157" t="s">
        <v>43</v>
      </c>
      <c r="DK5" s="255"/>
    </row>
    <row r="6" spans="4:115" ht="16.5" customHeight="1" x14ac:dyDescent="0.25">
      <c r="E6" s="132" t="s">
        <v>44</v>
      </c>
      <c r="F6" s="86">
        <f t="shared" ref="F6:N6" si="0">F9+F31+F35+F56</f>
        <v>0</v>
      </c>
      <c r="G6" s="86">
        <f t="shared" si="0"/>
        <v>0</v>
      </c>
      <c r="H6" s="86">
        <f t="shared" si="0"/>
        <v>0</v>
      </c>
      <c r="I6" s="86">
        <f t="shared" si="0"/>
        <v>0</v>
      </c>
      <c r="J6" s="86">
        <f t="shared" si="0"/>
        <v>0</v>
      </c>
      <c r="K6" s="86">
        <f t="shared" si="0"/>
        <v>0</v>
      </c>
      <c r="L6" s="86">
        <f t="shared" si="0"/>
        <v>0</v>
      </c>
      <c r="M6" s="86">
        <f t="shared" si="0"/>
        <v>0</v>
      </c>
      <c r="N6" s="86">
        <f t="shared" si="0"/>
        <v>0</v>
      </c>
      <c r="O6" s="85">
        <f>O9+O31+O35+O56</f>
        <v>0</v>
      </c>
      <c r="P6" s="86">
        <f t="shared" ref="P6:W6" si="1">P9+P31+P35+P56</f>
        <v>0</v>
      </c>
      <c r="Q6" s="86">
        <f t="shared" si="1"/>
        <v>0</v>
      </c>
      <c r="R6" s="86">
        <f t="shared" si="1"/>
        <v>0</v>
      </c>
      <c r="S6" s="86">
        <f t="shared" si="1"/>
        <v>0</v>
      </c>
      <c r="T6" s="86">
        <f t="shared" si="1"/>
        <v>0</v>
      </c>
      <c r="U6" s="86">
        <f t="shared" si="1"/>
        <v>0</v>
      </c>
      <c r="V6" s="86">
        <f t="shared" si="1"/>
        <v>0</v>
      </c>
      <c r="W6" s="87">
        <f t="shared" si="1"/>
        <v>0</v>
      </c>
      <c r="X6" s="86">
        <f t="shared" ref="X6:AX6" si="2">X56</f>
        <v>0</v>
      </c>
      <c r="Y6" s="86">
        <f t="shared" si="2"/>
        <v>0</v>
      </c>
      <c r="Z6" s="86">
        <f t="shared" si="2"/>
        <v>0</v>
      </c>
      <c r="AA6" s="86">
        <f t="shared" si="2"/>
        <v>0</v>
      </c>
      <c r="AB6" s="86">
        <f t="shared" si="2"/>
        <v>0</v>
      </c>
      <c r="AC6" s="86">
        <f t="shared" si="2"/>
        <v>0</v>
      </c>
      <c r="AD6" s="86">
        <f t="shared" si="2"/>
        <v>0</v>
      </c>
      <c r="AE6" s="86">
        <f t="shared" si="2"/>
        <v>0</v>
      </c>
      <c r="AF6" s="86">
        <f t="shared" si="2"/>
        <v>0</v>
      </c>
      <c r="AG6" s="85">
        <f t="shared" si="2"/>
        <v>0</v>
      </c>
      <c r="AH6" s="86">
        <f t="shared" si="2"/>
        <v>0</v>
      </c>
      <c r="AI6" s="86">
        <f t="shared" si="2"/>
        <v>0</v>
      </c>
      <c r="AJ6" s="86">
        <f t="shared" si="2"/>
        <v>0</v>
      </c>
      <c r="AK6" s="86">
        <f t="shared" si="2"/>
        <v>0</v>
      </c>
      <c r="AL6" s="86">
        <f t="shared" si="2"/>
        <v>0</v>
      </c>
      <c r="AM6" s="86">
        <f t="shared" si="2"/>
        <v>0</v>
      </c>
      <c r="AN6" s="86">
        <f t="shared" si="2"/>
        <v>0</v>
      </c>
      <c r="AO6" s="87">
        <f t="shared" si="2"/>
        <v>0</v>
      </c>
      <c r="AP6" s="86">
        <f t="shared" si="2"/>
        <v>0</v>
      </c>
      <c r="AQ6" s="86">
        <f t="shared" si="2"/>
        <v>0</v>
      </c>
      <c r="AR6" s="86">
        <f t="shared" si="2"/>
        <v>0</v>
      </c>
      <c r="AS6" s="86">
        <f t="shared" si="2"/>
        <v>0</v>
      </c>
      <c r="AT6" s="86">
        <f t="shared" si="2"/>
        <v>0</v>
      </c>
      <c r="AU6" s="86">
        <f t="shared" si="2"/>
        <v>0</v>
      </c>
      <c r="AV6" s="86">
        <f t="shared" si="2"/>
        <v>0</v>
      </c>
      <c r="AW6" s="86">
        <f t="shared" si="2"/>
        <v>0</v>
      </c>
      <c r="AX6" s="86">
        <f t="shared" si="2"/>
        <v>0</v>
      </c>
      <c r="AY6" s="30">
        <v>0</v>
      </c>
      <c r="AZ6" s="31">
        <f>AZ9+AZ31+AZ35+AZ56</f>
        <v>0</v>
      </c>
      <c r="BA6" s="31">
        <f>BA9+BA31+BA35+BA56</f>
        <v>0</v>
      </c>
      <c r="BB6" s="31">
        <f>BB9+BB31+BB35+BB56</f>
        <v>0</v>
      </c>
      <c r="BC6" s="31">
        <f>BC9+BC31+BC35+BC56</f>
        <v>0</v>
      </c>
      <c r="BD6" s="31"/>
      <c r="BE6" s="31"/>
      <c r="BF6" s="31"/>
      <c r="BG6" s="88"/>
      <c r="BH6" s="30">
        <f t="shared" ref="BH6:BP6" si="3">+AP6+AG6+X6+O6</f>
        <v>0</v>
      </c>
      <c r="BI6" s="31">
        <f t="shared" si="3"/>
        <v>0</v>
      </c>
      <c r="BJ6" s="31">
        <f t="shared" si="3"/>
        <v>0</v>
      </c>
      <c r="BK6" s="31">
        <f t="shared" si="3"/>
        <v>0</v>
      </c>
      <c r="BL6" s="31">
        <f t="shared" si="3"/>
        <v>0</v>
      </c>
      <c r="BM6" s="31">
        <f t="shared" si="3"/>
        <v>0</v>
      </c>
      <c r="BN6" s="31">
        <f t="shared" si="3"/>
        <v>0</v>
      </c>
      <c r="BO6" s="31">
        <f t="shared" si="3"/>
        <v>0</v>
      </c>
      <c r="BP6" s="88">
        <f t="shared" si="3"/>
        <v>0</v>
      </c>
      <c r="BQ6" s="30">
        <f t="shared" ref="BQ6:BY6" si="4">+BH6-AY6-F6</f>
        <v>0</v>
      </c>
      <c r="BR6" s="31">
        <f t="shared" si="4"/>
        <v>0</v>
      </c>
      <c r="BS6" s="31">
        <f t="shared" si="4"/>
        <v>0</v>
      </c>
      <c r="BT6" s="31">
        <f t="shared" si="4"/>
        <v>0</v>
      </c>
      <c r="BU6" s="31">
        <f t="shared" si="4"/>
        <v>0</v>
      </c>
      <c r="BV6" s="31">
        <f t="shared" si="4"/>
        <v>0</v>
      </c>
      <c r="BW6" s="31">
        <f t="shared" si="4"/>
        <v>0</v>
      </c>
      <c r="BX6" s="31">
        <f t="shared" si="4"/>
        <v>0</v>
      </c>
      <c r="BY6" s="88">
        <f t="shared" si="4"/>
        <v>0</v>
      </c>
      <c r="BZ6" s="32">
        <f t="shared" ref="BZ6:CH6" si="5">IFERROR(X6/BH6,0)</f>
        <v>0</v>
      </c>
      <c r="CA6" s="33">
        <f t="shared" si="5"/>
        <v>0</v>
      </c>
      <c r="CB6" s="33">
        <f t="shared" si="5"/>
        <v>0</v>
      </c>
      <c r="CC6" s="33">
        <f t="shared" si="5"/>
        <v>0</v>
      </c>
      <c r="CD6" s="33">
        <f t="shared" si="5"/>
        <v>0</v>
      </c>
      <c r="CE6" s="33">
        <f t="shared" si="5"/>
        <v>0</v>
      </c>
      <c r="CF6" s="33">
        <f t="shared" si="5"/>
        <v>0</v>
      </c>
      <c r="CG6" s="33">
        <f t="shared" si="5"/>
        <v>0</v>
      </c>
      <c r="CH6" s="34">
        <f t="shared" si="5"/>
        <v>0</v>
      </c>
      <c r="DK6" s="256"/>
    </row>
    <row r="7" spans="4:115" ht="16.5" customHeight="1" x14ac:dyDescent="0.25">
      <c r="O7" s="91"/>
      <c r="W7" s="13"/>
      <c r="AG7" s="91"/>
      <c r="AO7" s="13"/>
      <c r="AY7" s="91"/>
      <c r="BG7" s="13"/>
      <c r="CH7" s="13"/>
    </row>
    <row r="8" spans="4:115" x14ac:dyDescent="0.25">
      <c r="O8" s="91"/>
      <c r="W8" s="13"/>
      <c r="AG8" s="91"/>
      <c r="AO8" s="13"/>
      <c r="AY8" s="91"/>
      <c r="BG8" s="13"/>
      <c r="CH8" s="13"/>
    </row>
    <row r="9" spans="4:115" s="4" customFormat="1" ht="18.75" customHeight="1" x14ac:dyDescent="0.3">
      <c r="D9" s="92"/>
      <c r="E9" s="93" t="s">
        <v>51</v>
      </c>
      <c r="F9" s="95">
        <v>0</v>
      </c>
      <c r="G9" s="95">
        <v>0</v>
      </c>
      <c r="H9" s="95">
        <v>0</v>
      </c>
      <c r="I9" s="95">
        <v>0</v>
      </c>
      <c r="J9" s="95">
        <v>0</v>
      </c>
      <c r="K9" s="95">
        <v>0</v>
      </c>
      <c r="L9" s="95">
        <f>SUM(L10:L28)</f>
        <v>0</v>
      </c>
      <c r="M9" s="95">
        <f>SUM(M10:M28)</f>
        <v>0</v>
      </c>
      <c r="N9" s="96">
        <f>SUM(N10:N28)</f>
        <v>0</v>
      </c>
      <c r="O9" s="95">
        <f t="shared" ref="O9:W9" si="6">SUM(O10:O29)</f>
        <v>0</v>
      </c>
      <c r="P9" s="95">
        <f t="shared" si="6"/>
        <v>0</v>
      </c>
      <c r="Q9" s="95">
        <f t="shared" si="6"/>
        <v>0</v>
      </c>
      <c r="R9" s="95">
        <f t="shared" si="6"/>
        <v>0</v>
      </c>
      <c r="S9" s="95">
        <f t="shared" si="6"/>
        <v>0</v>
      </c>
      <c r="T9" s="95">
        <f t="shared" si="6"/>
        <v>0</v>
      </c>
      <c r="U9" s="95">
        <f t="shared" si="6"/>
        <v>0</v>
      </c>
      <c r="V9" s="95">
        <f t="shared" si="6"/>
        <v>0</v>
      </c>
      <c r="W9" s="96">
        <f t="shared" si="6"/>
        <v>0</v>
      </c>
      <c r="X9" s="97"/>
      <c r="Y9" s="97"/>
      <c r="Z9" s="97"/>
      <c r="AA9" s="97"/>
      <c r="AB9" s="98"/>
      <c r="AC9" s="98"/>
      <c r="AD9" s="98"/>
      <c r="AE9" s="98"/>
      <c r="AF9" s="98"/>
      <c r="AG9" s="99"/>
      <c r="AH9" s="97"/>
      <c r="AI9" s="97"/>
      <c r="AJ9" s="97"/>
      <c r="AK9" s="97"/>
      <c r="AL9" s="97"/>
      <c r="AM9" s="97"/>
      <c r="AN9" s="97"/>
      <c r="AO9" s="100"/>
      <c r="AP9" s="97"/>
      <c r="AQ9" s="97"/>
      <c r="AR9" s="97"/>
      <c r="AS9" s="97"/>
      <c r="AT9" s="97"/>
      <c r="AU9" s="97"/>
      <c r="AV9" s="97"/>
      <c r="AW9" s="97"/>
      <c r="AX9" s="97"/>
      <c r="AY9" s="99"/>
      <c r="AZ9" s="97"/>
      <c r="BA9" s="97"/>
      <c r="BB9" s="97"/>
      <c r="BC9" s="97"/>
      <c r="BD9" s="97"/>
      <c r="BE9" s="97"/>
      <c r="BF9" s="97"/>
      <c r="BG9" s="100"/>
      <c r="CH9" s="102"/>
    </row>
    <row r="10" spans="4:115" x14ac:dyDescent="0.25">
      <c r="L10" s="103"/>
      <c r="M10" s="103"/>
      <c r="N10" s="103"/>
      <c r="O10" s="91"/>
      <c r="U10" s="103"/>
      <c r="V10" s="103"/>
      <c r="W10" s="104"/>
      <c r="AB10" s="15"/>
      <c r="AC10" s="15"/>
      <c r="AD10" s="15"/>
      <c r="AE10" s="15"/>
      <c r="AF10" s="15"/>
      <c r="AG10" s="91"/>
      <c r="AO10" s="13"/>
      <c r="AY10" s="91"/>
      <c r="BG10" s="13"/>
      <c r="CH10" s="13"/>
    </row>
    <row r="11" spans="4:115" x14ac:dyDescent="0.25">
      <c r="L11" s="103"/>
      <c r="M11" s="103"/>
      <c r="N11" s="103"/>
      <c r="O11" s="91"/>
      <c r="U11" s="103"/>
      <c r="V11" s="103"/>
      <c r="W11" s="104"/>
      <c r="AB11" s="15"/>
      <c r="AC11" s="15"/>
      <c r="AD11" s="15"/>
      <c r="AE11" s="15"/>
      <c r="AF11" s="15"/>
      <c r="AG11" s="91"/>
      <c r="AO11" s="13"/>
      <c r="AY11" s="91"/>
      <c r="BG11" s="13"/>
      <c r="CH11" s="13"/>
    </row>
    <row r="12" spans="4:115" x14ac:dyDescent="0.25">
      <c r="L12" s="103"/>
      <c r="M12" s="103"/>
      <c r="N12" s="103"/>
      <c r="O12" s="91"/>
      <c r="U12" s="103"/>
      <c r="V12" s="103"/>
      <c r="W12" s="104"/>
      <c r="AB12" s="15"/>
      <c r="AC12" s="15"/>
      <c r="AD12" s="15"/>
      <c r="AE12" s="15"/>
      <c r="AF12" s="15"/>
      <c r="AG12" s="91"/>
      <c r="AO12" s="13"/>
      <c r="AY12" s="91"/>
      <c r="BG12" s="13"/>
      <c r="CH12" s="13"/>
    </row>
    <row r="13" spans="4:115" x14ac:dyDescent="0.25">
      <c r="L13" s="103"/>
      <c r="M13" s="103"/>
      <c r="N13" s="103"/>
      <c r="O13" s="91"/>
      <c r="U13" s="103"/>
      <c r="V13" s="103"/>
      <c r="W13" s="104"/>
      <c r="AB13" s="15"/>
      <c r="AC13" s="15"/>
      <c r="AD13" s="15"/>
      <c r="AE13" s="15"/>
      <c r="AF13" s="15"/>
      <c r="AG13" s="91"/>
      <c r="AO13" s="13"/>
      <c r="AY13" s="91"/>
      <c r="BG13" s="13"/>
      <c r="CH13" s="13"/>
    </row>
    <row r="14" spans="4:115" x14ac:dyDescent="0.25">
      <c r="L14" s="103"/>
      <c r="M14" s="103"/>
      <c r="N14" s="103"/>
      <c r="O14" s="91"/>
      <c r="U14" s="103"/>
      <c r="V14" s="103"/>
      <c r="W14" s="104"/>
      <c r="AB14" s="15"/>
      <c r="AC14" s="15"/>
      <c r="AD14" s="15"/>
      <c r="AE14" s="15"/>
      <c r="AF14" s="15"/>
      <c r="AG14" s="91"/>
      <c r="AO14" s="13"/>
      <c r="AY14" s="91"/>
      <c r="BG14" s="13"/>
      <c r="CH14" s="13"/>
    </row>
    <row r="15" spans="4:115" x14ac:dyDescent="0.25">
      <c r="L15" s="103"/>
      <c r="M15" s="103"/>
      <c r="N15" s="103"/>
      <c r="O15" s="91"/>
      <c r="U15" s="103"/>
      <c r="V15" s="103"/>
      <c r="W15" s="104"/>
      <c r="AB15" s="15"/>
      <c r="AC15" s="15"/>
      <c r="AD15" s="15"/>
      <c r="AE15" s="15"/>
      <c r="AF15" s="15"/>
      <c r="AG15" s="91"/>
      <c r="AO15" s="13"/>
      <c r="AY15" s="91"/>
      <c r="BG15" s="13"/>
      <c r="CH15" s="13"/>
    </row>
    <row r="16" spans="4:115" x14ac:dyDescent="0.25">
      <c r="L16" s="103"/>
      <c r="M16" s="103"/>
      <c r="N16" s="103"/>
      <c r="O16" s="91"/>
      <c r="U16" s="103"/>
      <c r="V16" s="103"/>
      <c r="W16" s="104"/>
      <c r="AB16" s="15"/>
      <c r="AC16" s="15"/>
      <c r="AD16" s="15"/>
      <c r="AE16" s="15"/>
      <c r="AF16" s="15"/>
      <c r="AG16" s="91"/>
      <c r="AO16" s="13"/>
      <c r="AY16" s="91"/>
      <c r="BG16" s="13"/>
      <c r="CH16" s="13"/>
    </row>
    <row r="17" spans="4:86" x14ac:dyDescent="0.25">
      <c r="L17" s="103"/>
      <c r="M17" s="103"/>
      <c r="N17" s="103"/>
      <c r="O17" s="91"/>
      <c r="U17" s="103"/>
      <c r="V17" s="103"/>
      <c r="W17" s="104"/>
      <c r="AB17" s="15"/>
      <c r="AC17" s="15"/>
      <c r="AD17" s="15"/>
      <c r="AE17" s="15"/>
      <c r="AF17" s="15"/>
      <c r="AG17" s="91"/>
      <c r="AO17" s="13"/>
      <c r="AY17" s="91"/>
      <c r="BG17" s="13"/>
      <c r="CH17" s="13"/>
    </row>
    <row r="18" spans="4:86" x14ac:dyDescent="0.25">
      <c r="L18" s="103"/>
      <c r="M18" s="103"/>
      <c r="N18" s="103"/>
      <c r="O18" s="91"/>
      <c r="U18" s="103"/>
      <c r="V18" s="103"/>
      <c r="W18" s="104"/>
      <c r="AB18" s="15"/>
      <c r="AC18" s="15"/>
      <c r="AD18" s="15"/>
      <c r="AE18" s="15"/>
      <c r="AF18" s="15"/>
      <c r="AG18" s="91"/>
      <c r="AO18" s="13"/>
      <c r="AY18" s="91"/>
      <c r="BG18" s="13"/>
      <c r="CH18" s="13"/>
    </row>
    <row r="19" spans="4:86" x14ac:dyDescent="0.25">
      <c r="L19" s="103"/>
      <c r="M19" s="103"/>
      <c r="N19" s="103"/>
      <c r="O19" s="91"/>
      <c r="U19" s="103"/>
      <c r="V19" s="103"/>
      <c r="W19" s="104"/>
      <c r="AB19" s="15"/>
      <c r="AC19" s="15"/>
      <c r="AD19" s="15"/>
      <c r="AE19" s="15"/>
      <c r="AF19" s="15"/>
      <c r="AG19" s="91"/>
      <c r="AO19" s="13"/>
      <c r="AY19" s="91"/>
      <c r="BG19" s="13"/>
      <c r="CH19" s="13"/>
    </row>
    <row r="20" spans="4:86" x14ac:dyDescent="0.25">
      <c r="L20" s="103"/>
      <c r="M20" s="103"/>
      <c r="N20" s="103"/>
      <c r="O20" s="91"/>
      <c r="U20" s="103"/>
      <c r="V20" s="103"/>
      <c r="W20" s="104"/>
      <c r="AB20" s="15"/>
      <c r="AC20" s="15"/>
      <c r="AD20" s="15"/>
      <c r="AE20" s="15"/>
      <c r="AF20" s="15"/>
      <c r="AG20" s="91"/>
      <c r="AO20" s="13"/>
      <c r="AY20" s="91"/>
      <c r="BG20" s="13"/>
      <c r="CH20" s="13"/>
    </row>
    <row r="21" spans="4:86" x14ac:dyDescent="0.25">
      <c r="L21" s="103"/>
      <c r="M21" s="103"/>
      <c r="N21" s="103"/>
      <c r="O21" s="91"/>
      <c r="U21" s="103"/>
      <c r="V21" s="103"/>
      <c r="W21" s="104"/>
      <c r="AB21" s="15"/>
      <c r="AC21" s="15"/>
      <c r="AD21" s="15"/>
      <c r="AE21" s="15"/>
      <c r="AF21" s="15"/>
      <c r="AG21" s="91"/>
      <c r="AO21" s="13"/>
      <c r="AY21" s="91"/>
      <c r="BG21" s="13"/>
      <c r="CH21" s="13"/>
    </row>
    <row r="22" spans="4:86" x14ac:dyDescent="0.25">
      <c r="L22" s="103"/>
      <c r="M22" s="103"/>
      <c r="N22" s="103"/>
      <c r="O22" s="91"/>
      <c r="U22" s="103"/>
      <c r="V22" s="103"/>
      <c r="W22" s="104"/>
      <c r="AB22" s="15"/>
      <c r="AC22" s="15"/>
      <c r="AD22" s="15"/>
      <c r="AE22" s="15"/>
      <c r="AF22" s="15"/>
      <c r="AG22" s="91"/>
      <c r="AO22" s="13"/>
      <c r="AY22" s="91"/>
      <c r="BG22" s="13"/>
      <c r="CH22" s="13"/>
    </row>
    <row r="23" spans="4:86" x14ac:dyDescent="0.25">
      <c r="L23" s="103"/>
      <c r="M23" s="103"/>
      <c r="N23" s="103"/>
      <c r="O23" s="91"/>
      <c r="U23" s="103"/>
      <c r="V23" s="103"/>
      <c r="W23" s="104"/>
      <c r="AB23" s="15"/>
      <c r="AC23" s="15"/>
      <c r="AD23" s="15"/>
      <c r="AE23" s="15"/>
      <c r="AF23" s="15"/>
      <c r="AG23" s="91"/>
      <c r="AO23" s="13"/>
      <c r="AY23" s="91"/>
      <c r="BG23" s="13"/>
      <c r="CH23" s="13"/>
    </row>
    <row r="24" spans="4:86" x14ac:dyDescent="0.25">
      <c r="L24" s="103"/>
      <c r="M24" s="103"/>
      <c r="N24" s="103"/>
      <c r="O24" s="91"/>
      <c r="U24" s="103"/>
      <c r="V24" s="103"/>
      <c r="W24" s="104"/>
      <c r="AB24" s="15"/>
      <c r="AC24" s="15"/>
      <c r="AD24" s="15"/>
      <c r="AE24" s="15"/>
      <c r="AF24" s="15"/>
      <c r="AG24" s="91"/>
      <c r="AO24" s="13"/>
      <c r="AY24" s="91"/>
      <c r="BG24" s="13"/>
      <c r="CH24" s="13"/>
    </row>
    <row r="25" spans="4:86" x14ac:dyDescent="0.25">
      <c r="L25" s="103"/>
      <c r="M25" s="103"/>
      <c r="N25" s="103"/>
      <c r="O25" s="91"/>
      <c r="U25" s="103"/>
      <c r="V25" s="103"/>
      <c r="W25" s="104"/>
      <c r="AB25" s="15"/>
      <c r="AC25" s="15"/>
      <c r="AD25" s="15"/>
      <c r="AE25" s="15"/>
      <c r="AF25" s="15"/>
      <c r="AG25" s="91"/>
      <c r="AO25" s="13"/>
      <c r="AY25" s="91"/>
      <c r="BG25" s="13"/>
      <c r="CH25" s="13"/>
    </row>
    <row r="26" spans="4:86" x14ac:dyDescent="0.25">
      <c r="L26" s="103"/>
      <c r="M26" s="103"/>
      <c r="N26" s="103"/>
      <c r="O26" s="91"/>
      <c r="U26" s="103"/>
      <c r="V26" s="103"/>
      <c r="W26" s="104"/>
      <c r="AB26" s="15"/>
      <c r="AC26" s="15"/>
      <c r="AD26" s="15"/>
      <c r="AE26" s="15"/>
      <c r="AF26" s="15"/>
      <c r="AG26" s="91"/>
      <c r="AO26" s="13"/>
      <c r="AY26" s="91"/>
      <c r="BG26" s="13"/>
      <c r="CH26" s="13"/>
    </row>
    <row r="27" spans="4:86" x14ac:dyDescent="0.25">
      <c r="L27" s="103"/>
      <c r="M27" s="103"/>
      <c r="N27" s="103"/>
      <c r="O27" s="91"/>
      <c r="U27" s="103"/>
      <c r="V27" s="103"/>
      <c r="W27" s="104"/>
      <c r="AB27" s="15"/>
      <c r="AC27" s="15"/>
      <c r="AD27" s="15"/>
      <c r="AE27" s="15"/>
      <c r="AF27" s="15"/>
      <c r="AG27" s="91"/>
      <c r="AO27" s="13"/>
      <c r="AY27" s="91"/>
      <c r="BG27" s="13"/>
      <c r="CH27" s="13"/>
    </row>
    <row r="28" spans="4:86" x14ac:dyDescent="0.25">
      <c r="L28" s="103"/>
      <c r="M28" s="103"/>
      <c r="N28" s="103"/>
      <c r="O28" s="91"/>
      <c r="U28" s="103"/>
      <c r="V28" s="103"/>
      <c r="W28" s="104"/>
      <c r="AB28" s="15"/>
      <c r="AC28" s="15"/>
      <c r="AD28" s="15"/>
      <c r="AE28" s="15"/>
      <c r="AF28" s="15"/>
      <c r="AG28" s="91"/>
      <c r="AO28" s="13"/>
      <c r="AY28" s="91"/>
      <c r="BG28" s="13"/>
      <c r="CH28" s="13"/>
    </row>
    <row r="29" spans="4:86" x14ac:dyDescent="0.25">
      <c r="L29" s="103"/>
      <c r="M29" s="103"/>
      <c r="N29" s="103"/>
      <c r="O29" s="91"/>
      <c r="U29" s="103"/>
      <c r="V29" s="103"/>
      <c r="W29" s="104"/>
      <c r="AB29" s="15"/>
      <c r="AC29" s="15"/>
      <c r="AD29" s="15"/>
      <c r="AE29" s="15"/>
      <c r="AF29" s="15"/>
      <c r="AG29" s="91"/>
      <c r="AO29" s="13"/>
      <c r="AY29" s="91"/>
      <c r="BG29" s="13"/>
      <c r="CH29" s="13"/>
    </row>
    <row r="30" spans="4:86" x14ac:dyDescent="0.25">
      <c r="O30" s="91"/>
      <c r="W30" s="13"/>
      <c r="AB30" s="15"/>
      <c r="AC30" s="15"/>
      <c r="AD30" s="15"/>
      <c r="AE30" s="15"/>
      <c r="AF30" s="15"/>
      <c r="AG30" s="91"/>
      <c r="AO30" s="13"/>
      <c r="AY30" s="91"/>
      <c r="BG30" s="13"/>
      <c r="CH30" s="13"/>
    </row>
    <row r="31" spans="4:86" s="4" customFormat="1" ht="18.75" customHeight="1" x14ac:dyDescent="0.3">
      <c r="D31" s="92"/>
      <c r="E31" s="105" t="s">
        <v>52</v>
      </c>
      <c r="F31" s="97">
        <v>0</v>
      </c>
      <c r="G31" s="97">
        <v>0</v>
      </c>
      <c r="H31" s="97">
        <v>0</v>
      </c>
      <c r="I31" s="97">
        <v>0</v>
      </c>
      <c r="J31" s="97">
        <v>0</v>
      </c>
      <c r="K31" s="97">
        <v>0</v>
      </c>
      <c r="L31" s="95">
        <f t="shared" ref="L31:W31" si="7">SUM(L32:L33)</f>
        <v>0</v>
      </c>
      <c r="M31" s="95">
        <f t="shared" si="7"/>
        <v>0</v>
      </c>
      <c r="N31" s="96">
        <f t="shared" si="7"/>
        <v>0</v>
      </c>
      <c r="O31" s="95">
        <f t="shared" si="7"/>
        <v>0</v>
      </c>
      <c r="P31" s="95">
        <f t="shared" si="7"/>
        <v>0</v>
      </c>
      <c r="Q31" s="95">
        <f t="shared" si="7"/>
        <v>0</v>
      </c>
      <c r="R31" s="95">
        <f t="shared" si="7"/>
        <v>0</v>
      </c>
      <c r="S31" s="95">
        <f t="shared" si="7"/>
        <v>0</v>
      </c>
      <c r="T31" s="95">
        <f t="shared" si="7"/>
        <v>0</v>
      </c>
      <c r="U31" s="95">
        <f t="shared" si="7"/>
        <v>0</v>
      </c>
      <c r="V31" s="95">
        <f t="shared" si="7"/>
        <v>0</v>
      </c>
      <c r="W31" s="96">
        <f t="shared" si="7"/>
        <v>0</v>
      </c>
      <c r="X31" s="97"/>
      <c r="Y31" s="97"/>
      <c r="Z31" s="97"/>
      <c r="AA31" s="97"/>
      <c r="AB31" s="97"/>
      <c r="AC31" s="97"/>
      <c r="AD31" s="97"/>
      <c r="AE31" s="97"/>
      <c r="AF31" s="97"/>
      <c r="AG31" s="99"/>
      <c r="AH31" s="97"/>
      <c r="AI31" s="97"/>
      <c r="AJ31" s="97"/>
      <c r="AK31" s="97"/>
      <c r="AL31" s="97"/>
      <c r="AM31" s="97"/>
      <c r="AN31" s="97"/>
      <c r="AO31" s="100"/>
      <c r="AP31" s="97"/>
      <c r="AQ31" s="97"/>
      <c r="AR31" s="97"/>
      <c r="AS31" s="97"/>
      <c r="AT31" s="97"/>
      <c r="AU31" s="97"/>
      <c r="AV31" s="97"/>
      <c r="AW31" s="97"/>
      <c r="AX31" s="97"/>
      <c r="AY31" s="99"/>
      <c r="AZ31" s="97"/>
      <c r="BA31" s="97"/>
      <c r="BB31" s="97"/>
      <c r="BC31" s="97"/>
      <c r="BD31" s="97"/>
      <c r="BE31" s="97"/>
      <c r="BF31" s="97"/>
      <c r="BG31" s="100"/>
      <c r="BL31" s="106"/>
      <c r="CH31" s="102"/>
    </row>
    <row r="32" spans="4:86" x14ac:dyDescent="0.25">
      <c r="L32" s="103"/>
      <c r="M32" s="103"/>
      <c r="N32" s="103"/>
      <c r="O32" s="91"/>
      <c r="U32" s="103"/>
      <c r="V32" s="103"/>
      <c r="W32" s="104"/>
      <c r="AG32" s="91"/>
      <c r="AO32" s="13"/>
      <c r="AY32" s="91"/>
      <c r="BG32" s="13"/>
      <c r="BL32" s="107"/>
      <c r="CH32" s="13"/>
    </row>
    <row r="33" spans="4:86" x14ac:dyDescent="0.25">
      <c r="L33" s="103"/>
      <c r="M33" s="103"/>
      <c r="N33" s="103"/>
      <c r="O33" s="91"/>
      <c r="U33" s="103"/>
      <c r="V33" s="103"/>
      <c r="W33" s="104"/>
      <c r="AG33" s="91"/>
      <c r="AO33" s="13"/>
      <c r="AY33" s="91"/>
      <c r="BG33" s="13"/>
      <c r="BL33" s="107"/>
      <c r="CH33" s="13"/>
    </row>
    <row r="34" spans="4:86" x14ac:dyDescent="0.25">
      <c r="O34" s="91"/>
      <c r="W34" s="13"/>
      <c r="AG34" s="91"/>
      <c r="AO34" s="13"/>
      <c r="AY34" s="91"/>
      <c r="BG34" s="13"/>
      <c r="BL34" s="107"/>
      <c r="CH34" s="13"/>
    </row>
    <row r="35" spans="4:86" s="4" customFormat="1" ht="18.75" customHeight="1" x14ac:dyDescent="0.3">
      <c r="D35" s="92"/>
      <c r="E35" s="105" t="s">
        <v>53</v>
      </c>
      <c r="F35" s="95">
        <f t="shared" ref="F35:W35" si="8">SUM(F36:F54)</f>
        <v>0</v>
      </c>
      <c r="G35" s="95">
        <f t="shared" si="8"/>
        <v>0</v>
      </c>
      <c r="H35" s="95">
        <f t="shared" si="8"/>
        <v>0</v>
      </c>
      <c r="I35" s="95">
        <f t="shared" si="8"/>
        <v>0</v>
      </c>
      <c r="J35" s="95">
        <f t="shared" si="8"/>
        <v>0</v>
      </c>
      <c r="K35" s="95">
        <f t="shared" si="8"/>
        <v>0</v>
      </c>
      <c r="L35" s="95">
        <f t="shared" si="8"/>
        <v>0</v>
      </c>
      <c r="M35" s="95">
        <f t="shared" si="8"/>
        <v>0</v>
      </c>
      <c r="N35" s="96">
        <f t="shared" si="8"/>
        <v>0</v>
      </c>
      <c r="O35" s="95">
        <f t="shared" si="8"/>
        <v>0</v>
      </c>
      <c r="P35" s="95">
        <f t="shared" si="8"/>
        <v>0</v>
      </c>
      <c r="Q35" s="95">
        <f t="shared" si="8"/>
        <v>0</v>
      </c>
      <c r="R35" s="95">
        <f t="shared" si="8"/>
        <v>0</v>
      </c>
      <c r="S35" s="95">
        <f t="shared" si="8"/>
        <v>0</v>
      </c>
      <c r="T35" s="95">
        <f t="shared" si="8"/>
        <v>0</v>
      </c>
      <c r="U35" s="95">
        <f t="shared" si="8"/>
        <v>0</v>
      </c>
      <c r="V35" s="95">
        <f t="shared" si="8"/>
        <v>0</v>
      </c>
      <c r="W35" s="96">
        <f t="shared" si="8"/>
        <v>0</v>
      </c>
      <c r="X35" s="97"/>
      <c r="Y35" s="97"/>
      <c r="Z35" s="97"/>
      <c r="AA35" s="97"/>
      <c r="AB35" s="97"/>
      <c r="AC35" s="97"/>
      <c r="AD35" s="97"/>
      <c r="AE35" s="97"/>
      <c r="AF35" s="97"/>
      <c r="AG35" s="99"/>
      <c r="AH35" s="97"/>
      <c r="AI35" s="97"/>
      <c r="AJ35" s="97"/>
      <c r="AK35" s="97"/>
      <c r="AL35" s="97"/>
      <c r="AM35" s="97"/>
      <c r="AN35" s="97"/>
      <c r="AO35" s="100"/>
      <c r="AP35" s="97"/>
      <c r="AQ35" s="97"/>
      <c r="AR35" s="97"/>
      <c r="AS35" s="97"/>
      <c r="AT35" s="97"/>
      <c r="AU35" s="97"/>
      <c r="AV35" s="97"/>
      <c r="AW35" s="97"/>
      <c r="AX35" s="97"/>
      <c r="AY35" s="99"/>
      <c r="AZ35" s="97"/>
      <c r="BA35" s="97"/>
      <c r="BB35" s="97"/>
      <c r="BC35" s="97"/>
      <c r="BD35" s="97"/>
      <c r="BE35" s="97"/>
      <c r="BF35" s="97"/>
      <c r="BG35" s="100"/>
      <c r="CH35" s="102"/>
    </row>
    <row r="36" spans="4:86" x14ac:dyDescent="0.25">
      <c r="L36" s="103"/>
      <c r="M36" s="103"/>
      <c r="N36" s="103"/>
      <c r="O36" s="91"/>
      <c r="U36" s="103"/>
      <c r="V36" s="103"/>
      <c r="W36" s="104"/>
      <c r="AG36" s="91"/>
      <c r="AO36" s="13"/>
      <c r="AY36" s="91"/>
      <c r="BG36" s="13"/>
      <c r="CH36" s="13"/>
    </row>
    <row r="37" spans="4:86" x14ac:dyDescent="0.25">
      <c r="L37" s="103"/>
      <c r="M37" s="103"/>
      <c r="N37" s="103"/>
      <c r="O37" s="91"/>
      <c r="U37" s="103"/>
      <c r="V37" s="103"/>
      <c r="W37" s="104"/>
      <c r="AG37" s="91"/>
      <c r="AO37" s="13"/>
      <c r="AY37" s="91"/>
      <c r="BG37" s="13"/>
      <c r="CH37" s="13"/>
    </row>
    <row r="38" spans="4:86" x14ac:dyDescent="0.25">
      <c r="L38" s="103"/>
      <c r="M38" s="103"/>
      <c r="N38" s="103"/>
      <c r="O38" s="91"/>
      <c r="U38" s="103"/>
      <c r="V38" s="103"/>
      <c r="W38" s="104"/>
      <c r="AG38" s="91"/>
      <c r="AO38" s="13"/>
      <c r="AY38" s="91"/>
      <c r="BG38" s="13"/>
      <c r="CH38" s="13"/>
    </row>
    <row r="39" spans="4:86" x14ac:dyDescent="0.25">
      <c r="L39" s="103"/>
      <c r="M39" s="103"/>
      <c r="N39" s="103"/>
      <c r="O39" s="91"/>
      <c r="U39" s="103"/>
      <c r="V39" s="103"/>
      <c r="W39" s="104"/>
      <c r="AG39" s="91"/>
      <c r="AO39" s="13"/>
      <c r="AY39" s="91"/>
      <c r="BG39" s="13"/>
      <c r="CH39" s="13"/>
    </row>
    <row r="40" spans="4:86" x14ac:dyDescent="0.25">
      <c r="L40" s="103"/>
      <c r="M40" s="103"/>
      <c r="N40" s="103"/>
      <c r="O40" s="91"/>
      <c r="U40" s="103"/>
      <c r="V40" s="103"/>
      <c r="W40" s="104"/>
      <c r="AG40" s="91"/>
      <c r="AO40" s="13"/>
      <c r="AY40" s="91"/>
      <c r="BG40" s="13"/>
      <c r="CH40" s="13"/>
    </row>
    <row r="41" spans="4:86" x14ac:dyDescent="0.25">
      <c r="L41" s="103"/>
      <c r="M41" s="103"/>
      <c r="N41" s="103"/>
      <c r="O41" s="91"/>
      <c r="U41" s="103"/>
      <c r="V41" s="103"/>
      <c r="W41" s="104"/>
      <c r="AG41" s="91"/>
      <c r="AO41" s="13"/>
      <c r="AY41" s="91"/>
      <c r="BG41" s="13"/>
      <c r="CH41" s="13"/>
    </row>
    <row r="42" spans="4:86" x14ac:dyDescent="0.25">
      <c r="L42" s="103"/>
      <c r="M42" s="103"/>
      <c r="N42" s="103"/>
      <c r="O42" s="91"/>
      <c r="U42" s="103"/>
      <c r="V42" s="103"/>
      <c r="W42" s="104"/>
      <c r="AG42" s="91"/>
      <c r="AO42" s="13"/>
      <c r="AY42" s="91"/>
      <c r="BG42" s="13"/>
      <c r="CH42" s="13"/>
    </row>
    <row r="43" spans="4:86" x14ac:dyDescent="0.25">
      <c r="L43" s="103"/>
      <c r="M43" s="103"/>
      <c r="N43" s="103"/>
      <c r="O43" s="91"/>
      <c r="U43" s="103"/>
      <c r="V43" s="103"/>
      <c r="W43" s="104"/>
      <c r="AG43" s="91"/>
      <c r="AO43" s="13"/>
      <c r="AY43" s="91"/>
      <c r="BG43" s="13"/>
      <c r="CH43" s="13"/>
    </row>
    <row r="44" spans="4:86" x14ac:dyDescent="0.25">
      <c r="L44" s="103"/>
      <c r="M44" s="103"/>
      <c r="N44" s="103"/>
      <c r="O44" s="91"/>
      <c r="U44" s="103"/>
      <c r="V44" s="103"/>
      <c r="W44" s="104"/>
      <c r="AG44" s="91"/>
      <c r="AO44" s="13"/>
      <c r="AY44" s="91"/>
      <c r="BG44" s="13"/>
      <c r="CH44" s="13"/>
    </row>
    <row r="45" spans="4:86" x14ac:dyDescent="0.25">
      <c r="L45" s="103"/>
      <c r="M45" s="103"/>
      <c r="N45" s="103"/>
      <c r="O45" s="91"/>
      <c r="U45" s="103"/>
      <c r="V45" s="103"/>
      <c r="W45" s="104"/>
      <c r="AG45" s="91"/>
      <c r="AO45" s="13"/>
      <c r="AY45" s="91"/>
      <c r="BG45" s="13"/>
      <c r="CH45" s="13"/>
    </row>
    <row r="46" spans="4:86" x14ac:dyDescent="0.25">
      <c r="L46" s="103"/>
      <c r="M46" s="103"/>
      <c r="N46" s="103"/>
      <c r="O46" s="91"/>
      <c r="U46" s="103"/>
      <c r="V46" s="103"/>
      <c r="W46" s="104"/>
      <c r="AG46" s="91"/>
      <c r="AO46" s="13"/>
      <c r="AY46" s="91"/>
      <c r="BG46" s="13"/>
      <c r="CH46" s="13"/>
    </row>
    <row r="47" spans="4:86" x14ac:dyDescent="0.25">
      <c r="L47" s="103"/>
      <c r="M47" s="103"/>
      <c r="N47" s="103"/>
      <c r="O47" s="91"/>
      <c r="U47" s="103"/>
      <c r="V47" s="103"/>
      <c r="W47" s="104"/>
      <c r="AG47" s="91"/>
      <c r="AO47" s="13"/>
      <c r="AY47" s="91"/>
      <c r="BG47" s="13"/>
      <c r="CH47" s="13"/>
    </row>
    <row r="48" spans="4:86" ht="15.6" x14ac:dyDescent="0.3">
      <c r="L48" s="103"/>
      <c r="M48" s="103"/>
      <c r="N48" s="103"/>
      <c r="O48" s="91"/>
      <c r="U48" s="103"/>
      <c r="V48" s="103"/>
      <c r="W48" s="104"/>
      <c r="AG48" s="91"/>
      <c r="AO48" s="13"/>
      <c r="AY48" s="91"/>
      <c r="BG48" s="13"/>
      <c r="CH48" s="13"/>
    </row>
    <row r="49" spans="1:86" ht="15.6" x14ac:dyDescent="0.3">
      <c r="L49" s="103"/>
      <c r="M49" s="103"/>
      <c r="N49" s="103"/>
      <c r="O49" s="91"/>
      <c r="U49" s="103"/>
      <c r="V49" s="103"/>
      <c r="W49" s="104"/>
      <c r="AG49" s="91"/>
      <c r="AO49" s="13"/>
      <c r="AY49" s="91"/>
      <c r="BG49" s="13"/>
      <c r="CH49" s="13"/>
    </row>
    <row r="50" spans="1:86" ht="15.6" x14ac:dyDescent="0.3">
      <c r="L50" s="103"/>
      <c r="M50" s="103"/>
      <c r="N50" s="103"/>
      <c r="O50" s="91"/>
      <c r="U50" s="103"/>
      <c r="V50" s="103"/>
      <c r="W50" s="104"/>
      <c r="AG50" s="91"/>
      <c r="AO50" s="13"/>
      <c r="AY50" s="91"/>
      <c r="BG50" s="13"/>
      <c r="CH50" s="13"/>
    </row>
    <row r="51" spans="1:86" ht="15.6" x14ac:dyDescent="0.3">
      <c r="L51" s="103"/>
      <c r="M51" s="103"/>
      <c r="N51" s="103"/>
      <c r="O51" s="91"/>
      <c r="U51" s="103"/>
      <c r="V51" s="103"/>
      <c r="W51" s="104"/>
      <c r="AG51" s="91"/>
      <c r="AO51" s="13"/>
      <c r="AY51" s="91"/>
      <c r="BG51" s="13"/>
      <c r="CH51" s="13"/>
    </row>
    <row r="52" spans="1:86" ht="15.6" x14ac:dyDescent="0.3">
      <c r="L52" s="103"/>
      <c r="M52" s="103"/>
      <c r="N52" s="103"/>
      <c r="O52" s="91"/>
      <c r="U52" s="103"/>
      <c r="V52" s="103"/>
      <c r="W52" s="104"/>
      <c r="AG52" s="91"/>
      <c r="AO52" s="13"/>
      <c r="AY52" s="91"/>
      <c r="BG52" s="13"/>
      <c r="CH52" s="13"/>
    </row>
    <row r="53" spans="1:86" ht="15.6" x14ac:dyDescent="0.3">
      <c r="L53" s="103"/>
      <c r="M53" s="103"/>
      <c r="N53" s="103"/>
      <c r="O53" s="91"/>
      <c r="U53" s="103"/>
      <c r="V53" s="103"/>
      <c r="W53" s="104"/>
      <c r="AG53" s="91"/>
      <c r="AO53" s="13"/>
      <c r="AY53" s="91"/>
      <c r="BG53" s="13"/>
      <c r="CH53" s="13"/>
    </row>
    <row r="54" spans="1:86" ht="15.6" x14ac:dyDescent="0.3">
      <c r="L54" s="103"/>
      <c r="M54" s="103"/>
      <c r="N54" s="103"/>
      <c r="O54" s="91"/>
      <c r="U54" s="103"/>
      <c r="V54" s="103"/>
      <c r="W54" s="104"/>
      <c r="AG54" s="91"/>
      <c r="AO54" s="13"/>
      <c r="AY54" s="91"/>
      <c r="BG54" s="13"/>
      <c r="CH54" s="13"/>
    </row>
    <row r="55" spans="1:86" ht="15.6" x14ac:dyDescent="0.3">
      <c r="O55" s="91"/>
      <c r="W55" s="13"/>
      <c r="AG55" s="91"/>
      <c r="AO55" s="13"/>
      <c r="AY55" s="91"/>
      <c r="BG55" s="13"/>
      <c r="CH55" s="13"/>
    </row>
    <row r="56" spans="1:86" s="4" customFormat="1" ht="18.75" customHeight="1" x14ac:dyDescent="0.35">
      <c r="B56" s="109"/>
      <c r="D56" s="92"/>
      <c r="E56" s="105" t="s">
        <v>55</v>
      </c>
      <c r="F56" s="111">
        <f t="shared" ref="F56:N56" si="9">SUM(F57:F75)</f>
        <v>0</v>
      </c>
      <c r="G56" s="111">
        <f t="shared" si="9"/>
        <v>0</v>
      </c>
      <c r="H56" s="111">
        <f t="shared" si="9"/>
        <v>0</v>
      </c>
      <c r="I56" s="111">
        <f t="shared" si="9"/>
        <v>0</v>
      </c>
      <c r="J56" s="111">
        <f t="shared" si="9"/>
        <v>0</v>
      </c>
      <c r="K56" s="111">
        <f t="shared" si="9"/>
        <v>0</v>
      </c>
      <c r="L56" s="111">
        <f t="shared" si="9"/>
        <v>0</v>
      </c>
      <c r="M56" s="111">
        <f t="shared" si="9"/>
        <v>0</v>
      </c>
      <c r="N56" s="112">
        <f t="shared" si="9"/>
        <v>0</v>
      </c>
      <c r="O56" s="95">
        <f t="shared" ref="O56:AF56" si="10">SUM(O57:O76)</f>
        <v>0</v>
      </c>
      <c r="P56" s="95">
        <f t="shared" si="10"/>
        <v>0</v>
      </c>
      <c r="Q56" s="95">
        <f t="shared" si="10"/>
        <v>0</v>
      </c>
      <c r="R56" s="95">
        <f t="shared" si="10"/>
        <v>0</v>
      </c>
      <c r="S56" s="95">
        <f t="shared" si="10"/>
        <v>0</v>
      </c>
      <c r="T56" s="95">
        <f t="shared" si="10"/>
        <v>0</v>
      </c>
      <c r="U56" s="95">
        <f t="shared" si="10"/>
        <v>0</v>
      </c>
      <c r="V56" s="95">
        <f t="shared" si="10"/>
        <v>0</v>
      </c>
      <c r="W56" s="96">
        <f t="shared" si="10"/>
        <v>0</v>
      </c>
      <c r="X56" s="95">
        <f t="shared" si="10"/>
        <v>0</v>
      </c>
      <c r="Y56" s="95">
        <f t="shared" si="10"/>
        <v>0</v>
      </c>
      <c r="Z56" s="95">
        <f t="shared" si="10"/>
        <v>0</v>
      </c>
      <c r="AA56" s="95">
        <f t="shared" si="10"/>
        <v>0</v>
      </c>
      <c r="AB56" s="95">
        <f t="shared" si="10"/>
        <v>0</v>
      </c>
      <c r="AC56" s="95">
        <f t="shared" si="10"/>
        <v>0</v>
      </c>
      <c r="AD56" s="95">
        <f t="shared" si="10"/>
        <v>0</v>
      </c>
      <c r="AE56" s="95">
        <f t="shared" si="10"/>
        <v>0</v>
      </c>
      <c r="AF56" s="96">
        <f t="shared" si="10"/>
        <v>0</v>
      </c>
      <c r="AG56" s="95">
        <f t="shared" ref="AG56:AX56" si="11">SUM(AG57:AG75)</f>
        <v>0</v>
      </c>
      <c r="AH56" s="95">
        <f t="shared" si="11"/>
        <v>0</v>
      </c>
      <c r="AI56" s="95">
        <f t="shared" si="11"/>
        <v>0</v>
      </c>
      <c r="AJ56" s="95">
        <f t="shared" si="11"/>
        <v>0</v>
      </c>
      <c r="AK56" s="95">
        <f t="shared" si="11"/>
        <v>0</v>
      </c>
      <c r="AL56" s="95">
        <f t="shared" si="11"/>
        <v>0</v>
      </c>
      <c r="AM56" s="95">
        <f t="shared" si="11"/>
        <v>0</v>
      </c>
      <c r="AN56" s="95">
        <f t="shared" si="11"/>
        <v>0</v>
      </c>
      <c r="AO56" s="96">
        <f t="shared" si="11"/>
        <v>0</v>
      </c>
      <c r="AP56" s="95">
        <f t="shared" si="11"/>
        <v>0</v>
      </c>
      <c r="AQ56" s="95">
        <f t="shared" si="11"/>
        <v>0</v>
      </c>
      <c r="AR56" s="95">
        <f t="shared" si="11"/>
        <v>0</v>
      </c>
      <c r="AS56" s="95">
        <f t="shared" si="11"/>
        <v>0</v>
      </c>
      <c r="AT56" s="95">
        <f t="shared" si="11"/>
        <v>0</v>
      </c>
      <c r="AU56" s="95">
        <f t="shared" si="11"/>
        <v>0</v>
      </c>
      <c r="AV56" s="95">
        <f t="shared" si="11"/>
        <v>0</v>
      </c>
      <c r="AW56" s="95">
        <f t="shared" si="11"/>
        <v>0</v>
      </c>
      <c r="AX56" s="96">
        <f t="shared" si="11"/>
        <v>0</v>
      </c>
      <c r="AY56" s="97"/>
      <c r="AZ56" s="97"/>
      <c r="BA56" s="97"/>
      <c r="BB56" s="97"/>
      <c r="BC56" s="97"/>
      <c r="BD56" s="97"/>
      <c r="BE56" s="97"/>
      <c r="BF56" s="97"/>
      <c r="BG56" s="100"/>
      <c r="CH56" s="102"/>
    </row>
    <row r="57" spans="1:86" ht="15.6" x14ac:dyDescent="0.3">
      <c r="A57" s="113"/>
      <c r="B57" s="114"/>
      <c r="D57" s="114"/>
      <c r="L57" s="103"/>
      <c r="M57" s="103"/>
      <c r="N57" s="103"/>
      <c r="O57" s="91"/>
      <c r="U57" s="103"/>
      <c r="V57" s="103"/>
      <c r="W57" s="104"/>
      <c r="AD57" s="103"/>
      <c r="AE57" s="103"/>
      <c r="AF57" s="103"/>
      <c r="AG57" s="91"/>
      <c r="AM57" s="103"/>
      <c r="AN57" s="103"/>
      <c r="AO57" s="104"/>
      <c r="AV57" s="103"/>
      <c r="AW57" s="103"/>
      <c r="AX57" s="103"/>
      <c r="AY57" s="91"/>
      <c r="BG57" s="13"/>
      <c r="CH57" s="13"/>
    </row>
    <row r="58" spans="1:86" ht="15.6" x14ac:dyDescent="0.3">
      <c r="A58" s="113"/>
      <c r="B58" s="114"/>
      <c r="D58" s="114"/>
      <c r="L58" s="103"/>
      <c r="M58" s="103"/>
      <c r="N58" s="103"/>
      <c r="O58" s="91"/>
      <c r="U58" s="103"/>
      <c r="V58" s="103"/>
      <c r="W58" s="104"/>
      <c r="AD58" s="103"/>
      <c r="AE58" s="103"/>
      <c r="AF58" s="103"/>
      <c r="AG58" s="91"/>
      <c r="AM58" s="103"/>
      <c r="AN58" s="103"/>
      <c r="AO58" s="104"/>
      <c r="AV58" s="103"/>
      <c r="AW58" s="103"/>
      <c r="AX58" s="103"/>
      <c r="AY58" s="91"/>
      <c r="BG58" s="13"/>
      <c r="CH58" s="13"/>
    </row>
    <row r="59" spans="1:86" ht="15.6" x14ac:dyDescent="0.3">
      <c r="A59" s="113"/>
      <c r="B59" s="114"/>
      <c r="D59" s="114"/>
      <c r="L59" s="103"/>
      <c r="M59" s="103"/>
      <c r="N59" s="103"/>
      <c r="O59" s="91"/>
      <c r="U59" s="103"/>
      <c r="V59" s="103"/>
      <c r="W59" s="104"/>
      <c r="AD59" s="103"/>
      <c r="AE59" s="103"/>
      <c r="AF59" s="103"/>
      <c r="AG59" s="91"/>
      <c r="AM59" s="103"/>
      <c r="AN59" s="103"/>
      <c r="AO59" s="104"/>
      <c r="AV59" s="103"/>
      <c r="AW59" s="103"/>
      <c r="AX59" s="103"/>
      <c r="AY59" s="91"/>
      <c r="BG59" s="13"/>
      <c r="CH59" s="13"/>
    </row>
    <row r="60" spans="1:86" ht="15.6" x14ac:dyDescent="0.3">
      <c r="A60" s="113"/>
      <c r="B60" s="114"/>
      <c r="D60" s="114"/>
      <c r="L60" s="103"/>
      <c r="M60" s="103"/>
      <c r="N60" s="103"/>
      <c r="O60" s="91"/>
      <c r="U60" s="103"/>
      <c r="V60" s="103"/>
      <c r="W60" s="104"/>
      <c r="AD60" s="103"/>
      <c r="AE60" s="103"/>
      <c r="AF60" s="103"/>
      <c r="AG60" s="91"/>
      <c r="AM60" s="103"/>
      <c r="AN60" s="103"/>
      <c r="AO60" s="104"/>
      <c r="AV60" s="103"/>
      <c r="AW60" s="103"/>
      <c r="AX60" s="103"/>
      <c r="AY60" s="91"/>
      <c r="BG60" s="13"/>
      <c r="CH60" s="13"/>
    </row>
    <row r="61" spans="1:86" ht="15.6" x14ac:dyDescent="0.3">
      <c r="A61" s="113"/>
      <c r="B61" s="114"/>
      <c r="D61" s="114"/>
      <c r="L61" s="103"/>
      <c r="M61" s="103"/>
      <c r="N61" s="103"/>
      <c r="O61" s="91"/>
      <c r="U61" s="103"/>
      <c r="V61" s="103"/>
      <c r="W61" s="104"/>
      <c r="AD61" s="103"/>
      <c r="AE61" s="103"/>
      <c r="AF61" s="103"/>
      <c r="AG61" s="91"/>
      <c r="AM61" s="103"/>
      <c r="AN61" s="103"/>
      <c r="AO61" s="104"/>
      <c r="AV61" s="103"/>
      <c r="AW61" s="103"/>
      <c r="AX61" s="103"/>
      <c r="AY61" s="91"/>
      <c r="BG61" s="13"/>
      <c r="CH61" s="13"/>
    </row>
    <row r="62" spans="1:86" ht="15.6" x14ac:dyDescent="0.3">
      <c r="A62" s="113"/>
      <c r="B62" s="114"/>
      <c r="D62" s="114"/>
      <c r="L62" s="103"/>
      <c r="M62" s="103"/>
      <c r="N62" s="103"/>
      <c r="O62" s="91"/>
      <c r="U62" s="103"/>
      <c r="V62" s="103"/>
      <c r="W62" s="104"/>
      <c r="AD62" s="103"/>
      <c r="AE62" s="103"/>
      <c r="AF62" s="103"/>
      <c r="AG62" s="91"/>
      <c r="AM62" s="103"/>
      <c r="AN62" s="103"/>
      <c r="AO62" s="104"/>
      <c r="AV62" s="103"/>
      <c r="AW62" s="103"/>
      <c r="AX62" s="103"/>
      <c r="AY62" s="91"/>
      <c r="BG62" s="13"/>
      <c r="CH62" s="13"/>
    </row>
    <row r="63" spans="1:86" ht="15.6" x14ac:dyDescent="0.3">
      <c r="A63" s="113"/>
      <c r="B63" s="114"/>
      <c r="D63" s="114"/>
      <c r="L63" s="103"/>
      <c r="M63" s="103"/>
      <c r="N63" s="103"/>
      <c r="O63" s="91"/>
      <c r="U63" s="103"/>
      <c r="V63" s="103"/>
      <c r="W63" s="104"/>
      <c r="AD63" s="103"/>
      <c r="AE63" s="103"/>
      <c r="AF63" s="103"/>
      <c r="AG63" s="91"/>
      <c r="AM63" s="103"/>
      <c r="AN63" s="103"/>
      <c r="AO63" s="104"/>
      <c r="AV63" s="103"/>
      <c r="AW63" s="103"/>
      <c r="AX63" s="103"/>
      <c r="AY63" s="91"/>
      <c r="BG63" s="13"/>
      <c r="CH63" s="13"/>
    </row>
    <row r="64" spans="1:86" ht="15.6" x14ac:dyDescent="0.3">
      <c r="A64" s="113"/>
      <c r="B64" s="114"/>
      <c r="D64" s="114"/>
      <c r="L64" s="103"/>
      <c r="M64" s="103"/>
      <c r="N64" s="103"/>
      <c r="O64" s="91"/>
      <c r="U64" s="103"/>
      <c r="V64" s="103"/>
      <c r="W64" s="104"/>
      <c r="AD64" s="103"/>
      <c r="AE64" s="103"/>
      <c r="AF64" s="103"/>
      <c r="AG64" s="91"/>
      <c r="AM64" s="103"/>
      <c r="AN64" s="103"/>
      <c r="AO64" s="104"/>
      <c r="AV64" s="103"/>
      <c r="AW64" s="103"/>
      <c r="AX64" s="103"/>
      <c r="AY64" s="91"/>
      <c r="BG64" s="13"/>
      <c r="CH64" s="13"/>
    </row>
    <row r="65" spans="1:86" ht="15.6" x14ac:dyDescent="0.3">
      <c r="A65" s="113"/>
      <c r="B65" s="114"/>
      <c r="D65" s="114"/>
      <c r="L65" s="103"/>
      <c r="M65" s="103"/>
      <c r="N65" s="103"/>
      <c r="O65" s="91"/>
      <c r="U65" s="103"/>
      <c r="V65" s="103"/>
      <c r="W65" s="104"/>
      <c r="AD65" s="103"/>
      <c r="AE65" s="103"/>
      <c r="AF65" s="103"/>
      <c r="AG65" s="91"/>
      <c r="AM65" s="103"/>
      <c r="AN65" s="103"/>
      <c r="AO65" s="104"/>
      <c r="AV65" s="103"/>
      <c r="AW65" s="103"/>
      <c r="AX65" s="103"/>
      <c r="AY65" s="91"/>
      <c r="BG65" s="13"/>
      <c r="CH65" s="13"/>
    </row>
    <row r="66" spans="1:86" ht="15.6" x14ac:dyDescent="0.3">
      <c r="A66" s="113"/>
      <c r="B66" s="114"/>
      <c r="D66" s="114"/>
      <c r="L66" s="103"/>
      <c r="M66" s="103"/>
      <c r="N66" s="103"/>
      <c r="O66" s="91"/>
      <c r="U66" s="103"/>
      <c r="V66" s="103"/>
      <c r="W66" s="104"/>
      <c r="AD66" s="103"/>
      <c r="AE66" s="103"/>
      <c r="AF66" s="103"/>
      <c r="AG66" s="91"/>
      <c r="AM66" s="103"/>
      <c r="AN66" s="103"/>
      <c r="AO66" s="104"/>
      <c r="AV66" s="103"/>
      <c r="AW66" s="103"/>
      <c r="AX66" s="103"/>
      <c r="AY66" s="91"/>
      <c r="BG66" s="13"/>
      <c r="CH66" s="13"/>
    </row>
    <row r="67" spans="1:86" ht="15.6" x14ac:dyDescent="0.3">
      <c r="A67" s="113"/>
      <c r="B67" s="114"/>
      <c r="D67" s="114"/>
      <c r="L67" s="103"/>
      <c r="M67" s="103"/>
      <c r="N67" s="103"/>
      <c r="O67" s="91"/>
      <c r="U67" s="103"/>
      <c r="V67" s="103"/>
      <c r="W67" s="104"/>
      <c r="AD67" s="103"/>
      <c r="AE67" s="103"/>
      <c r="AF67" s="103"/>
      <c r="AG67" s="91"/>
      <c r="AM67" s="103"/>
      <c r="AN67" s="103"/>
      <c r="AO67" s="104"/>
      <c r="AV67" s="103"/>
      <c r="AW67" s="103"/>
      <c r="AX67" s="103"/>
      <c r="AY67" s="91"/>
      <c r="BG67" s="13"/>
      <c r="CH67" s="13"/>
    </row>
    <row r="68" spans="1:86" ht="15.6" x14ac:dyDescent="0.3">
      <c r="A68" s="113"/>
      <c r="B68" s="114"/>
      <c r="D68" s="114"/>
      <c r="L68" s="103"/>
      <c r="M68" s="103"/>
      <c r="N68" s="103"/>
      <c r="O68" s="91"/>
      <c r="U68" s="103"/>
      <c r="V68" s="103"/>
      <c r="W68" s="104"/>
      <c r="AD68" s="103"/>
      <c r="AE68" s="103"/>
      <c r="AF68" s="103"/>
      <c r="AG68" s="91"/>
      <c r="AM68" s="103"/>
      <c r="AN68" s="103"/>
      <c r="AO68" s="104"/>
      <c r="AV68" s="103"/>
      <c r="AW68" s="103"/>
      <c r="AX68" s="103"/>
      <c r="AY68" s="91"/>
      <c r="BG68" s="13"/>
      <c r="CH68" s="13"/>
    </row>
    <row r="69" spans="1:86" ht="15.6" x14ac:dyDescent="0.3">
      <c r="A69" s="113"/>
      <c r="B69" s="114"/>
      <c r="D69" s="114"/>
      <c r="L69" s="103"/>
      <c r="M69" s="103"/>
      <c r="N69" s="103"/>
      <c r="O69" s="91"/>
      <c r="U69" s="103"/>
      <c r="V69" s="103"/>
      <c r="W69" s="104"/>
      <c r="AD69" s="103"/>
      <c r="AE69" s="103"/>
      <c r="AF69" s="103"/>
      <c r="AG69" s="91"/>
      <c r="AM69" s="103"/>
      <c r="AN69" s="103"/>
      <c r="AO69" s="104"/>
      <c r="AV69" s="103"/>
      <c r="AW69" s="103"/>
      <c r="AX69" s="103"/>
      <c r="AY69" s="91"/>
      <c r="BG69" s="13"/>
      <c r="CH69" s="13"/>
    </row>
    <row r="70" spans="1:86" ht="15.6" x14ac:dyDescent="0.3">
      <c r="A70" s="113"/>
      <c r="B70" s="114"/>
      <c r="D70" s="114"/>
      <c r="L70" s="103"/>
      <c r="M70" s="103"/>
      <c r="N70" s="103"/>
      <c r="O70" s="91"/>
      <c r="U70" s="103"/>
      <c r="V70" s="103"/>
      <c r="W70" s="104"/>
      <c r="AD70" s="103"/>
      <c r="AE70" s="103"/>
      <c r="AF70" s="103"/>
      <c r="AG70" s="91"/>
      <c r="AM70" s="103"/>
      <c r="AN70" s="103"/>
      <c r="AO70" s="104"/>
      <c r="AV70" s="103"/>
      <c r="AW70" s="103"/>
      <c r="AX70" s="103"/>
      <c r="AY70" s="91"/>
      <c r="BG70" s="13"/>
      <c r="CH70" s="13"/>
    </row>
    <row r="71" spans="1:86" ht="15.6" x14ac:dyDescent="0.3">
      <c r="A71" s="113"/>
      <c r="B71" s="114"/>
      <c r="D71" s="114"/>
      <c r="L71" s="103"/>
      <c r="M71" s="103"/>
      <c r="N71" s="103"/>
      <c r="O71" s="91"/>
      <c r="U71" s="103"/>
      <c r="V71" s="103"/>
      <c r="W71" s="104"/>
      <c r="AD71" s="103"/>
      <c r="AE71" s="103"/>
      <c r="AF71" s="103"/>
      <c r="AG71" s="91"/>
      <c r="AM71" s="103"/>
      <c r="AN71" s="103"/>
      <c r="AO71" s="104"/>
      <c r="AV71" s="103"/>
      <c r="AW71" s="103"/>
      <c r="AX71" s="103"/>
      <c r="AY71" s="91"/>
      <c r="BG71" s="13"/>
      <c r="CH71" s="13"/>
    </row>
    <row r="72" spans="1:86" ht="15.6" x14ac:dyDescent="0.3">
      <c r="A72" s="113"/>
      <c r="B72" s="114"/>
      <c r="D72" s="114"/>
      <c r="L72" s="103"/>
      <c r="M72" s="103"/>
      <c r="N72" s="103"/>
      <c r="O72" s="91"/>
      <c r="U72" s="103"/>
      <c r="V72" s="103"/>
      <c r="W72" s="104"/>
      <c r="AD72" s="103"/>
      <c r="AE72" s="103"/>
      <c r="AF72" s="103"/>
      <c r="AG72" s="91"/>
      <c r="AM72" s="103"/>
      <c r="AN72" s="103"/>
      <c r="AO72" s="104"/>
      <c r="AV72" s="103"/>
      <c r="AW72" s="103"/>
      <c r="AX72" s="103"/>
      <c r="AY72" s="91"/>
      <c r="BG72" s="13"/>
      <c r="CH72" s="13"/>
    </row>
    <row r="73" spans="1:86" ht="15.6" x14ac:dyDescent="0.3">
      <c r="A73" s="113"/>
      <c r="B73" s="114"/>
      <c r="D73" s="114"/>
      <c r="L73" s="103"/>
      <c r="M73" s="103"/>
      <c r="N73" s="103"/>
      <c r="O73" s="91"/>
      <c r="U73" s="103"/>
      <c r="V73" s="103"/>
      <c r="W73" s="104"/>
      <c r="AD73" s="103"/>
      <c r="AE73" s="103"/>
      <c r="AF73" s="103"/>
      <c r="AG73" s="91"/>
      <c r="AM73" s="103"/>
      <c r="AN73" s="103"/>
      <c r="AO73" s="104"/>
      <c r="AV73" s="103"/>
      <c r="AW73" s="103"/>
      <c r="AX73" s="103"/>
      <c r="AY73" s="91"/>
      <c r="BG73" s="13"/>
      <c r="CH73" s="13"/>
    </row>
    <row r="74" spans="1:86" ht="15.6" x14ac:dyDescent="0.3">
      <c r="A74" s="113"/>
      <c r="B74" s="114"/>
      <c r="D74" s="114"/>
      <c r="L74" s="103"/>
      <c r="M74" s="103"/>
      <c r="N74" s="103"/>
      <c r="O74" s="91"/>
      <c r="U74" s="103"/>
      <c r="V74" s="103"/>
      <c r="W74" s="104"/>
      <c r="AD74" s="103"/>
      <c r="AE74" s="103"/>
      <c r="AF74" s="103"/>
      <c r="AG74" s="91"/>
      <c r="AM74" s="103"/>
      <c r="AN74" s="103"/>
      <c r="AO74" s="104"/>
      <c r="AV74" s="103"/>
      <c r="AW74" s="103"/>
      <c r="AX74" s="103"/>
      <c r="AY74" s="91"/>
      <c r="BG74" s="13"/>
      <c r="CH74" s="13"/>
    </row>
    <row r="75" spans="1:86" ht="15.6" x14ac:dyDescent="0.3">
      <c r="A75" s="113"/>
      <c r="B75" s="114"/>
      <c r="D75" s="114"/>
      <c r="L75" s="103"/>
      <c r="M75" s="103"/>
      <c r="N75" s="103"/>
      <c r="O75" s="91"/>
      <c r="U75" s="103"/>
      <c r="V75" s="103"/>
      <c r="W75" s="104"/>
      <c r="AD75" s="103"/>
      <c r="AE75" s="103"/>
      <c r="AF75" s="103"/>
      <c r="AG75" s="91"/>
      <c r="AM75" s="103"/>
      <c r="AN75" s="103"/>
      <c r="AO75" s="104"/>
      <c r="AV75" s="103"/>
      <c r="AW75" s="103"/>
      <c r="AX75" s="103"/>
      <c r="AY75" s="91"/>
      <c r="BG75" s="13"/>
      <c r="CH75" s="13"/>
    </row>
    <row r="76" spans="1:86" ht="15.6" x14ac:dyDescent="0.3">
      <c r="B76" s="114"/>
      <c r="D76" s="114"/>
      <c r="O76" s="91"/>
      <c r="U76" s="103"/>
      <c r="V76" s="103"/>
      <c r="W76" s="104"/>
      <c r="AD76" s="103"/>
      <c r="AE76" s="103"/>
      <c r="AF76" s="103"/>
      <c r="AG76" s="91"/>
      <c r="AO76" s="13"/>
      <c r="AY76" s="91"/>
      <c r="BG76" s="13"/>
      <c r="CH76" s="13"/>
    </row>
    <row r="77" spans="1:86" ht="15.6" x14ac:dyDescent="0.3">
      <c r="O77" s="91"/>
      <c r="V77" s="117"/>
      <c r="W77" s="257"/>
      <c r="AE77" s="103"/>
      <c r="AG77" s="91"/>
      <c r="AO77" s="13"/>
      <c r="AY77" s="91"/>
      <c r="BG77" s="13"/>
      <c r="CH77" s="13"/>
    </row>
    <row r="78" spans="1:86" ht="15.6" x14ac:dyDescent="0.3">
      <c r="E78" s="119" t="s">
        <v>56</v>
      </c>
      <c r="F78" s="121">
        <f t="shared" ref="F78:AK78" si="12">F9+F31+F35+F56</f>
        <v>0</v>
      </c>
      <c r="G78" s="121">
        <f t="shared" si="12"/>
        <v>0</v>
      </c>
      <c r="H78" s="121">
        <f t="shared" si="12"/>
        <v>0</v>
      </c>
      <c r="I78" s="121">
        <f t="shared" si="12"/>
        <v>0</v>
      </c>
      <c r="J78" s="121">
        <f t="shared" si="12"/>
        <v>0</v>
      </c>
      <c r="K78" s="121">
        <f t="shared" si="12"/>
        <v>0</v>
      </c>
      <c r="L78" s="121">
        <f t="shared" si="12"/>
        <v>0</v>
      </c>
      <c r="M78" s="121">
        <f t="shared" si="12"/>
        <v>0</v>
      </c>
      <c r="N78" s="122">
        <f t="shared" si="12"/>
        <v>0</v>
      </c>
      <c r="O78" s="121">
        <f t="shared" si="12"/>
        <v>0</v>
      </c>
      <c r="P78" s="121">
        <f t="shared" si="12"/>
        <v>0</v>
      </c>
      <c r="Q78" s="121">
        <f t="shared" si="12"/>
        <v>0</v>
      </c>
      <c r="R78" s="121">
        <f t="shared" si="12"/>
        <v>0</v>
      </c>
      <c r="S78" s="121">
        <f t="shared" si="12"/>
        <v>0</v>
      </c>
      <c r="T78" s="121">
        <f t="shared" si="12"/>
        <v>0</v>
      </c>
      <c r="U78" s="121">
        <f t="shared" si="12"/>
        <v>0</v>
      </c>
      <c r="V78" s="121">
        <f t="shared" si="12"/>
        <v>0</v>
      </c>
      <c r="W78" s="122">
        <f t="shared" si="12"/>
        <v>0</v>
      </c>
      <c r="X78" s="121">
        <f t="shared" si="12"/>
        <v>0</v>
      </c>
      <c r="Y78" s="121">
        <f t="shared" si="12"/>
        <v>0</v>
      </c>
      <c r="Z78" s="121">
        <f t="shared" si="12"/>
        <v>0</v>
      </c>
      <c r="AA78" s="121">
        <f t="shared" si="12"/>
        <v>0</v>
      </c>
      <c r="AB78" s="121">
        <f t="shared" si="12"/>
        <v>0</v>
      </c>
      <c r="AC78" s="121">
        <f t="shared" si="12"/>
        <v>0</v>
      </c>
      <c r="AD78" s="121">
        <f t="shared" si="12"/>
        <v>0</v>
      </c>
      <c r="AE78" s="121">
        <f t="shared" si="12"/>
        <v>0</v>
      </c>
      <c r="AF78" s="122">
        <f t="shared" si="12"/>
        <v>0</v>
      </c>
      <c r="AG78" s="121">
        <f t="shared" si="12"/>
        <v>0</v>
      </c>
      <c r="AH78" s="121">
        <f t="shared" si="12"/>
        <v>0</v>
      </c>
      <c r="AI78" s="121">
        <f t="shared" si="12"/>
        <v>0</v>
      </c>
      <c r="AJ78" s="121">
        <f t="shared" si="12"/>
        <v>0</v>
      </c>
      <c r="AK78" s="121">
        <f t="shared" si="12"/>
        <v>0</v>
      </c>
      <c r="AL78" s="121">
        <f t="shared" ref="AL78:BG78" si="13">AL9+AL31+AL35+AL56</f>
        <v>0</v>
      </c>
      <c r="AM78" s="121">
        <f t="shared" si="13"/>
        <v>0</v>
      </c>
      <c r="AN78" s="121">
        <f t="shared" si="13"/>
        <v>0</v>
      </c>
      <c r="AO78" s="122">
        <f t="shared" si="13"/>
        <v>0</v>
      </c>
      <c r="AP78" s="121">
        <f t="shared" si="13"/>
        <v>0</v>
      </c>
      <c r="AQ78" s="121">
        <f t="shared" si="13"/>
        <v>0</v>
      </c>
      <c r="AR78" s="121">
        <f t="shared" si="13"/>
        <v>0</v>
      </c>
      <c r="AS78" s="121">
        <f t="shared" si="13"/>
        <v>0</v>
      </c>
      <c r="AT78" s="121">
        <f t="shared" si="13"/>
        <v>0</v>
      </c>
      <c r="AU78" s="121">
        <f t="shared" si="13"/>
        <v>0</v>
      </c>
      <c r="AV78" s="121">
        <f t="shared" si="13"/>
        <v>0</v>
      </c>
      <c r="AW78" s="121">
        <f t="shared" si="13"/>
        <v>0</v>
      </c>
      <c r="AX78" s="122">
        <f t="shared" si="13"/>
        <v>0</v>
      </c>
      <c r="AY78" s="121">
        <f t="shared" si="13"/>
        <v>0</v>
      </c>
      <c r="AZ78" s="121">
        <f t="shared" si="13"/>
        <v>0</v>
      </c>
      <c r="BA78" s="121">
        <f t="shared" si="13"/>
        <v>0</v>
      </c>
      <c r="BB78" s="121">
        <f t="shared" si="13"/>
        <v>0</v>
      </c>
      <c r="BC78" s="121">
        <f t="shared" si="13"/>
        <v>0</v>
      </c>
      <c r="BD78" s="121">
        <f t="shared" si="13"/>
        <v>0</v>
      </c>
      <c r="BE78" s="121">
        <f t="shared" si="13"/>
        <v>0</v>
      </c>
      <c r="BF78" s="121">
        <f t="shared" si="13"/>
        <v>0</v>
      </c>
      <c r="BG78" s="122">
        <f t="shared" si="13"/>
        <v>0</v>
      </c>
      <c r="BH78" s="123"/>
      <c r="BI78" s="123"/>
      <c r="BJ78" s="123"/>
      <c r="BK78" s="123"/>
      <c r="BL78" s="123"/>
      <c r="BM78" s="123"/>
      <c r="BN78" s="123"/>
      <c r="BO78" s="123"/>
      <c r="BP78" s="124"/>
      <c r="BQ78" s="123"/>
      <c r="BR78" s="123"/>
      <c r="BS78" s="123"/>
      <c r="BT78" s="123"/>
      <c r="BU78" s="123"/>
      <c r="BV78" s="123"/>
      <c r="BW78" s="123"/>
      <c r="BX78" s="123"/>
      <c r="BY78" s="123"/>
      <c r="BZ78" s="123"/>
      <c r="CA78" s="123"/>
      <c r="CB78" s="123"/>
      <c r="CC78" s="123"/>
      <c r="CD78" s="123"/>
      <c r="CE78" s="123"/>
      <c r="CF78" s="123"/>
      <c r="CG78" s="123"/>
      <c r="CH78" s="126"/>
    </row>
    <row r="79" spans="1:86" ht="15.6" x14ac:dyDescent="0.3">
      <c r="U79" s="103"/>
      <c r="V79" s="103"/>
      <c r="W79" s="103"/>
      <c r="AZ79" s="4"/>
      <c r="BA79" s="4"/>
      <c r="BB79" s="4"/>
      <c r="BC79" s="4"/>
    </row>
    <row r="82" spans="14:14" ht="15.6" x14ac:dyDescent="0.3">
      <c r="N82" s="103"/>
    </row>
    <row r="85" spans="14:14" ht="15.6" x14ac:dyDescent="0.3">
      <c r="N85" s="103"/>
    </row>
  </sheetData>
  <mergeCells count="9">
    <mergeCell ref="AY4:BG4"/>
    <mergeCell ref="BH4:BP4"/>
    <mergeCell ref="BQ4:BY4"/>
    <mergeCell ref="BZ4:CH4"/>
    <mergeCell ref="F4:N4"/>
    <mergeCell ref="O4:W4"/>
    <mergeCell ref="X4:AF4"/>
    <mergeCell ref="AG4:AO4"/>
    <mergeCell ref="AP4:AX4"/>
  </mergeCells>
  <pageMargins left="0.7" right="0.7" top="0.75" bottom="0.75" header="0.511811023622047" footer="0.511811023622047"/>
  <pageSetup paperSize="8"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Regneark</vt:lpstr>
      </vt:variant>
      <vt:variant>
        <vt:i4>12</vt:i4>
      </vt:variant>
    </vt:vector>
  </HeadingPairs>
  <TitlesOfParts>
    <vt:vector size="12" baseType="lpstr">
      <vt:lpstr>Opdateringstidspunkt</vt:lpstr>
      <vt:lpstr>Trafikselskaber Samlet</vt:lpstr>
      <vt:lpstr>Samlet pr. transporttype</vt:lpstr>
      <vt:lpstr>BAT</vt:lpstr>
      <vt:lpstr>FynBus</vt:lpstr>
      <vt:lpstr>Cognos_Office_Connection_Cache</vt:lpstr>
      <vt:lpstr>Midttrafik </vt:lpstr>
      <vt:lpstr>Movia</vt:lpstr>
      <vt:lpstr>NT</vt:lpstr>
      <vt:lpstr>Sydtrafik</vt:lpstr>
      <vt:lpstr>PL fra KL</vt:lpstr>
      <vt:lpstr>Skabelon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Lone Rasmussen</dc:creator>
  <dc:description/>
  <cp:lastModifiedBy>Anna Lise Kongstad</cp:lastModifiedBy>
  <cp:revision>2</cp:revision>
  <dcterms:created xsi:type="dcterms:W3CDTF">2024-01-12T12:38:59Z</dcterms:created>
  <dcterms:modified xsi:type="dcterms:W3CDTF">2026-09-16T06:07:21Z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0x010100091781BA1415574DBFB04B82DE1B09F2</vt:lpwstr>
  </property>
  <property fmtid="{D5CDD505-2E9C-101B-9397-08002B2CF9AE}" pid="3" name="DN_Budget">
    <vt:lpwstr/>
  </property>
  <property fmtid="{D5CDD505-2E9C-101B-9397-08002B2CF9AE}" pid="4" name="DN_D_BrevModtagerAdressePrimaeer">
    <vt:lpwstr/>
  </property>
  <property fmtid="{D5CDD505-2E9C-101B-9397-08002B2CF9AE}" pid="5" name="DN_D_Brevdato">
    <vt:lpwstr/>
  </property>
  <property fmtid="{D5CDD505-2E9C-101B-9397-08002B2CF9AE}" pid="6" name="DN_D_DatoDeadline">
    <vt:lpwstr/>
  </property>
  <property fmtid="{D5CDD505-2E9C-101B-9397-08002B2CF9AE}" pid="7" name="DN_D_DatoSlut">
    <vt:lpwstr/>
  </property>
  <property fmtid="{D5CDD505-2E9C-101B-9397-08002B2CF9AE}" pid="8" name="DN_D_DatoStart">
    <vt:lpwstr/>
  </property>
  <property fmtid="{D5CDD505-2E9C-101B-9397-08002B2CF9AE}" pid="9" name="DN_D_Documentnavn">
    <vt:lpwstr>TID_ØKONOMISKE NØGLETAL TRAFIKSELSKABERNE_Samlet Input</vt:lpwstr>
  </property>
  <property fmtid="{D5CDD505-2E9C-101B-9397-08002B2CF9AE}" pid="10" name="DN_D_Documentnummer">
    <vt:lpwstr>D25-00044762</vt:lpwstr>
  </property>
  <property fmtid="{D5CDD505-2E9C-101B-9397-08002B2CF9AE}" pid="11" name="DN_D_DokumentNuvaerendeVersion">
    <vt:lpwstr>2.0</vt:lpwstr>
  </property>
  <property fmtid="{D5CDD505-2E9C-101B-9397-08002B2CF9AE}" pid="12" name="DN_D_DokumentOprettet">
    <vt:lpwstr>19-09-2025</vt:lpwstr>
  </property>
  <property fmtid="{D5CDD505-2E9C-101B-9397-08002B2CF9AE}" pid="13" name="DN_D_Dokumentstatus">
    <vt:lpwstr>Endelig version</vt:lpwstr>
  </property>
  <property fmtid="{D5CDD505-2E9C-101B-9397-08002B2CF9AE}" pid="14" name="DN_D_Dokumentversion">
    <vt:lpwstr>2.0</vt:lpwstr>
  </property>
  <property fmtid="{D5CDD505-2E9C-101B-9397-08002B2CF9AE}" pid="15" name="DN_D_EksterneModtagerFuldeNavn1">
    <vt:lpwstr/>
  </property>
  <property fmtid="{D5CDD505-2E9C-101B-9397-08002B2CF9AE}" pid="16" name="DN_D_EksterneModtagerFuldeNavn2">
    <vt:lpwstr/>
  </property>
  <property fmtid="{D5CDD505-2E9C-101B-9397-08002B2CF9AE}" pid="17" name="DN_D_EksterneModtagerFuldeNavn3">
    <vt:lpwstr/>
  </property>
  <property fmtid="{D5CDD505-2E9C-101B-9397-08002B2CF9AE}" pid="18" name="DN_D_EksterneModtagerFuldeNavn4">
    <vt:lpwstr/>
  </property>
  <property fmtid="{D5CDD505-2E9C-101B-9397-08002B2CF9AE}" pid="19" name="DN_D_EksterneModtagerFuldeNavn5">
    <vt:lpwstr/>
  </property>
  <property fmtid="{D5CDD505-2E9C-101B-9397-08002B2CF9AE}" pid="20" name="DN_D_Entreprenoer">
    <vt:lpwstr/>
  </property>
  <property fmtid="{D5CDD505-2E9C-101B-9397-08002B2CF9AE}" pid="21" name="DN_D_InterneModtagerFuldeNavn1">
    <vt:lpwstr/>
  </property>
  <property fmtid="{D5CDD505-2E9C-101B-9397-08002B2CF9AE}" pid="22" name="DN_D_InterneModtagerFuldeNavn2">
    <vt:lpwstr/>
  </property>
  <property fmtid="{D5CDD505-2E9C-101B-9397-08002B2CF9AE}" pid="23" name="DN_D_InterneModtagerFuldeNavn3">
    <vt:lpwstr/>
  </property>
  <property fmtid="{D5CDD505-2E9C-101B-9397-08002B2CF9AE}" pid="24" name="DN_D_InterneModtagerFuldeNavn4">
    <vt:lpwstr/>
  </property>
  <property fmtid="{D5CDD505-2E9C-101B-9397-08002B2CF9AE}" pid="25" name="DN_D_InterneModtagerFuldeNavn5">
    <vt:lpwstr/>
  </property>
  <property fmtid="{D5CDD505-2E9C-101B-9397-08002B2CF9AE}" pid="26" name="DN_D_Referent">
    <vt:lpwstr/>
  </property>
  <property fmtid="{D5CDD505-2E9C-101B-9397-08002B2CF9AE}" pid="27" name="DN_D_Rutenummer">
    <vt:lpwstr/>
  </property>
  <property fmtid="{D5CDD505-2E9C-101B-9397-08002B2CF9AE}" pid="28" name="DN_D_UnderskriverEmailPrimaeer">
    <vt:lpwstr/>
  </property>
  <property fmtid="{D5CDD505-2E9C-101B-9397-08002B2CF9AE}" pid="29" name="DN_D_UnderskriverFuldeNavn">
    <vt:lpwstr/>
  </property>
  <property fmtid="{D5CDD505-2E9C-101B-9397-08002B2CF9AE}" pid="30" name="DN_D_UnderskriverTelefonPrimaeer">
    <vt:lpwstr/>
  </property>
  <property fmtid="{D5CDD505-2E9C-101B-9397-08002B2CF9AE}" pid="31" name="DN_D_UnderskriverTitel">
    <vt:lpwstr/>
  </property>
  <property fmtid="{D5CDD505-2E9C-101B-9397-08002B2CF9AE}" pid="32" name="DN_EksterneDeltagere_1">
    <vt:lpwstr/>
  </property>
  <property fmtid="{D5CDD505-2E9C-101B-9397-08002B2CF9AE}" pid="33" name="DN_EksterneDeltagere_10">
    <vt:lpwstr/>
  </property>
  <property fmtid="{D5CDD505-2E9C-101B-9397-08002B2CF9AE}" pid="34" name="DN_EksterneDeltagere_2">
    <vt:lpwstr/>
  </property>
  <property fmtid="{D5CDD505-2E9C-101B-9397-08002B2CF9AE}" pid="35" name="DN_EksterneDeltagere_3">
    <vt:lpwstr/>
  </property>
  <property fmtid="{D5CDD505-2E9C-101B-9397-08002B2CF9AE}" pid="36" name="DN_EksterneDeltagere_4">
    <vt:lpwstr/>
  </property>
  <property fmtid="{D5CDD505-2E9C-101B-9397-08002B2CF9AE}" pid="37" name="DN_EksterneDeltagere_5">
    <vt:lpwstr/>
  </property>
  <property fmtid="{D5CDD505-2E9C-101B-9397-08002B2CF9AE}" pid="38" name="DN_EksterneDeltagere_6">
    <vt:lpwstr/>
  </property>
  <property fmtid="{D5CDD505-2E9C-101B-9397-08002B2CF9AE}" pid="39" name="DN_EksterneDeltagere_7">
    <vt:lpwstr/>
  </property>
  <property fmtid="{D5CDD505-2E9C-101B-9397-08002B2CF9AE}" pid="40" name="DN_EksterneDeltagere_8">
    <vt:lpwstr/>
  </property>
  <property fmtid="{D5CDD505-2E9C-101B-9397-08002B2CF9AE}" pid="41" name="DN_EksterneDeltagere_9">
    <vt:lpwstr/>
  </property>
  <property fmtid="{D5CDD505-2E9C-101B-9397-08002B2CF9AE}" pid="42" name="DN_EksterntMoedested">
    <vt:lpwstr/>
  </property>
  <property fmtid="{D5CDD505-2E9C-101B-9397-08002B2CF9AE}" pid="43" name="DN_InterneDeltagere_1">
    <vt:lpwstr/>
  </property>
  <property fmtid="{D5CDD505-2E9C-101B-9397-08002B2CF9AE}" pid="44" name="DN_InterneDeltagere_10">
    <vt:lpwstr/>
  </property>
  <property fmtid="{D5CDD505-2E9C-101B-9397-08002B2CF9AE}" pid="45" name="DN_InterneDeltagere_2">
    <vt:lpwstr/>
  </property>
  <property fmtid="{D5CDD505-2E9C-101B-9397-08002B2CF9AE}" pid="46" name="DN_InterneDeltagere_3">
    <vt:lpwstr/>
  </property>
  <property fmtid="{D5CDD505-2E9C-101B-9397-08002B2CF9AE}" pid="47" name="DN_InterneDeltagere_4">
    <vt:lpwstr/>
  </property>
  <property fmtid="{D5CDD505-2E9C-101B-9397-08002B2CF9AE}" pid="48" name="DN_InterneDeltagere_5">
    <vt:lpwstr/>
  </property>
  <property fmtid="{D5CDD505-2E9C-101B-9397-08002B2CF9AE}" pid="49" name="DN_InterneDeltagere_6">
    <vt:lpwstr/>
  </property>
  <property fmtid="{D5CDD505-2E9C-101B-9397-08002B2CF9AE}" pid="50" name="DN_InterneDeltagere_7">
    <vt:lpwstr/>
  </property>
  <property fmtid="{D5CDD505-2E9C-101B-9397-08002B2CF9AE}" pid="51" name="DN_InterneDeltagere_8">
    <vt:lpwstr/>
  </property>
  <property fmtid="{D5CDD505-2E9C-101B-9397-08002B2CF9AE}" pid="52" name="DN_InterneDeltagere_9">
    <vt:lpwstr/>
  </property>
  <property fmtid="{D5CDD505-2E9C-101B-9397-08002B2CF9AE}" pid="53" name="DN_Klokkeslaet">
    <vt:lpwstr/>
  </property>
  <property fmtid="{D5CDD505-2E9C-101B-9397-08002B2CF9AE}" pid="54" name="DN_Moededato">
    <vt:lpwstr/>
  </property>
  <property fmtid="{D5CDD505-2E9C-101B-9397-08002B2CF9AE}" pid="55" name="DN_Moededeltagere">
    <vt:lpwstr/>
  </property>
  <property fmtid="{D5CDD505-2E9C-101B-9397-08002B2CF9AE}" pid="56" name="DN_Moedeforberedelse">
    <vt:lpwstr/>
  </property>
  <property fmtid="{D5CDD505-2E9C-101B-9397-08002B2CF9AE}" pid="57" name="DN_Moedested">
    <vt:lpwstr/>
  </property>
  <property fmtid="{D5CDD505-2E9C-101B-9397-08002B2CF9AE}" pid="58" name="DN_Opfølgningsdato">
    <vt:lpwstr/>
  </property>
  <property fmtid="{D5CDD505-2E9C-101B-9397-08002B2CF9AE}" pid="59" name="DN_ProjektejerFuldeNavn">
    <vt:lpwstr/>
  </property>
  <property fmtid="{D5CDD505-2E9C-101B-9397-08002B2CF9AE}" pid="60" name="DN_S_Dato_Indgaaelsesdato">
    <vt:lpwstr/>
  </property>
  <property fmtid="{D5CDD505-2E9C-101B-9397-08002B2CF9AE}" pid="61" name="DN_S_Dato_Kontraktstart">
    <vt:lpwstr/>
  </property>
  <property fmtid="{D5CDD505-2E9C-101B-9397-08002B2CF9AE}" pid="62" name="DN_S_Dato_Kontraktudloeb">
    <vt:lpwstr/>
  </property>
  <property fmtid="{D5CDD505-2E9C-101B-9397-08002B2CF9AE}" pid="63" name="DN_S_Dato_Opfoelgningsdato">
    <vt:lpwstr/>
  </property>
  <property fmtid="{D5CDD505-2E9C-101B-9397-08002B2CF9AE}" pid="64" name="DN_S_Dato_Opsigelsesfrist">
    <vt:lpwstr/>
  </property>
  <property fmtid="{D5CDD505-2E9C-101B-9397-08002B2CF9AE}" pid="65" name="DN_S_Projektleder">
    <vt:lpwstr/>
  </property>
  <property fmtid="{D5CDD505-2E9C-101B-9397-08002B2CF9AE}" pid="66" name="DN_Sagsansvarlig">
    <vt:lpwstr>John Madisa</vt:lpwstr>
  </property>
  <property fmtid="{D5CDD505-2E9C-101B-9397-08002B2CF9AE}" pid="67" name="DN_Sagsbeskrivelse">
    <vt:lpwstr/>
  </property>
  <property fmtid="{D5CDD505-2E9C-101B-9397-08002B2CF9AE}" pid="68" name="DN_Sagsnavn">
    <vt:lpwstr>Trafikselskaberne i Danmark (TiD)</vt:lpwstr>
  </property>
  <property fmtid="{D5CDD505-2E9C-101B-9397-08002B2CF9AE}" pid="69" name="DN_Sagsnummer">
    <vt:lpwstr>S19-04154</vt:lpwstr>
  </property>
  <property fmtid="{D5CDD505-2E9C-101B-9397-08002B2CF9AE}" pid="70" name="ExternalSigner">
    <vt:lpwstr/>
  </property>
  <property fmtid="{D5CDD505-2E9C-101B-9397-08002B2CF9AE}" pid="71" name="InternalSigner">
    <vt:lpwstr>Lars Vitnes Thomsen</vt:lpwstr>
  </property>
</Properties>
</file>