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09 September\EY TiD Prognosemodel 17Aug2026\EY TiD Prognosemodel 17Aug2026\ILON12\"/>
    </mc:Choice>
  </mc:AlternateContent>
  <xr:revisionPtr revIDLastSave="0" documentId="13_ncr:1_{4F9919E4-1F75-4C94-BCFB-06E0B0D12D85}" xr6:coauthVersionLast="47" xr6:coauthVersionMax="47" xr10:uidLastSave="{00000000-0000-0000-0000-000000000000}"/>
  <bookViews>
    <workbookView xWindow="-120" yWindow="-120" windowWidth="29040" windowHeight="15720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K19" i="3" s="1"/>
  <c r="T19" i="3" s="1"/>
  <c r="K261" i="3" a="1"/>
  <c r="K261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H241" i="3"/>
  <c r="G241" i="3"/>
  <c r="H240" i="3"/>
  <c r="G240" i="3"/>
  <c r="H239" i="3"/>
  <c r="G239" i="3"/>
  <c r="H238" i="3"/>
  <c r="G238" i="3"/>
  <c r="H237" i="3"/>
  <c r="G237" i="3"/>
  <c r="H236" i="3"/>
  <c r="G236" i="3"/>
  <c r="H235" i="3"/>
  <c r="G235" i="3"/>
  <c r="H234" i="3"/>
  <c r="G234" i="3"/>
  <c r="H233" i="3"/>
  <c r="G233" i="3"/>
  <c r="H232" i="3"/>
  <c r="G232" i="3"/>
  <c r="H231" i="3"/>
  <c r="G231" i="3"/>
  <c r="H230" i="3"/>
  <c r="G230" i="3"/>
  <c r="H229" i="3"/>
  <c r="G229" i="3"/>
  <c r="H228" i="3"/>
  <c r="G228" i="3"/>
  <c r="H227" i="3"/>
  <c r="G227" i="3"/>
  <c r="H226" i="3"/>
  <c r="G226" i="3"/>
  <c r="H225" i="3"/>
  <c r="G225" i="3"/>
  <c r="H224" i="3"/>
  <c r="G224" i="3"/>
  <c r="H223" i="3"/>
  <c r="G223" i="3"/>
  <c r="H222" i="3"/>
  <c r="G222" i="3"/>
  <c r="H221" i="3"/>
  <c r="G221" i="3"/>
  <c r="H220" i="3"/>
  <c r="G220" i="3"/>
  <c r="H219" i="3"/>
  <c r="G219" i="3"/>
  <c r="H218" i="3"/>
  <c r="G218" i="3"/>
  <c r="H217" i="3"/>
  <c r="G217" i="3"/>
  <c r="H216" i="3"/>
  <c r="G216" i="3"/>
  <c r="H215" i="3"/>
  <c r="G215" i="3"/>
  <c r="H214" i="3"/>
  <c r="G214" i="3"/>
  <c r="H213" i="3"/>
  <c r="G213" i="3"/>
  <c r="H212" i="3"/>
  <c r="G212" i="3"/>
  <c r="H211" i="3"/>
  <c r="G211" i="3"/>
  <c r="H210" i="3"/>
  <c r="G210" i="3"/>
  <c r="H209" i="3"/>
  <c r="G209" i="3"/>
  <c r="H208" i="3"/>
  <c r="G208" i="3"/>
  <c r="H207" i="3"/>
  <c r="G207" i="3"/>
  <c r="H206" i="3"/>
  <c r="G206" i="3"/>
  <c r="H205" i="3"/>
  <c r="G205" i="3"/>
  <c r="H204" i="3"/>
  <c r="G204" i="3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J186" i="3"/>
  <c r="H186" i="3"/>
  <c r="G186" i="3"/>
  <c r="H185" i="3"/>
  <c r="G185" i="3"/>
  <c r="H184" i="3"/>
  <c r="G184" i="3"/>
  <c r="I183" i="3"/>
  <c r="H183" i="3"/>
  <c r="G183" i="3"/>
  <c r="I182" i="3"/>
  <c r="H182" i="3"/>
  <c r="G182" i="3"/>
  <c r="I181" i="3"/>
  <c r="H181" i="3"/>
  <c r="G181" i="3"/>
  <c r="I180" i="3"/>
  <c r="H180" i="3"/>
  <c r="G180" i="3"/>
  <c r="I179" i="3"/>
  <c r="H179" i="3"/>
  <c r="G179" i="3"/>
  <c r="I178" i="3"/>
  <c r="H178" i="3"/>
  <c r="G178" i="3"/>
  <c r="I177" i="3"/>
  <c r="H177" i="3"/>
  <c r="G177" i="3"/>
  <c r="I176" i="3"/>
  <c r="H176" i="3"/>
  <c r="G176" i="3"/>
  <c r="I175" i="3"/>
  <c r="H175" i="3"/>
  <c r="G175" i="3"/>
  <c r="I174" i="3"/>
  <c r="H174" i="3"/>
  <c r="G174" i="3"/>
  <c r="I173" i="3"/>
  <c r="H173" i="3"/>
  <c r="G173" i="3"/>
  <c r="I172" i="3"/>
  <c r="I241" i="3" s="1"/>
  <c r="H172" i="3"/>
  <c r="G172" i="3"/>
  <c r="I171" i="3"/>
  <c r="H171" i="3"/>
  <c r="G171" i="3"/>
  <c r="I170" i="3"/>
  <c r="H170" i="3"/>
  <c r="G170" i="3"/>
  <c r="I169" i="3"/>
  <c r="H169" i="3"/>
  <c r="G169" i="3"/>
  <c r="I168" i="3"/>
  <c r="H168" i="3"/>
  <c r="G168" i="3"/>
  <c r="I167" i="3"/>
  <c r="H167" i="3"/>
  <c r="G167" i="3"/>
  <c r="I166" i="3"/>
  <c r="H166" i="3"/>
  <c r="G166" i="3"/>
  <c r="I165" i="3"/>
  <c r="H165" i="3"/>
  <c r="G165" i="3"/>
  <c r="J164" i="3"/>
  <c r="I164" i="3"/>
  <c r="H164" i="3"/>
  <c r="G164" i="3"/>
  <c r="I163" i="3"/>
  <c r="H163" i="3"/>
  <c r="G163" i="3"/>
  <c r="I162" i="3"/>
  <c r="H162" i="3"/>
  <c r="G162" i="3"/>
  <c r="I161" i="3"/>
  <c r="H161" i="3"/>
  <c r="G161" i="3"/>
  <c r="I160" i="3"/>
  <c r="H160" i="3"/>
  <c r="I159" i="3"/>
  <c r="H159" i="3"/>
  <c r="I158" i="3"/>
  <c r="H158" i="3"/>
  <c r="G158" i="3"/>
  <c r="I157" i="3"/>
  <c r="H157" i="3"/>
  <c r="G157" i="3"/>
  <c r="I156" i="3"/>
  <c r="H156" i="3"/>
  <c r="G156" i="3"/>
  <c r="I155" i="3"/>
  <c r="H155" i="3"/>
  <c r="G155" i="3"/>
  <c r="I154" i="3"/>
  <c r="H154" i="3"/>
  <c r="G154" i="3"/>
  <c r="I153" i="3"/>
  <c r="H153" i="3"/>
  <c r="G153" i="3"/>
  <c r="I152" i="3"/>
  <c r="H152" i="3"/>
  <c r="G152" i="3"/>
  <c r="I151" i="3"/>
  <c r="H151" i="3"/>
  <c r="G151" i="3"/>
  <c r="I150" i="3"/>
  <c r="H150" i="3"/>
  <c r="G150" i="3"/>
  <c r="I149" i="3"/>
  <c r="H149" i="3"/>
  <c r="G149" i="3"/>
  <c r="J148" i="3"/>
  <c r="I148" i="3"/>
  <c r="H148" i="3"/>
  <c r="G148" i="3"/>
  <c r="I147" i="3"/>
  <c r="G147" i="3"/>
  <c r="I146" i="3"/>
  <c r="G146" i="3"/>
  <c r="I145" i="3"/>
  <c r="G145" i="3"/>
  <c r="I144" i="3"/>
  <c r="G144" i="3"/>
  <c r="I143" i="3"/>
  <c r="G143" i="3"/>
  <c r="I142" i="3"/>
  <c r="G142" i="3"/>
  <c r="I141" i="3"/>
  <c r="G141" i="3"/>
  <c r="I140" i="3"/>
  <c r="G140" i="3"/>
  <c r="I139" i="3"/>
  <c r="G139" i="3"/>
  <c r="G138" i="3"/>
  <c r="G137" i="3"/>
  <c r="G136" i="3"/>
  <c r="I135" i="3"/>
  <c r="G135" i="3"/>
  <c r="I134" i="3"/>
  <c r="I133" i="3"/>
  <c r="I132" i="3"/>
  <c r="G131" i="3"/>
  <c r="G132" i="3" s="1"/>
  <c r="G128" i="3"/>
  <c r="G130" i="3" s="1"/>
  <c r="G125" i="3"/>
  <c r="G127" i="3" s="1"/>
  <c r="G122" i="3"/>
  <c r="G124" i="3" s="1"/>
  <c r="G119" i="3"/>
  <c r="G121" i="3" s="1"/>
  <c r="G118" i="3"/>
  <c r="G117" i="3"/>
  <c r="G116" i="3"/>
  <c r="G115" i="3"/>
  <c r="H114" i="3"/>
  <c r="H139" i="3" s="1"/>
  <c r="H140" i="3" s="1"/>
  <c r="G114" i="3"/>
  <c r="I113" i="3"/>
  <c r="G113" i="3"/>
  <c r="G112" i="3"/>
  <c r="G111" i="3"/>
  <c r="G110" i="3"/>
  <c r="G109" i="3"/>
  <c r="G108" i="3"/>
  <c r="G106" i="3"/>
  <c r="G105" i="3"/>
  <c r="G103" i="3"/>
  <c r="G102" i="3"/>
  <c r="G100" i="3"/>
  <c r="G99" i="3"/>
  <c r="G97" i="3"/>
  <c r="G96" i="3"/>
  <c r="G94" i="3"/>
  <c r="G93" i="3"/>
  <c r="G91" i="3"/>
  <c r="G90" i="3"/>
  <c r="F12" i="4" l="1"/>
  <c r="F13" i="5"/>
  <c r="I222" i="3"/>
  <c r="I184" i="3"/>
  <c r="I219" i="3"/>
  <c r="I226" i="3"/>
  <c r="I204" i="3"/>
  <c r="H147" i="3"/>
  <c r="I237" i="3"/>
  <c r="I192" i="3"/>
  <c r="K244" i="3" a="1"/>
  <c r="K244" i="3" s="1"/>
  <c r="K263" i="3" a="1"/>
  <c r="K263" i="3" s="1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275" i="3" a="1"/>
  <c r="K275" i="3" s="1"/>
  <c r="K258" i="3" a="1"/>
  <c r="K258" i="3" s="1"/>
  <c r="K274" i="3" a="1"/>
  <c r="K274" i="3" s="1"/>
  <c r="K318" i="3" a="1"/>
  <c r="K318" i="3" s="1"/>
  <c r="K248" i="3" a="1"/>
  <c r="K248" i="3" s="1"/>
  <c r="K252" i="3" a="1"/>
  <c r="K252" i="3" s="1"/>
  <c r="K259" i="3" a="1"/>
  <c r="K259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60" i="3" a="1"/>
  <c r="K260" i="3" s="1"/>
  <c r="K276" i="3" a="1"/>
  <c r="K276" i="3" s="1"/>
  <c r="K284" i="3" a="1"/>
  <c r="K284" i="3" s="1"/>
  <c r="K299" i="3" a="1"/>
  <c r="K299" i="3" s="1"/>
  <c r="K243" i="3" a="1"/>
  <c r="K243" i="3" s="1"/>
  <c r="K247" i="3" a="1"/>
  <c r="K247" i="3" s="1"/>
  <c r="K251" i="3" a="1"/>
  <c r="K251" i="3" s="1"/>
  <c r="K257" i="3" a="1"/>
  <c r="K257" i="3" s="1"/>
  <c r="K273" i="3" a="1"/>
  <c r="K273" i="3" s="1"/>
  <c r="K256" i="3" a="1"/>
  <c r="K256" i="3" s="1"/>
  <c r="K272" i="3" a="1"/>
  <c r="K272" i="3" s="1"/>
  <c r="K283" i="3" a="1"/>
  <c r="K283" i="3" s="1"/>
  <c r="K287" i="3" a="1"/>
  <c r="K287" i="3" s="1"/>
  <c r="K300" i="3" a="1"/>
  <c r="K300" i="3" s="1"/>
  <c r="K255" i="3" a="1"/>
  <c r="K255" i="3" s="1"/>
  <c r="K271" i="3" a="1"/>
  <c r="K271" i="3" s="1"/>
  <c r="K290" i="3" a="1"/>
  <c r="K290" i="3" s="1"/>
  <c r="K270" i="3" a="1"/>
  <c r="K270" i="3" s="1"/>
  <c r="K242" i="3" a="1"/>
  <c r="K242" i="3" s="1"/>
  <c r="K246" i="3" a="1"/>
  <c r="K246" i="3" s="1"/>
  <c r="K250" i="3" a="1"/>
  <c r="K250" i="3" s="1"/>
  <c r="K254" i="3" a="1"/>
  <c r="K254" i="3" s="1"/>
  <c r="K269" i="3" a="1"/>
  <c r="K269" i="3" s="1"/>
  <c r="K403" i="3" a="1"/>
  <c r="K403" i="3" s="1"/>
  <c r="K268" i="3" a="1"/>
  <c r="K268" i="3" s="1"/>
  <c r="K282" i="3" a="1"/>
  <c r="K282" i="3" s="1"/>
  <c r="K286" i="3" a="1"/>
  <c r="K286" i="3" s="1"/>
  <c r="K331" i="3" a="1"/>
  <c r="K331" i="3" s="1"/>
  <c r="K267" i="3" a="1"/>
  <c r="K267" i="3" s="1"/>
  <c r="K266" i="3" a="1"/>
  <c r="K266" i="3" s="1"/>
  <c r="K281" i="3" a="1"/>
  <c r="K281" i="3" s="1"/>
  <c r="K332" i="3" a="1"/>
  <c r="K332" i="3" s="1"/>
  <c r="K420" i="3" a="1"/>
  <c r="K420" i="3" s="1"/>
  <c r="K245" i="3" a="1"/>
  <c r="K245" i="3" s="1"/>
  <c r="K249" i="3" a="1"/>
  <c r="K249" i="3" s="1"/>
  <c r="K253" i="3" a="1"/>
  <c r="K253" i="3" s="1"/>
  <c r="K265" i="3" a="1"/>
  <c r="K265" i="3" s="1"/>
  <c r="K288" i="3" a="1"/>
  <c r="K288" i="3" s="1"/>
  <c r="K315" i="3" a="1"/>
  <c r="K315" i="3" s="1"/>
  <c r="K338" i="3" a="1"/>
  <c r="K338" i="3" s="1"/>
  <c r="K264" i="3" a="1"/>
  <c r="K264" i="3" s="1"/>
  <c r="K280" i="3" a="1"/>
  <c r="K280" i="3" s="1"/>
  <c r="K285" i="3" a="1"/>
  <c r="K285" i="3" s="1"/>
  <c r="K279" i="3" a="1"/>
  <c r="K279" i="3" s="1"/>
  <c r="K316" i="3" a="1"/>
  <c r="K316" i="3" s="1"/>
  <c r="K262" i="3" a="1"/>
  <c r="K262" i="3" s="1"/>
  <c r="K278" i="3" a="1"/>
  <c r="K278" i="3" s="1"/>
  <c r="K306" i="3" a="1"/>
  <c r="K306" i="3" s="1"/>
  <c r="K322" i="3" a="1"/>
  <c r="K322" i="3" s="1"/>
  <c r="G120" i="3"/>
  <c r="I189" i="3"/>
  <c r="I195" i="3"/>
  <c r="I201" i="3"/>
  <c r="I232" i="3"/>
  <c r="G123" i="3"/>
  <c r="I220" i="3"/>
  <c r="I238" i="3"/>
  <c r="I190" i="3"/>
  <c r="I196" i="3"/>
  <c r="I185" i="3"/>
  <c r="I215" i="3"/>
  <c r="I227" i="3"/>
  <c r="I233" i="3"/>
  <c r="I203" i="3"/>
  <c r="I221" i="3"/>
  <c r="G129" i="3"/>
  <c r="I210" i="3"/>
  <c r="I216" i="3"/>
  <c r="I228" i="3"/>
  <c r="I235" i="3"/>
  <c r="I187" i="3"/>
  <c r="I199" i="3"/>
  <c r="I211" i="3"/>
  <c r="I217" i="3"/>
  <c r="I205" i="3"/>
  <c r="I236" i="3"/>
  <c r="I188" i="3"/>
  <c r="I194" i="3"/>
  <c r="I200" i="3"/>
  <c r="I212" i="3"/>
  <c r="I206" i="3"/>
  <c r="I231" i="3"/>
  <c r="G133" i="3"/>
  <c r="I186" i="3"/>
  <c r="I191" i="3"/>
  <c r="I207" i="3"/>
  <c r="I223" i="3"/>
  <c r="I239" i="3"/>
  <c r="I202" i="3"/>
  <c r="I218" i="3"/>
  <c r="I234" i="3"/>
  <c r="I197" i="3"/>
  <c r="I213" i="3"/>
  <c r="I229" i="3"/>
  <c r="I208" i="3"/>
  <c r="I224" i="3"/>
  <c r="I240" i="3"/>
  <c r="G126" i="3"/>
  <c r="I198" i="3"/>
  <c r="I214" i="3"/>
  <c r="I230" i="3"/>
  <c r="I193" i="3"/>
  <c r="I209" i="3"/>
  <c r="I225" i="3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160" i="3"/>
  <c r="G159" i="3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U276" i="3" s="1"/>
  <c r="T275" i="3"/>
  <c r="R275" i="3"/>
  <c r="P275" i="3"/>
  <c r="U275" i="3" s="1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P277" i="3" l="1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<sst xmlns="http://schemas.openxmlformats.org/spreadsheetml/2006/main" count="196" uniqueCount="105">
  <si>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</si>
  <si>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</si>
  <si>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</si>
  <si>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</si>
  <si>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</si>
  <si>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</si>
  <si>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</si>
  <si>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</si>
  <si>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</si>
  <si>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</si>
  <si>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</si>
  <si>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</si>
  <si>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</si>
  <si>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</si>
  <si>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</si>
  <si>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</si>
  <si>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</si>
  <si>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</si>
  <si>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</si>
  <si>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</si>
  <si>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</si>
  <si>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</si>
  <si>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</si>
  <si>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</si>
  <si>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</si>
  <si>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</si>
  <si>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</si>
  <si>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</si>
  <si>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</si>
  <si>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</si>
  <si>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</si>
  <si>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</si>
  <si>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Gas</t>
  </si>
  <si>
    <t>EEX: European Gas Spot Index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</si>
  <si>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</si>
  <si>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</si>
  <si>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</si>
  <si>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</si>
  <si>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</si>
  <si>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</si>
  <si>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</si>
  <si>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</si>
  <si>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</si>
  <si>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</si>
  <si>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</si>
  <si>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</si>
  <si>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</si>
  <si>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</si>
  <si>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</si>
  <si>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</si>
  <si>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</si>
  <si>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</si>
  <si>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</si>
  <si>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</si>
  <si>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</si>
  <si>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</si>
  <si>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</si>
  <si>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</si>
  <si>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</si>
  <si>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</si>
  <si>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Gasindeks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</si>
  <si>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</si>
  <si>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</si>
  <si>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</si>
  <si>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</si>
  <si>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 (ILON12)</t>
  </si>
  <si>
    <t>Elspot</t>
  </si>
  <si>
    <t>Nordpool: El Day-Ahead Prices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</si>
  <si>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</si>
  <si>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</si>
  <si>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</si>
  <si>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</si>
  <si>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</si>
  <si>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</si>
  <si>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</si>
  <si>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</si>
  <si>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</si>
  <si>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</si>
  <si>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</si>
  <si>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</si>
  <si>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</si>
  <si>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</si>
  <si>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</si>
  <si>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</si>
  <si>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</si>
  <si>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</si>
  <si>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</si>
  <si>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</si>
  <si>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</si>
  <si>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</si>
  <si>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Elindeks</t>
  </si>
  <si>
    <t>• Gasindeks</t>
  </si>
  <si>
    <t>• RME-indeks</t>
  </si>
  <si>
    <t>• HVO-indeks</t>
  </si>
  <si>
    <t>Denne model laver en prognose for de omkostningsindeks, der bruges i forbindelse med kontraktregulering af bustrafik hos Trafikselskaberne i Danmark. Lønudviklingen i denne model følger udviklingen i ILON12.</t>
  </si>
  <si>
    <t>• Elspot-indeks - Bemærk at indekset altid følger SBLON1</t>
  </si>
  <si>
    <t>Note: 'Forskydning' indebærer, at datapunktet i omkostningsindekset er forskudt relativt til udgivelse. 'Løn, transport' bruges til det nye elindeks.</t>
  </si>
  <si>
    <t>Lønindeks (ILON12)</t>
  </si>
  <si>
    <t xml:space="preserve">Reviderede ILON12-prisniveau omregnes til omkostningsindeksets delindeks for løn med en korrektionsfaktor på 158,9*1,0101/160,1.   </t>
  </si>
  <si>
    <t xml:space="preserve">DST offentliggjorde i december 2024 ILON12 med reviderede værdier, hvilket medførte en konverteringsfaktor i TiDs indeks. </t>
  </si>
  <si>
    <t>Dette var i første omgang forkert.</t>
  </si>
  <si>
    <t xml:space="preserve">Derfor har DST i marts 2025 revideret igen. Derfor udgår TiDs oprindelige udsendte indeks for januar, februar og marts 2025. </t>
  </si>
  <si>
    <t>Nærværende indeks for januar, februar og marts 2025 er baseret på DSTs reviderede ILON12 for 2024K3 offentliggjort 28-02-2025.</t>
  </si>
  <si>
    <t xml:space="preserve">DST har offentligjort at ILON12 udgår  med udgangen af 4. kvt. 2025. Derfor erstates ILON12 med SBLON1 som nyt delindeks fra 1. kvt. 2026, </t>
  </si>
  <si>
    <t>som har effekt fra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</si>
</sst>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6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80949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zoomScale="60" zoomScaleNormal="100" workbookViewId="0">
      <selection activeCell="H25" sqref="H2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0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61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65</v>
      </c>
      <c r="H19" s="20" t="s">
        <v>10</v>
      </c>
      <c r="I19" s="20" t="s">
        <v>11</v>
      </c>
      <c r="J19" s="20" t="s">
        <v>12</v>
      </c>
      <c r="K19" s="20" t="s">
        <v>31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44866</v>
      </c>
      <c r="G20" s="24">
        <v>148.68671999999998</v>
      </c>
      <c r="H20" s="24">
        <v>152.78957915831666</v>
      </c>
      <c r="I20" s="24">
        <v>120.13268743435735</v>
      </c>
      <c r="J20" s="24">
        <v>3.22</v>
      </c>
      <c r="K20" s="24">
        <v>320.8</v>
      </c>
      <c r="L20" s="25">
        <v>145.34982395039387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44896</v>
      </c>
      <c r="G21" s="24">
        <v>148.68671999999998</v>
      </c>
      <c r="H21" s="24">
        <v>154.36472945891785</v>
      </c>
      <c r="I21" s="24">
        <v>122.2616211357257</v>
      </c>
      <c r="J21" s="24">
        <v>3.06</v>
      </c>
      <c r="K21" s="24">
        <v>344.1</v>
      </c>
      <c r="L21" s="25">
        <v>147.14541956190737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44927</v>
      </c>
      <c r="G22" s="24">
        <v>149.69681999999997</v>
      </c>
      <c r="H22" s="24">
        <v>153.05210420841684</v>
      </c>
      <c r="I22" s="24">
        <v>122.56575452163548</v>
      </c>
      <c r="J22" s="24">
        <v>2.86</v>
      </c>
      <c r="K22" s="24">
        <v>315.8</v>
      </c>
      <c r="L22" s="25">
        <v>145.36270819400971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44958</v>
      </c>
      <c r="G23" s="24">
        <v>149.69681999999997</v>
      </c>
      <c r="H23" s="24">
        <v>152.13326653306615</v>
      </c>
      <c r="I23" s="24">
        <v>122.66713231693873</v>
      </c>
      <c r="J23" s="24">
        <v>3.33</v>
      </c>
      <c r="K23" s="24">
        <v>282.60000000000002</v>
      </c>
      <c r="L23" s="25">
        <v>143.58548137058037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44986</v>
      </c>
      <c r="G24" s="24">
        <v>149.69681999999997</v>
      </c>
      <c r="H24" s="24">
        <v>152.78957915831666</v>
      </c>
      <c r="I24" s="24">
        <v>124.39055483709407</v>
      </c>
      <c r="J24" s="24">
        <v>3.26</v>
      </c>
      <c r="K24" s="24">
        <v>310</v>
      </c>
      <c r="L24" s="25">
        <v>145.69689393955491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45017</v>
      </c>
      <c r="G25" s="24">
        <v>150.90894</v>
      </c>
      <c r="H25" s="24">
        <v>154.23346693386776</v>
      </c>
      <c r="I25" s="24">
        <v>123.98504365588104</v>
      </c>
      <c r="J25" s="24">
        <v>3.58</v>
      </c>
      <c r="K25" s="24">
        <v>300.89999999999998</v>
      </c>
      <c r="L25" s="25">
        <v>146.3367940057758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45047</v>
      </c>
      <c r="G26" s="24">
        <v>150.90894</v>
      </c>
      <c r="H26" s="24">
        <v>153.97094188376755</v>
      </c>
      <c r="I26" s="24">
        <v>124.59331042770059</v>
      </c>
      <c r="J26" s="24">
        <v>3.32</v>
      </c>
      <c r="K26" s="24">
        <v>294.2</v>
      </c>
      <c r="L26" s="25">
        <v>145.51192223316914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45078</v>
      </c>
      <c r="G27" s="24">
        <v>150.90894</v>
      </c>
      <c r="H27" s="24">
        <v>154.36472945891785</v>
      </c>
      <c r="I27" s="24">
        <v>124.69468822300384</v>
      </c>
      <c r="J27" s="24">
        <v>3.35</v>
      </c>
      <c r="K27" s="24">
        <v>276.8</v>
      </c>
      <c r="L27" s="25">
        <v>144.33620312694407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45108</v>
      </c>
      <c r="G28" s="24">
        <v>152.32308</v>
      </c>
      <c r="H28" s="24">
        <v>152.26452905811624</v>
      </c>
      <c r="I28" s="24">
        <v>124.39055483709407</v>
      </c>
      <c r="J28" s="24">
        <v>3.45</v>
      </c>
      <c r="K28" s="24">
        <v>162.9</v>
      </c>
      <c r="L28" s="25">
        <v>136.9198220098022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45139</v>
      </c>
      <c r="G29" s="24">
        <v>152.32308</v>
      </c>
      <c r="H29" s="24">
        <v>152.78957915831666</v>
      </c>
      <c r="I29" s="24">
        <v>124.99882160891359</v>
      </c>
      <c r="J29" s="24">
        <v>3.69</v>
      </c>
      <c r="K29" s="24">
        <v>161.19999999999999</v>
      </c>
      <c r="L29" s="25">
        <v>137.25239119055155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45170</v>
      </c>
      <c r="G30" s="24">
        <v>152.32308</v>
      </c>
      <c r="H30" s="24">
        <v>155.54609218436875</v>
      </c>
      <c r="I30" s="24">
        <v>126.31673294785591</v>
      </c>
      <c r="J30" s="24">
        <v>3.67</v>
      </c>
      <c r="K30" s="24">
        <v>144.5</v>
      </c>
      <c r="L30" s="25">
        <v>136.36341660437481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45200</v>
      </c>
      <c r="G31" s="24">
        <v>153.13115999999999</v>
      </c>
      <c r="H31" s="24">
        <v>154.49599198396794</v>
      </c>
      <c r="I31" s="24">
        <v>126.01259956194615</v>
      </c>
      <c r="J31" s="24">
        <v>3.67</v>
      </c>
      <c r="K31" s="24">
        <v>134.5</v>
      </c>
      <c r="L31" s="25">
        <v>136.03161137713897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45231</v>
      </c>
      <c r="G32" s="24">
        <v>153.13115999999999</v>
      </c>
      <c r="H32" s="24">
        <v>154.10220440881764</v>
      </c>
      <c r="I32" s="24">
        <v>125.70846617603638</v>
      </c>
      <c r="J32" s="24">
        <v>3.81</v>
      </c>
      <c r="K32" s="24">
        <v>137</v>
      </c>
      <c r="L32" s="25">
        <v>136.35621511813383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45261</v>
      </c>
      <c r="G33" s="24">
        <v>153.13115999999999</v>
      </c>
      <c r="H33" s="24">
        <v>154.49599198396794</v>
      </c>
      <c r="I33" s="24">
        <v>125.60708838073313</v>
      </c>
      <c r="J33" s="24">
        <v>3.78</v>
      </c>
      <c r="K33" s="24">
        <v>143.69999999999999</v>
      </c>
      <c r="L33" s="25">
        <v>136.81794139774956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45292</v>
      </c>
      <c r="G34" s="24">
        <v>155.05035000000001</v>
      </c>
      <c r="H34" s="24">
        <v>153.97094188376755</v>
      </c>
      <c r="I34" s="24">
        <v>125.2015771995201</v>
      </c>
      <c r="J34" s="24">
        <v>3.51</v>
      </c>
      <c r="K34" s="24">
        <v>147.80000000000001</v>
      </c>
      <c r="L34" s="25">
        <v>137.83784397696471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45323</v>
      </c>
      <c r="G35" s="24">
        <v>155.05035000000001</v>
      </c>
      <c r="H35" s="24">
        <v>153.18336673346695</v>
      </c>
      <c r="I35" s="24">
        <v>124.99882160891359</v>
      </c>
      <c r="J35" s="24">
        <v>3.18</v>
      </c>
      <c r="K35" s="24">
        <v>150.30000000000001</v>
      </c>
      <c r="L35" s="25">
        <v>137.45247606417558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45352</v>
      </c>
      <c r="G36" s="24">
        <v>155.05035000000001</v>
      </c>
      <c r="H36" s="24">
        <v>154.62725450901803</v>
      </c>
      <c r="I36" s="24">
        <v>123.98504365588104</v>
      </c>
      <c r="J36" s="24">
        <v>3.23</v>
      </c>
      <c r="K36" s="24">
        <v>166.1</v>
      </c>
      <c r="L36" s="25">
        <v>138.67888404177921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45383</v>
      </c>
      <c r="G37" s="24">
        <v>156.36348000000001</v>
      </c>
      <c r="H37" s="24">
        <v>155.41482965931866</v>
      </c>
      <c r="I37" s="24">
        <v>124.28917704179081</v>
      </c>
      <c r="J37" s="24">
        <v>3.38</v>
      </c>
      <c r="K37" s="24">
        <v>162</v>
      </c>
      <c r="L37" s="25">
        <v>139.51681721738859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45413</v>
      </c>
      <c r="G38" s="24">
        <v>156.36348000000001</v>
      </c>
      <c r="H38" s="24">
        <v>155.41482965931866</v>
      </c>
      <c r="I38" s="24">
        <v>123.88366586057779</v>
      </c>
      <c r="J38" s="24">
        <v>3.39</v>
      </c>
      <c r="K38" s="24">
        <v>161.1</v>
      </c>
      <c r="L38" s="25">
        <v>139.42451265591916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45444</v>
      </c>
      <c r="G39" s="24">
        <v>156.36348000000001</v>
      </c>
      <c r="H39" s="24">
        <v>155.54609218436875</v>
      </c>
      <c r="I39" s="24">
        <v>124.39055483709407</v>
      </c>
      <c r="J39" s="24">
        <v>3.43</v>
      </c>
      <c r="K39" s="24">
        <v>127.9</v>
      </c>
      <c r="L39" s="25">
        <v>137.13984679103868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45474</v>
      </c>
      <c r="G40" s="24">
        <v>157.67660999999998</v>
      </c>
      <c r="H40" s="24">
        <v>155.54609218436875</v>
      </c>
      <c r="I40" s="24">
        <v>124.89744381361034</v>
      </c>
      <c r="J40" s="24">
        <v>3.49</v>
      </c>
      <c r="K40" s="24">
        <v>127.9</v>
      </c>
      <c r="L40" s="25">
        <v>138.1023175632821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45505</v>
      </c>
      <c r="G41" s="24">
        <v>157.67660999999998</v>
      </c>
      <c r="H41" s="24">
        <v>155.54609218436875</v>
      </c>
      <c r="I41" s="24">
        <v>124.89744381361034</v>
      </c>
      <c r="J41" s="24">
        <v>3.4</v>
      </c>
      <c r="K41" s="24">
        <v>129.6</v>
      </c>
      <c r="L41" s="25">
        <v>138.09343049738109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45536</v>
      </c>
      <c r="G42" s="24">
        <v>157.67660999999998</v>
      </c>
      <c r="H42" s="24">
        <v>157.25250501002006</v>
      </c>
      <c r="I42" s="24">
        <v>125.10019940421685</v>
      </c>
      <c r="J42" s="24">
        <v>3.12</v>
      </c>
      <c r="K42" s="24">
        <v>130.4</v>
      </c>
      <c r="L42" s="25">
        <v>137.89434838882423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45566</v>
      </c>
      <c r="G43" s="24">
        <v>160.50489000000002</v>
      </c>
      <c r="H43" s="24">
        <v>156.59619238476955</v>
      </c>
      <c r="I43" s="24">
        <v>125.30295499482335</v>
      </c>
      <c r="J43" s="24">
        <v>3.05</v>
      </c>
      <c r="K43" s="24">
        <v>153.4</v>
      </c>
      <c r="L43" s="25">
        <v>141.19895994311693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45597</v>
      </c>
      <c r="G44" s="24">
        <v>160.50489000000002</v>
      </c>
      <c r="H44" s="24">
        <v>156.07114228456916</v>
      </c>
      <c r="I44" s="24">
        <v>125.2015771995201</v>
      </c>
      <c r="J44" s="24">
        <v>2.82</v>
      </c>
      <c r="K44" s="24">
        <v>136.4</v>
      </c>
      <c r="L44" s="25">
        <v>139.57819612923038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45627</v>
      </c>
      <c r="G45" s="24">
        <v>160.50489000000002</v>
      </c>
      <c r="H45" s="24">
        <v>156.98997995991985</v>
      </c>
      <c r="I45" s="24">
        <v>124.59331042770059</v>
      </c>
      <c r="J45" s="24">
        <v>2.9</v>
      </c>
      <c r="K45" s="24">
        <v>162.80000000000001</v>
      </c>
      <c r="L45" s="25">
        <v>141.61759443385085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45658</v>
      </c>
      <c r="G46" s="24">
        <v>161.11095</v>
      </c>
      <c r="H46" s="24">
        <v>156.46492985971946</v>
      </c>
      <c r="I46" s="24">
        <v>124.89744381361034</v>
      </c>
      <c r="J46" s="24">
        <v>2.67</v>
      </c>
      <c r="K46" s="24">
        <v>172.2</v>
      </c>
      <c r="L46" s="25">
        <v>142.3311214036741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45689</v>
      </c>
      <c r="G47" s="24">
        <v>161.11095</v>
      </c>
      <c r="H47" s="24">
        <v>156.07114228456916</v>
      </c>
      <c r="I47" s="24">
        <v>125.20157719952012</v>
      </c>
      <c r="J47" s="24">
        <v>2.82</v>
      </c>
      <c r="K47" s="24">
        <v>163.69999999999999</v>
      </c>
      <c r="L47" s="25">
        <v>141.93594208166851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45717</v>
      </c>
      <c r="G48" s="24">
        <v>161.11095</v>
      </c>
      <c r="H48" s="24">
        <v>156.98997995991985</v>
      </c>
      <c r="I48" s="24">
        <v>124.43144447509424</v>
      </c>
      <c r="J48" s="24">
        <v>2.73</v>
      </c>
      <c r="K48" s="24">
        <v>167.2</v>
      </c>
      <c r="L48" s="25">
        <v>142.04977417943354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45748</v>
      </c>
      <c r="G49" s="24">
        <v>161.91903000000002</v>
      </c>
      <c r="H49" s="24">
        <v>158.56513026052104</v>
      </c>
      <c r="I49" s="24">
        <v>124.21140655382972</v>
      </c>
      <c r="J49" s="24">
        <v>2.69</v>
      </c>
      <c r="K49" s="24">
        <v>182.6</v>
      </c>
      <c r="L49" s="25">
        <v>143.71307413376968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45778</v>
      </c>
      <c r="G50" s="24">
        <v>161.91903000000002</v>
      </c>
      <c r="H50" s="24">
        <v>157.77755511022045</v>
      </c>
      <c r="I50" s="24">
        <v>124.10138759319744</v>
      </c>
      <c r="J50" s="24">
        <v>2.75</v>
      </c>
      <c r="K50" s="24">
        <v>154.4</v>
      </c>
      <c r="L50" s="25">
        <v>141.68494621515157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45809</v>
      </c>
      <c r="G51" s="24">
        <v>161.91903000000002</v>
      </c>
      <c r="H51" s="24">
        <v>157.90881763527054</v>
      </c>
      <c r="I51" s="24">
        <v>126.08172888457825</v>
      </c>
      <c r="J51" s="24">
        <v>2.61</v>
      </c>
      <c r="K51" s="24">
        <v>124.5</v>
      </c>
      <c r="L51" s="25">
        <v>139.52700570312655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45839</v>
      </c>
      <c r="G52" s="24">
        <v>163.03014000000002</v>
      </c>
      <c r="H52" s="24">
        <v>158.04008016032066</v>
      </c>
      <c r="I52" s="24">
        <v>126.41178576647506</v>
      </c>
      <c r="J52" s="24">
        <v>2.67</v>
      </c>
      <c r="K52" s="24">
        <v>123.7</v>
      </c>
      <c r="L52" s="25">
        <v>140.2970273436863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45870</v>
      </c>
      <c r="G53" s="24">
        <v>163.03014000000002</v>
      </c>
      <c r="H53" s="24">
        <v>158.43386773547095</v>
      </c>
      <c r="I53" s="24">
        <v>125.86169096331372</v>
      </c>
      <c r="J53" s="24">
        <v>2.75</v>
      </c>
      <c r="K53" s="24">
        <v>116</v>
      </c>
      <c r="L53" s="25">
        <v>139.83048909468272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45901</v>
      </c>
      <c r="G54" s="24">
        <v>163.03014000000002</v>
      </c>
      <c r="H54" s="24">
        <v>160.79659318637275</v>
      </c>
      <c r="I54" s="24">
        <v>126.30176680584279</v>
      </c>
      <c r="J54" s="24">
        <v>2.69</v>
      </c>
      <c r="K54" s="24">
        <v>132.19999999999999</v>
      </c>
      <c r="L54" s="25">
        <v>141.14578222032011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45931</v>
      </c>
      <c r="G55" s="24">
        <v>164.54528999999999</v>
      </c>
      <c r="H55" s="24">
        <v>159.74649298597197</v>
      </c>
      <c r="I55" s="24">
        <v>124.65148239635877</v>
      </c>
      <c r="J55" s="24">
        <v>2.73</v>
      </c>
      <c r="K55" s="24">
        <v>123.7</v>
      </c>
      <c r="L55" s="25">
        <v>141.28546991877801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45962</v>
      </c>
      <c r="G56" s="24">
        <v>164.54528999999999</v>
      </c>
      <c r="H56" s="24">
        <v>159.61523046092185</v>
      </c>
      <c r="I56" s="24">
        <v>124.65148239635877</v>
      </c>
      <c r="J56" s="24">
        <v>2.76</v>
      </c>
      <c r="K56" s="24">
        <v>116</v>
      </c>
      <c r="L56" s="25">
        <v>140.76129581281276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45992</v>
      </c>
      <c r="G57" s="24">
        <v>164.54528999999999</v>
      </c>
      <c r="H57" s="24">
        <v>160.27154308617236</v>
      </c>
      <c r="I57" s="24">
        <v>126.30176680584279</v>
      </c>
      <c r="J57" s="24">
        <v>2.68</v>
      </c>
      <c r="K57" s="24">
        <v>146.69999999999999</v>
      </c>
      <c r="L57" s="25">
        <v>143.08963151795189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46023</v>
      </c>
      <c r="G58" s="26">
        <v>165.65639999999999</v>
      </c>
      <c r="H58" s="24">
        <v>159.74649298597197</v>
      </c>
      <c r="I58" s="24">
        <v>125.42161512078465</v>
      </c>
      <c r="J58" s="24">
        <v>2.69</v>
      </c>
      <c r="K58" s="24">
        <v>145.9</v>
      </c>
      <c r="L58" s="25">
        <v>143.61050137312111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46054</v>
      </c>
      <c r="G59" s="24">
        <v>165.65639999999999</v>
      </c>
      <c r="H59" s="24">
        <v>159.09018036072146</v>
      </c>
      <c r="I59" s="24">
        <v>124.32142551446198</v>
      </c>
      <c r="J59" s="24">
        <v>2.79</v>
      </c>
      <c r="K59" s="24">
        <v>140.80000000000001</v>
      </c>
      <c r="L59" s="25">
        <v>143.22324063648554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46082</v>
      </c>
      <c r="G60" s="24">
        <v>165.65639999999999</v>
      </c>
      <c r="H60" s="24">
        <v>158.18427224078528</v>
      </c>
      <c r="I60" s="24">
        <v>123.11121694750705</v>
      </c>
      <c r="J60" s="24">
        <v>2.76</v>
      </c>
      <c r="K60" s="24">
        <v>154.4447086801427</v>
      </c>
      <c r="L60" s="25">
        <v>143.97273696213838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46113</v>
      </c>
      <c r="G61" s="24">
        <v>166.76750999999999</v>
      </c>
      <c r="H61" s="24">
        <v>159.78947785681257</v>
      </c>
      <c r="I61" s="24">
        <v>123.66131175066837</v>
      </c>
      <c r="J61" s="24">
        <v>2.67</v>
      </c>
      <c r="K61" s="24">
        <v>168.10336900515259</v>
      </c>
      <c r="L61" s="25">
        <v>145.70787549394657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46143</v>
      </c>
      <c r="G62" s="24">
        <v>166.76750999999999</v>
      </c>
      <c r="H62" s="24">
        <v>159.7259053571679</v>
      </c>
      <c r="I62" s="24">
        <v>125.64165304204919</v>
      </c>
      <c r="J62" s="24">
        <v>3.11</v>
      </c>
      <c r="K62" s="24">
        <v>160.41601268331354</v>
      </c>
      <c r="L62" s="25">
        <v>145.99551793251391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46174</v>
      </c>
      <c r="G63" s="24">
        <v>166.76750999999999</v>
      </c>
      <c r="H63" s="24">
        <v>160.10734035503575</v>
      </c>
      <c r="I63" s="24">
        <v>123.22123590813931</v>
      </c>
      <c r="J63" s="24">
        <v>3.11</v>
      </c>
      <c r="K63" s="24">
        <v>134.82869599682917</v>
      </c>
      <c r="L63" s="25">
        <v>143.92181619744144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46204</v>
      </c>
      <c r="G64" s="24">
        <v>167.54017799999997</v>
      </c>
      <c r="H64" s="24">
        <v>161.0291415998831</v>
      </c>
      <c r="I64" s="24">
        <v>123.44127382940384</v>
      </c>
      <c r="J64" s="24">
        <v>2.92</v>
      </c>
      <c r="K64" s="24">
        <v>145.0692033293698</v>
      </c>
      <c r="L64" s="25">
        <v>144.96335242959299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46235</v>
      </c>
      <c r="G65" s="24">
        <v>167.54017799999997</v>
      </c>
      <c r="H65" s="24">
        <v>161.41057659775097</v>
      </c>
      <c r="I65" s="24">
        <v>124.87152031762332</v>
      </c>
      <c r="J65" s="24">
        <v>2.89</v>
      </c>
      <c r="K65" s="24">
        <v>140.80000000000001</v>
      </c>
      <c r="L65" s="25">
        <v>144.7869831596625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46266</v>
      </c>
      <c r="G66" s="29">
        <v>167.54017799999997</v>
      </c>
      <c r="H66" s="29">
        <v>163.57204158566887</v>
      </c>
      <c r="I66" s="29">
        <v>126.85186160900412</v>
      </c>
      <c r="J66" s="29">
        <v>3.12</v>
      </c>
      <c r="K66" s="29">
        <v>141.65105033690051</v>
      </c>
      <c r="L66" s="30">
        <v>145.55855416228485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46296</v>
      </c>
      <c r="G67" s="24">
        <v>168.46955118155932</v>
      </c>
      <c r="H67" s="24">
        <v>163.21352682481756</v>
      </c>
      <c r="I67" s="24">
        <v>126.96448097926842</v>
      </c>
      <c r="J67" s="24">
        <v>3.14</v>
      </c>
      <c r="K67" s="24">
        <v>146.71718633840101</v>
      </c>
      <c r="L67" s="25">
        <v>146.52060560277923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46327</v>
      </c>
      <c r="G68" s="24">
        <v>169.40407975044673</v>
      </c>
      <c r="H68" s="24">
        <v>162.85579785127138</v>
      </c>
      <c r="I68" s="24">
        <v>127.0772003332649</v>
      </c>
      <c r="J68" s="24">
        <v>3.16</v>
      </c>
      <c r="K68" s="24">
        <v>151.964512199946</v>
      </c>
      <c r="L68" s="25">
        <v>147.49908632143959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46357</v>
      </c>
      <c r="G69" s="24">
        <v>170.34379230445157</v>
      </c>
      <c r="H69" s="24">
        <v>162.49885294275339</v>
      </c>
      <c r="I69" s="24">
        <v>127.19001975975935</v>
      </c>
      <c r="J69" s="24">
        <v>3.18</v>
      </c>
      <c r="K69" s="24">
        <v>157.39950815921034</v>
      </c>
      <c r="L69" s="25">
        <v>148.49448368217918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46388</v>
      </c>
      <c r="G70" s="24">
        <v>170.79151318946487</v>
      </c>
      <c r="H70" s="24">
        <v>162.71394525705367</v>
      </c>
      <c r="I70" s="24">
        <v>127.35837538326436</v>
      </c>
      <c r="J70" s="24">
        <v>3.2022222222222223</v>
      </c>
      <c r="K70" s="24">
        <v>158.21365957062673</v>
      </c>
      <c r="L70" s="25">
        <v>148.90053108979839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46419</v>
      </c>
      <c r="G71" s="24">
        <v>171.24041083582748</v>
      </c>
      <c r="H71" s="24">
        <v>162.92932227923239</v>
      </c>
      <c r="I71" s="24">
        <v>127.52695385142353</v>
      </c>
      <c r="J71" s="24">
        <v>3.2244444444444444</v>
      </c>
      <c r="K71" s="24">
        <v>159.03202219291958</v>
      </c>
      <c r="L71" s="25">
        <v>149.3076656229822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46447</v>
      </c>
      <c r="G72" s="24">
        <v>171.69048833646471</v>
      </c>
      <c r="H72" s="24">
        <v>163.14498438614439</v>
      </c>
      <c r="I72" s="24">
        <v>127.69575545920614</v>
      </c>
      <c r="J72" s="24">
        <v>3.2466666666666666</v>
      </c>
      <c r="K72" s="24">
        <v>159.85461780864287</v>
      </c>
      <c r="L72" s="25">
        <v>149.71589085655808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46478</v>
      </c>
      <c r="G73" s="24">
        <v>172.1417487924312</v>
      </c>
      <c r="H73" s="24">
        <v>163.36093195514329</v>
      </c>
      <c r="I73" s="24">
        <v>127.86478050197195</v>
      </c>
      <c r="J73" s="24">
        <v>3.2688888888888887</v>
      </c>
      <c r="K73" s="24">
        <v>150.13814168097466</v>
      </c>
      <c r="L73" s="25">
        <v>149.36120120245198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46508</v>
      </c>
      <c r="G74" s="24">
        <v>172.59419531293216</v>
      </c>
      <c r="H74" s="24">
        <v>163.57716536408225</v>
      </c>
      <c r="I74" s="24">
        <v>128.03402927547162</v>
      </c>
      <c r="J74" s="24">
        <v>3.2911111111111109</v>
      </c>
      <c r="K74" s="24">
        <v>141.01226412114113</v>
      </c>
      <c r="L74" s="25">
        <v>149.050096516037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46539</v>
      </c>
      <c r="G75" s="24">
        <v>173.0478310153448</v>
      </c>
      <c r="H75" s="24">
        <v>163.79368499131454</v>
      </c>
      <c r="I75" s="24">
        <v>128.20350207584735</v>
      </c>
      <c r="J75" s="24">
        <v>3.313333333333333</v>
      </c>
      <c r="K75" s="24">
        <v>132.44108665486567</v>
      </c>
      <c r="L75" s="25">
        <v>148.77997747052709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46569</v>
      </c>
      <c r="G76" s="24">
        <v>173.50265902523992</v>
      </c>
      <c r="H76" s="24">
        <v>164.01049121569426</v>
      </c>
      <c r="I76" s="24">
        <v>128.37319919963326</v>
      </c>
      <c r="J76" s="24">
        <v>3.3355555555555552</v>
      </c>
      <c r="K76" s="24">
        <v>130.18201404382395</v>
      </c>
      <c r="L76" s="25">
        <v>148.96804932666137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46600</v>
      </c>
      <c r="G77" s="24">
        <v>173.95868247640334</v>
      </c>
      <c r="H77" s="24">
        <v>164.22758441657697</v>
      </c>
      <c r="I77" s="24">
        <v>128.54312094375601</v>
      </c>
      <c r="J77" s="24">
        <v>3.3577777777777773</v>
      </c>
      <c r="K77" s="24">
        <v>127.96147486066975</v>
      </c>
      <c r="L77" s="25">
        <v>149.15970748163264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46631</v>
      </c>
      <c r="G78" s="24">
        <v>174.41590451085753</v>
      </c>
      <c r="H78" s="24">
        <v>164.44496497382036</v>
      </c>
      <c r="I78" s="24">
        <v>128.71326760553529</v>
      </c>
      <c r="J78" s="24">
        <v>3.3799999999999994</v>
      </c>
      <c r="K78" s="24">
        <v>125.77881183345106</v>
      </c>
      <c r="L78" s="25">
        <v>149.35490633463843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46661</v>
      </c>
      <c r="G79" s="24">
        <v>174.87432827888324</v>
      </c>
      <c r="H79" s="24">
        <v>164.66263326778494</v>
      </c>
      <c r="I79" s="24">
        <v>128.88363948268434</v>
      </c>
      <c r="J79" s="24">
        <v>3.4022222222222216</v>
      </c>
      <c r="K79" s="24">
        <v>129.79499549470074</v>
      </c>
      <c r="L79" s="25">
        <v>150.00009505856769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46692</v>
      </c>
      <c r="G80" s="24">
        <v>175.33395693904123</v>
      </c>
      <c r="H80" s="24">
        <v>164.88058967933466</v>
      </c>
      <c r="I80" s="24">
        <v>129.05423687331049</v>
      </c>
      <c r="J80" s="24">
        <v>3.4244444444444437</v>
      </c>
      <c r="K80" s="24">
        <v>133.93941801403605</v>
      </c>
      <c r="L80" s="25">
        <v>150.65537657339166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>
        <v>46722</v>
      </c>
      <c r="G81" s="24">
        <v>175.79479365819404</v>
      </c>
      <c r="H81" s="24">
        <v>165.09883458983762</v>
      </c>
      <c r="I81" s="24">
        <v>129.22506007591559</v>
      </c>
      <c r="J81" s="24">
        <v>3.4466666666666659</v>
      </c>
      <c r="K81" s="24">
        <v>138.21617412568983</v>
      </c>
      <c r="L81" s="25">
        <v>151.32104964237507</v>
      </c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zoomScale="60" zoomScaleNormal="100" workbookViewId="0">
      <selection activeCell="T12" sqref="T12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12" width="15.6640625" style="4" customWidth="1"/>
    <col min="13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4" t="s">
        <v>8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62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65</v>
      </c>
      <c r="H19" s="37" t="s">
        <v>10</v>
      </c>
      <c r="I19" s="37" t="s">
        <v>11</v>
      </c>
      <c r="J19" s="37" t="s">
        <v>12</v>
      </c>
      <c r="K19" s="37" t="str">
        <f>F12</f>
        <v>El</v>
      </c>
      <c r="L19" s="37" t="s">
        <v>4</v>
      </c>
      <c r="M19" s="38" t="s">
        <v>14</v>
      </c>
      <c r="N19" s="12"/>
      <c r="O19" s="36" t="s">
        <v>3</v>
      </c>
      <c r="P19" s="37" t="s">
        <v>65</v>
      </c>
      <c r="Q19" s="37" t="s">
        <v>10</v>
      </c>
      <c r="R19" s="37" t="s">
        <v>11</v>
      </c>
      <c r="S19" s="37" t="s">
        <v>12</v>
      </c>
      <c r="T19" s="37" t="str">
        <f>K19</f>
        <v>El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0.61188607679281126</v>
      </c>
      <c r="Q20" s="41">
        <v>8.4612136470404983E-2</v>
      </c>
      <c r="R20" s="41">
        <v>0.10203726514736525</v>
      </c>
      <c r="S20" s="41">
        <v>4.680813037261837E-2</v>
      </c>
      <c r="T20" s="41">
        <v>0.15465639121680017</v>
      </c>
      <c r="U20" s="41">
        <v>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8.4097232643549902E-2</v>
      </c>
      <c r="R21" s="43">
        <v>0.10173220307661328</v>
      </c>
      <c r="S21" s="43">
        <v>4.5651120314478287E-2</v>
      </c>
      <c r="T21" s="43">
        <v>0.16090784761494439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8.3573328590412277E-2</v>
      </c>
      <c r="R22" s="43">
        <v>0.10139288116686442</v>
      </c>
      <c r="S22" s="43">
        <v>4.5270256358749608E-2</v>
      </c>
      <c r="T22" s="43">
        <v>0.1653897609372251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0.60589778919035242</v>
      </c>
      <c r="Q23" s="43">
        <v>8.3367234702559578E-2</v>
      </c>
      <c r="R23" s="43">
        <v>0.10124398666704325</v>
      </c>
      <c r="S23" s="43">
        <v>4.5158618790946257E-2</v>
      </c>
      <c r="T23" s="43">
        <v>0.16433237064909859</v>
      </c>
      <c r="U23" s="43">
        <v>1.0000000000000002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0.60224100698945116</v>
      </c>
      <c r="Q24" s="43">
        <v>8.3540222323038177E-2</v>
      </c>
      <c r="R24" s="43">
        <v>0.1005324152036743</v>
      </c>
      <c r="S24" s="43">
        <v>4.5568231592403106E-2</v>
      </c>
      <c r="T24" s="43">
        <v>0.16811812389143332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9.9778146891754807E-2</v>
      </c>
      <c r="S25" s="43">
        <v>5.0321535899550546E-2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9.9920639096926708E-2</v>
      </c>
      <c r="S26" s="43">
        <v>5.1580185935738695E-2</v>
      </c>
      <c r="T26" s="43">
        <v>0.16173830201757688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8.3066930293880389E-2</v>
      </c>
      <c r="R27" s="43">
        <v>9.9721789285774048E-2</v>
      </c>
      <c r="S27" s="43">
        <v>5.0238843795552567E-2</v>
      </c>
      <c r="T27" s="43">
        <v>0.16119754453041626</v>
      </c>
      <c r="U27" s="43">
        <v>0.99999999999999989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8.2629697548409389E-2</v>
      </c>
      <c r="R28" s="43">
        <v>9.995692969807432E-2</v>
      </c>
      <c r="S28" s="43">
        <v>5.0427317684094947E-2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8.2919881584678376E-2</v>
      </c>
      <c r="R29" s="43">
        <v>9.8920309613118484E-2</v>
      </c>
      <c r="S29" s="43">
        <v>5.1455718885897915E-2</v>
      </c>
      <c r="T29" s="43">
        <v>0.16105234848145214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8.2813197857281334E-2</v>
      </c>
      <c r="R30" s="43">
        <v>9.853892642759407E-2</v>
      </c>
      <c r="S30" s="43">
        <v>5.3759389574676367E-2</v>
      </c>
      <c r="T30" s="43">
        <v>0.16217815850485515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8.286841638542243E-2</v>
      </c>
      <c r="R31" s="43">
        <v>9.8067338629474893E-2</v>
      </c>
      <c r="S31" s="43">
        <v>5.5296500652001333E-2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8.2483634476023235E-2</v>
      </c>
      <c r="R32" s="43">
        <v>9.6936534135910565E-2</v>
      </c>
      <c r="S32" s="43">
        <v>5.4591369819875335E-2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8.2629249987673264E-2</v>
      </c>
      <c r="R33" s="43">
        <v>9.6065193874741911E-2</v>
      </c>
      <c r="S33" s="43">
        <v>5.6005628530426302E-2</v>
      </c>
      <c r="T33" s="43">
        <v>0.16405211658817059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8.2364824981540491E-2</v>
      </c>
      <c r="R34" s="43">
        <v>9.6307043784929686E-2</v>
      </c>
      <c r="S34" s="43">
        <v>5.5310483727645805E-2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9.5460800843164981E-2</v>
      </c>
      <c r="S35" s="43">
        <v>5.4748380153405586E-2</v>
      </c>
      <c r="T35" s="43">
        <v>0.1671828009615634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8.26010480263316E-2</v>
      </c>
      <c r="R36" s="43">
        <v>9.5751535513114966E-2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8.277487537518062E-2</v>
      </c>
      <c r="R37" s="43">
        <v>9.57435063639515E-2</v>
      </c>
      <c r="S37" s="43">
        <v>5.7970034848196739E-2</v>
      </c>
      <c r="T37" s="43">
        <v>0.1565214738124156</v>
      </c>
      <c r="U37" s="43">
        <v>0.99999999999999978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8.2474282867115403E-2</v>
      </c>
      <c r="R38" s="43">
        <v>9.5382536090224471E-2</v>
      </c>
      <c r="S38" s="43">
        <v>5.7146278852902833E-2</v>
      </c>
      <c r="T38" s="43">
        <v>0.15558833836690875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0.60913770868189343</v>
      </c>
      <c r="Q39" s="43">
        <v>8.2510774547554219E-2</v>
      </c>
      <c r="R39" s="43">
        <v>9.5535913087208824E-2</v>
      </c>
      <c r="S39" s="43">
        <v>5.8050754649041809E-2</v>
      </c>
      <c r="T39" s="43">
        <v>0.15476484903430182</v>
      </c>
      <c r="U39" s="43">
        <v>1.0000000000000002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9.6271129039771086E-2</v>
      </c>
      <c r="S40" s="43">
        <v>5.95193012290062E-2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0.61053038347005062</v>
      </c>
      <c r="Q41" s="43">
        <v>8.2574094434012341E-2</v>
      </c>
      <c r="R41" s="43">
        <v>9.5616817113506919E-2</v>
      </c>
      <c r="S41" s="43">
        <v>5.8610216676147991E-2</v>
      </c>
      <c r="T41" s="43">
        <v>0.15266848830628219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8.261813645666824E-2</v>
      </c>
      <c r="R43" s="43">
        <v>9.4598292165808326E-2</v>
      </c>
      <c r="S43" s="43">
        <v>6.0251341157579887E-2</v>
      </c>
      <c r="T43" s="43">
        <v>0.15541723750276296</v>
      </c>
      <c r="U43" s="43">
        <v>0.99999999999999989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0.6081933547578543</v>
      </c>
      <c r="Q44" s="43">
        <v>8.2129744247012429E-2</v>
      </c>
      <c r="R44" s="43">
        <v>9.368284652891827E-2</v>
      </c>
      <c r="S44" s="43">
        <v>6.213527594233581E-2</v>
      </c>
      <c r="T44" s="43">
        <v>0.15385877852387916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0.60504475774328015</v>
      </c>
      <c r="Q45" s="43">
        <v>8.1633203564105236E-2</v>
      </c>
      <c r="R45" s="43">
        <v>9.3197853510513462E-2</v>
      </c>
      <c r="S45" s="43">
        <v>6.3627839407163836E-2</v>
      </c>
      <c r="T45" s="43">
        <v>0.15649634577493729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8.129112216994136E-2</v>
      </c>
      <c r="R46" s="43">
        <v>9.3214717794710272E-2</v>
      </c>
      <c r="S46" s="43">
        <v>6.2343235787104663E-2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8.0692791128711541E-2</v>
      </c>
      <c r="R47" s="43">
        <v>9.2501442800379849E-2</v>
      </c>
      <c r="S47" s="43">
        <v>6.2122107373570816E-2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8.0797277001495818E-2</v>
      </c>
      <c r="R48" s="43">
        <v>9.2135018598786839E-2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0.60550614902089717</v>
      </c>
      <c r="Q49" s="43">
        <v>8.0995350499406094E-2</v>
      </c>
      <c r="R49" s="43">
        <v>9.1944295241314894E-2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0.09</v>
      </c>
      <c r="S50" s="43">
        <v>5.9999999999999991E-2</v>
      </c>
      <c r="T50" s="43">
        <v>0.17</v>
      </c>
      <c r="U50" s="43">
        <v>0.99999999999999989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6.2397291142382759E-2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0.60286809743575787</v>
      </c>
      <c r="Q52" s="43">
        <v>8.0521603316960663E-2</v>
      </c>
      <c r="R52" s="43">
        <v>9.0895869685473668E-2</v>
      </c>
      <c r="S52" s="43">
        <v>5.8011835790988009E-2</v>
      </c>
      <c r="T52" s="43">
        <v>0.16770259377081992</v>
      </c>
      <c r="U52" s="43">
        <v>1.0000000000000002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8.0829627924801584E-2</v>
      </c>
      <c r="R53" s="43">
        <v>8.9875599775733464E-2</v>
      </c>
      <c r="S53" s="43">
        <v>5.703611681568372E-2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8.0167815630538319E-2</v>
      </c>
      <c r="R54" s="43">
        <v>8.8760725966451945E-2</v>
      </c>
      <c r="S54" s="43">
        <v>5.8433189964307471E-2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8.8185486913374966E-2</v>
      </c>
      <c r="S55" s="43">
        <v>6.088557726793465E-2</v>
      </c>
      <c r="T55" s="43">
        <v>0.1759043839489014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8.6568027339674405E-2</v>
      </c>
      <c r="S56" s="43">
        <v>6.3221658091367219E-2</v>
      </c>
      <c r="T56" s="43">
        <v>0.18076523689568158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7.8248655065524378E-2</v>
      </c>
      <c r="R57" s="43">
        <v>8.5672607020119071E-2</v>
      </c>
      <c r="S57" s="43">
        <v>6.5548969433820672E-2</v>
      </c>
      <c r="T57" s="43">
        <v>0.18735752912824491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0.58349539745158108</v>
      </c>
      <c r="Q58" s="43">
        <v>7.8028406165415481E-2</v>
      </c>
      <c r="R58" s="43">
        <v>8.6072839033768334E-2</v>
      </c>
      <c r="S58" s="43">
        <v>6.4149118340033534E-2</v>
      </c>
      <c r="T58" s="43">
        <v>0.18825423900920155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0.59653417421525201</v>
      </c>
      <c r="Q59" s="43">
        <v>7.8911497306830128E-2</v>
      </c>
      <c r="R59" s="43">
        <v>8.6900182674933005E-2</v>
      </c>
      <c r="S59" s="43">
        <v>6.2228265012057915E-2</v>
      </c>
      <c r="T59" s="43">
        <v>0.17542588079092694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0.59673730282125037</v>
      </c>
      <c r="Q60" s="43">
        <v>7.9271160269587443E-2</v>
      </c>
      <c r="R60" s="43">
        <v>8.7286043020723805E-2</v>
      </c>
      <c r="S60" s="43">
        <v>6.2249454645899469E-2</v>
      </c>
      <c r="T60" s="43">
        <v>0.174456039242539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0.60105446764492787</v>
      </c>
      <c r="Q61" s="43">
        <v>7.9710576590961327E-2</v>
      </c>
      <c r="R61" s="43">
        <v>8.9263200350614386E-2</v>
      </c>
      <c r="S61" s="43">
        <v>6.6352221357722757E-2</v>
      </c>
      <c r="T61" s="43">
        <v>0.16361953405577373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0.61209827620496637</v>
      </c>
      <c r="Q62" s="43">
        <v>8.018563292930736E-2</v>
      </c>
      <c r="R62" s="43">
        <v>9.0746123594251257E-2</v>
      </c>
      <c r="S62" s="43">
        <v>6.1022940329227449E-2</v>
      </c>
      <c r="T62" s="43">
        <v>0.15594702694224746</v>
      </c>
      <c r="U62" s="43">
        <v>0.99999999999999989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9.2556572762132153E-2</v>
      </c>
      <c r="S63" s="43">
        <v>5.5603085746954065E-2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9.1447503134238745E-2</v>
      </c>
      <c r="S64" s="43">
        <v>5.5575907184961248E-2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8.226104232240096E-2</v>
      </c>
      <c r="R65" s="43">
        <v>9.273316935212364E-2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0.63296743858849247</v>
      </c>
      <c r="Q66" s="43">
        <v>8.2957682431663057E-2</v>
      </c>
      <c r="R66" s="43">
        <v>9.3576953761961512E-2</v>
      </c>
      <c r="S66" s="43">
        <v>4.9462934617687221E-2</v>
      </c>
      <c r="T66" s="43">
        <v>0.14103499060019578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9.2191167379316888E-2</v>
      </c>
      <c r="S67" s="43">
        <v>4.8815006236526758E-2</v>
      </c>
      <c r="T67" s="43">
        <v>0.14525063758930534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0.63288553231685318</v>
      </c>
      <c r="Q68" s="43">
        <v>8.229493272090424E-2</v>
      </c>
      <c r="R68" s="43">
        <v>9.1756043034506712E-2</v>
      </c>
      <c r="S68" s="43">
        <v>4.7490173439209714E-2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8.2314728063796652E-2</v>
      </c>
      <c r="R69" s="43">
        <v>9.0266080974917659E-2</v>
      </c>
      <c r="S69" s="43">
        <v>4.5890661171566538E-2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0.63567393407259909</v>
      </c>
      <c r="Q70" s="43">
        <v>8.2450696117257555E-2</v>
      </c>
      <c r="R70" s="43">
        <v>9.0684265886129531E-2</v>
      </c>
      <c r="S70" s="43">
        <v>4.3317572844149832E-2</v>
      </c>
      <c r="T70" s="43">
        <v>0.14787353107986409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0.63203828000673301</v>
      </c>
      <c r="Q71" s="43">
        <v>8.2042820799426514E-2</v>
      </c>
      <c r="R71" s="43">
        <v>8.9277350520686624E-2</v>
      </c>
      <c r="S71" s="43">
        <v>4.1752794382952041E-2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8.2659429121412567E-2</v>
      </c>
      <c r="R72" s="43">
        <v>8.9706441187488745E-2</v>
      </c>
      <c r="S72" s="43">
        <v>4.0371676544676841E-2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8.8859871067600071E-2</v>
      </c>
      <c r="S73" s="43">
        <v>4.5874347754291979E-2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8.8297724274177064E-2</v>
      </c>
      <c r="S74" s="43">
        <v>4.19213271826432E-2</v>
      </c>
      <c r="T74" s="43">
        <v>0.15413772432973435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8.1945565152495251E-2</v>
      </c>
      <c r="R75" s="43">
        <v>8.8531313101617257E-2</v>
      </c>
      <c r="S75" s="43">
        <v>4.1206831706421788E-2</v>
      </c>
      <c r="T75" s="43">
        <v>0.15212085274151568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8.1590345694349697E-2</v>
      </c>
      <c r="R76" s="43">
        <v>8.8835885793665664E-2</v>
      </c>
      <c r="S76" s="43">
        <v>3.858366797435725E-2</v>
      </c>
      <c r="T76" s="43">
        <v>0.15913341654508409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8.9167592636617027E-2</v>
      </c>
      <c r="S77" s="43">
        <v>3.7005721902801075E-2</v>
      </c>
      <c r="T77" s="43">
        <v>0.15678751662615942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0.63062693278194271</v>
      </c>
      <c r="Q78" s="43">
        <v>8.2571211032216041E-2</v>
      </c>
      <c r="R78" s="43">
        <v>8.890221312386766E-2</v>
      </c>
      <c r="S78" s="43">
        <v>3.5556996064992206E-2</v>
      </c>
      <c r="T78" s="43">
        <v>0.16234264699698137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0.62798838633068599</v>
      </c>
      <c r="Q79" s="43">
        <v>8.2360198274562452E-2</v>
      </c>
      <c r="R79" s="43">
        <v>8.8980094599757434E-2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0.63175476327844016</v>
      </c>
      <c r="Q80" s="43">
        <v>8.1944439503868094E-2</v>
      </c>
      <c r="R80" s="43">
        <v>8.8351887052097927E-2</v>
      </c>
      <c r="S80" s="43">
        <v>2.9398395951387716E-2</v>
      </c>
      <c r="T80" s="43">
        <v>0.16855051421420622</v>
      </c>
      <c r="U80" s="43">
        <v>1.0000000000000002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0.63092285333482068</v>
      </c>
      <c r="Q81" s="43">
        <v>8.1702922418834617E-2</v>
      </c>
      <c r="R81" s="43">
        <v>8.9755304279750633E-2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8.1889379237735094E-2</v>
      </c>
      <c r="R82" s="43">
        <v>8.9960137693537917E-2</v>
      </c>
      <c r="S82" s="43">
        <v>3.064266485770013E-2</v>
      </c>
      <c r="T82" s="43">
        <v>0.16514511591215866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0.63451992592189876</v>
      </c>
      <c r="Q83" s="43">
        <v>8.2367911615667255E-2</v>
      </c>
      <c r="R83" s="43">
        <v>8.9382366652338868E-2</v>
      </c>
      <c r="S83" s="43">
        <v>2.8161147066550447E-2</v>
      </c>
      <c r="T83" s="43">
        <v>0.16556864874354468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8.2203221202090601E-2</v>
      </c>
      <c r="R84" s="43">
        <v>8.8752335326890253E-2</v>
      </c>
      <c r="S84" s="43">
        <v>2.9323672657585384E-2</v>
      </c>
      <c r="T84" s="43">
        <v>0.16903954806345081</v>
      </c>
      <c r="U84" s="43">
        <v>0.99999999999999978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8.2123292945603499E-2</v>
      </c>
      <c r="R85" s="43">
        <v>8.8113150890167441E-2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0.63074833903852945</v>
      </c>
      <c r="Q86" s="43">
        <v>8.1592280953906457E-2</v>
      </c>
      <c r="R86" s="43">
        <v>8.667473009738888E-2</v>
      </c>
      <c r="S86" s="43">
        <v>3.3315244434304378E-2</v>
      </c>
      <c r="T86" s="43">
        <v>0.16766940547587084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0.62837459570852372</v>
      </c>
      <c r="Q87" s="43">
        <v>8.1351196761909605E-2</v>
      </c>
      <c r="R87" s="43">
        <v>8.6701704239858721E-2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0.62236765834255936</v>
      </c>
      <c r="Q88" s="43">
        <v>8.063886878052251E-2</v>
      </c>
      <c r="R88" s="43">
        <v>8.6572456022442179E-2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8.1048494260621579E-2</v>
      </c>
      <c r="R89" s="43">
        <v>8.5533062018262787E-2</v>
      </c>
      <c r="S89" s="43">
        <v>3.4881816418948115E-2</v>
      </c>
      <c r="T89" s="43">
        <v>0.17844944693091219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f>G89</f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8.5033307483361076E-2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f t="shared" ref="G91:G97" si="2">G89</f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0.61326393213042274</v>
      </c>
      <c r="Q91" s="43">
        <v>8.0926781653913676E-2</v>
      </c>
      <c r="R91" s="43">
        <v>8.3990721975758464E-2</v>
      </c>
      <c r="S91" s="43">
        <v>3.4964176683027218E-2</v>
      </c>
      <c r="T91" s="43">
        <v>0.18685438755687794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0.61989566283332664</v>
      </c>
      <c r="Q92" s="43">
        <v>8.1523354020904035E-2</v>
      </c>
      <c r="R92" s="43">
        <v>8.3784889170737481E-2</v>
      </c>
      <c r="S92" s="43">
        <v>3.3407841542089423E-2</v>
      </c>
      <c r="T92" s="43">
        <v>0.18138825243294229</v>
      </c>
      <c r="U92" s="43">
        <v>0.99999999999999989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f>G92</f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8.333146994768334E-2</v>
      </c>
      <c r="S93" s="43">
        <v>3.3728163949303246E-2</v>
      </c>
      <c r="T93" s="43">
        <v>0.18479007471705197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f t="shared" si="2"/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0.61751779655572814</v>
      </c>
      <c r="Q94" s="43">
        <v>8.0953438300224514E-2</v>
      </c>
      <c r="R94" s="43">
        <v>8.3119318193495551E-2</v>
      </c>
      <c r="S94" s="43">
        <v>3.1528129210470796E-2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8.4077131193429439E-2</v>
      </c>
      <c r="S95" s="43">
        <v>2.8055571025654709E-2</v>
      </c>
      <c r="T95" s="43">
        <v>0.18364618365111951</v>
      </c>
      <c r="U95" s="43">
        <v>0.99999999999999989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f>G95</f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0.62208975796637844</v>
      </c>
      <c r="Q96" s="43">
        <v>8.1541002230663115E-2</v>
      </c>
      <c r="R96" s="43">
        <v>8.3716632085418033E-2</v>
      </c>
      <c r="S96" s="43">
        <v>2.5676846095244777E-2</v>
      </c>
      <c r="T96" s="43">
        <v>0.18697576162229573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f t="shared" si="2"/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0.61794212442492802</v>
      </c>
      <c r="Q97" s="43">
        <v>8.1125609081708461E-2</v>
      </c>
      <c r="R97" s="43">
        <v>8.418829789006449E-2</v>
      </c>
      <c r="S97" s="43">
        <v>2.9581897651205422E-2</v>
      </c>
      <c r="T97" s="43">
        <v>0.18716207095209372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0.61886439382863734</v>
      </c>
      <c r="Q98" s="43">
        <v>8.0847826170421286E-2</v>
      </c>
      <c r="R98" s="43">
        <v>8.3538441277316342E-2</v>
      </c>
      <c r="S98" s="43">
        <v>2.5903056021097742E-2</v>
      </c>
      <c r="T98" s="43">
        <v>0.19084628270252726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f>G98</f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8.1498172655774234E-2</v>
      </c>
      <c r="R99" s="43">
        <v>8.4814399546491059E-2</v>
      </c>
      <c r="S99" s="43">
        <v>2.1896125434202843E-2</v>
      </c>
      <c r="T99" s="43">
        <v>0.18794871304713756</v>
      </c>
      <c r="U99" s="43">
        <v>0.99999999999999989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f>G98</f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8.1100884550551242E-2</v>
      </c>
      <c r="R100" s="43">
        <v>8.49050039212636E-2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8.1398930583446716E-2</v>
      </c>
      <c r="R101" s="43">
        <v>8.4748972292622501E-2</v>
      </c>
      <c r="S101" s="43">
        <v>2.3025471899890515E-2</v>
      </c>
      <c r="T101" s="43">
        <v>0.19340368473055355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f>G101</f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8.4025003555901437E-2</v>
      </c>
      <c r="S102" s="43">
        <v>2.227771341365713E-2</v>
      </c>
      <c r="T102" s="43">
        <v>0.19627928686749205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f t="shared" ref="G103:G109" si="3">G101</f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8.4759846427122809E-2</v>
      </c>
      <c r="S103" s="43">
        <v>2.0861608289133488E-2</v>
      </c>
      <c r="T103" s="43">
        <v>0.19438589744233437</v>
      </c>
      <c r="U103" s="43">
        <v>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8.5071435122174716E-2</v>
      </c>
      <c r="S104" s="43">
        <v>1.7850678717047472E-2</v>
      </c>
      <c r="T104" s="43">
        <v>0.19055558132770259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f>G104</f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0.62650059438472649</v>
      </c>
      <c r="Q105" s="43">
        <v>8.2515105226709892E-2</v>
      </c>
      <c r="R105" s="43">
        <v>8.658730954073067E-2</v>
      </c>
      <c r="S105" s="43">
        <v>1.9080348880868622E-2</v>
      </c>
      <c r="T105" s="43">
        <v>0.18531664196696435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f t="shared" si="3"/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8.2057492583668457E-2</v>
      </c>
      <c r="R106" s="43">
        <v>8.6192367816195381E-2</v>
      </c>
      <c r="S106" s="43">
        <v>1.6660565557389616E-2</v>
      </c>
      <c r="T106" s="43">
        <v>0.19206342948239749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8.1702430391611389E-2</v>
      </c>
      <c r="R107" s="43">
        <v>8.6146079341875584E-2</v>
      </c>
      <c r="S107" s="43">
        <v>1.6766800091683499E-2</v>
      </c>
      <c r="T107" s="43">
        <v>0.19596607753928369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f>G107</f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8.5722951319478255E-2</v>
      </c>
      <c r="S108" s="43">
        <v>1.7668084693545239E-2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f t="shared" si="3"/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8.1693667583508545E-2</v>
      </c>
      <c r="R109" s="43">
        <v>8.4905428097121802E-2</v>
      </c>
      <c r="S109" s="43">
        <v>1.9146767217643412E-2</v>
      </c>
      <c r="T109" s="43">
        <v>0.19585922646234569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f>123.1*1.0101</f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8.1705241523744518E-2</v>
      </c>
      <c r="R110" s="43">
        <v>8.4729450826740646E-2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f>123.1*1.0101</f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8.5576111469102226E-2</v>
      </c>
      <c r="S111" s="43">
        <v>1.6607152046167046E-2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f>123.1*1.0101</f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8.1361339098482796E-2</v>
      </c>
      <c r="R112" s="43">
        <v>8.4370655185051574E-2</v>
      </c>
      <c r="S112" s="43">
        <v>1.9447538384040085E-2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f>123.7 * 1.0101</f>
        <v>124.94937</v>
      </c>
      <c r="H113" s="39">
        <v>129.9</v>
      </c>
      <c r="I113" s="39">
        <f>I112*(1+(((SUM(I$87:I$98)-SUM(I$75:I$86))/SUM(I$75:I$86))/12))</f>
        <v>99.411828002363066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8.1808499646859545E-2</v>
      </c>
      <c r="R113" s="43">
        <v>8.4015658681486333E-2</v>
      </c>
      <c r="S113" s="43">
        <v>1.7613062094435129E-2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f>123.7 * 1.0101</f>
        <v>124.94937</v>
      </c>
      <c r="H114" s="39">
        <f>H113*(1+(((SUM(H$87:H$98)-SUM(H$75:H$86))/SUM(H$75:H$86))/12))</f>
        <v>130.2013098649202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8.432837309042901E-2</v>
      </c>
      <c r="S114" s="43">
        <v>1.6660651395613138E-2</v>
      </c>
      <c r="T114" s="43">
        <v>0.18606377469315097</v>
      </c>
      <c r="U114" s="43">
        <v>0.99999999999999989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f>123.7 * 1.0101</f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8.5777403958794268E-2</v>
      </c>
      <c r="S115" s="43">
        <v>1.540522583372525E-2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f>124.1 * 1.0101</f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8.5114084067169513E-2</v>
      </c>
      <c r="S116" s="43">
        <v>1.5924141598209728E-2</v>
      </c>
      <c r="T116" s="43">
        <v>0.18096196160667402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f>124.1 * 1.0101</f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0.63427935963360194</v>
      </c>
      <c r="Q117" s="43">
        <v>8.2465891139147193E-2</v>
      </c>
      <c r="R117" s="43">
        <v>8.5057771950825672E-2</v>
      </c>
      <c r="S117" s="43">
        <v>1.7971340427493397E-2</v>
      </c>
      <c r="T117" s="43">
        <v>0.18022563684893189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f>124.1 * 1.0101</f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8.1899103872230913E-2</v>
      </c>
      <c r="R118" s="43">
        <v>8.4226501809897616E-2</v>
      </c>
      <c r="S118" s="43">
        <v>1.8017671695044979E-2</v>
      </c>
      <c r="T118" s="43">
        <v>0.18399256143363604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f>124.4*1.0101</f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8.1781261672170272E-2</v>
      </c>
      <c r="R119" s="43">
        <v>8.4040464748115662E-2</v>
      </c>
      <c r="S119" s="43">
        <v>1.9466488618304741E-2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f>G119</f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8.3411323826689004E-2</v>
      </c>
      <c r="S120" s="43">
        <v>1.8581165933753672E-2</v>
      </c>
      <c r="T120" s="43">
        <v>0.1871857048026204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f>G119</f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8.3741059348894101E-2</v>
      </c>
      <c r="S121" s="43">
        <v>1.934129275029212E-2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f>124.6*1.0101</f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8.3589747155755817E-2</v>
      </c>
      <c r="S122" s="43">
        <v>1.7125044911236141E-2</v>
      </c>
      <c r="T122" s="43">
        <v>0.18165600732184931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f>G122</f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0.63397283730216658</v>
      </c>
      <c r="Q123" s="43">
        <v>8.2032125802076625E-2</v>
      </c>
      <c r="R123" s="43">
        <v>8.3745937041720786E-2</v>
      </c>
      <c r="S123" s="43">
        <v>1.8119940638445829E-2</v>
      </c>
      <c r="T123" s="43">
        <v>0.18212915921559014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f>G122</f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8.2102413447421613E-2</v>
      </c>
      <c r="R124" s="43">
        <v>8.3777523044971713E-2</v>
      </c>
      <c r="S124" s="43">
        <v>1.7473681045311801E-2</v>
      </c>
      <c r="T124" s="43">
        <v>0.1811519012974083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f>125.1*1.0101</f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8.2386255617299314E-2</v>
      </c>
      <c r="R125" s="43">
        <v>8.3656659610081119E-2</v>
      </c>
      <c r="S125" s="43">
        <v>1.6725892933371359E-2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f>G125</f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8.3529511762492972E-2</v>
      </c>
      <c r="S126" s="43">
        <v>1.6406979203633588E-2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f>G125</f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8.2815833376520917E-2</v>
      </c>
      <c r="R127" s="43">
        <v>8.3561486931714779E-2</v>
      </c>
      <c r="S127" s="43">
        <v>1.597031193026693E-2</v>
      </c>
      <c r="T127" s="43">
        <v>0.17996350346394707</v>
      </c>
      <c r="U127" s="43">
        <v>0.99999999999999989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f>125.4*1.0101</f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8.2783810729801385E-2</v>
      </c>
      <c r="R128" s="43">
        <v>8.3762424305075231E-2</v>
      </c>
      <c r="S128" s="43">
        <v>1.4941902252562457E-2</v>
      </c>
      <c r="T128" s="43">
        <v>0.179052427020473</v>
      </c>
      <c r="U128" s="43">
        <v>0.99999999999999989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f>G128</f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8.3681989339780452E-2</v>
      </c>
      <c r="S129" s="43">
        <v>1.4797764228887841E-2</v>
      </c>
      <c r="T129" s="43">
        <v>0.18076255597704979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f>G128</f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8.2640721648510301E-2</v>
      </c>
      <c r="R130" s="43">
        <v>8.374569524433749E-2</v>
      </c>
      <c r="S130" s="43">
        <v>1.4938918050608012E-2</v>
      </c>
      <c r="T130" s="43">
        <v>0.17934294242705881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f>125.9*1.0101</f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0.64063912184651284</v>
      </c>
      <c r="Q131" s="43">
        <v>8.2354535872584941E-2</v>
      </c>
      <c r="R131" s="43">
        <v>8.3583682445755272E-2</v>
      </c>
      <c r="S131" s="43">
        <v>1.3992477970306583E-2</v>
      </c>
      <c r="T131" s="43">
        <v>0.17943018186484039</v>
      </c>
      <c r="U131" s="43">
        <v>1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f>G131</f>
        <v>127.17159000000001</v>
      </c>
      <c r="H132" s="39">
        <v>130.80000000000001</v>
      </c>
      <c r="I132" s="39">
        <f>+I$120*(103.5/103.3)</f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8.2763550538147046E-2</v>
      </c>
      <c r="R132" s="43">
        <v>8.3904058056816277E-2</v>
      </c>
      <c r="S132" s="43">
        <v>1.3559330466173403E-2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f>G131</f>
        <v>127.17159000000001</v>
      </c>
      <c r="H133" s="39">
        <v>130.9</v>
      </c>
      <c r="I133" s="39">
        <f>+I$120*(103.5/103.3)</f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0.644736284880008</v>
      </c>
      <c r="Q133" s="43">
        <v>8.319902471197263E-2</v>
      </c>
      <c r="R133" s="43">
        <v>8.4281098110169081E-2</v>
      </c>
      <c r="S133" s="43">
        <v>1.4197391841804428E-2</v>
      </c>
      <c r="T133" s="43">
        <v>0.17358620045604581</v>
      </c>
      <c r="U133" s="43">
        <v>0.99999999999999989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f>+I$120*(103.4/103.3)</f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0.64673045313552091</v>
      </c>
      <c r="Q134" s="43">
        <v>8.2920548984134618E-2</v>
      </c>
      <c r="R134" s="43">
        <v>8.4110608981765991E-2</v>
      </c>
      <c r="S134" s="43">
        <v>1.3490552056511108E-2</v>
      </c>
      <c r="T134" s="43">
        <v>0.1727478368420674</v>
      </c>
      <c r="U134" s="43">
        <v>1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f>G134</f>
        <v>127.7</v>
      </c>
      <c r="H135" s="39">
        <v>130.30000000000001</v>
      </c>
      <c r="I135" s="39">
        <f>+I$120*(103.8/103.3)</f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0.65568602342358484</v>
      </c>
      <c r="Q135" s="43">
        <v>8.387567388246317E-2</v>
      </c>
      <c r="R135" s="43">
        <v>8.5605211991969327E-2</v>
      </c>
      <c r="S135" s="43">
        <v>1.285905815651224E-2</v>
      </c>
      <c r="T135" s="43">
        <v>0.16197403254547038</v>
      </c>
      <c r="U135" s="43">
        <v>1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f>G134</f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0.66236164285808263</v>
      </c>
      <c r="Q136" s="43">
        <v>8.4274436356898477E-2</v>
      </c>
      <c r="R136" s="43">
        <v>8.6843370991597751E-2</v>
      </c>
      <c r="S136" s="43">
        <v>1.0273891530450422E-2</v>
      </c>
      <c r="T136" s="43">
        <v>0.15624665826297082</v>
      </c>
      <c r="U136" s="43">
        <v>1.0000000000000002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f>126.9*1.0101</f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0.65684408601781075</v>
      </c>
      <c r="Q137" s="43">
        <v>8.4093518720260427E-2</v>
      </c>
      <c r="R137" s="43">
        <v>8.5968263670224421E-2</v>
      </c>
      <c r="S137" s="43">
        <v>9.5666877567443867E-3</v>
      </c>
      <c r="T137" s="43">
        <v>0.16352744383496018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f>126.9*1.0101</f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0.65554554002440446</v>
      </c>
      <c r="Q138" s="43">
        <v>8.4311963654838964E-2</v>
      </c>
      <c r="R138" s="43">
        <v>8.6055703889861807E-2</v>
      </c>
      <c r="S138" s="43">
        <v>9.7806474804415389E-3</v>
      </c>
      <c r="T138" s="43">
        <v>0.16430614495045318</v>
      </c>
      <c r="U138" s="43">
        <v>0.99999999999999989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f>126.9*1.0101</f>
        <v>128.18169</v>
      </c>
      <c r="H139" s="39">
        <f>H138*(1+(((SUM(H$111:H$122)-SUM(H$99:H$110))/SUM(H$99:H$110))/12))</f>
        <v>131.59655849136419</v>
      </c>
      <c r="I139" s="39">
        <f>+I$120*(106/103.3)</f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0.65474006095967419</v>
      </c>
      <c r="Q139" s="43">
        <v>8.4251340820532317E-2</v>
      </c>
      <c r="R139" s="43">
        <v>8.696542246566788E-2</v>
      </c>
      <c r="S139" s="43">
        <v>8.8382841462081464E-3</v>
      </c>
      <c r="T139" s="43">
        <v>0.1652048916079174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f>127.2*1.0101</f>
        <v>128.48472000000001</v>
      </c>
      <c r="H140" s="39">
        <f>H139*(1+(((SUM(H$111:H$122)-SUM(H$99:H$110))/SUM(H$99:H$110))/12))</f>
        <v>131.69318788419039</v>
      </c>
      <c r="I140" s="39">
        <f>+I$120*(106/103.3)</f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0.65249919131062917</v>
      </c>
      <c r="Q140" s="43">
        <v>8.3807708207086953E-2</v>
      </c>
      <c r="R140" s="43">
        <v>8.6463375270498563E-2</v>
      </c>
      <c r="S140" s="43">
        <v>1.1446563876258321E-2</v>
      </c>
      <c r="T140" s="43">
        <v>0.16578316133552704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f>127.2*1.0101</f>
        <v>128.48472000000001</v>
      </c>
      <c r="H141" s="39">
        <v>131.6</v>
      </c>
      <c r="I141" s="39">
        <f>+I$120*(106.2/103.3)</f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0.65235850168902765</v>
      </c>
      <c r="Q141" s="43">
        <v>8.3767838845100084E-2</v>
      </c>
      <c r="R141" s="43">
        <v>8.6607835604765412E-2</v>
      </c>
      <c r="S141" s="43">
        <v>1.2831258935902652E-2</v>
      </c>
      <c r="T141" s="43">
        <v>0.1644345649252042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f>127.2*1.0101</f>
        <v>128.48472000000001</v>
      </c>
      <c r="H142" s="39">
        <v>131.5</v>
      </c>
      <c r="I142" s="39">
        <f>+I$120*(106.3/103.3)</f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0.65540297909551315</v>
      </c>
      <c r="Q142" s="43">
        <v>8.4094822676719458E-2</v>
      </c>
      <c r="R142" s="43">
        <v>8.7093956015489138E-2</v>
      </c>
      <c r="S142" s="43">
        <v>1.161364040839981E-2</v>
      </c>
      <c r="T142" s="43">
        <v>0.1617946018038785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f>127.8*1.0101</f>
        <v>129.09078</v>
      </c>
      <c r="H143" s="39">
        <v>131.1</v>
      </c>
      <c r="I143" s="39">
        <f>+I$120*(106.5/103.3)</f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0.65996806183455248</v>
      </c>
      <c r="Q143" s="43">
        <v>8.4026633381848834E-2</v>
      </c>
      <c r="R143" s="43">
        <v>8.7453083401262094E-2</v>
      </c>
      <c r="S143" s="43">
        <v>1.2454403099194275E-2</v>
      </c>
      <c r="T143" s="43">
        <v>0.15609781828314234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f>127.8*1.0101</f>
        <v>129.09078</v>
      </c>
      <c r="H144" s="39">
        <v>131.4</v>
      </c>
      <c r="I144" s="39">
        <f>+I$120*(106.5/103.3)</f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0.66120424699573555</v>
      </c>
      <c r="Q144" s="43">
        <v>8.4376664325683109E-2</v>
      </c>
      <c r="R144" s="43">
        <v>8.7616891637224026E-2</v>
      </c>
      <c r="S144" s="43">
        <v>1.3060802984274778E-2</v>
      </c>
      <c r="T144" s="43">
        <v>0.15374139405708268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f>127.8*1.0101</f>
        <v>129.09078</v>
      </c>
      <c r="H145" s="39">
        <v>131.4</v>
      </c>
      <c r="I145" s="39">
        <f>+I$120*(106.7/103.3)</f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0.66103904203571162</v>
      </c>
      <c r="Q145" s="43">
        <v>8.4355582423199571E-2</v>
      </c>
      <c r="R145" s="43">
        <v>8.7759497801720224E-2</v>
      </c>
      <c r="S145" s="43">
        <v>1.2591198978908697E-2</v>
      </c>
      <c r="T145" s="43">
        <v>0.15425467876045984</v>
      </c>
      <c r="U145" s="43">
        <v>0.99999999999999989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f>128.2*1.0101</f>
        <v>129.49481999999998</v>
      </c>
      <c r="H146" s="39">
        <v>131</v>
      </c>
      <c r="I146" s="39">
        <f>+I$120*(106.8/103.3)</f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8.7852543838209216E-2</v>
      </c>
      <c r="S146" s="43">
        <v>1.2009749116524273E-2</v>
      </c>
      <c r="T146" s="43">
        <v>0.15283904887282668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f>128.2*1.0101</f>
        <v>129.49481999999998</v>
      </c>
      <c r="H147" s="39">
        <f>H146*(1+(((SUM(H$123:H$134)-SUM(H$111:H$122))/SUM(H$111:H$122))/12))</f>
        <v>131.06588895517743</v>
      </c>
      <c r="I147" s="39">
        <f>+I$120*(106.8/103.3)</f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0.66867751239187334</v>
      </c>
      <c r="Q147" s="43">
        <v>8.4837191058016639E-2</v>
      </c>
      <c r="R147" s="43">
        <v>8.8579535590580877E-2</v>
      </c>
      <c r="S147" s="43">
        <v>1.2814517720923279E-2</v>
      </c>
      <c r="T147" s="43">
        <v>0.14509124323860578</v>
      </c>
      <c r="U147" s="43">
        <v>0.99999999999999989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f>128.2*1.0101</f>
        <v>129.49481999999998</v>
      </c>
      <c r="H148" s="39">
        <f>131/99.8*99.4</f>
        <v>130.47494989979961</v>
      </c>
      <c r="I148" s="39">
        <f>+I$120*(106.9/103.3)</f>
        <v>102.76060019361086</v>
      </c>
      <c r="J148" s="39">
        <f>+J147</f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8.4940173345401757E-2</v>
      </c>
      <c r="R148" s="43">
        <v>8.9161005237623242E-2</v>
      </c>
      <c r="S148" s="43">
        <v>1.2886570994782263E-2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f>128.7*1.0101</f>
        <v>129.99986999999999</v>
      </c>
      <c r="H149" s="39">
        <f>131/99.8*100.1</f>
        <v>131.3937875751503</v>
      </c>
      <c r="I149" s="39">
        <f>+I$120*(106.9/103.3)</f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0.6754505485456167</v>
      </c>
      <c r="Q149" s="43">
        <v>8.5587836858725952E-2</v>
      </c>
      <c r="R149" s="43">
        <v>8.9212594621736072E-2</v>
      </c>
      <c r="S149" s="43">
        <v>1.1356207516370688E-2</v>
      </c>
      <c r="T149" s="43">
        <v>0.13839281245755053</v>
      </c>
      <c r="U149" s="43">
        <v>0.99999999999999989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f>128.7*1.0101</f>
        <v>129.99986999999999</v>
      </c>
      <c r="H150" s="39">
        <f>131/99.8*100.2</f>
        <v>131.52505010020042</v>
      </c>
      <c r="I150" s="39">
        <f>+I$120*(107/103.3)</f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4">IF(L150="","",L150/L149-1)</f>
        <v>6.3047214056866085E-3</v>
      </c>
      <c r="N150" s="12"/>
      <c r="O150" s="23">
        <v>42491</v>
      </c>
      <c r="P150" s="43">
        <v>0.67121870162955566</v>
      </c>
      <c r="Q150" s="43">
        <v>8.5136576795123056E-2</v>
      </c>
      <c r="R150" s="43">
        <v>8.8736589398371701E-2</v>
      </c>
      <c r="S150" s="43">
        <v>9.9919787627293331E-3</v>
      </c>
      <c r="T150" s="43">
        <v>0.14491615341422018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f>128.7*1.0101</f>
        <v>129.99986999999999</v>
      </c>
      <c r="H151" s="39">
        <f>131/99.8*100.3</f>
        <v>131.65631262525051</v>
      </c>
      <c r="I151" s="39">
        <f>+I$120*(106.8/103.3)</f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4"/>
        <v>-6.4909537757451563E-4</v>
      </c>
      <c r="N151" s="12"/>
      <c r="O151" s="23">
        <v>42522</v>
      </c>
      <c r="P151" s="43">
        <v>0.67165466957090048</v>
      </c>
      <c r="Q151" s="43">
        <v>8.5276896277818981E-2</v>
      </c>
      <c r="R151" s="43">
        <v>8.8628254804965917E-2</v>
      </c>
      <c r="S151" s="43">
        <v>1.0233726810149616E-2</v>
      </c>
      <c r="T151" s="43">
        <v>0.14420645253616507</v>
      </c>
      <c r="U151" s="43">
        <v>1.0000000000000002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f>129.4*1.0101</f>
        <v>130.70694</v>
      </c>
      <c r="H152" s="39">
        <f>131/99.8*100.5</f>
        <v>131.91883767535072</v>
      </c>
      <c r="I152" s="39">
        <f>+I$120*(106.7/103.3)</f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4"/>
        <v>7.2888075290145071E-3</v>
      </c>
      <c r="N152" s="12"/>
      <c r="O152" s="23">
        <v>42552</v>
      </c>
      <c r="P152" s="43">
        <v>0.67042123165096146</v>
      </c>
      <c r="Q152" s="43">
        <v>8.4828640307242423E-2</v>
      </c>
      <c r="R152" s="43">
        <v>8.7904550200323145E-2</v>
      </c>
      <c r="S152" s="43">
        <v>9.6925634058423679E-3</v>
      </c>
      <c r="T152" s="43">
        <v>0.14715301443563072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f>129.4*1.0101</f>
        <v>130.70694</v>
      </c>
      <c r="H153" s="39">
        <f>131/99.8*100.6</f>
        <v>132.05010020040081</v>
      </c>
      <c r="I153" s="39">
        <f>+I$120*(107/103.3)</f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4"/>
        <v>3.5509426682946987E-3</v>
      </c>
      <c r="N153" s="12"/>
      <c r="O153" s="23">
        <v>42583</v>
      </c>
      <c r="P153" s="43">
        <v>0.66804902785344378</v>
      </c>
      <c r="Q153" s="43">
        <v>8.4612592449708604E-2</v>
      </c>
      <c r="R153" s="43">
        <v>8.7839790452148542E-2</v>
      </c>
      <c r="S153" s="43">
        <v>6.9818800856716679E-3</v>
      </c>
      <c r="T153" s="43">
        <v>0.15251670915902737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f>129.4*1.0101</f>
        <v>130.70694</v>
      </c>
      <c r="H154" s="39">
        <f>131/99.8*100.5</f>
        <v>131.91883767535072</v>
      </c>
      <c r="I154" s="39">
        <f>+I$120*(107.2/103.3)</f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4"/>
        <v>-4.0238700194711319E-3</v>
      </c>
      <c r="N154" s="12"/>
      <c r="O154" s="23">
        <v>42614</v>
      </c>
      <c r="P154" s="43">
        <v>0.67074803074497791</v>
      </c>
      <c r="Q154" s="43">
        <v>8.4869990314506927E-2</v>
      </c>
      <c r="R154" s="43">
        <v>8.8359524216788846E-2</v>
      </c>
      <c r="S154" s="43">
        <v>7.360592156057567E-3</v>
      </c>
      <c r="T154" s="43">
        <v>0.14866186256766886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f>130*1.0101</f>
        <v>131.31299999999999</v>
      </c>
      <c r="H155" s="39">
        <f>131/99.8*100.2</f>
        <v>131.52505010020042</v>
      </c>
      <c r="I155" s="39">
        <f>+I$120*(107.1/103.3)</f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4"/>
        <v>-3.0241420031551502E-4</v>
      </c>
      <c r="N155" s="12"/>
      <c r="O155" s="23">
        <v>42644</v>
      </c>
      <c r="P155" s="43">
        <v>0.67406199117959531</v>
      </c>
      <c r="Q155" s="43">
        <v>8.4642244076392037E-2</v>
      </c>
      <c r="R155" s="43">
        <v>8.8303803611636159E-2</v>
      </c>
      <c r="S155" s="43">
        <v>7.4796889163277038E-3</v>
      </c>
      <c r="T155" s="43">
        <v>0.14551227221604879</v>
      </c>
      <c r="U155" s="43">
        <v>1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f>130*1.0101</f>
        <v>131.31299999999999</v>
      </c>
      <c r="H156" s="39">
        <f>131/99.8*100.2</f>
        <v>131.52505010020042</v>
      </c>
      <c r="I156" s="39">
        <f>+I$120*(107.2/103.3)</f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4"/>
        <v>3.4601466519952329E-3</v>
      </c>
      <c r="N156" s="12"/>
      <c r="O156" s="23">
        <v>42675</v>
      </c>
      <c r="P156" s="43">
        <v>0.67173768029410663</v>
      </c>
      <c r="Q156" s="43">
        <v>8.4350379393538968E-2</v>
      </c>
      <c r="R156" s="43">
        <v>8.8081478641528099E-2</v>
      </c>
      <c r="S156" s="43">
        <v>6.5221601711069107E-3</v>
      </c>
      <c r="T156" s="43">
        <v>0.14930830149971933</v>
      </c>
      <c r="U156" s="43">
        <v>0.99999999999999989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f>130*1.0101</f>
        <v>131.31299999999999</v>
      </c>
      <c r="H157" s="39">
        <f>131/99.8*100.4</f>
        <v>131.78757515030063</v>
      </c>
      <c r="I157" s="39">
        <f>+I$120*(107.2/103.3)</f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4"/>
        <v>8.5037339621505392E-3</v>
      </c>
      <c r="N157" s="12"/>
      <c r="O157" s="23">
        <v>42705</v>
      </c>
      <c r="P157" s="43">
        <v>0.66607356787368843</v>
      </c>
      <c r="Q157" s="43">
        <v>8.3806078825521352E-2</v>
      </c>
      <c r="R157" s="43">
        <v>8.733877295176562E-2</v>
      </c>
      <c r="S157" s="43">
        <v>8.8923520392325799E-3</v>
      </c>
      <c r="T157" s="43">
        <v>0.15388922830979196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f>130.5*1.0101</f>
        <v>131.81805</v>
      </c>
      <c r="H158" s="39">
        <f>131/99.8*100.3</f>
        <v>131.65631262525051</v>
      </c>
      <c r="I158" s="39">
        <f>+I$120*(107.2/103.3)</f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4"/>
        <v>-8.78538014840613E-4</v>
      </c>
      <c r="N158" s="12"/>
      <c r="O158" s="23">
        <v>42736</v>
      </c>
      <c r="P158" s="43">
        <v>0.66922332742214574</v>
      </c>
      <c r="Q158" s="43">
        <v>8.3796224804446914E-2</v>
      </c>
      <c r="R158" s="43">
        <v>8.7415570853849725E-2</v>
      </c>
      <c r="S158" s="43">
        <v>9.0157578166256882E-3</v>
      </c>
      <c r="T158" s="43">
        <v>0.15054911910293189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f>G156*(1+(((SUM(G$135:G$146)-SUM(G$123:G$134))/SUM(G$123:G$134))/4))</f>
        <v>131.79126077521192</v>
      </c>
      <c r="H159" s="39">
        <f>131/99.8*100.3</f>
        <v>131.65631262525051</v>
      </c>
      <c r="I159" s="39">
        <f>+I$120*(107.1/103.3)</f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4"/>
        <v>7.4485086908464559E-3</v>
      </c>
      <c r="N159" s="12"/>
      <c r="O159" s="23">
        <v>42767</v>
      </c>
      <c r="P159" s="43">
        <v>0.66432640419352673</v>
      </c>
      <c r="Q159" s="43">
        <v>8.3176682561511714E-2</v>
      </c>
      <c r="R159" s="43">
        <v>8.6688327715668104E-2</v>
      </c>
      <c r="S159" s="43">
        <v>8.3754400849895376E-3</v>
      </c>
      <c r="T159" s="43">
        <v>0.15743314544430398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f>G157*(1+(((SUM(G$135:G$146)-SUM(G$123:G$134))/SUM(G$123:G$134))/4))</f>
        <v>131.79126077521192</v>
      </c>
      <c r="H160" s="39">
        <f>131/99.8*100.3</f>
        <v>131.65631262525051</v>
      </c>
      <c r="I160" s="39">
        <f>+I$120*(107.4/103.3)</f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4"/>
        <v>4.9546073415891456E-3</v>
      </c>
      <c r="N160" s="12"/>
      <c r="O160" s="23">
        <v>42795</v>
      </c>
      <c r="P160" s="43">
        <v>0.6610511552863787</v>
      </c>
      <c r="Q160" s="43">
        <v>8.2766606525183625E-2</v>
      </c>
      <c r="R160" s="43">
        <v>8.6502565914902685E-2</v>
      </c>
      <c r="S160" s="43">
        <v>9.5899781245145071E-3</v>
      </c>
      <c r="T160" s="43">
        <v>0.16008969414902052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f>131.1*1.0101</f>
        <v>132.42410999999998</v>
      </c>
      <c r="H161" s="39">
        <f>131/99.8*101.1</f>
        <v>132.70641282565131</v>
      </c>
      <c r="I161" s="39">
        <f>+I$120*(107.5/103.3)</f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4"/>
        <v>7.9467813444145108E-5</v>
      </c>
      <c r="N161" s="12"/>
      <c r="O161" s="23">
        <v>42826</v>
      </c>
      <c r="P161" s="43">
        <v>0.66398678510366227</v>
      </c>
      <c r="Q161" s="43">
        <v>8.342012970489518E-2</v>
      </c>
      <c r="R161" s="43">
        <v>8.6576228317705992E-2</v>
      </c>
      <c r="S161" s="43">
        <v>8.9042720840163576E-3</v>
      </c>
      <c r="T161" s="43">
        <v>0.15711258478972015</v>
      </c>
      <c r="U161" s="43">
        <v>0.99999999999999989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f>131.1*1.0101</f>
        <v>132.42410999999998</v>
      </c>
      <c r="H162" s="39">
        <f>131/99.8*101.2</f>
        <v>132.8376753507014</v>
      </c>
      <c r="I162" s="39">
        <f>+I$120*(107.9/103.3)</f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4"/>
        <v>-3.3474011480225663E-3</v>
      </c>
      <c r="N162" s="12"/>
      <c r="O162" s="23">
        <v>42856</v>
      </c>
      <c r="P162" s="43">
        <v>0.66621688025345471</v>
      </c>
      <c r="Q162" s="43">
        <v>8.3783097835062867E-2</v>
      </c>
      <c r="R162" s="43">
        <v>8.7190233109481222E-2</v>
      </c>
      <c r="S162" s="43">
        <v>7.6742301322561338E-3</v>
      </c>
      <c r="T162" s="43">
        <v>0.15513555866974499</v>
      </c>
      <c r="U162" s="43">
        <v>1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f>131.1*1.0101</f>
        <v>132.42410999999998</v>
      </c>
      <c r="H163" s="39">
        <f>131/99.8*101.4</f>
        <v>133.10020040080161</v>
      </c>
      <c r="I163" s="39">
        <f>+I$120*(107.7/103.3)</f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4"/>
        <v>3.7380924527077308E-3</v>
      </c>
      <c r="N163" s="12"/>
      <c r="O163" s="23">
        <v>42887</v>
      </c>
      <c r="P163" s="43">
        <v>0.66373577456396504</v>
      </c>
      <c r="Q163" s="43">
        <v>8.3636037837979668E-2</v>
      </c>
      <c r="R163" s="43">
        <v>8.6704510596457396E-2</v>
      </c>
      <c r="S163" s="43">
        <v>8.5585634168824955E-3</v>
      </c>
      <c r="T163" s="43">
        <v>0.15736511358471533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f>131.4*1.0101</f>
        <v>132.72713999999999</v>
      </c>
      <c r="H164" s="39">
        <f>131/99.8*101.3</f>
        <v>132.96893787575152</v>
      </c>
      <c r="I164" s="39">
        <f>+I$120*(107.7/103.3)</f>
        <v>103.5296224588577</v>
      </c>
      <c r="J164" s="39">
        <f>+J163</f>
        <v>0.75</v>
      </c>
      <c r="K164" s="39">
        <v>140.36411960132892</v>
      </c>
      <c r="L164" s="39">
        <v>109.75058594376398</v>
      </c>
      <c r="M164" s="42">
        <f t="shared" si="4"/>
        <v>-4.3342091699003493E-3</v>
      </c>
      <c r="N164" s="12"/>
      <c r="O164" s="23">
        <v>42917</v>
      </c>
      <c r="P164" s="43">
        <v>0.66815052486174487</v>
      </c>
      <c r="Q164" s="43">
        <v>8.3917271546185182E-2</v>
      </c>
      <c r="R164" s="43">
        <v>8.7081941947780184E-2</v>
      </c>
      <c r="S164" s="43">
        <v>8.5958194965673265E-3</v>
      </c>
      <c r="T164" s="43">
        <v>0.15225444214772235</v>
      </c>
      <c r="U164" s="43">
        <v>0.99999999999999989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f>131.4*1.0101</f>
        <v>132.72713999999999</v>
      </c>
      <c r="H165" s="39">
        <f>131/99.8*101.2</f>
        <v>132.8376753507014</v>
      </c>
      <c r="I165" s="39">
        <f>+I$120*(107.9/103.3)</f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4"/>
        <v>-5.4951974358283806E-3</v>
      </c>
      <c r="N165" s="12"/>
      <c r="O165" s="23">
        <v>42948</v>
      </c>
      <c r="P165" s="43">
        <v>0.67184243166953606</v>
      </c>
      <c r="Q165" s="43">
        <v>8.4297663503481099E-2</v>
      </c>
      <c r="R165" s="43">
        <v>8.772572417795238E-2</v>
      </c>
      <c r="S165" s="43">
        <v>7.6061182786406421E-3</v>
      </c>
      <c r="T165" s="43">
        <v>0.14852806237038979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f>131.4*1.0101</f>
        <v>132.72713999999999</v>
      </c>
      <c r="H166" s="39">
        <f>131/99.8*102</f>
        <v>133.88777555110221</v>
      </c>
      <c r="I166" s="39">
        <f>+I$120*(108.4/103.3)</f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4"/>
        <v>7.271660564975857E-4</v>
      </c>
      <c r="N166" s="12"/>
      <c r="O166" s="23">
        <v>42979</v>
      </c>
      <c r="P166" s="43">
        <v>0.67135424565021362</v>
      </c>
      <c r="Q166" s="43">
        <v>8.490231011717278E-2</v>
      </c>
      <c r="R166" s="43">
        <v>8.8068197987518554E-2</v>
      </c>
      <c r="S166" s="43">
        <v>7.2551099599125158E-3</v>
      </c>
      <c r="T166" s="43">
        <v>0.14842013628518247</v>
      </c>
      <c r="U166" s="43">
        <v>0.99999999999999989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f>132.2*1.0101</f>
        <v>133.53521999999998</v>
      </c>
      <c r="H167" s="39">
        <f>131/99.8*101.7</f>
        <v>133.49398797595191</v>
      </c>
      <c r="I167" s="39">
        <f>+I$120*(108.3/103.3)</f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4"/>
        <v>3.2228648612311339E-3</v>
      </c>
      <c r="N167" s="12"/>
      <c r="O167" s="23">
        <v>43009</v>
      </c>
      <c r="P167" s="43">
        <v>0.6732717743741059</v>
      </c>
      <c r="Q167" s="43">
        <v>8.4380650008477415E-2</v>
      </c>
      <c r="R167" s="43">
        <v>8.7704295171351032E-2</v>
      </c>
      <c r="S167" s="43">
        <v>6.5430597093652631E-3</v>
      </c>
      <c r="T167" s="43">
        <v>0.14810022073670046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f>132.2*1.0101</f>
        <v>133.53521999999998</v>
      </c>
      <c r="H168" s="39">
        <f>131/99.8*101.8</f>
        <v>133.625250501002</v>
      </c>
      <c r="I168" s="39">
        <f>+I$120*(108.1/103.3)</f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4"/>
        <v>4.0536269054165519E-3</v>
      </c>
      <c r="N168" s="12"/>
      <c r="O168" s="23">
        <v>43040</v>
      </c>
      <c r="P168" s="43">
        <v>0.6705536002585738</v>
      </c>
      <c r="Q168" s="43">
        <v>8.412261845628273E-2</v>
      </c>
      <c r="R168" s="43">
        <v>8.7188898449362923E-2</v>
      </c>
      <c r="S168" s="43">
        <v>5.9450082578536324E-3</v>
      </c>
      <c r="T168" s="43">
        <v>0.15218987457792707</v>
      </c>
      <c r="U168" s="43">
        <v>1.0000000000000002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f>132.2*1.0101</f>
        <v>133.53521999999998</v>
      </c>
      <c r="H169" s="39">
        <f>131/99.8*101.9</f>
        <v>133.75651302605212</v>
      </c>
      <c r="I169" s="39">
        <f>+I$120*(108.5/103.3)</f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4"/>
        <v>4.944157404086047E-3</v>
      </c>
      <c r="N169" s="12"/>
      <c r="O169" s="23">
        <v>43070</v>
      </c>
      <c r="P169" s="43">
        <v>0.6672545885442126</v>
      </c>
      <c r="Q169" s="43">
        <v>8.3790977857835361E-2</v>
      </c>
      <c r="R169" s="43">
        <v>8.7080979500805678E-2</v>
      </c>
      <c r="S169" s="43">
        <v>7.1671705392653837E-3</v>
      </c>
      <c r="T169" s="43">
        <v>0.1547062835578811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f>132.9*1.0101</f>
        <v>134.24229</v>
      </c>
      <c r="H170" s="39">
        <f>131/99.8*101.6</f>
        <v>133.36272545090179</v>
      </c>
      <c r="I170" s="39">
        <f>+I$120*(108.7/103.3)</f>
        <v>104.49090029041626</v>
      </c>
      <c r="J170" s="39">
        <v>0.67</v>
      </c>
      <c r="K170" s="39">
        <v>143.97430786267998</v>
      </c>
      <c r="L170" s="39">
        <v>111.03285607145689</v>
      </c>
      <c r="M170" s="42">
        <f t="shared" si="4"/>
        <v>4.2129759778448683E-3</v>
      </c>
      <c r="N170" s="12"/>
      <c r="O170" s="23">
        <v>43101</v>
      </c>
      <c r="P170" s="43">
        <v>0.66797355011738546</v>
      </c>
      <c r="Q170" s="43">
        <v>8.3193798481879494E-2</v>
      </c>
      <c r="R170" s="43">
        <v>8.6875493070002016E-2</v>
      </c>
      <c r="S170" s="43">
        <v>7.5902514392236159E-3</v>
      </c>
      <c r="T170" s="43">
        <v>0.15436690689150939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f>132.9*1.0101</f>
        <v>134.24229</v>
      </c>
      <c r="H171" s="39">
        <f>131/99.8*101.3</f>
        <v>132.96893787575152</v>
      </c>
      <c r="I171" s="39">
        <f>+I$120*(108.3/103.3)</f>
        <v>104.10638915779282</v>
      </c>
      <c r="J171" s="39">
        <v>0.61</v>
      </c>
      <c r="K171" s="39">
        <v>146.1404208194906</v>
      </c>
      <c r="L171" s="39">
        <v>111.15248364784418</v>
      </c>
      <c r="M171" s="42">
        <f t="shared" si="4"/>
        <v>1.0774070002332881E-3</v>
      </c>
      <c r="N171" s="12"/>
      <c r="O171" s="23">
        <v>43132</v>
      </c>
      <c r="P171" s="43">
        <v>0.66725464529161016</v>
      </c>
      <c r="Q171" s="43">
        <v>8.2858874770401103E-2</v>
      </c>
      <c r="R171" s="43">
        <v>8.6462648580226426E-2</v>
      </c>
      <c r="S171" s="43">
        <v>6.9030899922600027E-3</v>
      </c>
      <c r="T171" s="43">
        <v>0.1565207413655024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f>132.9*1.0101</f>
        <v>134.24229</v>
      </c>
      <c r="H172" s="39">
        <f>131/99.8*101</f>
        <v>132.57515030060122</v>
      </c>
      <c r="I172" s="39">
        <f>+I$120*(108.9/103.3)</f>
        <v>104.68315585672798</v>
      </c>
      <c r="J172" s="39">
        <v>0.81</v>
      </c>
      <c r="K172" s="39">
        <v>147.58449612403101</v>
      </c>
      <c r="L172" s="39">
        <v>111.60193835031187</v>
      </c>
      <c r="M172" s="42">
        <f t="shared" si="4"/>
        <v>4.0435866812627008E-3</v>
      </c>
      <c r="N172" s="12"/>
      <c r="O172" s="23">
        <v>43160</v>
      </c>
      <c r="P172" s="43">
        <v>0.66456740936629521</v>
      </c>
      <c r="Q172" s="43">
        <v>8.2280778710951269E-2</v>
      </c>
      <c r="R172" s="43">
        <v>8.6591525683918508E-2</v>
      </c>
      <c r="S172" s="43">
        <v>9.1294823332739618E-3</v>
      </c>
      <c r="T172" s="43">
        <v>0.15743080390556097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f>133.4*1.0101</f>
        <v>134.74734000000001</v>
      </c>
      <c r="H173" s="39">
        <f>131/99.8*101.7</f>
        <v>133.49398797595191</v>
      </c>
      <c r="I173" s="39">
        <f>+I$120*(109/103.3)</f>
        <v>104.77928363988383</v>
      </c>
      <c r="J173" s="39">
        <v>0.77</v>
      </c>
      <c r="K173" s="39">
        <v>143.97430786267998</v>
      </c>
      <c r="L173" s="39">
        <v>111.47338915006362</v>
      </c>
      <c r="M173" s="42">
        <f t="shared" si="4"/>
        <v>-1.1518545479446418E-3</v>
      </c>
      <c r="N173" s="12"/>
      <c r="O173" s="23">
        <v>43191</v>
      </c>
      <c r="P173" s="43">
        <v>0.66783691396228217</v>
      </c>
      <c r="Q173" s="43">
        <v>8.2946583933640863E-2</v>
      </c>
      <c r="R173" s="43">
        <v>8.6770987956989579E-2</v>
      </c>
      <c r="S173" s="43">
        <v>8.6886517625802719E-3</v>
      </c>
      <c r="T173" s="43">
        <v>0.15375686238450717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f>133.4*1.0101</f>
        <v>134.74734000000001</v>
      </c>
      <c r="H174" s="39">
        <f>131/99.8*101.7</f>
        <v>133.49398797595191</v>
      </c>
      <c r="I174" s="39">
        <f>+I$120*(109/103.3)</f>
        <v>104.77928363988383</v>
      </c>
      <c r="J174" s="39">
        <v>0.62</v>
      </c>
      <c r="K174" s="39">
        <v>145.56279069767442</v>
      </c>
      <c r="L174" s="39">
        <v>111.47381500418471</v>
      </c>
      <c r="M174" s="42">
        <f t="shared" si="4"/>
        <v>3.8202312169222097E-6</v>
      </c>
      <c r="N174" s="12"/>
      <c r="O174" s="23">
        <v>43221</v>
      </c>
      <c r="P174" s="43">
        <v>0.66783436268060203</v>
      </c>
      <c r="Q174" s="43">
        <v>8.2946267059722106E-2</v>
      </c>
      <c r="R174" s="43">
        <v>8.6770656473019014E-2</v>
      </c>
      <c r="S174" s="43">
        <v>6.9960305369220713E-3</v>
      </c>
      <c r="T174" s="43">
        <v>0.15545268324973471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f>133.4*1.0101</f>
        <v>134.74734000000001</v>
      </c>
      <c r="H175" s="39">
        <f>131/99.8*102.2</f>
        <v>134.15030060120242</v>
      </c>
      <c r="I175" s="39">
        <f>+I$120*(109.1/103.3)</f>
        <v>104.87541142303968</v>
      </c>
      <c r="J175" s="39">
        <v>0.76</v>
      </c>
      <c r="K175" s="39">
        <v>149.89501661129569</v>
      </c>
      <c r="L175" s="39">
        <v>112.21998969287164</v>
      </c>
      <c r="M175" s="42">
        <f t="shared" si="4"/>
        <v>6.6937216480740247E-3</v>
      </c>
      <c r="N175" s="12"/>
      <c r="O175" s="23">
        <v>43252</v>
      </c>
      <c r="P175" s="43">
        <v>0.66339378931188719</v>
      </c>
      <c r="Q175" s="43">
        <v>8.2799826822900019E-2</v>
      </c>
      <c r="R175" s="43">
        <v>8.6272776627325201E-2</v>
      </c>
      <c r="S175" s="43">
        <v>8.5187571784995485E-3</v>
      </c>
      <c r="T175" s="43">
        <v>0.15901485005938809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f>134*1.0101</f>
        <v>135.35339999999999</v>
      </c>
      <c r="H176" s="39">
        <f>131/99.8*102.4</f>
        <v>134.41282565130263</v>
      </c>
      <c r="I176" s="39">
        <f>+I$120*(109.2/103.3)</f>
        <v>104.97153920619556</v>
      </c>
      <c r="J176" s="39">
        <v>0.6</v>
      </c>
      <c r="K176" s="39">
        <v>159.71472868217054</v>
      </c>
      <c r="L176" s="39">
        <v>113.54964250169532</v>
      </c>
      <c r="M176" s="42">
        <f t="shared" si="4"/>
        <v>1.1848627080279783E-2</v>
      </c>
      <c r="N176" s="12"/>
      <c r="O176" s="23">
        <v>43282</v>
      </c>
      <c r="P176" s="43">
        <v>0.65857436738987574</v>
      </c>
      <c r="Q176" s="43">
        <v>8.1990388175392906E-2</v>
      </c>
      <c r="R176" s="43">
        <v>8.5340683482803922E-2</v>
      </c>
      <c r="S176" s="43">
        <v>6.6465817461363423E-3</v>
      </c>
      <c r="T176" s="43">
        <v>0.16744797920579096</v>
      </c>
      <c r="U176" s="43">
        <v>0.99999999999999978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f>134*1.0101</f>
        <v>135.35339999999999</v>
      </c>
      <c r="H177" s="39">
        <f>131/99.8*102.3</f>
        <v>134.28156312625251</v>
      </c>
      <c r="I177" s="39">
        <f>+I$120*(108.2/103.3)</f>
        <v>104.01026137463697</v>
      </c>
      <c r="J177" s="39">
        <v>0.53</v>
      </c>
      <c r="K177" s="39">
        <v>159.28150609080842</v>
      </c>
      <c r="L177" s="39">
        <v>113.31218632829508</v>
      </c>
      <c r="M177" s="42">
        <f t="shared" si="4"/>
        <v>-2.0912102246088971E-3</v>
      </c>
      <c r="N177" s="12"/>
      <c r="O177" s="23">
        <v>43313</v>
      </c>
      <c r="P177" s="43">
        <v>0.65995447092725523</v>
      </c>
      <c r="Q177" s="43">
        <v>8.2081970092052897E-2</v>
      </c>
      <c r="R177" s="43">
        <v>8.4736376970218463E-2</v>
      </c>
      <c r="S177" s="43">
        <v>5.8834507414335718E-3</v>
      </c>
      <c r="T177" s="43">
        <v>0.16734373126903976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f>134*1.0101</f>
        <v>135.35339999999999</v>
      </c>
      <c r="H178" s="39">
        <f>131/99.8*103.1</f>
        <v>135.33166332665331</v>
      </c>
      <c r="I178" s="39">
        <f>+I$120*(108.8/103.3)</f>
        <v>104.58702807357211</v>
      </c>
      <c r="J178" s="39">
        <v>0.63</v>
      </c>
      <c r="K178" s="39">
        <v>159.42591362126248</v>
      </c>
      <c r="L178" s="39">
        <v>113.58114205607818</v>
      </c>
      <c r="M178" s="42">
        <f t="shared" si="4"/>
        <v>2.3735816640573226E-3</v>
      </c>
      <c r="N178" s="12"/>
      <c r="O178" s="23">
        <v>43344</v>
      </c>
      <c r="P178" s="43">
        <v>0.65839172440244642</v>
      </c>
      <c r="Q178" s="43">
        <v>8.2527975442006032E-2</v>
      </c>
      <c r="R178" s="43">
        <v>8.5004499337049746E-2</v>
      </c>
      <c r="S178" s="43">
        <v>6.976975366187313E-3</v>
      </c>
      <c r="T178" s="43">
        <v>0.16709882545231039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f>135.2*1.0101</f>
        <v>136.56551999999999</v>
      </c>
      <c r="H179" s="39">
        <f>131/99.8*102.7</f>
        <v>134.80661322645292</v>
      </c>
      <c r="I179" s="39">
        <f>+I$120*(108.7/103.3)</f>
        <v>104.49090029041626</v>
      </c>
      <c r="J179" s="39">
        <v>0.69</v>
      </c>
      <c r="K179" s="39">
        <v>158.99269102990033</v>
      </c>
      <c r="L179" s="39">
        <v>114.22947809124688</v>
      </c>
      <c r="M179" s="42">
        <f t="shared" si="4"/>
        <v>5.7081309751982889E-3</v>
      </c>
      <c r="N179" s="12"/>
      <c r="O179" s="23">
        <v>43374</v>
      </c>
      <c r="P179" s="43">
        <v>0.66051744958198477</v>
      </c>
      <c r="Q179" s="43">
        <v>8.1741199835588862E-2</v>
      </c>
      <c r="R179" s="43">
        <v>8.4444350787220623E-2</v>
      </c>
      <c r="S179" s="43">
        <v>7.5980783840103499E-3</v>
      </c>
      <c r="T179" s="43">
        <v>0.16569892141119533</v>
      </c>
      <c r="U179" s="43">
        <v>0.99999999999999989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f>135.2*1.0101</f>
        <v>136.56551999999999</v>
      </c>
      <c r="H180" s="39">
        <f>131/99.8*102.4</f>
        <v>134.41282565130263</v>
      </c>
      <c r="I180" s="39">
        <f>+I$120*(109.4/103.3)</f>
        <v>105.16379477250727</v>
      </c>
      <c r="J180" s="39">
        <v>0.57999999999999996</v>
      </c>
      <c r="K180" s="39">
        <v>160.58117386489479</v>
      </c>
      <c r="L180" s="39">
        <v>114.3150610558983</v>
      </c>
      <c r="M180" s="42">
        <f t="shared" si="4"/>
        <v>7.4921960672069687E-4</v>
      </c>
      <c r="N180" s="12"/>
      <c r="O180" s="23">
        <v>43405</v>
      </c>
      <c r="P180" s="43">
        <v>0.66002294744887058</v>
      </c>
      <c r="Q180" s="43">
        <v>8.1441405707150485E-2</v>
      </c>
      <c r="R180" s="43">
        <v>8.4924523536170957E-2</v>
      </c>
      <c r="S180" s="43">
        <v>6.3820089994172293E-3</v>
      </c>
      <c r="T180" s="43">
        <v>0.16722911430839069</v>
      </c>
      <c r="U180" s="43">
        <v>1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f>135.2*1.0101</f>
        <v>136.56551999999999</v>
      </c>
      <c r="H181" s="39">
        <f>131/99.8*102.7</f>
        <v>134.80661322645292</v>
      </c>
      <c r="I181" s="39">
        <f>+I$120*(109.9/103.3)</f>
        <v>105.64443368828654</v>
      </c>
      <c r="J181" s="39">
        <v>0.62</v>
      </c>
      <c r="K181" s="39">
        <v>167.07951273532669</v>
      </c>
      <c r="L181" s="39">
        <v>115.21063260362149</v>
      </c>
      <c r="M181" s="42">
        <f t="shared" si="4"/>
        <v>7.8342393333916682E-3</v>
      </c>
      <c r="N181" s="12"/>
      <c r="O181" s="23">
        <v>43435</v>
      </c>
      <c r="P181" s="43">
        <v>0.65489236393221506</v>
      </c>
      <c r="Q181" s="43">
        <v>8.1045077045068914E-2</v>
      </c>
      <c r="R181" s="43">
        <v>8.4649496794953191E-2</v>
      </c>
      <c r="S181" s="43">
        <v>6.7691166710247162E-3</v>
      </c>
      <c r="T181" s="43">
        <v>0.17264394555673812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f>135.8*1.0101</f>
        <v>137.17158000000001</v>
      </c>
      <c r="H182" s="39">
        <f>131/99.8*102.4</f>
        <v>134.41282565130263</v>
      </c>
      <c r="I182" s="39">
        <f>+I$120*(109.9/103.3)</f>
        <v>105.64443368828654</v>
      </c>
      <c r="J182" s="39">
        <v>0.63</v>
      </c>
      <c r="K182" s="39">
        <v>165.34662236987819</v>
      </c>
      <c r="L182" s="39">
        <v>115.32447919702147</v>
      </c>
      <c r="M182" s="42">
        <f t="shared" si="4"/>
        <v>9.8816047466443457E-4</v>
      </c>
      <c r="N182" s="12"/>
      <c r="O182" s="23">
        <v>43466</v>
      </c>
      <c r="P182" s="43">
        <v>0.65714932200512788</v>
      </c>
      <c r="Q182" s="43">
        <v>8.0728561106144958E-2</v>
      </c>
      <c r="R182" s="43">
        <v>8.4565932083365256E-2</v>
      </c>
      <c r="S182" s="43">
        <v>6.8715058217158308E-3</v>
      </c>
      <c r="T182" s="43">
        <v>0.17068467898364612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f>135.8*1.0101</f>
        <v>137.17158000000001</v>
      </c>
      <c r="H183" s="39">
        <f>131/99.8*102.1</f>
        <v>134.0190380761523</v>
      </c>
      <c r="I183" s="39">
        <f>+I$120*(109.7/103.3)</f>
        <v>105.45217812197484</v>
      </c>
      <c r="J183" s="39">
        <v>0.63</v>
      </c>
      <c r="K183" s="39">
        <v>155.09368770764121</v>
      </c>
      <c r="L183" s="39">
        <v>114.05886841449308</v>
      </c>
      <c r="M183" s="42">
        <f t="shared" si="4"/>
        <v>-1.0974346394976742E-2</v>
      </c>
      <c r="N183" s="12"/>
      <c r="O183" s="23">
        <v>43497</v>
      </c>
      <c r="P183" s="43">
        <v>0.66444112911510655</v>
      </c>
      <c r="Q183" s="43">
        <v>8.1385201037388402E-2</v>
      </c>
      <c r="R183" s="43">
        <v>8.5348681937564189E-2</v>
      </c>
      <c r="S183" s="43">
        <v>6.9477528683599063E-3</v>
      </c>
      <c r="T183" s="43">
        <v>0.16187723504158111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f>135.8*1.0101</f>
        <v>137.17158000000001</v>
      </c>
      <c r="H184" s="39">
        <f>131/99.8*102.3</f>
        <v>134.28156312625251</v>
      </c>
      <c r="I184" s="39">
        <f>+I$172*(103.3/103.6)</f>
        <v>104.38001930501932</v>
      </c>
      <c r="J184" s="39">
        <v>0.68</v>
      </c>
      <c r="K184" s="39">
        <v>152.20553709856037</v>
      </c>
      <c r="L184" s="39">
        <v>113.76792809580698</v>
      </c>
      <c r="M184" s="42">
        <f t="shared" si="4"/>
        <v>-2.5507908567776738E-3</v>
      </c>
      <c r="N184" s="12"/>
      <c r="O184" s="23">
        <v>43525</v>
      </c>
      <c r="P184" s="43">
        <v>0.66614031373671712</v>
      </c>
      <c r="Q184" s="43">
        <v>8.1753158776274093E-2</v>
      </c>
      <c r="R184" s="43">
        <v>8.5319164589637939E-2</v>
      </c>
      <c r="S184" s="43">
        <v>7.5183395379177188E-3</v>
      </c>
      <c r="T184" s="43">
        <v>0.15926902335945312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f>136.4*1.0101</f>
        <v>137.77764000000002</v>
      </c>
      <c r="H185" s="39">
        <f>131/99.8*102.8</f>
        <v>134.93787575150301</v>
      </c>
      <c r="I185" s="39">
        <f>+I$172*(103.6/103.6)</f>
        <v>104.68315585672798</v>
      </c>
      <c r="J185" s="39">
        <v>0.55000000000000004</v>
      </c>
      <c r="K185" s="39">
        <v>155.67131782945737</v>
      </c>
      <c r="L185" s="39">
        <v>114.42548718976134</v>
      </c>
      <c r="M185" s="42">
        <f t="shared" si="4"/>
        <v>5.7798283308860832E-3</v>
      </c>
      <c r="N185" s="12"/>
      <c r="O185" s="23">
        <v>43556</v>
      </c>
      <c r="P185" s="43">
        <v>0.66523853175897885</v>
      </c>
      <c r="Q185" s="43">
        <v>8.168063428822156E-2</v>
      </c>
      <c r="R185" s="43">
        <v>8.5075225122905246E-2</v>
      </c>
      <c r="S185" s="43">
        <v>6.0460647043063045E-3</v>
      </c>
      <c r="T185" s="43">
        <v>0.16195954412558811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f>136.4*1.0101</f>
        <v>137.77764000000002</v>
      </c>
      <c r="H186" s="39">
        <f>131/99.8*102.9</f>
        <v>135.06913827655313</v>
      </c>
      <c r="I186" s="39">
        <f>+I$172*(103.7/103.6)</f>
        <v>104.78420137396422</v>
      </c>
      <c r="J186" s="39">
        <f>+J185</f>
        <v>0.55000000000000004</v>
      </c>
      <c r="K186" s="39">
        <v>159.57032115171651</v>
      </c>
      <c r="L186" s="39">
        <v>114.90814252864149</v>
      </c>
      <c r="M186" s="42">
        <f t="shared" si="4"/>
        <v>4.2180754544633992E-3</v>
      </c>
      <c r="N186" s="12"/>
      <c r="O186" s="23">
        <v>43586</v>
      </c>
      <c r="P186" s="43">
        <v>0.66244429175199038</v>
      </c>
      <c r="Q186" s="43">
        <v>8.1416668507137607E-2</v>
      </c>
      <c r="R186" s="43">
        <v>8.4799652732336792E-2</v>
      </c>
      <c r="S186" s="43">
        <v>6.0206690678915832E-3</v>
      </c>
      <c r="T186" s="43">
        <v>0.16531871794064376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f>136.4*1.0101</f>
        <v>137.77764000000002</v>
      </c>
      <c r="H187" s="39">
        <f>131/99.8*103.2</f>
        <v>135.46292585170343</v>
      </c>
      <c r="I187" s="39">
        <f>+I$172*(104.5/103.6)</f>
        <v>105.592565511854</v>
      </c>
      <c r="J187" s="39">
        <v>0.59</v>
      </c>
      <c r="K187" s="39">
        <v>160.1479512735327</v>
      </c>
      <c r="L187" s="39">
        <v>115.12966981526006</v>
      </c>
      <c r="M187" s="42">
        <f t="shared" si="4"/>
        <v>1.9278641334172786E-3</v>
      </c>
      <c r="N187" s="12"/>
      <c r="O187" s="23">
        <v>43617</v>
      </c>
      <c r="P187" s="43">
        <v>0.66116964650439036</v>
      </c>
      <c r="Q187" s="43">
        <v>8.1496919898768075E-2</v>
      </c>
      <c r="R187" s="43">
        <v>8.5289418435229011E-2</v>
      </c>
      <c r="S187" s="43">
        <v>6.4461086874541369E-3</v>
      </c>
      <c r="T187" s="43">
        <v>0.16559790647415845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f>136.6*1.0101</f>
        <v>137.97966</v>
      </c>
      <c r="H188" s="39">
        <f>131/99.8*103.1</f>
        <v>135.33166332665331</v>
      </c>
      <c r="I188" s="39">
        <f>+I$172*(104.6/103.6)</f>
        <v>105.69361102909022</v>
      </c>
      <c r="J188" s="39">
        <v>0.56999999999999995</v>
      </c>
      <c r="K188" s="39">
        <v>161.88084163898117</v>
      </c>
      <c r="L188" s="39">
        <v>115.4227270377541</v>
      </c>
      <c r="M188" s="42">
        <f t="shared" si="4"/>
        <v>2.5454535131064215E-3</v>
      </c>
      <c r="N188" s="12"/>
      <c r="O188" s="23">
        <v>43647</v>
      </c>
      <c r="P188" s="43">
        <v>0.66045793848430012</v>
      </c>
      <c r="Q188" s="43">
        <v>8.1211230602903361E-2</v>
      </c>
      <c r="R188" s="43">
        <v>8.5154278845345127E-2</v>
      </c>
      <c r="S188" s="43">
        <v>6.2117847193209289E-3</v>
      </c>
      <c r="T188" s="43">
        <v>0.16696476734813043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f>136.6*1.0101</f>
        <v>137.97966</v>
      </c>
      <c r="H189" s="39">
        <f>131/99.8*102.9</f>
        <v>135.06913827655313</v>
      </c>
      <c r="I189" s="39">
        <f>+I$172*(105/103.6)</f>
        <v>106.09779309803513</v>
      </c>
      <c r="J189" s="39">
        <v>0.39</v>
      </c>
      <c r="K189" s="39">
        <v>154.66046511627906</v>
      </c>
      <c r="L189" s="39">
        <v>114.35614575682418</v>
      </c>
      <c r="M189" s="42">
        <f t="shared" si="4"/>
        <v>-9.2406522381077716E-3</v>
      </c>
      <c r="N189" s="12"/>
      <c r="O189" s="23">
        <v>43678</v>
      </c>
      <c r="P189" s="43">
        <v>0.66661792288537369</v>
      </c>
      <c r="Q189" s="43">
        <v>8.1809666521285684E-2</v>
      </c>
      <c r="R189" s="43">
        <v>8.6277173983827657E-2</v>
      </c>
      <c r="S189" s="43">
        <v>4.2898091264725463E-3</v>
      </c>
      <c r="T189" s="43">
        <v>0.1610054274830405</v>
      </c>
      <c r="U189" s="43">
        <v>1.0000000000000002</v>
      </c>
      <c r="V189" s="12"/>
      <c r="W189" s="12"/>
    </row>
    <row r="190" spans="1:23" ht="13.5" hidden="1" customHeight="1">
      <c r="E190" s="12"/>
      <c r="F190" s="23">
        <v>43709</v>
      </c>
      <c r="G190" s="39">
        <f>136.6*1.0101</f>
        <v>137.97966</v>
      </c>
      <c r="H190" s="39">
        <f>131/99.8*103.5</f>
        <v>135.85671342685373</v>
      </c>
      <c r="I190" s="39">
        <f>+I$172*(104.4/103.6)</f>
        <v>105.49151999461779</v>
      </c>
      <c r="J190" s="39">
        <v>0.3</v>
      </c>
      <c r="K190" s="39">
        <v>156.24894795127355</v>
      </c>
      <c r="L190" s="39">
        <v>114.43021496834194</v>
      </c>
      <c r="M190" s="42">
        <f t="shared" si="4"/>
        <v>6.4770643525591254E-4</v>
      </c>
      <c r="N190" s="12"/>
      <c r="O190" s="23">
        <v>43709</v>
      </c>
      <c r="P190" s="43">
        <v>0.66618642964781061</v>
      </c>
      <c r="Q190" s="43">
        <v>8.2233427695558858E-2</v>
      </c>
      <c r="R190" s="43">
        <v>8.5728634572764459E-2</v>
      </c>
      <c r="S190" s="43">
        <v>3.2977172215436024E-3</v>
      </c>
      <c r="T190" s="43">
        <v>0.16255379086232258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f>137.8*1.0101</f>
        <v>139.19178000000002</v>
      </c>
      <c r="H191" s="39">
        <f>131/99.8*103.1</f>
        <v>135.33166332665331</v>
      </c>
      <c r="I191" s="39">
        <f>+I$172*(104.1/103.6)</f>
        <v>105.18838344290909</v>
      </c>
      <c r="J191" s="39">
        <v>0.21</v>
      </c>
      <c r="K191" s="39">
        <v>154.51605758582502</v>
      </c>
      <c r="L191" s="39">
        <v>114.7158339003598</v>
      </c>
      <c r="M191" s="42">
        <f t="shared" si="4"/>
        <v>2.4960097479225229E-3</v>
      </c>
      <c r="N191" s="12"/>
      <c r="O191" s="23">
        <v>43739</v>
      </c>
      <c r="P191" s="43">
        <v>0.67036548745657532</v>
      </c>
      <c r="Q191" s="43">
        <v>8.1711664236523651E-2</v>
      </c>
      <c r="R191" s="43">
        <v>8.5269454531981398E-2</v>
      </c>
      <c r="S191" s="43">
        <v>2.3026546067360099E-3</v>
      </c>
      <c r="T191" s="43">
        <v>0.16035073916818357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f>137.8*1.0101</f>
        <v>139.19178000000002</v>
      </c>
      <c r="H192" s="39">
        <f>131/99.8*102.9</f>
        <v>135.06913827655313</v>
      </c>
      <c r="I192" s="39">
        <f>+I$172*(103.9/103.6)</f>
        <v>104.98629240843665</v>
      </c>
      <c r="J192" s="39">
        <v>0.26</v>
      </c>
      <c r="K192" s="39">
        <v>159.42591362126248</v>
      </c>
      <c r="L192" s="39">
        <v>115.32625709959332</v>
      </c>
      <c r="M192" s="42">
        <f t="shared" si="4"/>
        <v>5.3211764974285813E-3</v>
      </c>
      <c r="N192" s="12"/>
      <c r="O192" s="23">
        <v>43770</v>
      </c>
      <c r="P192" s="43">
        <v>0.66681723525624947</v>
      </c>
      <c r="Q192" s="43">
        <v>8.1121492921999258E-2</v>
      </c>
      <c r="R192" s="43">
        <v>8.4655167246733512E-2</v>
      </c>
      <c r="S192" s="43">
        <v>2.8358158270479928E-3</v>
      </c>
      <c r="T192" s="43">
        <v>0.16457028874796983</v>
      </c>
      <c r="U192" s="43">
        <v>1</v>
      </c>
      <c r="V192" s="12"/>
      <c r="W192" s="12"/>
    </row>
    <row r="193" spans="5:23" ht="13.5" hidden="1" customHeight="1">
      <c r="E193" s="12"/>
      <c r="F193" s="23">
        <v>43800</v>
      </c>
      <c r="G193" s="39">
        <f>137.8*1.0101</f>
        <v>139.19178000000002</v>
      </c>
      <c r="H193" s="39">
        <f>131/99.8*103.3</f>
        <v>135.59418837675352</v>
      </c>
      <c r="I193" s="39">
        <f>+I$172*(103.7/103.6)</f>
        <v>104.78420137396422</v>
      </c>
      <c r="J193" s="39">
        <v>0.34</v>
      </c>
      <c r="K193" s="39">
        <v>158.70387596899226</v>
      </c>
      <c r="L193" s="39">
        <v>115.35850327339361</v>
      </c>
      <c r="M193" s="42">
        <f t="shared" si="4"/>
        <v>2.7960825757511465E-4</v>
      </c>
      <c r="N193" s="12"/>
      <c r="O193" s="23">
        <v>43800</v>
      </c>
      <c r="P193" s="43">
        <v>0.66663083976869586</v>
      </c>
      <c r="Q193" s="43">
        <v>8.1414069956114332E-2</v>
      </c>
      <c r="R193" s="43">
        <v>8.4468594044198764E-2</v>
      </c>
      <c r="S193" s="43">
        <v>3.7073379407609021E-3</v>
      </c>
      <c r="T193" s="43">
        <v>0.16377915829023024</v>
      </c>
      <c r="U193" s="43">
        <v>1.0000000000000002</v>
      </c>
      <c r="V193" s="12"/>
      <c r="W193" s="12"/>
    </row>
    <row r="194" spans="5:23" ht="13.5" hidden="1" customHeight="1">
      <c r="E194" s="12"/>
      <c r="F194" s="23">
        <v>43831</v>
      </c>
      <c r="G194" s="39">
        <f>138.6*1.0101</f>
        <v>139.99985999999998</v>
      </c>
      <c r="H194" s="39">
        <f>131/99.8*103.1</f>
        <v>135.33166332665331</v>
      </c>
      <c r="I194" s="39">
        <f>+I$172*(103.9/103.6)</f>
        <v>104.98629240843665</v>
      </c>
      <c r="J194" s="39">
        <v>0.23</v>
      </c>
      <c r="K194" s="39">
        <v>157.25980066445183</v>
      </c>
      <c r="L194" s="39">
        <v>115.49528725236792</v>
      </c>
      <c r="M194" s="42">
        <f t="shared" si="4"/>
        <v>1.1857294875796676E-3</v>
      </c>
      <c r="N194" s="12"/>
      <c r="O194" s="23">
        <v>43831</v>
      </c>
      <c r="P194" s="43">
        <v>0.66970688406760448</v>
      </c>
      <c r="Q194" s="43">
        <v>8.1160209436050706E-2</v>
      </c>
      <c r="R194" s="43">
        <v>8.4531272357225087E-2</v>
      </c>
      <c r="S194" s="43">
        <v>2.5049349023953137E-3</v>
      </c>
      <c r="T194" s="43">
        <v>0.1620966992367244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f>138.6*1.0101</f>
        <v>139.99985999999998</v>
      </c>
      <c r="H195" s="39">
        <f>131/99.8*102.9</f>
        <v>135.06913827655313</v>
      </c>
      <c r="I195" s="39">
        <f>+I$172*(104/103.6)</f>
        <v>105.08733792567287</v>
      </c>
      <c r="J195" s="39">
        <v>0.36</v>
      </c>
      <c r="K195" s="39">
        <v>159.85913621262461</v>
      </c>
      <c r="L195" s="39">
        <v>115.95946691988824</v>
      </c>
      <c r="M195" s="42">
        <f t="shared" si="4"/>
        <v>4.0190355690101764E-3</v>
      </c>
      <c r="N195" s="12"/>
      <c r="O195" s="23">
        <v>43862</v>
      </c>
      <c r="P195" s="43">
        <v>0.66702608251651296</v>
      </c>
      <c r="Q195" s="43">
        <v>8.0678519809759236E-2</v>
      </c>
      <c r="R195" s="43">
        <v>8.4273930730785374E-2</v>
      </c>
      <c r="S195" s="43">
        <v>3.9050730458435753E-3</v>
      </c>
      <c r="T195" s="43">
        <v>0.16411639389709881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f>138.6*1.0101</f>
        <v>139.99985999999998</v>
      </c>
      <c r="H196" s="39">
        <f>131/99.8*103</f>
        <v>135.20040080160322</v>
      </c>
      <c r="I196" s="39">
        <f>+I$172*(104.9/103.6)</f>
        <v>105.99674758079891</v>
      </c>
      <c r="J196" s="39">
        <v>0.28999999999999998</v>
      </c>
      <c r="K196" s="39">
        <v>165.49102990033222</v>
      </c>
      <c r="L196" s="39">
        <v>116.63554041701701</v>
      </c>
      <c r="M196" s="42">
        <f t="shared" si="4"/>
        <v>5.8302570293449207E-3</v>
      </c>
      <c r="N196" s="12"/>
      <c r="O196" s="23">
        <v>43891</v>
      </c>
      <c r="P196" s="43">
        <v>0.66315969106609673</v>
      </c>
      <c r="Q196" s="43">
        <v>8.0288820132957489E-2</v>
      </c>
      <c r="R196" s="43">
        <v>8.4510506388186274E-2</v>
      </c>
      <c r="S196" s="43">
        <v>3.1275190470212411E-3</v>
      </c>
      <c r="T196" s="43">
        <v>0.16891346336573826</v>
      </c>
      <c r="U196" s="43">
        <v>1</v>
      </c>
      <c r="V196" s="12"/>
      <c r="W196" s="12"/>
    </row>
    <row r="197" spans="5:23" ht="13.5" hidden="1" customHeight="1">
      <c r="E197" s="12"/>
      <c r="F197" s="23">
        <v>43922</v>
      </c>
      <c r="G197" s="39">
        <f>139.2*1.0101</f>
        <v>140.60592</v>
      </c>
      <c r="H197" s="39">
        <f>131/99.8*103.6</f>
        <v>135.98797595190382</v>
      </c>
      <c r="I197" s="39">
        <f>+I$172*(105/103.6)</f>
        <v>106.09779309803513</v>
      </c>
      <c r="J197" s="39">
        <v>0.1</v>
      </c>
      <c r="K197" s="39">
        <v>156.10454042081949</v>
      </c>
      <c r="L197" s="39">
        <v>115.67789442141988</v>
      </c>
      <c r="M197" s="42">
        <f t="shared" si="4"/>
        <v>-8.2105848026525763E-3</v>
      </c>
      <c r="N197" s="12"/>
      <c r="O197" s="23">
        <v>43922</v>
      </c>
      <c r="P197" s="43">
        <v>0.67154428352818785</v>
      </c>
      <c r="Q197" s="43">
        <v>8.1425069435471467E-2</v>
      </c>
      <c r="R197" s="43">
        <v>8.5291361265947663E-2</v>
      </c>
      <c r="S197" s="43">
        <v>1.0873828932584804E-3</v>
      </c>
      <c r="T197" s="43">
        <v>0.16065190287713452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f>139.2*1.0101</f>
        <v>140.60592</v>
      </c>
      <c r="H198" s="39">
        <f>131/99.8*103.3</f>
        <v>135.59418837675352</v>
      </c>
      <c r="I198" s="39">
        <f>+I$172*(105.2/103.6)</f>
        <v>106.29988413250759</v>
      </c>
      <c r="J198" s="39">
        <v>0.45</v>
      </c>
      <c r="K198" s="39">
        <v>145.70719822812848</v>
      </c>
      <c r="L198" s="39">
        <v>114.87188483156237</v>
      </c>
      <c r="M198" s="42">
        <f t="shared" si="4"/>
        <v>-6.9677062665161049E-3</v>
      </c>
      <c r="N198" s="12"/>
      <c r="O198" s="23">
        <v>43952</v>
      </c>
      <c r="P198" s="43">
        <v>0.67625623835796522</v>
      </c>
      <c r="Q198" s="43">
        <v>8.1758954937528855E-2</v>
      </c>
      <c r="R198" s="43">
        <v>8.6053415927102722E-2</v>
      </c>
      <c r="S198" s="43">
        <v>4.9275567879733372E-3</v>
      </c>
      <c r="T198" s="43">
        <v>0.1510038339894299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f>139.2*1.0101</f>
        <v>140.60592</v>
      </c>
      <c r="H199" s="39">
        <f>131/99.8*103.2</f>
        <v>135.46292585170343</v>
      </c>
      <c r="I199" s="39">
        <f>+I$172*(105.2/103.6)</f>
        <v>106.29988413250759</v>
      </c>
      <c r="J199" s="39">
        <v>0.35</v>
      </c>
      <c r="K199" s="39">
        <v>133.57696566998894</v>
      </c>
      <c r="L199" s="39">
        <v>113.2929315868731</v>
      </c>
      <c r="M199" s="42">
        <f t="shared" si="4"/>
        <v>-1.3745341142478051E-2</v>
      </c>
      <c r="N199" s="12"/>
      <c r="O199" s="23">
        <v>43983</v>
      </c>
      <c r="P199" s="43">
        <v>0.68568115981458677</v>
      </c>
      <c r="Q199" s="43">
        <v>8.2818171861950576E-2</v>
      </c>
      <c r="R199" s="43">
        <v>8.7252734528815351E-2</v>
      </c>
      <c r="S199" s="43">
        <v>3.8859579866150676E-3</v>
      </c>
      <c r="T199" s="43">
        <v>0.14036197580803222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f>139.8*1.0101</f>
        <v>141.21198000000001</v>
      </c>
      <c r="H200" s="39">
        <f>131/99.8*103.1</f>
        <v>135.33166332665331</v>
      </c>
      <c r="I200" s="39">
        <f>+I$172*(105.3/103.6)</f>
        <v>106.4009296497438</v>
      </c>
      <c r="J200" s="39">
        <v>0.23</v>
      </c>
      <c r="K200" s="39">
        <v>127.22303433001107</v>
      </c>
      <c r="L200" s="39">
        <v>112.72071229548855</v>
      </c>
      <c r="M200" s="42">
        <f t="shared" si="4"/>
        <v>-5.0507942849529197E-3</v>
      </c>
      <c r="N200" s="12"/>
      <c r="O200" s="23">
        <v>44013</v>
      </c>
      <c r="P200" s="43">
        <v>0.69213250093532108</v>
      </c>
      <c r="Q200" s="43">
        <v>8.3157935319879805E-2</v>
      </c>
      <c r="R200" s="43">
        <v>8.7779028204528931E-2</v>
      </c>
      <c r="S200" s="43">
        <v>2.566592866643977E-3</v>
      </c>
      <c r="T200" s="43">
        <v>0.13436394267362603</v>
      </c>
      <c r="U200" s="43">
        <v>0.99999999999999989</v>
      </c>
      <c r="V200" s="12"/>
      <c r="W200" s="12"/>
    </row>
    <row r="201" spans="5:23" ht="13.5" hidden="1" customHeight="1">
      <c r="E201" s="12"/>
      <c r="F201" s="23">
        <v>44044</v>
      </c>
      <c r="G201" s="39">
        <f>139.8*1.0101</f>
        <v>141.21198000000001</v>
      </c>
      <c r="H201" s="39">
        <f>131/99.8*103.2</f>
        <v>135.46292585170343</v>
      </c>
      <c r="I201" s="39">
        <f>+I$172*(105.5/103.6)</f>
        <v>106.60302068421623</v>
      </c>
      <c r="J201" s="39">
        <v>0.22</v>
      </c>
      <c r="K201" s="39">
        <v>133.57696566998894</v>
      </c>
      <c r="L201" s="39">
        <v>113.49243885353881</v>
      </c>
      <c r="M201" s="42">
        <f t="shared" si="4"/>
        <v>6.8463598422554561E-3</v>
      </c>
      <c r="N201" s="12"/>
      <c r="O201" s="23">
        <v>44044</v>
      </c>
      <c r="P201" s="43">
        <v>0.68742613425523913</v>
      </c>
      <c r="Q201" s="43">
        <v>8.2672586594197614E-2</v>
      </c>
      <c r="R201" s="43">
        <v>8.7347735973605567E-2</v>
      </c>
      <c r="S201" s="43">
        <v>2.4383083361662994E-3</v>
      </c>
      <c r="T201" s="43">
        <v>0.14011523484079125</v>
      </c>
      <c r="U201" s="43">
        <v>0.99999999999999989</v>
      </c>
      <c r="V201" s="12"/>
      <c r="W201" s="12"/>
    </row>
    <row r="202" spans="5:23" ht="13.5" hidden="1" customHeight="1">
      <c r="E202" s="12"/>
      <c r="F202" s="23">
        <v>44075</v>
      </c>
      <c r="G202" s="39">
        <f>139.8*1.0101</f>
        <v>141.21198000000001</v>
      </c>
      <c r="H202" s="39">
        <f>131/99.8*104</f>
        <v>136.51302605210421</v>
      </c>
      <c r="I202" s="39">
        <f>+I$172*(105.7/103.6)</f>
        <v>106.80511171868869</v>
      </c>
      <c r="J202" s="39">
        <v>0.17</v>
      </c>
      <c r="K202" s="39">
        <v>138.19800664451827</v>
      </c>
      <c r="L202" s="39">
        <v>114.07119691049098</v>
      </c>
      <c r="M202" s="42">
        <f t="shared" si="4"/>
        <v>5.0995296497156062E-3</v>
      </c>
      <c r="N202" s="12"/>
      <c r="O202" s="23">
        <v>44075</v>
      </c>
      <c r="P202" s="43">
        <v>0.68393837025753268</v>
      </c>
      <c r="Q202" s="43">
        <v>8.2890755493168947E-2</v>
      </c>
      <c r="R202" s="43">
        <v>8.7069311562779278E-2</v>
      </c>
      <c r="S202" s="43">
        <v>1.87458783443128E-3</v>
      </c>
      <c r="T202" s="43">
        <v>0.14422697485208777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f>140.2*1.0101</f>
        <v>141.61601999999999</v>
      </c>
      <c r="H203" s="39">
        <f>131/99.8*103.6</f>
        <v>135.98797595190382</v>
      </c>
      <c r="I203" s="39">
        <f>+I$172*(106/103.6)</f>
        <v>107.10824827039735</v>
      </c>
      <c r="J203" s="39">
        <v>0.22</v>
      </c>
      <c r="K203" s="39">
        <v>138.19800664451827</v>
      </c>
      <c r="L203" s="39">
        <v>114.34913890532042</v>
      </c>
      <c r="M203" s="42">
        <f t="shared" si="4"/>
        <v>2.4365659549230312E-3</v>
      </c>
      <c r="N203" s="12"/>
      <c r="O203" s="23">
        <v>44105</v>
      </c>
      <c r="P203" s="43">
        <v>0.6842281085510119</v>
      </c>
      <c r="Q203" s="43">
        <v>8.2371241931363609E-2</v>
      </c>
      <c r="R203" s="43">
        <v>8.7104198420107692E-2</v>
      </c>
      <c r="S203" s="43">
        <v>2.420040608942024E-3</v>
      </c>
      <c r="T203" s="43">
        <v>0.14387641048857477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f>140.2*1.0101</f>
        <v>141.61601999999999</v>
      </c>
      <c r="H204" s="39">
        <f>131/99.8*103.5</f>
        <v>135.85671342685373</v>
      </c>
      <c r="I204" s="39">
        <f>+I$172*(105.9/103.6)</f>
        <v>107.00720275316112</v>
      </c>
      <c r="J204" s="39">
        <v>0.15</v>
      </c>
      <c r="K204" s="39">
        <v>135.02104097452934</v>
      </c>
      <c r="L204" s="39">
        <v>113.86439011534036</v>
      </c>
      <c r="M204" s="42">
        <f t="shared" si="4"/>
        <v>-4.2391993032970809E-3</v>
      </c>
      <c r="N204" s="12"/>
      <c r="O204" s="23">
        <v>44136</v>
      </c>
      <c r="P204" s="43">
        <v>0.68714103635358892</v>
      </c>
      <c r="Q204" s="43">
        <v>8.2642069212810421E-2</v>
      </c>
      <c r="R204" s="43">
        <v>8.7392498868329296E-2</v>
      </c>
      <c r="S204" s="43">
        <v>1.6570522627126344E-3</v>
      </c>
      <c r="T204" s="43">
        <v>0.14116734330255876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f>140.2*1.0101</f>
        <v>141.61601999999999</v>
      </c>
      <c r="H205" s="39">
        <f>131/99.8*103.7</f>
        <v>136.11923847695391</v>
      </c>
      <c r="I205" s="39">
        <f>+I$172*(105.7/103.6)</f>
        <v>106.80511171868869</v>
      </c>
      <c r="J205" s="39">
        <v>0.08</v>
      </c>
      <c r="K205" s="39">
        <v>134.73222591362128</v>
      </c>
      <c r="L205" s="39">
        <v>113.74134760862323</v>
      </c>
      <c r="M205" s="42">
        <f t="shared" si="4"/>
        <v>-1.0806056800768404E-3</v>
      </c>
      <c r="N205" s="12"/>
      <c r="O205" s="23">
        <v>44166</v>
      </c>
      <c r="P205" s="43">
        <v>0.68788436810900366</v>
      </c>
      <c r="Q205" s="43">
        <v>8.2891336882009184E-2</v>
      </c>
      <c r="R205" s="43">
        <v>8.7321812102265695E-2</v>
      </c>
      <c r="S205" s="43">
        <v>8.8471723725190793E-4</v>
      </c>
      <c r="T205" s="43">
        <v>0.14101776566946975</v>
      </c>
      <c r="U205" s="43">
        <v>1.0000000000000002</v>
      </c>
      <c r="V205" s="12"/>
      <c r="W205" s="12"/>
    </row>
    <row r="206" spans="5:23" ht="13.5" hidden="1" customHeight="1">
      <c r="E206" s="12"/>
      <c r="F206" s="23">
        <v>44197</v>
      </c>
      <c r="G206" s="39">
        <f>141*1.0101</f>
        <v>142.42410000000001</v>
      </c>
      <c r="H206" s="39">
        <f>131/99.8*103.6</f>
        <v>135.98797595190382</v>
      </c>
      <c r="I206" s="39">
        <f>+I$172*(106.1/103.6)</f>
        <v>107.20929378763357</v>
      </c>
      <c r="J206" s="39">
        <v>0.15</v>
      </c>
      <c r="K206" s="39">
        <v>135.02104097452934</v>
      </c>
      <c r="L206" s="39">
        <v>114.33872793080045</v>
      </c>
      <c r="M206" s="42">
        <f t="shared" si="4"/>
        <v>5.2520946404888136E-3</v>
      </c>
      <c r="N206" s="12"/>
      <c r="O206" s="23">
        <v>44197</v>
      </c>
      <c r="P206" s="43">
        <v>0.68819506295295807</v>
      </c>
      <c r="Q206" s="43">
        <v>8.2378742145127096E-2</v>
      </c>
      <c r="R206" s="43">
        <v>8.7194310841825134E-2</v>
      </c>
      <c r="S206" s="43">
        <v>1.6501779291895782E-3</v>
      </c>
      <c r="T206" s="43">
        <v>0.14058170613090012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f>141*1.0101</f>
        <v>142.42410000000001</v>
      </c>
      <c r="H207" s="39">
        <f>131/99.8*103.4</f>
        <v>135.72545090180361</v>
      </c>
      <c r="I207" s="39">
        <f>+I$172*(105.8/103.6)</f>
        <v>106.90615723592491</v>
      </c>
      <c r="J207" s="39">
        <v>-0.01</v>
      </c>
      <c r="K207" s="39">
        <v>142.38582502768548</v>
      </c>
      <c r="L207" s="39">
        <v>114.96785702200084</v>
      </c>
      <c r="M207" s="42">
        <f t="shared" si="4"/>
        <v>5.502327186822864E-3</v>
      </c>
      <c r="N207" s="12"/>
      <c r="O207" s="23">
        <v>44228</v>
      </c>
      <c r="P207" s="43">
        <v>0.6844291100532589</v>
      </c>
      <c r="Q207" s="43">
        <v>8.1769785709414011E-2</v>
      </c>
      <c r="R207" s="43">
        <v>8.6471970007371973E-2</v>
      </c>
      <c r="S207" s="43">
        <v>-1.0940985313655233E-4</v>
      </c>
      <c r="T207" s="43">
        <v>0.14743854408309159</v>
      </c>
      <c r="U207" s="43">
        <v>0.99999999999999978</v>
      </c>
      <c r="V207" s="12"/>
      <c r="W207" s="12"/>
    </row>
    <row r="208" spans="5:23" ht="13.5" hidden="1" customHeight="1">
      <c r="E208" s="12"/>
      <c r="F208" s="23">
        <v>44256</v>
      </c>
      <c r="G208" s="39">
        <f>141*1.0101</f>
        <v>142.42410000000001</v>
      </c>
      <c r="H208" s="39">
        <f>131/99.8*103.6</f>
        <v>135.98797595190382</v>
      </c>
      <c r="I208" s="39">
        <f>+I$172*(106.9/103.6)</f>
        <v>108.01765792552338</v>
      </c>
      <c r="J208" s="39">
        <v>0.14000000000000001</v>
      </c>
      <c r="K208" s="39">
        <v>145.56279069767442</v>
      </c>
      <c r="L208" s="39">
        <v>115.65629152022137</v>
      </c>
      <c r="M208" s="42">
        <f t="shared" si="4"/>
        <v>5.9880606288833516E-3</v>
      </c>
      <c r="N208" s="12"/>
      <c r="O208" s="23">
        <v>44256</v>
      </c>
      <c r="P208" s="43">
        <v>0.68035510245061448</v>
      </c>
      <c r="Q208" s="43">
        <v>8.1440278445781028E-2</v>
      </c>
      <c r="R208" s="43">
        <v>8.6850948210955362E-2</v>
      </c>
      <c r="S208" s="43">
        <v>1.5226204006379383E-3</v>
      </c>
      <c r="T208" s="43">
        <v>0.14983105049201115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f>141.6*1.0101</f>
        <v>143.03016</v>
      </c>
      <c r="H209" s="39">
        <f>131/99.8*104.2</f>
        <v>136.77555110220442</v>
      </c>
      <c r="I209" s="39">
        <f>+I$172*(107.1/103.6)</f>
        <v>108.21974895999581</v>
      </c>
      <c r="J209" s="39">
        <v>0.33</v>
      </c>
      <c r="K209" s="39">
        <v>151.77231450719822</v>
      </c>
      <c r="L209" s="39">
        <v>117.04269769478231</v>
      </c>
      <c r="M209" s="42">
        <f t="shared" si="4"/>
        <v>1.1987295773862261E-2</v>
      </c>
      <c r="N209" s="12"/>
      <c r="O209" s="23">
        <v>44287</v>
      </c>
      <c r="P209" s="43">
        <v>0.67515692479486178</v>
      </c>
      <c r="Q209" s="43">
        <v>8.094166856850106E-2</v>
      </c>
      <c r="R209" s="43">
        <v>8.5982737782553137E-2</v>
      </c>
      <c r="S209" s="43">
        <v>3.5465206099837381E-3</v>
      </c>
      <c r="T209" s="43">
        <v>0.15437214824410037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f>141.6*1.0101</f>
        <v>143.03016</v>
      </c>
      <c r="H210" s="39">
        <f>131/99.8*104.3</f>
        <v>136.90681362725451</v>
      </c>
      <c r="I210" s="39">
        <f>+I$172*(107.7/103.6)</f>
        <v>108.82602206341316</v>
      </c>
      <c r="J210" s="39">
        <v>0.44</v>
      </c>
      <c r="K210" s="39">
        <v>157.1153931339978</v>
      </c>
      <c r="L210" s="39">
        <v>117.88261404066569</v>
      </c>
      <c r="M210" s="42">
        <f t="shared" si="4"/>
        <v>7.1761533391316856E-3</v>
      </c>
      <c r="N210" s="12"/>
      <c r="O210" s="23">
        <v>44317</v>
      </c>
      <c r="P210" s="43">
        <v>0.67034641612242996</v>
      </c>
      <c r="Q210" s="43">
        <v>8.04420829905413E-2</v>
      </c>
      <c r="R210" s="43">
        <v>8.5848372706085654E-2</v>
      </c>
      <c r="S210" s="43">
        <v>4.6950020917073485E-3</v>
      </c>
      <c r="T210" s="43">
        <v>0.15866812608923586</v>
      </c>
      <c r="U210" s="43">
        <v>1.0000000000000002</v>
      </c>
      <c r="V210" s="12"/>
      <c r="W210" s="12"/>
    </row>
    <row r="211" spans="5:23" ht="13.5" hidden="1" customHeight="1">
      <c r="E211" s="12"/>
      <c r="F211" s="23">
        <v>44348</v>
      </c>
      <c r="G211" s="39">
        <f>141.6*1.0101</f>
        <v>143.03016</v>
      </c>
      <c r="H211" s="39">
        <f>131/99.8*104.7</f>
        <v>137.43186372745492</v>
      </c>
      <c r="I211" s="39">
        <f>+I$172*(108/103.6)</f>
        <v>109.12915861512184</v>
      </c>
      <c r="J211" s="39">
        <v>0.39</v>
      </c>
      <c r="K211" s="39">
        <v>154.0828349944629</v>
      </c>
      <c r="L211" s="39">
        <v>117.52325873951577</v>
      </c>
      <c r="M211" s="42">
        <f t="shared" si="4"/>
        <v>-3.0484164613617803E-3</v>
      </c>
      <c r="N211" s="12"/>
      <c r="O211" s="23">
        <v>44348</v>
      </c>
      <c r="P211" s="43">
        <v>0.67239615964404509</v>
      </c>
      <c r="Q211" s="43">
        <v>8.0997499817522398E-2</v>
      </c>
      <c r="R211" s="43">
        <v>8.6350737673659334E-2</v>
      </c>
      <c r="S211" s="43">
        <v>4.1742038384347683E-3</v>
      </c>
      <c r="T211" s="43">
        <v>0.15608139902633833</v>
      </c>
      <c r="U211" s="43">
        <v>0.99999999999999989</v>
      </c>
      <c r="V211" s="12"/>
      <c r="W211" s="12"/>
    </row>
    <row r="212" spans="5:23" ht="13.5" hidden="1" customHeight="1">
      <c r="E212" s="12"/>
      <c r="F212" s="23">
        <v>44378</v>
      </c>
      <c r="G212" s="39">
        <f>142.6*1.0101</f>
        <v>144.04025999999999</v>
      </c>
      <c r="H212" s="39">
        <f>131/99.8*104.9</f>
        <v>137.69438877755513</v>
      </c>
      <c r="I212" s="39">
        <f>+I$172*(108.2/103.6)</f>
        <v>109.33124964959428</v>
      </c>
      <c r="J212" s="39">
        <v>0.48</v>
      </c>
      <c r="K212" s="39">
        <v>157.25980066445183</v>
      </c>
      <c r="L212" s="39">
        <v>118.60971933724922</v>
      </c>
      <c r="M212" s="42">
        <f t="shared" si="4"/>
        <v>9.2446432254020827E-3</v>
      </c>
      <c r="N212" s="12"/>
      <c r="O212" s="23">
        <v>44378</v>
      </c>
      <c r="P212" s="43">
        <v>0.6709420997563591</v>
      </c>
      <c r="Q212" s="43">
        <v>8.0408871506089913E-2</v>
      </c>
      <c r="R212" s="43">
        <v>8.571821215781078E-2</v>
      </c>
      <c r="S212" s="43">
        <v>5.090422507357255E-3</v>
      </c>
      <c r="T212" s="43">
        <v>0.15784039407238307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f>142.6*1.0101</f>
        <v>144.04025999999999</v>
      </c>
      <c r="H213" s="39">
        <f>131/99.8*105</f>
        <v>137.82565130260522</v>
      </c>
      <c r="I213" s="39">
        <f>+I$172*(108.4/103.6)</f>
        <v>109.53334068406674</v>
      </c>
      <c r="J213" s="39">
        <v>0.42</v>
      </c>
      <c r="K213" s="39">
        <v>161.15880398671095</v>
      </c>
      <c r="L213" s="39">
        <v>119.02629947809577</v>
      </c>
      <c r="M213" s="42">
        <f t="shared" si="4"/>
        <v>3.5121922821692575E-3</v>
      </c>
      <c r="N213" s="12"/>
      <c r="O213" s="23">
        <v>44409</v>
      </c>
      <c r="P213" s="43">
        <v>0.66859386952789746</v>
      </c>
      <c r="Q213" s="43">
        <v>8.0203833102833799E-2</v>
      </c>
      <c r="R213" s="43">
        <v>8.5576096467339158E-2</v>
      </c>
      <c r="S213" s="43">
        <v>4.4385307205965464E-3</v>
      </c>
      <c r="T213" s="43">
        <v>0.16118767018133306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f>142.6*1.0101</f>
        <v>144.04025999999999</v>
      </c>
      <c r="H214" s="39">
        <f>131/99.8*105.7</f>
        <v>138.74448897795594</v>
      </c>
      <c r="I214" s="39">
        <f>+I$172*(108.5/103.6)</f>
        <v>109.63438620130296</v>
      </c>
      <c r="J214" s="39">
        <v>0.37</v>
      </c>
      <c r="K214" s="39">
        <v>164.48017718715394</v>
      </c>
      <c r="L214" s="39">
        <v>119.43184690428359</v>
      </c>
      <c r="M214" s="42">
        <f t="shared" ref="M214:M277" si="5">IF(L214="","",L214/L213-1)</f>
        <v>3.4072085578233935E-3</v>
      </c>
      <c r="N214" s="12"/>
      <c r="O214" s="23">
        <v>44440</v>
      </c>
      <c r="P214" s="43">
        <v>0.66632356617096034</v>
      </c>
      <c r="Q214" s="43">
        <v>8.0464366445566204E-2</v>
      </c>
      <c r="R214" s="43">
        <v>8.5364187615203493E-2</v>
      </c>
      <c r="S214" s="43">
        <v>3.8968568023940858E-3</v>
      </c>
      <c r="T214" s="43">
        <v>0.16395102296587599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f>144.1*1.0101</f>
        <v>145.55540999999999</v>
      </c>
      <c r="H215" s="39">
        <f>131/99.8*105.5</f>
        <v>138.48196392785573</v>
      </c>
      <c r="I215" s="39">
        <f>+I$172*(108.7/103.6)</f>
        <v>109.83647723577542</v>
      </c>
      <c r="J215" s="39">
        <v>0.4</v>
      </c>
      <c r="K215" s="39">
        <v>163.90254706533776</v>
      </c>
      <c r="L215" s="39">
        <v>120.23852615706713</v>
      </c>
      <c r="M215" s="42">
        <f t="shared" si="5"/>
        <v>6.7543061058918941E-3</v>
      </c>
      <c r="N215" s="12"/>
      <c r="O215" s="23">
        <v>44470</v>
      </c>
      <c r="P215" s="43">
        <v>0.66881519726972816</v>
      </c>
      <c r="Q215" s="43">
        <v>7.9773302683314479E-2</v>
      </c>
      <c r="R215" s="43">
        <v>8.4947777663078011E-2</v>
      </c>
      <c r="S215" s="43">
        <v>4.1845544033930889E-3</v>
      </c>
      <c r="T215" s="43">
        <v>0.16227916798048619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f>144.1*1.0101</f>
        <v>145.55540999999999</v>
      </c>
      <c r="H216" s="39">
        <f>131/99.8*105.8</f>
        <v>138.87575150300603</v>
      </c>
      <c r="I216" s="39">
        <f>+I$172*(109.3/103.6)</f>
        <v>110.44275033919274</v>
      </c>
      <c r="J216" s="39">
        <v>0.45</v>
      </c>
      <c r="K216" s="39">
        <v>167.94595791805094</v>
      </c>
      <c r="L216" s="39">
        <v>120.86643200403307</v>
      </c>
      <c r="M216" s="42">
        <f t="shared" si="5"/>
        <v>5.2221685264648432E-3</v>
      </c>
      <c r="N216" s="12"/>
      <c r="O216" s="23">
        <v>44501</v>
      </c>
      <c r="P216" s="43">
        <v>0.66534067613145764</v>
      </c>
      <c r="Q216" s="43">
        <v>7.9584542306030112E-2</v>
      </c>
      <c r="R216" s="43">
        <v>8.4972927691467179E-2</v>
      </c>
      <c r="S216" s="43">
        <v>4.6831674143418831E-3</v>
      </c>
      <c r="T216" s="43">
        <v>0.16541868645670324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f>144.1*1.0101</f>
        <v>145.55540999999999</v>
      </c>
      <c r="H217" s="39">
        <f>131/99.8*106.8</f>
        <v>140.18837675350701</v>
      </c>
      <c r="I217" s="39">
        <f>+I$172*(109.8/103.6)</f>
        <v>110.94797792537386</v>
      </c>
      <c r="J217" s="39">
        <v>0.49</v>
      </c>
      <c r="K217" s="39">
        <v>183.25315614617941</v>
      </c>
      <c r="L217" s="39">
        <v>122.87693223945698</v>
      </c>
      <c r="M217" s="42">
        <f t="shared" si="5"/>
        <v>1.6634066234012979E-2</v>
      </c>
      <c r="N217" s="12"/>
      <c r="O217" s="23">
        <v>44531</v>
      </c>
      <c r="P217" s="43">
        <v>0.65445443766814204</v>
      </c>
      <c r="Q217" s="43">
        <v>7.9022297029274019E-2</v>
      </c>
      <c r="R217" s="43">
        <v>8.3964963149440811E-2</v>
      </c>
      <c r="S217" s="43">
        <v>5.0160122817579983E-3</v>
      </c>
      <c r="T217" s="43">
        <v>0.17754228987138509</v>
      </c>
      <c r="U217" s="43">
        <v>0.99999999999999989</v>
      </c>
      <c r="V217" s="12"/>
      <c r="W217" s="12"/>
    </row>
    <row r="218" spans="5:23" ht="13.5" hidden="1" customHeight="1">
      <c r="E218" s="12"/>
      <c r="F218" s="23">
        <v>44562</v>
      </c>
      <c r="G218" s="39">
        <f>144.9*1.0101</f>
        <v>146.36349000000001</v>
      </c>
      <c r="H218" s="39">
        <f>131/99.8*107.1</f>
        <v>140.58216432865731</v>
      </c>
      <c r="I218" s="39">
        <f>+I$172*(109.7/103.6)</f>
        <v>110.84693240813765</v>
      </c>
      <c r="J218" s="39">
        <v>0.42</v>
      </c>
      <c r="K218" s="39">
        <v>184.55282392026578</v>
      </c>
      <c r="L218" s="39">
        <v>123.40793614752445</v>
      </c>
      <c r="M218" s="42">
        <f t="shared" si="5"/>
        <v>4.3214287530606299E-3</v>
      </c>
      <c r="N218" s="12"/>
      <c r="O218" s="23">
        <v>44562</v>
      </c>
      <c r="P218" s="43">
        <v>0.65525612982594539</v>
      </c>
      <c r="Q218" s="43">
        <v>7.8903294806848739E-2</v>
      </c>
      <c r="R218" s="43">
        <v>8.3527534039629245E-2</v>
      </c>
      <c r="S218" s="43">
        <v>4.2809393243633019E-3</v>
      </c>
      <c r="T218" s="43">
        <v>0.17803210200321337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f>144.9*1.0101</f>
        <v>146.36349000000001</v>
      </c>
      <c r="H219" s="39">
        <f>131/99.8*106.6</f>
        <v>139.92585170340681</v>
      </c>
      <c r="I219" s="39">
        <f>+I$172*(110.3/103.6)</f>
        <v>111.45320551155497</v>
      </c>
      <c r="J219" s="39">
        <v>0.54</v>
      </c>
      <c r="K219" s="39">
        <v>178.34330011074198</v>
      </c>
      <c r="L219" s="39">
        <v>122.83057063615094</v>
      </c>
      <c r="M219" s="42">
        <f t="shared" si="5"/>
        <v>-4.6785120098218336E-3</v>
      </c>
      <c r="N219" s="12"/>
      <c r="O219" s="23">
        <v>44593</v>
      </c>
      <c r="P219" s="43">
        <v>0.65833616347325508</v>
      </c>
      <c r="Q219" s="43">
        <v>7.8904085799029883E-2</v>
      </c>
      <c r="R219" s="43">
        <v>8.437915361072143E-2</v>
      </c>
      <c r="S219" s="43">
        <v>5.5299367209725846E-3</v>
      </c>
      <c r="T219" s="43">
        <v>0.17285066039602109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f>144.9*1.0101</f>
        <v>146.36349000000001</v>
      </c>
      <c r="H220" s="39">
        <f>131/99.8*108.1</f>
        <v>141.89478957915833</v>
      </c>
      <c r="I220" s="39">
        <f>+I$172*(113.2/103.6)</f>
        <v>114.38352551140548</v>
      </c>
      <c r="J220" s="39">
        <v>0.7</v>
      </c>
      <c r="K220" s="39">
        <v>184.40841638981175</v>
      </c>
      <c r="L220" s="39">
        <v>124.16274130176751</v>
      </c>
      <c r="M220" s="42">
        <f t="shared" si="5"/>
        <v>1.0845595349082471E-2</v>
      </c>
      <c r="N220" s="12"/>
      <c r="O220" s="23">
        <v>44621</v>
      </c>
      <c r="P220" s="43">
        <v>0.65127272305708295</v>
      </c>
      <c r="Q220" s="43">
        <v>7.9155875833432879E-2</v>
      </c>
      <c r="R220" s="43">
        <v>8.5668518418555328E-2</v>
      </c>
      <c r="S220" s="43">
        <v>7.0915246830294786E-3</v>
      </c>
      <c r="T220" s="43">
        <v>0.17681135800789946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f>145.2*1.0101</f>
        <v>146.66651999999999</v>
      </c>
      <c r="H221" s="39">
        <f>131/99.8*109.2</f>
        <v>143.33867735470943</v>
      </c>
      <c r="I221" s="39">
        <f>+I$172*(113.6/103.6)</f>
        <v>114.78770758035037</v>
      </c>
      <c r="J221" s="39">
        <v>1.04</v>
      </c>
      <c r="K221" s="39">
        <v>192.63964562569214</v>
      </c>
      <c r="L221" s="39">
        <v>125.87533793282554</v>
      </c>
      <c r="M221" s="42">
        <f t="shared" si="5"/>
        <v>1.3793160597958432E-2</v>
      </c>
      <c r="N221" s="12"/>
      <c r="O221" s="23">
        <v>44652</v>
      </c>
      <c r="P221" s="43">
        <v>0.64374187867189703</v>
      </c>
      <c r="Q221" s="43">
        <v>7.8873433347324565E-2</v>
      </c>
      <c r="R221" s="43">
        <v>8.4801552597409458E-2</v>
      </c>
      <c r="S221" s="43">
        <v>1.0392632282958003E-2</v>
      </c>
      <c r="T221" s="43">
        <v>0.18219050310041099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f>145.2*1.0101</f>
        <v>146.66651999999999</v>
      </c>
      <c r="H222" s="39">
        <f>131/99.8*109.9</f>
        <v>144.25751503006015</v>
      </c>
      <c r="I222" s="39">
        <f>+I$172*(113.8/103.6)</f>
        <v>114.98979861482283</v>
      </c>
      <c r="J222" s="39">
        <v>1.24</v>
      </c>
      <c r="K222" s="39">
        <v>225.85337763012183</v>
      </c>
      <c r="L222" s="39">
        <v>130.16336141122974</v>
      </c>
      <c r="M222" s="42">
        <f t="shared" si="5"/>
        <v>3.4065636278113098E-2</v>
      </c>
      <c r="N222" s="12"/>
      <c r="O222" s="23">
        <v>44682</v>
      </c>
      <c r="P222" s="43">
        <v>0.62253483346463512</v>
      </c>
      <c r="Q222" s="43">
        <v>7.676401719019034E-2</v>
      </c>
      <c r="R222" s="43">
        <v>8.2152281368970945E-2</v>
      </c>
      <c r="S222" s="43">
        <v>1.1983006667638118E-2</v>
      </c>
      <c r="T222" s="43">
        <v>0.20656586130856563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f>145.2*1.0101</f>
        <v>146.66651999999999</v>
      </c>
      <c r="H223" s="39">
        <f>131/99.8*111.7</f>
        <v>146.62024048096194</v>
      </c>
      <c r="I223" s="39">
        <f>+I$172*(115.9/103.6)</f>
        <v>117.11175447678353</v>
      </c>
      <c r="J223" s="39">
        <v>1.58</v>
      </c>
      <c r="K223" s="39">
        <v>224.1204872646733</v>
      </c>
      <c r="L223" s="39">
        <v>130.74571637608227</v>
      </c>
      <c r="M223" s="42">
        <f t="shared" si="5"/>
        <v>4.4740313905438089E-3</v>
      </c>
      <c r="N223" s="12"/>
      <c r="O223" s="23">
        <v>44713</v>
      </c>
      <c r="P223" s="43">
        <v>0.61976199882721605</v>
      </c>
      <c r="Q223" s="43">
        <v>7.7673783689984205E-2</v>
      </c>
      <c r="R223" s="43">
        <v>8.3295605348415597E-2</v>
      </c>
      <c r="S223" s="43">
        <v>1.520066154925565E-2</v>
      </c>
      <c r="T223" s="43">
        <v>0.2040679505851285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f>145.9*1.0101</f>
        <v>147.37359000000001</v>
      </c>
      <c r="H224" s="39">
        <f>131/99.8*112.7</f>
        <v>147.93286573146295</v>
      </c>
      <c r="I224" s="39">
        <f>+I$172*(116.1/103.6)</f>
        <v>117.31384551125596</v>
      </c>
      <c r="J224" s="39">
        <v>1.84</v>
      </c>
      <c r="K224" s="39">
        <v>235.38427464008859</v>
      </c>
      <c r="L224" s="39">
        <v>132.91404464500877</v>
      </c>
      <c r="M224" s="42">
        <f t="shared" si="5"/>
        <v>1.6584315945689765E-2</v>
      </c>
      <c r="N224" s="12"/>
      <c r="O224" s="23">
        <v>44743</v>
      </c>
      <c r="P224" s="43">
        <v>0.6125904387729757</v>
      </c>
      <c r="Q224" s="43">
        <v>7.7090666270993549E-2</v>
      </c>
      <c r="R224" s="43">
        <v>8.2078132687589525E-2</v>
      </c>
      <c r="S224" s="43">
        <v>1.7413249404805806E-2</v>
      </c>
      <c r="T224" s="43">
        <v>0.21082751286363544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f>145.9*1.0101</f>
        <v>147.37359000000001</v>
      </c>
      <c r="H225" s="39">
        <f>131/99.8*113.6</f>
        <v>149.11422845691382</v>
      </c>
      <c r="I225" s="39">
        <f>+I$172*(116.6/103.6)</f>
        <v>117.8190730974371</v>
      </c>
      <c r="J225" s="39">
        <v>2.0699999999999998</v>
      </c>
      <c r="K225" s="39">
        <v>260.22236987818383</v>
      </c>
      <c r="L225" s="39">
        <v>136.28907741092229</v>
      </c>
      <c r="M225" s="42">
        <f t="shared" si="5"/>
        <v>2.5392596959393332E-2</v>
      </c>
      <c r="N225" s="12"/>
      <c r="O225" s="23">
        <v>44774</v>
      </c>
      <c r="P225" s="43">
        <v>0.59742038375300943</v>
      </c>
      <c r="Q225" s="43">
        <v>7.5781995478312741E-2</v>
      </c>
      <c r="R225" s="43">
        <v>8.0390294665955334E-2</v>
      </c>
      <c r="S225" s="43">
        <v>1.9104785463145212E-2</v>
      </c>
      <c r="T225" s="43">
        <v>0.22730254063957719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f>145.9*1.0101</f>
        <v>147.37359000000001</v>
      </c>
      <c r="H226" s="39">
        <f>131/99.8*114.9</f>
        <v>150.82064128256513</v>
      </c>
      <c r="I226" s="39">
        <f>+I$172*(117.7/103.6)</f>
        <v>118.93057378703557</v>
      </c>
      <c r="J226" s="39">
        <v>1.9</v>
      </c>
      <c r="K226" s="39">
        <v>248.52535991140641</v>
      </c>
      <c r="L226" s="39">
        <v>134.90429434343835</v>
      </c>
      <c r="M226" s="42">
        <f t="shared" si="5"/>
        <v>-1.0160631312432389E-2</v>
      </c>
      <c r="N226" s="12"/>
      <c r="O226" s="23">
        <v>44805</v>
      </c>
      <c r="P226" s="43">
        <v>0.60355286185993173</v>
      </c>
      <c r="Q226" s="43">
        <v>7.7436017845750979E-2</v>
      </c>
      <c r="R226" s="43">
        <v>8.1981679289876416E-2</v>
      </c>
      <c r="S226" s="43">
        <v>1.7715797103048141E-2</v>
      </c>
      <c r="T226" s="43">
        <v>0.21931364390139285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f>147.2*1.0101</f>
        <v>148.68671999999998</v>
      </c>
      <c r="H227" s="39">
        <f>131/99.8*114.9</f>
        <v>150.82064128256513</v>
      </c>
      <c r="I227" s="39">
        <f>+I$172*(118.4/103.6)</f>
        <v>119.63789240768914</v>
      </c>
      <c r="J227" s="39">
        <v>2.52</v>
      </c>
      <c r="K227" s="39">
        <v>230.76323366555928</v>
      </c>
      <c r="L227" s="39">
        <v>134.360891406886</v>
      </c>
      <c r="M227" s="42">
        <f t="shared" si="5"/>
        <v>-4.0280625549914406E-3</v>
      </c>
      <c r="N227" s="12"/>
      <c r="O227" s="23">
        <v>44835</v>
      </c>
      <c r="P227" s="43">
        <v>0.61139337686629858</v>
      </c>
      <c r="Q227" s="43">
        <v>7.7749196472743504E-2</v>
      </c>
      <c r="R227" s="43">
        <v>8.2802785674864043E-2</v>
      </c>
      <c r="S227" s="43">
        <v>2.3591770548437009E-2</v>
      </c>
      <c r="T227" s="43">
        <v>0.20446287043765674</v>
      </c>
      <c r="U227" s="43">
        <v>0.99999999999999978</v>
      </c>
      <c r="V227" s="12"/>
      <c r="W227" s="12"/>
    </row>
    <row r="228" spans="5:23" ht="13.5" hidden="1" customHeight="1">
      <c r="E228" s="12"/>
      <c r="F228" s="23">
        <v>44866</v>
      </c>
      <c r="G228" s="39">
        <f>147.2*1.0101</f>
        <v>148.68671999999998</v>
      </c>
      <c r="H228" s="39">
        <f>131/99.8*116.4</f>
        <v>152.78957915831666</v>
      </c>
      <c r="I228" s="39">
        <f>+I$172*(118.5/103.6)</f>
        <v>119.73893792492535</v>
      </c>
      <c r="J228" s="39">
        <v>3.22</v>
      </c>
      <c r="K228" s="39">
        <v>232.35171650055372</v>
      </c>
      <c r="L228" s="39">
        <v>135.57627280042649</v>
      </c>
      <c r="M228" s="42">
        <f t="shared" si="5"/>
        <v>9.0456484830838679E-3</v>
      </c>
      <c r="N228" s="12"/>
      <c r="O228" s="23">
        <v>44866</v>
      </c>
      <c r="P228" s="43">
        <v>0.60591250533156471</v>
      </c>
      <c r="Q228" s="43">
        <v>7.8058112788127534E-2</v>
      </c>
      <c r="R228" s="43">
        <v>8.2129803130954915E-2</v>
      </c>
      <c r="S228" s="43">
        <v>2.9874803177182961E-2</v>
      </c>
      <c r="T228" s="43">
        <v>0.20402477557216989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f>147.2*1.0101</f>
        <v>148.68671999999998</v>
      </c>
      <c r="H229" s="39">
        <f>131/99.8*117.6</f>
        <v>154.36472945891785</v>
      </c>
      <c r="I229" s="39">
        <f>+I$172*(120.6/103.6)</f>
        <v>121.86089378688604</v>
      </c>
      <c r="J229" s="39">
        <v>3.06</v>
      </c>
      <c r="K229" s="39">
        <v>252.13554817275747</v>
      </c>
      <c r="L229" s="39">
        <v>138.0366608161998</v>
      </c>
      <c r="M229" s="42">
        <f t="shared" si="5"/>
        <v>1.8147629854045944E-2</v>
      </c>
      <c r="N229" s="12"/>
      <c r="O229" s="23">
        <v>44896</v>
      </c>
      <c r="P229" s="43">
        <v>0.59511262175056456</v>
      </c>
      <c r="Q229" s="43">
        <v>7.7457171522052712E-2</v>
      </c>
      <c r="R229" s="43">
        <v>8.2095430510945575E-2</v>
      </c>
      <c r="S229" s="43">
        <v>2.7884306828449914E-2</v>
      </c>
      <c r="T229" s="43">
        <v>0.21745046938798726</v>
      </c>
      <c r="U229" s="43">
        <v>1</v>
      </c>
      <c r="V229" s="12"/>
      <c r="W229" s="12"/>
    </row>
    <row r="230" spans="5:23" ht="13.5" customHeight="1">
      <c r="E230" s="12"/>
      <c r="F230" s="23">
        <v>44927</v>
      </c>
      <c r="G230" s="39">
        <f>148.2*1.0101</f>
        <v>149.69681999999997</v>
      </c>
      <c r="H230" s="39">
        <f>131/99.8*116.6</f>
        <v>153.05210420841684</v>
      </c>
      <c r="I230" s="39">
        <f>+I$172*(120.9/103.6)</f>
        <v>122.16403033859473</v>
      </c>
      <c r="J230" s="39">
        <v>2.86</v>
      </c>
      <c r="K230" s="39">
        <v>232.92934662236991</v>
      </c>
      <c r="L230" s="39">
        <v>135.99397395594633</v>
      </c>
      <c r="M230" s="42">
        <f t="shared" si="5"/>
        <v>-1.4798147449925469E-2</v>
      </c>
      <c r="N230" s="12"/>
      <c r="O230" s="23">
        <v>44927</v>
      </c>
      <c r="P230" s="43">
        <v>0.60815507487968612</v>
      </c>
      <c r="Q230" s="43">
        <v>7.7952068305154498E-2</v>
      </c>
      <c r="R230" s="43">
        <v>8.3535823432280595E-2</v>
      </c>
      <c r="S230" s="43">
        <v>2.6453262391574223E-2</v>
      </c>
      <c r="T230" s="43">
        <v>0.20390377099130447</v>
      </c>
      <c r="U230" s="43">
        <v>1</v>
      </c>
      <c r="V230" s="12"/>
      <c r="W230" s="12"/>
    </row>
    <row r="231" spans="5:23" ht="13.5" customHeight="1">
      <c r="E231" s="12"/>
      <c r="F231" s="23">
        <v>44958</v>
      </c>
      <c r="G231" s="39">
        <f>148.2*1.0101</f>
        <v>149.69681999999997</v>
      </c>
      <c r="H231" s="39">
        <f>131/99.8*115.9</f>
        <v>152.13326653306615</v>
      </c>
      <c r="I231" s="39">
        <f>+I$172*(121/103.6)</f>
        <v>122.26507585583094</v>
      </c>
      <c r="J231" s="39">
        <v>3.33</v>
      </c>
      <c r="K231" s="39">
        <v>208.95769656699889</v>
      </c>
      <c r="L231" s="39">
        <v>133.67715512445682</v>
      </c>
      <c r="M231" s="42">
        <f t="shared" si="5"/>
        <v>-1.7036187443423167E-2</v>
      </c>
      <c r="N231" s="12"/>
      <c r="O231" s="23">
        <v>44958</v>
      </c>
      <c r="P231" s="43">
        <v>0.61869528370321603</v>
      </c>
      <c r="Q231" s="43">
        <v>7.8827000026330959E-2</v>
      </c>
      <c r="R231" s="43">
        <v>8.5053912807556087E-2</v>
      </c>
      <c r="S231" s="43">
        <v>3.1334293742137559E-2</v>
      </c>
      <c r="T231" s="43">
        <v>0.18608950972075933</v>
      </c>
      <c r="U231" s="43">
        <v>0.99999999999999989</v>
      </c>
      <c r="V231" s="12"/>
      <c r="W231" s="12"/>
    </row>
    <row r="232" spans="5:23" ht="13.5" customHeight="1">
      <c r="E232" s="12"/>
      <c r="F232" s="23">
        <v>44986</v>
      </c>
      <c r="G232" s="39">
        <f>148.2*1.0101</f>
        <v>149.69681999999997</v>
      </c>
      <c r="H232" s="39">
        <f>131/99.8*116.4</f>
        <v>152.78957915831666</v>
      </c>
      <c r="I232" s="39">
        <f>+I$172*(122.7/103.6)</f>
        <v>123.98284964884677</v>
      </c>
      <c r="J232" s="39">
        <v>3.26</v>
      </c>
      <c r="K232" s="39">
        <v>217.7665559246955</v>
      </c>
      <c r="L232" s="39">
        <v>134.84297792753799</v>
      </c>
      <c r="M232" s="42">
        <f t="shared" si="5"/>
        <v>8.7211820299120113E-3</v>
      </c>
      <c r="N232" s="12"/>
      <c r="O232" s="23">
        <v>44986</v>
      </c>
      <c r="P232" s="43">
        <v>0.61334618001991126</v>
      </c>
      <c r="Q232" s="43">
        <v>7.8482603664661324E-2</v>
      </c>
      <c r="R232" s="43">
        <v>8.5503196198074602E-2</v>
      </c>
      <c r="S232" s="43">
        <v>3.0410400258448819E-2</v>
      </c>
      <c r="T232" s="43">
        <v>0.19225761985890399</v>
      </c>
      <c r="U232" s="43">
        <v>0.99999999999999989</v>
      </c>
      <c r="V232" s="12"/>
      <c r="W232" s="12"/>
    </row>
    <row r="233" spans="5:23" ht="13.5" customHeight="1">
      <c r="E233" s="12"/>
      <c r="F233" s="23">
        <v>45017</v>
      </c>
      <c r="G233" s="39">
        <f>149.4*1.0101</f>
        <v>150.90894</v>
      </c>
      <c r="H233" s="39">
        <f>131/99.8*117.5</f>
        <v>154.23346693386776</v>
      </c>
      <c r="I233" s="39">
        <f>+I$172*(122.3/103.6)</f>
        <v>123.57866757990186</v>
      </c>
      <c r="J233" s="39">
        <v>3.58</v>
      </c>
      <c r="K233" s="39">
        <v>208.38006644518276</v>
      </c>
      <c r="L233" s="39">
        <v>134.86015752764487</v>
      </c>
      <c r="M233" s="42">
        <f t="shared" si="5"/>
        <v>1.2740448461556753E-4</v>
      </c>
      <c r="N233" s="12"/>
      <c r="O233" s="23">
        <v>45017</v>
      </c>
      <c r="P233" s="43">
        <v>0.61823378009390728</v>
      </c>
      <c r="Q233" s="43">
        <v>7.9214185511796445E-2</v>
      </c>
      <c r="R233" s="43">
        <v>8.5213600577300222E-2</v>
      </c>
      <c r="S233" s="43">
        <v>3.339121603179912E-2</v>
      </c>
      <c r="T233" s="43">
        <v>0.18394721778519699</v>
      </c>
      <c r="U233" s="43">
        <v>1.0000000000000002</v>
      </c>
      <c r="V233" s="12"/>
      <c r="W233" s="12"/>
    </row>
    <row r="234" spans="5:23" ht="13.5" customHeight="1">
      <c r="E234" s="12"/>
      <c r="F234" s="23">
        <v>45047</v>
      </c>
      <c r="G234" s="39">
        <f>149.4*1.0101</f>
        <v>150.90894</v>
      </c>
      <c r="H234" s="39">
        <f>131/99.8*117.3</f>
        <v>153.97094188376755</v>
      </c>
      <c r="I234" s="39">
        <f>+I$172*(122.9/103.6)</f>
        <v>124.1849406833192</v>
      </c>
      <c r="J234" s="39">
        <v>3.32</v>
      </c>
      <c r="K234" s="39">
        <v>203.75902547065337</v>
      </c>
      <c r="L234" s="39">
        <v>134.02118502417233</v>
      </c>
      <c r="M234" s="42">
        <f t="shared" si="5"/>
        <v>-6.2210553424614234E-3</v>
      </c>
      <c r="N234" s="12"/>
      <c r="O234" s="23">
        <v>45047</v>
      </c>
      <c r="P234" s="43">
        <v>0.62210392302782569</v>
      </c>
      <c r="Q234" s="43">
        <v>7.9574389536756912E-2</v>
      </c>
      <c r="R234" s="43">
        <v>8.6167709946358487E-2</v>
      </c>
      <c r="S234" s="43">
        <v>3.1160003757447808E-2</v>
      </c>
      <c r="T234" s="43">
        <v>0.18099397373161122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f>149.4*1.0101</f>
        <v>150.90894</v>
      </c>
      <c r="H235" s="39">
        <f>131/99.8*117.6</f>
        <v>154.36472945891785</v>
      </c>
      <c r="I235" s="39">
        <f>+I$172*(123/103.6)</f>
        <v>124.28598620055541</v>
      </c>
      <c r="J235" s="39">
        <v>3.35</v>
      </c>
      <c r="K235" s="39">
        <v>195.81661129568107</v>
      </c>
      <c r="L235" s="39">
        <v>133.15006720616856</v>
      </c>
      <c r="M235" s="42">
        <f t="shared" si="5"/>
        <v>-6.4998516305213583E-3</v>
      </c>
      <c r="N235" s="12"/>
      <c r="O235" s="23">
        <v>45078</v>
      </c>
      <c r="P235" s="43">
        <v>0.62617396086836596</v>
      </c>
      <c r="Q235" s="43">
        <v>8.0299841656230608E-2</v>
      </c>
      <c r="R235" s="43">
        <v>8.6802022262699105E-2</v>
      </c>
      <c r="S235" s="43">
        <v>3.1647272633086608E-2</v>
      </c>
      <c r="T235" s="43">
        <v>0.17507690257961783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f>150.8*1.0101</f>
        <v>152.32308</v>
      </c>
      <c r="H236" s="39">
        <f>131/99.8*116</f>
        <v>152.26452905811624</v>
      </c>
      <c r="I236" s="39">
        <f>+I$172*(122.7/103.6)</f>
        <v>123.98284964884677</v>
      </c>
      <c r="J236" s="39">
        <v>3.45</v>
      </c>
      <c r="K236" s="39">
        <v>184.69723145071984</v>
      </c>
      <c r="L236" s="39">
        <v>132.55975256527307</v>
      </c>
      <c r="M236" s="42">
        <f t="shared" si="5"/>
        <v>-4.4334535707101219E-3</v>
      </c>
      <c r="N236" s="12"/>
      <c r="O236" s="23">
        <v>45108</v>
      </c>
      <c r="P236" s="43">
        <v>0.63485632827065097</v>
      </c>
      <c r="Q236" s="43">
        <v>7.9560052603063827E-2</v>
      </c>
      <c r="R236" s="43">
        <v>8.6975913688385462E-2</v>
      </c>
      <c r="S236" s="43">
        <v>3.2737105777053882E-2</v>
      </c>
      <c r="T236" s="43">
        <v>0.16587059966084602</v>
      </c>
      <c r="U236" s="43">
        <v>1.0000000000000002</v>
      </c>
      <c r="V236" s="12"/>
      <c r="W236" s="12"/>
    </row>
    <row r="237" spans="5:23" ht="13.5" customHeight="1">
      <c r="E237" s="12"/>
      <c r="F237" s="23">
        <v>45139</v>
      </c>
      <c r="G237" s="39">
        <f>150.8*1.0101</f>
        <v>152.32308</v>
      </c>
      <c r="H237" s="39">
        <f>131/99.8*116.4</f>
        <v>152.78957915831666</v>
      </c>
      <c r="I237" s="39">
        <f>+I$172*(123.3/103.6)</f>
        <v>124.58912275226409</v>
      </c>
      <c r="J237" s="39">
        <v>3.69</v>
      </c>
      <c r="K237" s="39">
        <v>189.17386489479514</v>
      </c>
      <c r="L237" s="39">
        <v>133.48731801757702</v>
      </c>
      <c r="M237" s="42">
        <f t="shared" si="5"/>
        <v>6.9973384406192274E-3</v>
      </c>
      <c r="N237" s="12"/>
      <c r="O237" s="23">
        <v>45139</v>
      </c>
      <c r="P237" s="43">
        <v>0.63044489199321474</v>
      </c>
      <c r="Q237" s="43">
        <v>7.9279651062104176E-2</v>
      </c>
      <c r="R237" s="43">
        <v>8.6793897504352846E-2</v>
      </c>
      <c r="S237" s="43">
        <v>3.4771164054334294E-2</v>
      </c>
      <c r="T237" s="43">
        <v>0.16871039538599386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f>150.8*1.0101</f>
        <v>152.32308</v>
      </c>
      <c r="H238" s="39">
        <f>131/99.8*118.5</f>
        <v>155.54609218436875</v>
      </c>
      <c r="I238" s="39">
        <f>+I$172*(124.6/103.6)</f>
        <v>125.90271447633499</v>
      </c>
      <c r="J238" s="39">
        <v>3.67</v>
      </c>
      <c r="K238" s="39">
        <v>191.19557032115173</v>
      </c>
      <c r="L238" s="39">
        <v>134.01592181249461</v>
      </c>
      <c r="M238" s="42">
        <f t="shared" si="5"/>
        <v>3.9599551685349788E-3</v>
      </c>
      <c r="N238" s="12"/>
      <c r="O238" s="23">
        <v>45170</v>
      </c>
      <c r="P238" s="43">
        <v>0.62795820565112259</v>
      </c>
      <c r="Q238" s="43">
        <v>8.039160688598837E-2</v>
      </c>
      <c r="R238" s="43">
        <v>8.7363045680231871E-2</v>
      </c>
      <c r="S238" s="43">
        <v>3.4446296670008564E-2</v>
      </c>
      <c r="T238" s="43">
        <v>0.16984084511264866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f>151.6*1.0101</f>
        <v>153.13115999999999</v>
      </c>
      <c r="H239" s="39">
        <f>131/99.8*117.7</f>
        <v>154.49599198396794</v>
      </c>
      <c r="I239" s="39">
        <f>+I$172*(124.3/103.6)</f>
        <v>125.59957792462635</v>
      </c>
      <c r="J239" s="39">
        <v>3.67</v>
      </c>
      <c r="K239" s="39">
        <v>209.39091915836102</v>
      </c>
      <c r="L239" s="39">
        <v>136.52756409472568</v>
      </c>
      <c r="M239" s="42">
        <f t="shared" si="5"/>
        <v>1.8741372280714375E-2</v>
      </c>
      <c r="N239" s="12"/>
      <c r="O239" s="23">
        <v>45200</v>
      </c>
      <c r="P239" s="43">
        <v>0.61967597085398851</v>
      </c>
      <c r="Q239" s="43">
        <v>7.8379931267022779E-2</v>
      </c>
      <c r="R239" s="43">
        <v>8.5549388333339221E-2</v>
      </c>
      <c r="S239" s="43">
        <v>3.3812602106157406E-2</v>
      </c>
      <c r="T239" s="43">
        <v>0.18258210743949219</v>
      </c>
      <c r="U239" s="43">
        <v>1.0000000000000002</v>
      </c>
      <c r="V239" s="12"/>
      <c r="W239" s="12"/>
    </row>
    <row r="240" spans="5:23" ht="13.5" customHeight="1">
      <c r="E240" s="12"/>
      <c r="F240" s="23">
        <v>45231</v>
      </c>
      <c r="G240" s="39">
        <f>151.6*1.0101</f>
        <v>153.13115999999999</v>
      </c>
      <c r="H240" s="39">
        <f>131/99.8*117.4</f>
        <v>154.10220440881764</v>
      </c>
      <c r="I240" s="39">
        <f>+I$172*(124/103.6)</f>
        <v>125.29644137291767</v>
      </c>
      <c r="J240" s="39">
        <v>3.81</v>
      </c>
      <c r="K240" s="39">
        <v>217.04451827242528</v>
      </c>
      <c r="L240" s="39">
        <v>137.55934264521147</v>
      </c>
      <c r="M240" s="42">
        <f t="shared" si="5"/>
        <v>7.5572911399044429E-3</v>
      </c>
      <c r="N240" s="12"/>
      <c r="O240" s="23">
        <v>45231</v>
      </c>
      <c r="P240" s="43">
        <v>0.61502802500978926</v>
      </c>
      <c r="Q240" s="43">
        <v>7.7593753755042863E-2</v>
      </c>
      <c r="R240" s="43">
        <v>8.4702789898882538E-2</v>
      </c>
      <c r="S240" s="43">
        <v>3.4839166413794344E-2</v>
      </c>
      <c r="T240" s="43">
        <v>0.18783626492249114</v>
      </c>
      <c r="U240" s="43">
        <v>1.0000000000000002</v>
      </c>
      <c r="V240" s="12"/>
      <c r="W240" s="12"/>
    </row>
    <row r="241" spans="5:23" ht="13.5" customHeight="1">
      <c r="E241" s="12"/>
      <c r="F241" s="23">
        <v>45261</v>
      </c>
      <c r="G241" s="44">
        <f>151.6*1.0101</f>
        <v>153.13115999999999</v>
      </c>
      <c r="H241" s="44">
        <f>131/99.8*117.7</f>
        <v>154.49599198396794</v>
      </c>
      <c r="I241" s="44">
        <f>+I$172*(123.9/103.6)</f>
        <v>125.19539585568144</v>
      </c>
      <c r="J241" s="44">
        <v>3.78</v>
      </c>
      <c r="K241" s="44">
        <v>215.60044296788485</v>
      </c>
      <c r="L241" s="45">
        <v>137.3675718992248</v>
      </c>
      <c r="M241" s="42">
        <f t="shared" si="5"/>
        <v>-1.3940946670650822E-3</v>
      </c>
      <c r="N241" s="12"/>
      <c r="O241" s="23">
        <v>45261</v>
      </c>
      <c r="P241" s="46">
        <v>0.61588662927517834</v>
      </c>
      <c r="Q241" s="46">
        <v>7.7900635076006863E-2</v>
      </c>
      <c r="R241" s="46">
        <v>8.4752634392978171E-2</v>
      </c>
      <c r="S241" s="46">
        <v>3.4613096201629133E-2</v>
      </c>
      <c r="T241" s="46">
        <v>0.18684700505420754</v>
      </c>
      <c r="U241" s="46">
        <v>1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155.05035000000001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M483*LOOKUP($F242,_xlfn._xlws.FILTER($F$468:$F$477,G$468:G$477&lt;&gt;""),_xlfn._xlws.FILTER(G$468:G$477,G$468:G$477&lt;&gt;"")))</f>
        <v>147.80000000000001</v>
      </c>
      <c r="L242" s="50">
        <f>IF(V483="","",V483)</f>
        <v>137.83784397696471</v>
      </c>
      <c r="M242" s="42">
        <f t="shared" si="5"/>
        <v>3.4234577436142999E-3</v>
      </c>
      <c r="N242" s="12"/>
      <c r="O242" s="23">
        <v>45292</v>
      </c>
      <c r="P242" s="51">
        <f t="shared" ref="P242:P305" si="6">IFERROR((G242*Q$480)/$L242*(100/Q$481),"")</f>
        <v>0.70434164450426395</v>
      </c>
      <c r="Q242" s="51">
        <f t="shared" ref="Q242:Q305" si="7">IFERROR((H242*R$480)/$L242*(100/R$481),"")</f>
        <v>8.7042392604513699E-2</v>
      </c>
      <c r="R242" s="51">
        <f t="shared" ref="R242:R305" si="8">IFERROR((I242*S$480)/$L242*(100/S$481),"")</f>
        <v>9.3545327236087439E-2</v>
      </c>
      <c r="S242" s="51">
        <f t="shared" ref="S242:S305" si="9">IFERROR((J242*T$480)/$L242*(100/T$481),"")</f>
        <v>3.7369587680776806E-2</v>
      </c>
      <c r="T242" s="51">
        <f t="shared" ref="T242:T305" si="10">IFERROR((K242*U$480)/$L242*(100/U$481),"")</f>
        <v>7.7701047974358187E-2</v>
      </c>
      <c r="U242" s="52">
        <f>IF(P242="","",SUM(P242:T242))</f>
        <v>1.0000000000000002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155.05035000000001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11">IF(J484="","",J484)</f>
        <v>3.18</v>
      </c>
      <c r="K243" s="49" cm="1">
        <f t="array" ref="K243">IF(M484="","",
M484*LOOKUP($F243,_xlfn._xlws.FILTER($F$468:$F$477,G$468:G$477&lt;&gt;""),_xlfn._xlws.FILTER(G$468:G$477,G$468:G$477&lt;&gt;"")))</f>
        <v>150.30000000000001</v>
      </c>
      <c r="L243" s="50">
        <f t="shared" ref="L243:L306" si="12">IF(V484="","",V484)</f>
        <v>137.45247606417558</v>
      </c>
      <c r="M243" s="42">
        <f t="shared" si="5"/>
        <v>-2.7958063015953716E-3</v>
      </c>
      <c r="N243" s="12"/>
      <c r="O243" s="23">
        <v>45323</v>
      </c>
      <c r="P243" s="51">
        <f t="shared" si="6"/>
        <v>0.70631636825755839</v>
      </c>
      <c r="Q243" s="51">
        <f t="shared" si="7"/>
        <v>8.6839950656097648E-2</v>
      </c>
      <c r="R243" s="51">
        <f t="shared" si="8"/>
        <v>9.3655679967842242E-2</v>
      </c>
      <c r="S243" s="51">
        <f t="shared" si="9"/>
        <v>3.395112842119944E-2</v>
      </c>
      <c r="T243" s="51">
        <f t="shared" si="10"/>
        <v>7.923687269730241E-2</v>
      </c>
      <c r="U243" s="42">
        <f t="shared" ref="U243:U306" si="13">IF(P243="","",SUM(P243:T243))</f>
        <v>1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155.05035000000001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11"/>
        <v>3.23</v>
      </c>
      <c r="K244" s="49" cm="1">
        <f t="array" ref="K244">IF(M485="","",
M485*LOOKUP($F244,_xlfn._xlws.FILTER($F$468:$F$477,G$468:G$477&lt;&gt;""),_xlfn._xlws.FILTER(G$468:G$477,G$468:G$477&lt;&gt;"")))</f>
        <v>166.1</v>
      </c>
      <c r="L244" s="50">
        <f t="shared" si="12"/>
        <v>138.67888404177921</v>
      </c>
      <c r="M244" s="42">
        <f t="shared" si="5"/>
        <v>8.9224145880866246E-3</v>
      </c>
      <c r="N244" s="12"/>
      <c r="O244" s="23">
        <v>45352</v>
      </c>
      <c r="P244" s="51">
        <f t="shared" si="6"/>
        <v>0.70007005300395342</v>
      </c>
      <c r="Q244" s="51">
        <f t="shared" si="7"/>
        <v>8.6883284776785211E-2</v>
      </c>
      <c r="R244" s="51">
        <f t="shared" si="8"/>
        <v>9.2074576752197573E-2</v>
      </c>
      <c r="S244" s="51">
        <f t="shared" si="9"/>
        <v>3.4179983214266144E-2</v>
      </c>
      <c r="T244" s="51">
        <f t="shared" si="10"/>
        <v>8.6792102252797654E-2</v>
      </c>
      <c r="U244" s="42">
        <f t="shared" si="13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156.36348000000001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11"/>
        <v>3.38</v>
      </c>
      <c r="K245" s="49" cm="1">
        <f t="array" ref="K245">IF(M486="","",
M486*LOOKUP($F245,_xlfn._xlws.FILTER($F$468:$F$477,G$468:G$477&lt;&gt;""),_xlfn._xlws.FILTER(G$468:G$477,G$468:G$477&lt;&gt;"")))</f>
        <v>162</v>
      </c>
      <c r="L245" s="50">
        <f t="shared" ref="L245:L264" si="14">IF(V486="","",V486)</f>
        <v>139.51681721738859</v>
      </c>
      <c r="M245" s="42">
        <f t="shared" si="5"/>
        <v>6.0422549647640711E-3</v>
      </c>
      <c r="N245" s="12"/>
      <c r="O245" s="23">
        <v>45383</v>
      </c>
      <c r="P245" s="51">
        <f t="shared" si="6"/>
        <v>0.70175877957896027</v>
      </c>
      <c r="Q245" s="51">
        <f t="shared" si="7"/>
        <v>8.6801338422810168E-2</v>
      </c>
      <c r="R245" s="51">
        <f t="shared" si="8"/>
        <v>9.1746081044848979E-2</v>
      </c>
      <c r="S245" s="51">
        <f t="shared" si="9"/>
        <v>3.5552471836825195E-2</v>
      </c>
      <c r="T245" s="51">
        <f t="shared" si="10"/>
        <v>8.4141329116555488E-2</v>
      </c>
      <c r="U245" s="42">
        <f t="shared" si="13"/>
        <v>1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156.36348000000001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11"/>
        <v>3.39</v>
      </c>
      <c r="K246" s="49" cm="1">
        <f t="array" ref="K246">IF(M487="","",
M487*LOOKUP($F246,_xlfn._xlws.FILTER($F$468:$F$477,G$468:G$477&lt;&gt;""),_xlfn._xlws.FILTER(G$468:G$477,G$468:G$477&lt;&gt;"")))</f>
        <v>161.1</v>
      </c>
      <c r="L246" s="50">
        <f t="shared" si="14"/>
        <v>139.42451265591916</v>
      </c>
      <c r="M246" s="42">
        <f t="shared" si="5"/>
        <v>-6.616016858068674E-4</v>
      </c>
      <c r="N246" s="12"/>
      <c r="O246" s="23">
        <v>45413</v>
      </c>
      <c r="P246" s="51">
        <f t="shared" si="6"/>
        <v>0.70222337174552008</v>
      </c>
      <c r="Q246" s="51">
        <f t="shared" si="7"/>
        <v>8.6858804354198071E-2</v>
      </c>
      <c r="R246" s="51">
        <f t="shared" si="8"/>
        <v>9.1507287735377002E-2</v>
      </c>
      <c r="S246" s="51">
        <f t="shared" si="9"/>
        <v>3.5681263448794243E-2</v>
      </c>
      <c r="T246" s="51">
        <f t="shared" si="10"/>
        <v>8.3729272716110525E-2</v>
      </c>
      <c r="U246" s="42">
        <f t="shared" si="13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156.36348000000001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11"/>
        <v>3.43</v>
      </c>
      <c r="K247" s="49" cm="1">
        <f t="array" ref="K247">IF(M488="","",
M488*LOOKUP($F247,_xlfn._xlws.FILTER($F$468:$F$477,G$468:G$477&lt;&gt;""),_xlfn._xlws.FILTER(G$468:G$477,G$468:G$477&lt;&gt;"")))</f>
        <v>127.9</v>
      </c>
      <c r="L247" s="50">
        <f t="shared" si="14"/>
        <v>137.13984679103868</v>
      </c>
      <c r="M247" s="42">
        <f t="shared" si="5"/>
        <v>-1.6386400220158803E-2</v>
      </c>
      <c r="N247" s="12"/>
      <c r="O247" s="23">
        <v>45444</v>
      </c>
      <c r="P247" s="51">
        <f t="shared" si="6"/>
        <v>0.71392198308634236</v>
      </c>
      <c r="Q247" s="51">
        <f t="shared" si="7"/>
        <v>8.8380401460803601E-2</v>
      </c>
      <c r="R247" s="51">
        <f t="shared" si="8"/>
        <v>9.3412396724560254E-2</v>
      </c>
      <c r="S247" s="51">
        <f t="shared" si="9"/>
        <v>3.6703723204597589E-2</v>
      </c>
      <c r="T247" s="51">
        <f t="shared" si="10"/>
        <v>6.7581495523696369E-2</v>
      </c>
      <c r="U247" s="42">
        <f t="shared" si="13"/>
        <v>1.0000000000000002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157.67660999999998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11"/>
        <v>3.49</v>
      </c>
      <c r="K248" s="49" cm="1">
        <f t="array" ref="K248">IF(M489="","",
M489*LOOKUP($F248,_xlfn._xlws.FILTER($F$468:$F$477,G$468:G$477&lt;&gt;""),_xlfn._xlws.FILTER(G$468:G$477,G$468:G$477&lt;&gt;"")))</f>
        <v>127.9</v>
      </c>
      <c r="L248" s="50">
        <f t="shared" si="14"/>
        <v>138.1023175632821</v>
      </c>
      <c r="M248" s="42">
        <f t="shared" si="5"/>
        <v>7.0181700998248608E-3</v>
      </c>
      <c r="N248" s="12"/>
      <c r="O248" s="23">
        <v>45474</v>
      </c>
      <c r="P248" s="51">
        <f t="shared" si="6"/>
        <v>0.71490016100224463</v>
      </c>
      <c r="Q248" s="51">
        <f t="shared" si="7"/>
        <v>8.7764455582804962E-2</v>
      </c>
      <c r="R248" s="51">
        <f t="shared" si="8"/>
        <v>9.3139382309901264E-2</v>
      </c>
      <c r="S248" s="51">
        <f t="shared" si="9"/>
        <v>3.7085498504091104E-2</v>
      </c>
      <c r="T248" s="51">
        <f t="shared" si="10"/>
        <v>6.7110502600958105E-2</v>
      </c>
      <c r="U248" s="42">
        <f t="shared" si="13"/>
        <v>1.0000000000000002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157.67660999999998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11"/>
        <v>3.4</v>
      </c>
      <c r="K249" s="49" cm="1">
        <f t="array" ref="K249">IF(M490="","",
M490*LOOKUP($F249,_xlfn._xlws.FILTER($F$468:$F$477,G$468:G$477&lt;&gt;""),_xlfn._xlws.FILTER(G$468:G$477,G$468:G$477&lt;&gt;"")))</f>
        <v>129.6</v>
      </c>
      <c r="L249" s="50">
        <f t="shared" si="14"/>
        <v>138.09343049738109</v>
      </c>
      <c r="M249" s="42">
        <f t="shared" si="5"/>
        <v>-6.4351316167665651E-5</v>
      </c>
      <c r="N249" s="12"/>
      <c r="O249" s="23">
        <v>45505</v>
      </c>
      <c r="P249" s="51">
        <f t="shared" si="6"/>
        <v>0.71494616872919148</v>
      </c>
      <c r="Q249" s="51">
        <f t="shared" si="7"/>
        <v>8.7770103704498531E-2</v>
      </c>
      <c r="R249" s="51">
        <f t="shared" si="8"/>
        <v>9.3145376337463517E-2</v>
      </c>
      <c r="S249" s="51">
        <f t="shared" si="9"/>
        <v>3.6131464051080434E-2</v>
      </c>
      <c r="T249" s="51">
        <f t="shared" si="10"/>
        <v>6.8006887177766151E-2</v>
      </c>
      <c r="U249" s="42">
        <f t="shared" si="13"/>
        <v>1.0000000000000002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157.67660999999998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11"/>
        <v>3.12</v>
      </c>
      <c r="K250" s="49" cm="1">
        <f t="array" ref="K250">IF(M491="","",
M491*LOOKUP($F250,_xlfn._xlws.FILTER($F$468:$F$477,G$468:G$477&lt;&gt;""),_xlfn._xlws.FILTER(G$468:G$477,G$468:G$477&lt;&gt;"")))</f>
        <v>130.4</v>
      </c>
      <c r="L250" s="50">
        <f t="shared" si="14"/>
        <v>137.89434838882423</v>
      </c>
      <c r="M250" s="42">
        <f t="shared" si="5"/>
        <v>-1.4416479324166342E-3</v>
      </c>
      <c r="N250" s="12"/>
      <c r="O250" s="23">
        <v>45536</v>
      </c>
      <c r="P250" s="51">
        <f t="shared" si="6"/>
        <v>0.7159783574478612</v>
      </c>
      <c r="Q250" s="51">
        <f t="shared" si="7"/>
        <v>8.8861088884378256E-2</v>
      </c>
      <c r="R250" s="51">
        <f t="shared" si="8"/>
        <v>9.3431281377606423E-2</v>
      </c>
      <c r="S250" s="51">
        <f t="shared" si="9"/>
        <v>3.3203799906946274E-2</v>
      </c>
      <c r="T250" s="51">
        <f t="shared" si="10"/>
        <v>6.8525472383208025E-2</v>
      </c>
      <c r="U250" s="42">
        <f t="shared" si="13"/>
        <v>1.0000000000000002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160.50489000000002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11"/>
        <v>3.05</v>
      </c>
      <c r="K251" s="49" cm="1">
        <f t="array" ref="K251">IF(M492="","",
M492*LOOKUP($F251,_xlfn._xlws.FILTER($F$468:$F$477,G$468:G$477&lt;&gt;""),_xlfn._xlws.FILTER(G$468:G$477,G$468:G$477&lt;&gt;"")))</f>
        <v>153.4</v>
      </c>
      <c r="L251" s="50">
        <f t="shared" si="14"/>
        <v>141.19895994311693</v>
      </c>
      <c r="M251" s="42">
        <f t="shared" si="5"/>
        <v>2.39648077887471E-2</v>
      </c>
      <c r="N251" s="12"/>
      <c r="O251" s="23">
        <v>45566</v>
      </c>
      <c r="P251" s="51">
        <f t="shared" si="6"/>
        <v>0.71176373740997201</v>
      </c>
      <c r="Q251" s="51">
        <f t="shared" si="7"/>
        <v>8.641919678602808E-2</v>
      </c>
      <c r="R251" s="51">
        <f t="shared" si="8"/>
        <v>9.1392505873871974E-2</v>
      </c>
      <c r="S251" s="51">
        <f t="shared" si="9"/>
        <v>3.1699178146411947E-2</v>
      </c>
      <c r="T251" s="51">
        <f t="shared" si="10"/>
        <v>7.8725381783716047E-2</v>
      </c>
      <c r="U251" s="42">
        <f t="shared" si="13"/>
        <v>1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160.50489000000002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11"/>
        <v>2.82</v>
      </c>
      <c r="K252" s="49" cm="1">
        <f t="array" ref="K252">IF(M493="","",
M493*LOOKUP($F252,_xlfn._xlws.FILTER($F$468:$F$477,G$468:G$477&lt;&gt;""),_xlfn._xlws.FILTER(G$468:G$477,G$468:G$477&lt;&gt;"")))</f>
        <v>136.4</v>
      </c>
      <c r="L252" s="50">
        <f t="shared" si="14"/>
        <v>139.57819612923038</v>
      </c>
      <c r="M252" s="42">
        <f t="shared" si="5"/>
        <v>-1.1478581814904909E-2</v>
      </c>
      <c r="N252" s="12"/>
      <c r="O252" s="23">
        <v>45597</v>
      </c>
      <c r="P252" s="51">
        <f t="shared" si="6"/>
        <v>0.72002864512208098</v>
      </c>
      <c r="Q252" s="51">
        <f t="shared" si="7"/>
        <v>8.7129566420432319E-2</v>
      </c>
      <c r="R252" s="51">
        <f t="shared" si="8"/>
        <v>9.2378942971893405E-2</v>
      </c>
      <c r="S252" s="51">
        <f t="shared" si="9"/>
        <v>2.9649077682897214E-2</v>
      </c>
      <c r="T252" s="51">
        <f t="shared" si="10"/>
        <v>7.0813767802696076E-2</v>
      </c>
      <c r="U252" s="42">
        <f t="shared" si="13"/>
        <v>1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160.50489000000002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11"/>
        <v>2.9</v>
      </c>
      <c r="K253" s="49" cm="1">
        <f t="array" ref="K253">IF(M494="","",
M494*LOOKUP($F253,_xlfn._xlws.FILTER($F$468:$F$477,G$468:G$477&lt;&gt;""),_xlfn._xlws.FILTER(G$468:G$477,G$468:G$477&lt;&gt;"")))</f>
        <v>162.80000000000001</v>
      </c>
      <c r="L253" s="50">
        <f t="shared" si="14"/>
        <v>141.61759443385085</v>
      </c>
      <c r="M253" s="42">
        <f t="shared" si="5"/>
        <v>1.4611152466337041E-2</v>
      </c>
      <c r="N253" s="12"/>
      <c r="O253" s="23">
        <v>45627</v>
      </c>
      <c r="P253" s="51">
        <f t="shared" si="6"/>
        <v>0.70965969905990189</v>
      </c>
      <c r="Q253" s="51">
        <f t="shared" si="7"/>
        <v>8.6380407041416848E-2</v>
      </c>
      <c r="R253" s="51">
        <f t="shared" si="8"/>
        <v>9.060627627361266E-2</v>
      </c>
      <c r="S253" s="51">
        <f t="shared" si="9"/>
        <v>3.0051104992814163E-2</v>
      </c>
      <c r="T253" s="51">
        <f t="shared" si="10"/>
        <v>8.3302512632254549E-2</v>
      </c>
      <c r="U253" s="42">
        <f t="shared" si="13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161.11095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11"/>
        <v>2.67</v>
      </c>
      <c r="K254" s="49" cm="1">
        <f t="array" ref="K254">IF(M495="","",
M495*LOOKUP($F254,_xlfn._xlws.FILTER($F$468:$F$477,G$468:G$477&lt;&gt;""),_xlfn._xlws.FILTER(G$468:G$477,G$468:G$477&lt;&gt;"")))</f>
        <v>172.2</v>
      </c>
      <c r="L254" s="50">
        <f t="shared" si="14"/>
        <v>142.3311214036741</v>
      </c>
      <c r="M254" s="42">
        <f t="shared" si="5"/>
        <v>5.0384062282355924E-3</v>
      </c>
      <c r="N254" s="12"/>
      <c r="O254" s="23">
        <v>45658</v>
      </c>
      <c r="P254" s="51">
        <f t="shared" si="6"/>
        <v>0.708768282969368</v>
      </c>
      <c r="Q254" s="51">
        <f t="shared" si="7"/>
        <v>8.5659919885144625E-2</v>
      </c>
      <c r="R254" s="51">
        <f t="shared" si="8"/>
        <v>9.0372115574984063E-2</v>
      </c>
      <c r="S254" s="51">
        <f t="shared" si="9"/>
        <v>2.752903901176983E-2</v>
      </c>
      <c r="T254" s="51">
        <f t="shared" si="10"/>
        <v>8.7670642558733497E-2</v>
      </c>
      <c r="U254" s="42">
        <f t="shared" si="13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161.11095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11"/>
        <v>2.82</v>
      </c>
      <c r="K255" s="49" cm="1">
        <f t="array" ref="K255">IF(M496="","",
M496*LOOKUP($F255,_xlfn._xlws.FILTER($F$468:$F$477,G$468:G$477&lt;&gt;""),_xlfn._xlws.FILTER(G$468:G$477,G$468:G$477&lt;&gt;"")))</f>
        <v>163.69999999999999</v>
      </c>
      <c r="L255" s="50">
        <f t="shared" si="14"/>
        <v>141.93594208166851</v>
      </c>
      <c r="M255" s="42">
        <f t="shared" si="5"/>
        <v>-2.7764786654409512E-3</v>
      </c>
      <c r="N255" s="12"/>
      <c r="O255" s="23">
        <v>45689</v>
      </c>
      <c r="P255" s="51">
        <f t="shared" si="6"/>
        <v>0.71074164197495193</v>
      </c>
      <c r="Q255" s="51">
        <f t="shared" si="7"/>
        <v>8.568222771571396E-2</v>
      </c>
      <c r="R255" s="51">
        <f t="shared" si="8"/>
        <v>9.0844405097355821E-2</v>
      </c>
      <c r="S255" s="51">
        <f t="shared" si="9"/>
        <v>2.915656682289142E-2</v>
      </c>
      <c r="T255" s="51">
        <f t="shared" si="10"/>
        <v>8.3575158389086884E-2</v>
      </c>
      <c r="U255" s="42">
        <f t="shared" si="13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161.11095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11"/>
        <v>2.73</v>
      </c>
      <c r="K256" s="49" cm="1">
        <f t="array" ref="K256">IF(M497="","",
M497*LOOKUP($F256,_xlfn._xlws.FILTER($F$468:$F$477,G$468:G$477&lt;&gt;""),_xlfn._xlws.FILTER(G$468:G$477,G$468:G$477&lt;&gt;"")))</f>
        <v>167.2</v>
      </c>
      <c r="L256" s="50">
        <f t="shared" si="14"/>
        <v>142.04977417943354</v>
      </c>
      <c r="M256" s="42">
        <f t="shared" si="5"/>
        <v>8.0199628153043712E-4</v>
      </c>
      <c r="N256" s="12"/>
      <c r="O256" s="23">
        <v>45717</v>
      </c>
      <c r="P256" s="51">
        <f t="shared" si="6"/>
        <v>0.71017208660225006</v>
      </c>
      <c r="Q256" s="51">
        <f t="shared" si="7"/>
        <v>8.6117598722613528E-2</v>
      </c>
      <c r="R256" s="51">
        <f t="shared" si="8"/>
        <v>9.0213257532360203E-2</v>
      </c>
      <c r="S256" s="51">
        <f t="shared" si="9"/>
        <v>2.8203419057290874E-2</v>
      </c>
      <c r="T256" s="51">
        <f t="shared" si="10"/>
        <v>8.5293638085485207E-2</v>
      </c>
      <c r="U256" s="42">
        <f t="shared" si="13"/>
        <v>0.99999999999999978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161.91903000000002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11"/>
        <v>2.69</v>
      </c>
      <c r="K257" s="49" cm="1">
        <f t="array" ref="K257">IF(M498="","",
M498*LOOKUP($F257,_xlfn._xlws.FILTER($F$468:$F$477,G$468:G$477&lt;&gt;""),_xlfn._xlws.FILTER(G$468:G$477,G$468:G$477&lt;&gt;"")))</f>
        <v>182.6</v>
      </c>
      <c r="L257" s="50">
        <f t="shared" si="14"/>
        <v>143.71307413376968</v>
      </c>
      <c r="M257" s="42">
        <f t="shared" si="5"/>
        <v>1.1709275596841762E-2</v>
      </c>
      <c r="N257" s="12"/>
      <c r="O257" s="23">
        <v>45748</v>
      </c>
      <c r="P257" s="51">
        <f t="shared" si="6"/>
        <v>0.70547349468367115</v>
      </c>
      <c r="Q257" s="51">
        <f t="shared" si="7"/>
        <v>8.5974950507174561E-2</v>
      </c>
      <c r="R257" s="51">
        <f t="shared" si="8"/>
        <v>8.9011469399021839E-2</v>
      </c>
      <c r="S257" s="51">
        <f t="shared" si="9"/>
        <v>2.7468545379928596E-2</v>
      </c>
      <c r="T257" s="51">
        <f t="shared" si="10"/>
        <v>9.207154003020375E-2</v>
      </c>
      <c r="U257" s="42">
        <f t="shared" si="13"/>
        <v>0.99999999999999989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161.91903000000002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11"/>
        <v>2.75</v>
      </c>
      <c r="K258" s="49" cm="1">
        <f t="array" ref="K258">IF(M499="","",
M499*LOOKUP($F258,_xlfn._xlws.FILTER($F$468:$F$477,G$468:G$477&lt;&gt;""),_xlfn._xlws.FILTER(G$468:G$477,G$468:G$477&lt;&gt;"")))</f>
        <v>154.4</v>
      </c>
      <c r="L258" s="50">
        <f t="shared" si="14"/>
        <v>141.68494621515157</v>
      </c>
      <c r="M258" s="42">
        <f t="shared" si="5"/>
        <v>-1.4112341071559786E-2</v>
      </c>
      <c r="N258" s="12"/>
      <c r="O258" s="23">
        <v>45778</v>
      </c>
      <c r="P258" s="51">
        <f t="shared" si="6"/>
        <v>0.71557188924593018</v>
      </c>
      <c r="Q258" s="51">
        <f t="shared" si="7"/>
        <v>8.6772485518569517E-2</v>
      </c>
      <c r="R258" s="51">
        <f t="shared" si="8"/>
        <v>9.0205641191455771E-2</v>
      </c>
      <c r="S258" s="51">
        <f t="shared" si="9"/>
        <v>2.8483191198518016E-2</v>
      </c>
      <c r="T258" s="51">
        <f t="shared" si="10"/>
        <v>7.8966792845526573E-2</v>
      </c>
      <c r="U258" s="42">
        <f t="shared" si="13"/>
        <v>1.0000000000000002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161.91903000000002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11"/>
        <v>2.61</v>
      </c>
      <c r="K259" s="49" cm="1">
        <f t="array" ref="K259">IF(M500="","",
M500*LOOKUP($F259,_xlfn._xlws.FILTER($F$468:$F$477,G$468:G$477&lt;&gt;""),_xlfn._xlws.FILTER(G$468:G$477,G$468:G$477&lt;&gt;"")))</f>
        <v>124.5</v>
      </c>
      <c r="L259" s="50">
        <f t="shared" si="14"/>
        <v>139.52700570312655</v>
      </c>
      <c r="M259" s="42">
        <f t="shared" si="5"/>
        <v>-1.5230556030618403E-2</v>
      </c>
      <c r="N259" s="12"/>
      <c r="O259" s="23">
        <v>45809</v>
      </c>
      <c r="P259" s="51">
        <f t="shared" si="6"/>
        <v>0.7266390053306514</v>
      </c>
      <c r="Q259" s="51">
        <f t="shared" si="7"/>
        <v>8.818782521958056E-2</v>
      </c>
      <c r="R259" s="51">
        <f t="shared" si="8"/>
        <v>9.3062486324916302E-2</v>
      </c>
      <c r="S259" s="51">
        <f t="shared" si="9"/>
        <v>2.7451235407393648E-2</v>
      </c>
      <c r="T259" s="51">
        <f t="shared" si="10"/>
        <v>6.465944771745806E-2</v>
      </c>
      <c r="U259" s="42">
        <f t="shared" si="13"/>
        <v>1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163.03014000000002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11"/>
        <v>2.67</v>
      </c>
      <c r="K260" s="49" cm="1">
        <f t="array" ref="K260">IF(M501="","",
M501*LOOKUP($F260,_xlfn._xlws.FILTER($F$468:$F$477,G$468:G$477&lt;&gt;""),_xlfn._xlws.FILTER(G$468:G$477,G$468:G$477&lt;&gt;"")))</f>
        <v>123.7</v>
      </c>
      <c r="L260" s="50">
        <f t="shared" si="14"/>
        <v>140.2970273436863</v>
      </c>
      <c r="M260" s="42">
        <f t="shared" si="5"/>
        <v>5.5188000106454194E-3</v>
      </c>
      <c r="N260" s="12"/>
      <c r="O260" s="23">
        <v>45839</v>
      </c>
      <c r="P260" s="51">
        <f t="shared" si="6"/>
        <v>0.72760976640473074</v>
      </c>
      <c r="Q260" s="51">
        <f t="shared" si="7"/>
        <v>8.7776709701028049E-2</v>
      </c>
      <c r="R260" s="51">
        <f t="shared" si="8"/>
        <v>9.279399390451723E-2</v>
      </c>
      <c r="S260" s="51">
        <f t="shared" si="9"/>
        <v>2.7928168314729603E-2</v>
      </c>
      <c r="T260" s="51">
        <f t="shared" si="10"/>
        <v>6.3891361674994318E-2</v>
      </c>
      <c r="U260" s="42">
        <f t="shared" si="13"/>
        <v>0.99999999999999989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163.03014000000002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11"/>
        <v>2.75</v>
      </c>
      <c r="K261" s="49" cm="1">
        <f t="array" ref="K261">IF(M502="","",
M502*LOOKUP($F261,_xlfn._xlws.FILTER($F$468:$F$477,G$468:G$477&lt;&gt;""),_xlfn._xlws.FILTER(G$468:G$477,G$468:G$477&lt;&gt;"")))</f>
        <v>116</v>
      </c>
      <c r="L261" s="50">
        <f t="shared" si="14"/>
        <v>139.83048909468272</v>
      </c>
      <c r="M261" s="42">
        <f t="shared" si="5"/>
        <v>-3.3253608992063199E-3</v>
      </c>
      <c r="N261" s="12"/>
      <c r="O261" s="23">
        <v>45870</v>
      </c>
      <c r="P261" s="51">
        <f t="shared" si="6"/>
        <v>0.73003740424376107</v>
      </c>
      <c r="Q261" s="51">
        <f t="shared" si="7"/>
        <v>8.8289015272056376E-2</v>
      </c>
      <c r="R261" s="51">
        <f t="shared" si="8"/>
        <v>9.2698446412937466E-2</v>
      </c>
      <c r="S261" s="51">
        <f t="shared" si="9"/>
        <v>2.8860940408105641E-2</v>
      </c>
      <c r="T261" s="51">
        <f t="shared" si="10"/>
        <v>6.0114193663139526E-2</v>
      </c>
      <c r="U261" s="42">
        <f t="shared" si="13"/>
        <v>1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163.03014000000002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11"/>
        <v>2.69</v>
      </c>
      <c r="K262" s="49" cm="1">
        <f t="array" ref="K262">IF(M503="","",
M503*LOOKUP($F262,_xlfn._xlws.FILTER($F$468:$F$477,G$468:G$477&lt;&gt;""),_xlfn._xlws.FILTER(G$468:G$477,G$468:G$477&lt;&gt;"")))</f>
        <v>132.19999999999999</v>
      </c>
      <c r="L262" s="50">
        <f t="shared" si="14"/>
        <v>141.14578222032011</v>
      </c>
      <c r="M262" s="42">
        <f t="shared" si="5"/>
        <v>9.4063400203570069E-3</v>
      </c>
      <c r="N262" s="12"/>
      <c r="O262" s="23">
        <v>45901</v>
      </c>
      <c r="P262" s="51">
        <f t="shared" si="6"/>
        <v>0.72323441541791611</v>
      </c>
      <c r="Q262" s="51">
        <f t="shared" si="7"/>
        <v>8.8770662975357198E-2</v>
      </c>
      <c r="R262" s="51">
        <f t="shared" si="8"/>
        <v>9.2155718828816499E-2</v>
      </c>
      <c r="S262" s="51">
        <f t="shared" si="9"/>
        <v>2.7968169054960103E-2</v>
      </c>
      <c r="T262" s="51">
        <f t="shared" si="10"/>
        <v>6.7871033722950225E-2</v>
      </c>
      <c r="U262" s="42">
        <f t="shared" si="13"/>
        <v>1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164.54528999999999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11"/>
        <v>2.73</v>
      </c>
      <c r="K263" s="49" cm="1">
        <f t="array" ref="K263">IF(M504="","",
M504*LOOKUP($F263,_xlfn._xlws.FILTER($F$468:$F$477,G$468:G$477&lt;&gt;""),_xlfn._xlws.FILTER(G$468:G$477,G$468:G$477&lt;&gt;"")))</f>
        <v>123.7</v>
      </c>
      <c r="L263" s="50">
        <f t="shared" si="14"/>
        <v>141.28546991877801</v>
      </c>
      <c r="M263" s="42">
        <f t="shared" si="5"/>
        <v>9.8966966111557753E-4</v>
      </c>
      <c r="N263" s="12"/>
      <c r="O263" s="23">
        <v>45931</v>
      </c>
      <c r="P263" s="51">
        <f t="shared" si="6"/>
        <v>0.72923422386767645</v>
      </c>
      <c r="Q263" s="51">
        <f t="shared" si="7"/>
        <v>8.8103742595664961E-2</v>
      </c>
      <c r="R263" s="51">
        <f t="shared" si="8"/>
        <v>9.086167054409959E-2</v>
      </c>
      <c r="S263" s="51">
        <f t="shared" si="9"/>
        <v>2.8355989547115008E-2</v>
      </c>
      <c r="T263" s="51">
        <f t="shared" si="10"/>
        <v>6.3444373445444235E-2</v>
      </c>
      <c r="U263" s="42">
        <f t="shared" si="13"/>
        <v>1.0000000000000002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164.54528999999999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11"/>
        <v>2.76</v>
      </c>
      <c r="K264" s="49" cm="1">
        <f t="array" ref="K264">IF(M505="","",
M505*LOOKUP($F264,_xlfn._xlws.FILTER($F$468:$F$477,G$468:G$477&lt;&gt;""),_xlfn._xlws.FILTER(G$468:G$477,G$468:G$477&lt;&gt;"")))</f>
        <v>116</v>
      </c>
      <c r="L264" s="50">
        <f t="shared" si="14"/>
        <v>140.76129581281276</v>
      </c>
      <c r="M264" s="42">
        <f t="shared" si="5"/>
        <v>-3.7100354782878542E-3</v>
      </c>
      <c r="N264" s="12"/>
      <c r="O264" s="23">
        <v>45962</v>
      </c>
      <c r="P264" s="51">
        <f t="shared" si="6"/>
        <v>0.73194978353290863</v>
      </c>
      <c r="Q264" s="51">
        <f t="shared" si="7"/>
        <v>8.8359164028058435E-2</v>
      </c>
      <c r="R264" s="51">
        <f t="shared" si="8"/>
        <v>9.1200025875719279E-2</v>
      </c>
      <c r="S264" s="51">
        <f t="shared" si="9"/>
        <v>2.8774347678604751E-2</v>
      </c>
      <c r="T264" s="51">
        <f t="shared" si="10"/>
        <v>5.9716678884709017E-2</v>
      </c>
      <c r="U264" s="42">
        <f t="shared" si="13"/>
        <v>1.0000000000000002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164.54528999999999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11"/>
        <v>2.68</v>
      </c>
      <c r="K265" s="49" cm="1">
        <f t="array" ref="K265">IF(M506="","",
M506*LOOKUP($F265,_xlfn._xlws.FILTER($F$468:$F$477,G$468:G$477&lt;&gt;""),_xlfn._xlws.FILTER(G$468:G$477,G$468:G$477&lt;&gt;"")))</f>
        <v>146.69999999999999</v>
      </c>
      <c r="L265" s="50">
        <f t="shared" si="12"/>
        <v>143.08963151795189</v>
      </c>
      <c r="M265" s="42">
        <f t="shared" si="5"/>
        <v>1.6541022101951963E-2</v>
      </c>
      <c r="N265" s="12"/>
      <c r="O265" s="23">
        <v>45992</v>
      </c>
      <c r="P265" s="51">
        <f t="shared" si="6"/>
        <v>0.72003959271552076</v>
      </c>
      <c r="Q265" s="51">
        <f t="shared" si="7"/>
        <v>8.7278802360222521E-2</v>
      </c>
      <c r="R265" s="51">
        <f t="shared" si="8"/>
        <v>9.0903798424676857E-2</v>
      </c>
      <c r="S265" s="51">
        <f t="shared" si="9"/>
        <v>2.7485667580520495E-2</v>
      </c>
      <c r="T265" s="51">
        <f t="shared" si="10"/>
        <v>7.429213891905935E-2</v>
      </c>
      <c r="U265" s="42">
        <f t="shared" si="13"/>
        <v>1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165.65639999999999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11"/>
        <v>2.69</v>
      </c>
      <c r="K266" s="49" cm="1">
        <f t="array" ref="K266">IF(M507="","",
M507*LOOKUP($F266,_xlfn._xlws.FILTER($F$468:$F$477,G$468:G$477&lt;&gt;""),_xlfn._xlws.FILTER(G$468:G$477,G$468:G$477&lt;&gt;"")))</f>
        <v>145.9</v>
      </c>
      <c r="L266" s="50">
        <f t="shared" si="12"/>
        <v>143.61050137312111</v>
      </c>
      <c r="M266" s="42">
        <f t="shared" si="5"/>
        <v>3.6401649067345776E-3</v>
      </c>
      <c r="N266" s="12"/>
      <c r="O266" s="23">
        <v>46023</v>
      </c>
      <c r="P266" s="51">
        <f t="shared" si="6"/>
        <v>0.72227254734275026</v>
      </c>
      <c r="Q266" s="51">
        <f t="shared" si="7"/>
        <v>8.6677356845168502E-2</v>
      </c>
      <c r="R266" s="51">
        <f t="shared" si="8"/>
        <v>8.9942915433097598E-2</v>
      </c>
      <c r="S266" s="51">
        <f t="shared" si="9"/>
        <v>2.7488164589552413E-2</v>
      </c>
      <c r="T266" s="51">
        <f t="shared" si="10"/>
        <v>7.3619015789431252E-2</v>
      </c>
      <c r="U266" s="42">
        <f t="shared" si="13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165.65639999999999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11"/>
        <v>2.79</v>
      </c>
      <c r="K267" s="49" cm="1">
        <f t="array" ref="K267">IF(M508="","",
M508*LOOKUP($F267,_xlfn._xlws.FILTER($F$468:$F$477,G$468:G$477&lt;&gt;""),_xlfn._xlws.FILTER(G$468:G$477,G$468:G$477&lt;&gt;"")))</f>
        <v>140.80000000000001</v>
      </c>
      <c r="L267" s="50">
        <f t="shared" si="12"/>
        <v>143.22324063648554</v>
      </c>
      <c r="M267" s="42">
        <f t="shared" si="5"/>
        <v>-2.6966045862441002E-3</v>
      </c>
      <c r="N267" s="12"/>
      <c r="O267" s="23">
        <v>46054</v>
      </c>
      <c r="P267" s="51">
        <f t="shared" si="6"/>
        <v>0.72422549713981232</v>
      </c>
      <c r="Q267" s="51">
        <f t="shared" si="7"/>
        <v>8.6554649759457924E-2</v>
      </c>
      <c r="R267" s="51">
        <f t="shared" si="8"/>
        <v>8.9395005472446332E-2</v>
      </c>
      <c r="S267" s="51">
        <f t="shared" si="9"/>
        <v>2.8587117596601104E-2</v>
      </c>
      <c r="T267" s="51">
        <f t="shared" si="10"/>
        <v>7.1237730031682378E-2</v>
      </c>
      <c r="U267" s="42">
        <f t="shared" si="13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165.65639999999999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11"/>
        <v>2.76</v>
      </c>
      <c r="K268" s="49" cm="1">
        <f t="array" ref="K268">IF(M509="","",
M509*LOOKUP($F268,_xlfn._xlws.FILTER($F$468:$F$477,G$468:G$477&lt;&gt;""),_xlfn._xlws.FILTER(G$468:G$477,G$468:G$477&lt;&gt;"")))</f>
        <v>154.4447086801427</v>
      </c>
      <c r="L268" s="50">
        <f t="shared" si="12"/>
        <v>143.97273696213838</v>
      </c>
      <c r="M268" s="42">
        <f t="shared" si="5"/>
        <v>5.2330635888566679E-3</v>
      </c>
      <c r="N268" s="12"/>
      <c r="O268" s="23">
        <v>46082</v>
      </c>
      <c r="P268" s="51">
        <f t="shared" si="6"/>
        <v>0.72045530869647434</v>
      </c>
      <c r="Q268" s="51">
        <f t="shared" si="7"/>
        <v>8.5613758880163066E-2</v>
      </c>
      <c r="R268" s="51">
        <f t="shared" si="8"/>
        <v>8.8063944384167564E-2</v>
      </c>
      <c r="S268" s="51">
        <f t="shared" si="9"/>
        <v>2.8132510021490722E-2</v>
      </c>
      <c r="T268" s="51">
        <f t="shared" si="10"/>
        <v>7.7734478017704375E-2</v>
      </c>
      <c r="U268" s="42">
        <f t="shared" si="13"/>
        <v>1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166.76750999999999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11"/>
        <v>2.67</v>
      </c>
      <c r="K269" s="49" cm="1">
        <f t="array" ref="K269">IF(M510="","",
M510*LOOKUP($F269,_xlfn._xlws.FILTER($F$468:$F$477,G$468:G$477&lt;&gt;""),_xlfn._xlws.FILTER(G$468:G$477,G$468:G$477&lt;&gt;"")))</f>
        <v>168.10336900515259</v>
      </c>
      <c r="L269" s="50">
        <f t="shared" si="12"/>
        <v>145.70787549394657</v>
      </c>
      <c r="M269" s="42">
        <f t="shared" si="5"/>
        <v>1.2051854874888468E-2</v>
      </c>
      <c r="N269" s="12"/>
      <c r="O269" s="23">
        <v>46113</v>
      </c>
      <c r="P269" s="51">
        <f t="shared" si="6"/>
        <v>0.71665066112507836</v>
      </c>
      <c r="Q269" s="51">
        <f t="shared" si="7"/>
        <v>8.5452677849276404E-2</v>
      </c>
      <c r="R269" s="51">
        <f t="shared" si="8"/>
        <v>8.7404057312693864E-2</v>
      </c>
      <c r="S269" s="51">
        <f t="shared" si="9"/>
        <v>2.6891058430630093E-2</v>
      </c>
      <c r="T269" s="51">
        <f t="shared" si="10"/>
        <v>8.3601545282321332E-2</v>
      </c>
      <c r="U269" s="42">
        <f t="shared" si="13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166.76750999999999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11"/>
        <v>3.11</v>
      </c>
      <c r="K270" s="49" cm="1">
        <f t="array" ref="K270">IF(M511="","",
M511*LOOKUP($F270,_xlfn._xlws.FILTER($F$468:$F$477,G$468:G$477&lt;&gt;""),_xlfn._xlws.FILTER(G$468:G$477,G$468:G$477&lt;&gt;"")))</f>
        <v>160.41601268331354</v>
      </c>
      <c r="L270" s="50">
        <f t="shared" si="12"/>
        <v>145.99551793251391</v>
      </c>
      <c r="M270" s="42">
        <f t="shared" si="5"/>
        <v>1.9741035794547113E-3</v>
      </c>
      <c r="N270" s="12"/>
      <c r="O270" s="23">
        <v>46143</v>
      </c>
      <c r="P270" s="51">
        <f t="shared" si="6"/>
        <v>0.71523870583572358</v>
      </c>
      <c r="Q270" s="51">
        <f t="shared" si="7"/>
        <v>8.5250387269894784E-2</v>
      </c>
      <c r="R270" s="51">
        <f t="shared" si="8"/>
        <v>8.8628803976393611E-2</v>
      </c>
      <c r="S270" s="51">
        <f t="shared" si="9"/>
        <v>3.1260831595529039E-2</v>
      </c>
      <c r="T270" s="51">
        <f t="shared" si="10"/>
        <v>7.9621271322459192E-2</v>
      </c>
      <c r="U270" s="42">
        <f t="shared" si="13"/>
        <v>1.0000000000000002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166.76750999999999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11"/>
        <v>3.11</v>
      </c>
      <c r="K271" s="49" cm="1">
        <f t="array" ref="K271">IF(M512="","",
M512*LOOKUP($F271,_xlfn._xlws.FILTER($F$468:$F$477,G$468:G$477&lt;&gt;""),_xlfn._xlws.FILTER(G$468:G$477,G$468:G$477&lt;&gt;"")))</f>
        <v>134.82869599682917</v>
      </c>
      <c r="L271" s="50">
        <f t="shared" si="12"/>
        <v>143.92181619744144</v>
      </c>
      <c r="M271" s="42">
        <f t="shared" si="5"/>
        <v>-1.4203872587588817E-2</v>
      </c>
      <c r="N271" s="12"/>
      <c r="O271" s="23">
        <v>46174</v>
      </c>
      <c r="P271" s="51">
        <f t="shared" si="6"/>
        <v>0.72554424383176841</v>
      </c>
      <c r="Q271" s="51">
        <f t="shared" si="7"/>
        <v>8.6685236336418156E-2</v>
      </c>
      <c r="R271" s="51">
        <f t="shared" si="8"/>
        <v>8.8173828790790804E-2</v>
      </c>
      <c r="S271" s="51">
        <f t="shared" si="9"/>
        <v>3.1711254209919375E-2</v>
      </c>
      <c r="T271" s="51">
        <f t="shared" si="10"/>
        <v>6.7885436831103291E-2</v>
      </c>
      <c r="U271" s="42">
        <f t="shared" si="13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167.54017799999997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11"/>
        <v>2.92</v>
      </c>
      <c r="K272" s="49" cm="1">
        <f t="array" ref="K272">IF(M513="","",
M513*LOOKUP($F272,_xlfn._xlws.FILTER($F$468:$F$477,G$468:G$477&lt;&gt;""),_xlfn._xlws.FILTER(G$468:G$477,G$468:G$477&lt;&gt;"")))</f>
        <v>145.0692033293698</v>
      </c>
      <c r="L272" s="50">
        <f t="shared" si="12"/>
        <v>144.96335242959299</v>
      </c>
      <c r="M272" s="42">
        <f t="shared" si="5"/>
        <v>7.2368196821717135E-3</v>
      </c>
      <c r="N272" s="12"/>
      <c r="O272" s="23">
        <v>46204</v>
      </c>
      <c r="P272" s="51">
        <f t="shared" si="6"/>
        <v>0.72366877832552523</v>
      </c>
      <c r="Q272" s="51">
        <f t="shared" si="7"/>
        <v>8.6557913494486091E-2</v>
      </c>
      <c r="R272" s="51">
        <f t="shared" si="8"/>
        <v>8.7696637305575378E-2</v>
      </c>
      <c r="S272" s="51">
        <f t="shared" si="9"/>
        <v>2.9559990384910972E-2</v>
      </c>
      <c r="T272" s="51">
        <f t="shared" si="10"/>
        <v>7.2516680489502203E-2</v>
      </c>
      <c r="U272" s="42">
        <f t="shared" si="13"/>
        <v>0.99999999999999989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167.54017799999997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11"/>
        <v>2.89</v>
      </c>
      <c r="K273" s="49" cm="1">
        <f t="array" ref="K273">IF(M514="","",
M514*LOOKUP($F273,_xlfn._xlws.FILTER($F$468:$F$477,G$468:G$477&lt;&gt;""),_xlfn._xlws.FILTER(G$468:G$477,G$468:G$477&lt;&gt;"")))</f>
        <v>140.80000000000001</v>
      </c>
      <c r="L273" s="50">
        <f t="shared" si="12"/>
        <v>144.7869831596625</v>
      </c>
      <c r="M273" s="42">
        <f t="shared" si="5"/>
        <v>-1.2166472903291092E-3</v>
      </c>
      <c r="N273" s="12"/>
      <c r="O273" s="23">
        <v>46235</v>
      </c>
      <c r="P273" s="51">
        <f t="shared" si="6"/>
        <v>0.72455030048531788</v>
      </c>
      <c r="Q273" s="51">
        <f t="shared" si="7"/>
        <v>8.6868634545881895E-2</v>
      </c>
      <c r="R273" s="51">
        <f t="shared" si="8"/>
        <v>8.8820793829320996E-2</v>
      </c>
      <c r="S273" s="51">
        <f t="shared" si="9"/>
        <v>2.9291929800579534E-2</v>
      </c>
      <c r="T273" s="51">
        <f t="shared" si="10"/>
        <v>7.0468341338899829E-2</v>
      </c>
      <c r="U273" s="42">
        <f t="shared" si="13"/>
        <v>1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167.54017799999997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11"/>
        <v>3.12</v>
      </c>
      <c r="K274" s="49" cm="1">
        <f t="array" ref="K274">IF(M515="","",
M515*LOOKUP($F274,_xlfn._xlws.FILTER($F$468:$F$477,G$468:G$477&lt;&gt;""),_xlfn._xlws.FILTER(G$468:G$477,G$468:G$477&lt;&gt;"")))</f>
        <v>141.65105033690051</v>
      </c>
      <c r="L274" s="50">
        <f t="shared" si="12"/>
        <v>145.55855416228485</v>
      </c>
      <c r="M274" s="42">
        <f t="shared" si="5"/>
        <v>5.329008076447872E-3</v>
      </c>
      <c r="N274" s="12"/>
      <c r="O274" s="23">
        <v>46266</v>
      </c>
      <c r="P274" s="51">
        <f t="shared" si="6"/>
        <v>0.72070963303012658</v>
      </c>
      <c r="Q274" s="51">
        <f t="shared" si="7"/>
        <v>8.7565265014252228E-2</v>
      </c>
      <c r="R274" s="51">
        <f t="shared" si="8"/>
        <v>8.975112108847666E-2</v>
      </c>
      <c r="S274" s="51">
        <f t="shared" si="9"/>
        <v>3.1455494859453662E-2</v>
      </c>
      <c r="T274" s="51">
        <f t="shared" si="10"/>
        <v>7.0518486007690825E-2</v>
      </c>
      <c r="U274" s="42">
        <f t="shared" si="13"/>
        <v>1</v>
      </c>
      <c r="V274" s="12"/>
      <c r="W274" s="12"/>
    </row>
    <row r="275" spans="5:23" ht="13.5" customHeight="1">
      <c r="E275" s="12"/>
      <c r="F275" s="23">
        <v>46296</v>
      </c>
      <c r="G275" s="47" t="str" cm="1">
        <f t="array" ref="G275">IF(G516="","",
G516*LOOKUP($F275,_xlfn._xlws.FILTER($F$454:$F$463,G$454:G$463&lt;&gt;""),_xlfn._xlws.FILTER(G$454:G$463,G$454:G$463&lt;&gt;"")))</f>
        <v/>
      </c>
      <c r="H275" s="47" t="str" cm="1">
        <f t="array" ref="H275">IF(H516="","",
H516*LOOKUP($F275,_xlfn._xlws.FILTER($F$454:$F$463,H$454:H$463&lt;&gt;""),_xlfn._xlws.FILTER(H$454:H$463,H$454:H$463&lt;&gt;"")))</f>
        <v/>
      </c>
      <c r="I275" s="47" t="str" cm="1">
        <f t="array" ref="I275">IF(I516="","",
I516*LOOKUP($F275,_xlfn._xlws.FILTER($F$454:$F$463,I$454:I$463&lt;&gt;""),_xlfn._xlws.FILTER(I$454:I$463,I$454:I$463&lt;&gt;"")))</f>
        <v/>
      </c>
      <c r="J275" s="48" t="str">
        <f t="shared" si="11"/>
        <v/>
      </c>
      <c r="K275" s="49" t="str" cm="1">
        <f t="array" ref="K275">IF(M516="","",
M516*LOOKUP($F275,_xlfn._xlws.FILTER($F$468:$F$477,G$468:G$477&lt;&gt;""),_xlfn._xlws.FILTER(G$468:G$477,G$468:G$477&lt;&gt;"")))</f>
        <v/>
      </c>
      <c r="L275" s="50" t="str">
        <f t="shared" si="12"/>
        <v/>
      </c>
      <c r="M275" s="42" t="str">
        <f t="shared" si="5"/>
        <v/>
      </c>
      <c r="N275" s="12"/>
      <c r="O275" s="23">
        <v>46296</v>
      </c>
      <c r="P275" s="51" t="str">
        <f t="shared" si="6"/>
        <v/>
      </c>
      <c r="Q275" s="51" t="str">
        <f t="shared" si="7"/>
        <v/>
      </c>
      <c r="R275" s="51" t="str">
        <f t="shared" si="8"/>
        <v/>
      </c>
      <c r="S275" s="51" t="str">
        <f t="shared" si="9"/>
        <v/>
      </c>
      <c r="T275" s="51" t="str">
        <f t="shared" si="10"/>
        <v/>
      </c>
      <c r="U275" s="42" t="str">
        <f t="shared" si="13"/>
        <v/>
      </c>
      <c r="V275" s="12"/>
      <c r="W275" s="12"/>
    </row>
    <row r="276" spans="5:23" ht="13.5" customHeight="1">
      <c r="E276" s="12"/>
      <c r="F276" s="23">
        <v>46327</v>
      </c>
      <c r="G276" s="47" t="str" cm="1">
        <f t="array" ref="G276">IF(G517="","",
G517*LOOKUP($F276,_xlfn._xlws.FILTER($F$454:$F$463,G$454:G$463&lt;&gt;""),_xlfn._xlws.FILTER(G$454:G$463,G$454:G$463&lt;&gt;"")))</f>
        <v/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11"/>
        <v/>
      </c>
      <c r="K276" s="49" t="str" cm="1">
        <f t="array" ref="K276">IF(M517="","",
M517*LOOKUP($F276,_xlfn._xlws.FILTER($F$468:$F$477,G$468:G$477&lt;&gt;""),_xlfn._xlws.FILTER(G$468:G$477,G$468:G$477&lt;&gt;"")))</f>
        <v/>
      </c>
      <c r="L276" s="50" t="str">
        <f t="shared" si="12"/>
        <v/>
      </c>
      <c r="M276" s="42" t="str">
        <f t="shared" si="5"/>
        <v/>
      </c>
      <c r="N276" s="12"/>
      <c r="O276" s="23">
        <v>46327</v>
      </c>
      <c r="P276" s="51" t="str">
        <f t="shared" si="6"/>
        <v/>
      </c>
      <c r="Q276" s="51" t="str">
        <f t="shared" si="7"/>
        <v/>
      </c>
      <c r="R276" s="51" t="str">
        <f t="shared" si="8"/>
        <v/>
      </c>
      <c r="S276" s="51" t="str">
        <f t="shared" si="9"/>
        <v/>
      </c>
      <c r="T276" s="51" t="str">
        <f t="shared" si="10"/>
        <v/>
      </c>
      <c r="U276" s="42" t="str">
        <f t="shared" si="13"/>
        <v/>
      </c>
      <c r="V276" s="12"/>
      <c r="W276" s="12"/>
    </row>
    <row r="277" spans="5:23" ht="13.5" customHeight="1">
      <c r="E277" s="12"/>
      <c r="F277" s="23">
        <v>46357</v>
      </c>
      <c r="G277" s="47" t="str" cm="1">
        <f t="array" ref="G277">IF(G518="","",
G518*LOOKUP($F277,_xlfn._xlws.FILTER($F$454:$F$463,G$454:G$463&lt;&gt;""),_xlfn._xlws.FILTER(G$454:G$463,G$454:G$463&lt;&gt;"")))</f>
        <v/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11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2"/>
        <v/>
      </c>
      <c r="M277" s="42" t="str">
        <f t="shared" si="5"/>
        <v/>
      </c>
      <c r="N277" s="12"/>
      <c r="O277" s="23">
        <v>46357</v>
      </c>
      <c r="P277" s="51" t="str">
        <f t="shared" si="6"/>
        <v/>
      </c>
      <c r="Q277" s="51" t="str">
        <f t="shared" si="7"/>
        <v/>
      </c>
      <c r="R277" s="51" t="str">
        <f t="shared" si="8"/>
        <v/>
      </c>
      <c r="S277" s="51" t="str">
        <f t="shared" si="9"/>
        <v/>
      </c>
      <c r="T277" s="51" t="str">
        <f t="shared" si="10"/>
        <v/>
      </c>
      <c r="U277" s="42" t="str">
        <f t="shared" si="13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11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2"/>
        <v/>
      </c>
      <c r="M278" s="42" t="str">
        <f t="shared" ref="M278:M341" si="15">IF(L278="","",L278/L277-1)</f>
        <v/>
      </c>
      <c r="N278" s="12"/>
      <c r="O278" s="23">
        <v>46388</v>
      </c>
      <c r="P278" s="51" t="str">
        <f t="shared" si="6"/>
        <v/>
      </c>
      <c r="Q278" s="51" t="str">
        <f t="shared" si="7"/>
        <v/>
      </c>
      <c r="R278" s="51" t="str">
        <f t="shared" si="8"/>
        <v/>
      </c>
      <c r="S278" s="51" t="str">
        <f t="shared" si="9"/>
        <v/>
      </c>
      <c r="T278" s="51" t="str">
        <f t="shared" si="10"/>
        <v/>
      </c>
      <c r="U278" s="42" t="str">
        <f t="shared" si="13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11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2"/>
        <v/>
      </c>
      <c r="M279" s="42" t="str">
        <f t="shared" si="15"/>
        <v/>
      </c>
      <c r="N279" s="12"/>
      <c r="O279" s="23">
        <v>46419</v>
      </c>
      <c r="P279" s="51" t="str">
        <f t="shared" si="6"/>
        <v/>
      </c>
      <c r="Q279" s="51" t="str">
        <f t="shared" si="7"/>
        <v/>
      </c>
      <c r="R279" s="51" t="str">
        <f t="shared" si="8"/>
        <v/>
      </c>
      <c r="S279" s="51" t="str">
        <f t="shared" si="9"/>
        <v/>
      </c>
      <c r="T279" s="51" t="str">
        <f t="shared" si="10"/>
        <v/>
      </c>
      <c r="U279" s="42" t="str">
        <f t="shared" si="13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11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2"/>
        <v/>
      </c>
      <c r="M280" s="42" t="str">
        <f t="shared" si="15"/>
        <v/>
      </c>
      <c r="N280" s="12"/>
      <c r="O280" s="23">
        <v>46447</v>
      </c>
      <c r="P280" s="51" t="str">
        <f t="shared" si="6"/>
        <v/>
      </c>
      <c r="Q280" s="51" t="str">
        <f t="shared" si="7"/>
        <v/>
      </c>
      <c r="R280" s="51" t="str">
        <f t="shared" si="8"/>
        <v/>
      </c>
      <c r="S280" s="51" t="str">
        <f t="shared" si="9"/>
        <v/>
      </c>
      <c r="T280" s="51" t="str">
        <f t="shared" si="10"/>
        <v/>
      </c>
      <c r="U280" s="42" t="str">
        <f t="shared" si="13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11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2"/>
        <v/>
      </c>
      <c r="M281" s="42" t="str">
        <f t="shared" si="15"/>
        <v/>
      </c>
      <c r="N281" s="12"/>
      <c r="O281" s="23">
        <v>46478</v>
      </c>
      <c r="P281" s="51" t="str">
        <f t="shared" si="6"/>
        <v/>
      </c>
      <c r="Q281" s="51" t="str">
        <f t="shared" si="7"/>
        <v/>
      </c>
      <c r="R281" s="51" t="str">
        <f t="shared" si="8"/>
        <v/>
      </c>
      <c r="S281" s="51" t="str">
        <f t="shared" si="9"/>
        <v/>
      </c>
      <c r="T281" s="51" t="str">
        <f t="shared" si="10"/>
        <v/>
      </c>
      <c r="U281" s="42" t="str">
        <f t="shared" si="13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11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2"/>
        <v/>
      </c>
      <c r="M282" s="42" t="str">
        <f t="shared" si="15"/>
        <v/>
      </c>
      <c r="N282" s="12"/>
      <c r="O282" s="23">
        <v>46508</v>
      </c>
      <c r="P282" s="51" t="str">
        <f t="shared" si="6"/>
        <v/>
      </c>
      <c r="Q282" s="51" t="str">
        <f t="shared" si="7"/>
        <v/>
      </c>
      <c r="R282" s="51" t="str">
        <f t="shared" si="8"/>
        <v/>
      </c>
      <c r="S282" s="51" t="str">
        <f t="shared" si="9"/>
        <v/>
      </c>
      <c r="T282" s="51" t="str">
        <f t="shared" si="10"/>
        <v/>
      </c>
      <c r="U282" s="42" t="str">
        <f t="shared" si="13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11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2"/>
        <v/>
      </c>
      <c r="M283" s="42" t="str">
        <f t="shared" si="15"/>
        <v/>
      </c>
      <c r="N283" s="12"/>
      <c r="O283" s="23">
        <v>46539</v>
      </c>
      <c r="P283" s="51" t="str">
        <f t="shared" si="6"/>
        <v/>
      </c>
      <c r="Q283" s="51" t="str">
        <f t="shared" si="7"/>
        <v/>
      </c>
      <c r="R283" s="51" t="str">
        <f t="shared" si="8"/>
        <v/>
      </c>
      <c r="S283" s="51" t="str">
        <f t="shared" si="9"/>
        <v/>
      </c>
      <c r="T283" s="51" t="str">
        <f t="shared" si="10"/>
        <v/>
      </c>
      <c r="U283" s="42" t="str">
        <f t="shared" si="13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11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2"/>
        <v/>
      </c>
      <c r="M284" s="42" t="str">
        <f t="shared" si="15"/>
        <v/>
      </c>
      <c r="N284" s="12"/>
      <c r="O284" s="23">
        <v>46569</v>
      </c>
      <c r="P284" s="51" t="str">
        <f t="shared" si="6"/>
        <v/>
      </c>
      <c r="Q284" s="51" t="str">
        <f t="shared" si="7"/>
        <v/>
      </c>
      <c r="R284" s="51" t="str">
        <f t="shared" si="8"/>
        <v/>
      </c>
      <c r="S284" s="51" t="str">
        <f t="shared" si="9"/>
        <v/>
      </c>
      <c r="T284" s="51" t="str">
        <f t="shared" si="10"/>
        <v/>
      </c>
      <c r="U284" s="42" t="str">
        <f t="shared" si="13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11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2"/>
        <v/>
      </c>
      <c r="M285" s="42" t="str">
        <f t="shared" si="15"/>
        <v/>
      </c>
      <c r="N285" s="12"/>
      <c r="O285" s="23">
        <v>46600</v>
      </c>
      <c r="P285" s="51" t="str">
        <f t="shared" si="6"/>
        <v/>
      </c>
      <c r="Q285" s="51" t="str">
        <f t="shared" si="7"/>
        <v/>
      </c>
      <c r="R285" s="51" t="str">
        <f t="shared" si="8"/>
        <v/>
      </c>
      <c r="S285" s="51" t="str">
        <f t="shared" si="9"/>
        <v/>
      </c>
      <c r="T285" s="51" t="str">
        <f t="shared" si="10"/>
        <v/>
      </c>
      <c r="U285" s="42" t="str">
        <f t="shared" si="13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11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2"/>
        <v/>
      </c>
      <c r="M286" s="42" t="str">
        <f t="shared" si="15"/>
        <v/>
      </c>
      <c r="N286" s="12"/>
      <c r="O286" s="23">
        <v>46631</v>
      </c>
      <c r="P286" s="51" t="str">
        <f t="shared" si="6"/>
        <v/>
      </c>
      <c r="Q286" s="51" t="str">
        <f t="shared" si="7"/>
        <v/>
      </c>
      <c r="R286" s="51" t="str">
        <f t="shared" si="8"/>
        <v/>
      </c>
      <c r="S286" s="51" t="str">
        <f t="shared" si="9"/>
        <v/>
      </c>
      <c r="T286" s="51" t="str">
        <f t="shared" si="10"/>
        <v/>
      </c>
      <c r="U286" s="42" t="str">
        <f t="shared" si="13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11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2"/>
        <v/>
      </c>
      <c r="M287" s="42" t="str">
        <f t="shared" si="15"/>
        <v/>
      </c>
      <c r="N287" s="12"/>
      <c r="O287" s="23">
        <v>46661</v>
      </c>
      <c r="P287" s="51" t="str">
        <f t="shared" si="6"/>
        <v/>
      </c>
      <c r="Q287" s="51" t="str">
        <f t="shared" si="7"/>
        <v/>
      </c>
      <c r="R287" s="51" t="str">
        <f t="shared" si="8"/>
        <v/>
      </c>
      <c r="S287" s="51" t="str">
        <f t="shared" si="9"/>
        <v/>
      </c>
      <c r="T287" s="51" t="str">
        <f t="shared" si="10"/>
        <v/>
      </c>
      <c r="U287" s="42" t="str">
        <f t="shared" si="13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11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2"/>
        <v/>
      </c>
      <c r="M288" s="42" t="str">
        <f t="shared" si="15"/>
        <v/>
      </c>
      <c r="N288" s="12"/>
      <c r="O288" s="23">
        <v>46692</v>
      </c>
      <c r="P288" s="51" t="str">
        <f t="shared" si="6"/>
        <v/>
      </c>
      <c r="Q288" s="51" t="str">
        <f t="shared" si="7"/>
        <v/>
      </c>
      <c r="R288" s="51" t="str">
        <f t="shared" si="8"/>
        <v/>
      </c>
      <c r="S288" s="51" t="str">
        <f t="shared" si="9"/>
        <v/>
      </c>
      <c r="T288" s="51" t="str">
        <f t="shared" si="10"/>
        <v/>
      </c>
      <c r="U288" s="42" t="str">
        <f t="shared" si="13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11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2"/>
        <v/>
      </c>
      <c r="M289" s="42" t="str">
        <f t="shared" si="15"/>
        <v/>
      </c>
      <c r="N289" s="12"/>
      <c r="O289" s="23">
        <v>46722</v>
      </c>
      <c r="P289" s="51" t="str">
        <f t="shared" si="6"/>
        <v/>
      </c>
      <c r="Q289" s="51" t="str">
        <f t="shared" si="7"/>
        <v/>
      </c>
      <c r="R289" s="51" t="str">
        <f t="shared" si="8"/>
        <v/>
      </c>
      <c r="S289" s="51" t="str">
        <f t="shared" si="9"/>
        <v/>
      </c>
      <c r="T289" s="51" t="str">
        <f t="shared" si="10"/>
        <v/>
      </c>
      <c r="U289" s="42" t="str">
        <f t="shared" si="13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11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2"/>
        <v/>
      </c>
      <c r="M290" s="42" t="str">
        <f t="shared" si="15"/>
        <v/>
      </c>
      <c r="N290" s="12"/>
      <c r="O290" s="23">
        <v>46753</v>
      </c>
      <c r="P290" s="51" t="str">
        <f t="shared" si="6"/>
        <v/>
      </c>
      <c r="Q290" s="51" t="str">
        <f t="shared" si="7"/>
        <v/>
      </c>
      <c r="R290" s="51" t="str">
        <f t="shared" si="8"/>
        <v/>
      </c>
      <c r="S290" s="51" t="str">
        <f t="shared" si="9"/>
        <v/>
      </c>
      <c r="T290" s="51" t="str">
        <f t="shared" si="10"/>
        <v/>
      </c>
      <c r="U290" s="42" t="str">
        <f t="shared" si="13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11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2"/>
        <v/>
      </c>
      <c r="M291" s="42" t="str">
        <f t="shared" si="15"/>
        <v/>
      </c>
      <c r="N291" s="12"/>
      <c r="O291" s="23">
        <v>46784</v>
      </c>
      <c r="P291" s="51" t="str">
        <f t="shared" si="6"/>
        <v/>
      </c>
      <c r="Q291" s="51" t="str">
        <f t="shared" si="7"/>
        <v/>
      </c>
      <c r="R291" s="51" t="str">
        <f t="shared" si="8"/>
        <v/>
      </c>
      <c r="S291" s="51" t="str">
        <f t="shared" si="9"/>
        <v/>
      </c>
      <c r="T291" s="51" t="str">
        <f t="shared" si="10"/>
        <v/>
      </c>
      <c r="U291" s="42" t="str">
        <f t="shared" si="13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11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2"/>
        <v/>
      </c>
      <c r="M292" s="42" t="str">
        <f t="shared" si="15"/>
        <v/>
      </c>
      <c r="N292" s="12"/>
      <c r="O292" s="23">
        <v>46813</v>
      </c>
      <c r="P292" s="51" t="str">
        <f t="shared" si="6"/>
        <v/>
      </c>
      <c r="Q292" s="51" t="str">
        <f t="shared" si="7"/>
        <v/>
      </c>
      <c r="R292" s="51" t="str">
        <f t="shared" si="8"/>
        <v/>
      </c>
      <c r="S292" s="51" t="str">
        <f t="shared" si="9"/>
        <v/>
      </c>
      <c r="T292" s="51" t="str">
        <f t="shared" si="10"/>
        <v/>
      </c>
      <c r="U292" s="42" t="str">
        <f t="shared" si="13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11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2"/>
        <v/>
      </c>
      <c r="M293" s="42" t="str">
        <f t="shared" si="15"/>
        <v/>
      </c>
      <c r="N293" s="12"/>
      <c r="O293" s="23">
        <v>46844</v>
      </c>
      <c r="P293" s="51" t="str">
        <f t="shared" si="6"/>
        <v/>
      </c>
      <c r="Q293" s="51" t="str">
        <f t="shared" si="7"/>
        <v/>
      </c>
      <c r="R293" s="51" t="str">
        <f t="shared" si="8"/>
        <v/>
      </c>
      <c r="S293" s="51" t="str">
        <f t="shared" si="9"/>
        <v/>
      </c>
      <c r="T293" s="51" t="str">
        <f t="shared" si="10"/>
        <v/>
      </c>
      <c r="U293" s="42" t="str">
        <f t="shared" si="13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11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2"/>
        <v/>
      </c>
      <c r="M294" s="42" t="str">
        <f t="shared" si="15"/>
        <v/>
      </c>
      <c r="N294" s="12"/>
      <c r="O294" s="23">
        <v>46874</v>
      </c>
      <c r="P294" s="51" t="str">
        <f t="shared" si="6"/>
        <v/>
      </c>
      <c r="Q294" s="51" t="str">
        <f t="shared" si="7"/>
        <v/>
      </c>
      <c r="R294" s="51" t="str">
        <f t="shared" si="8"/>
        <v/>
      </c>
      <c r="S294" s="51" t="str">
        <f t="shared" si="9"/>
        <v/>
      </c>
      <c r="T294" s="51" t="str">
        <f t="shared" si="10"/>
        <v/>
      </c>
      <c r="U294" s="42" t="str">
        <f t="shared" si="13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11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2"/>
        <v/>
      </c>
      <c r="M295" s="42" t="str">
        <f t="shared" si="15"/>
        <v/>
      </c>
      <c r="N295" s="12"/>
      <c r="O295" s="23">
        <v>46905</v>
      </c>
      <c r="P295" s="51" t="str">
        <f t="shared" si="6"/>
        <v/>
      </c>
      <c r="Q295" s="51" t="str">
        <f t="shared" si="7"/>
        <v/>
      </c>
      <c r="R295" s="51" t="str">
        <f t="shared" si="8"/>
        <v/>
      </c>
      <c r="S295" s="51" t="str">
        <f t="shared" si="9"/>
        <v/>
      </c>
      <c r="T295" s="51" t="str">
        <f t="shared" si="10"/>
        <v/>
      </c>
      <c r="U295" s="42" t="str">
        <f t="shared" si="13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11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2"/>
        <v/>
      </c>
      <c r="M296" s="42" t="str">
        <f t="shared" si="15"/>
        <v/>
      </c>
      <c r="N296" s="12"/>
      <c r="O296" s="23">
        <v>46935</v>
      </c>
      <c r="P296" s="51" t="str">
        <f t="shared" si="6"/>
        <v/>
      </c>
      <c r="Q296" s="51" t="str">
        <f t="shared" si="7"/>
        <v/>
      </c>
      <c r="R296" s="51" t="str">
        <f t="shared" si="8"/>
        <v/>
      </c>
      <c r="S296" s="51" t="str">
        <f t="shared" si="9"/>
        <v/>
      </c>
      <c r="T296" s="51" t="str">
        <f t="shared" si="10"/>
        <v/>
      </c>
      <c r="U296" s="42" t="str">
        <f t="shared" si="13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11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2"/>
        <v/>
      </c>
      <c r="M297" s="42" t="str">
        <f t="shared" si="15"/>
        <v/>
      </c>
      <c r="N297" s="12"/>
      <c r="O297" s="23">
        <v>46966</v>
      </c>
      <c r="P297" s="51" t="str">
        <f t="shared" si="6"/>
        <v/>
      </c>
      <c r="Q297" s="51" t="str">
        <f t="shared" si="7"/>
        <v/>
      </c>
      <c r="R297" s="51" t="str">
        <f t="shared" si="8"/>
        <v/>
      </c>
      <c r="S297" s="51" t="str">
        <f t="shared" si="9"/>
        <v/>
      </c>
      <c r="T297" s="51" t="str">
        <f t="shared" si="10"/>
        <v/>
      </c>
      <c r="U297" s="42" t="str">
        <f t="shared" si="13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11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2"/>
        <v/>
      </c>
      <c r="M298" s="42" t="str">
        <f t="shared" si="15"/>
        <v/>
      </c>
      <c r="N298" s="12"/>
      <c r="O298" s="23">
        <v>46997</v>
      </c>
      <c r="P298" s="51" t="str">
        <f t="shared" si="6"/>
        <v/>
      </c>
      <c r="Q298" s="51" t="str">
        <f t="shared" si="7"/>
        <v/>
      </c>
      <c r="R298" s="51" t="str">
        <f t="shared" si="8"/>
        <v/>
      </c>
      <c r="S298" s="51" t="str">
        <f t="shared" si="9"/>
        <v/>
      </c>
      <c r="T298" s="51" t="str">
        <f t="shared" si="10"/>
        <v/>
      </c>
      <c r="U298" s="42" t="str">
        <f t="shared" si="13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11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2"/>
        <v/>
      </c>
      <c r="M299" s="42" t="str">
        <f t="shared" si="15"/>
        <v/>
      </c>
      <c r="N299" s="12"/>
      <c r="O299" s="23">
        <v>47027</v>
      </c>
      <c r="P299" s="51" t="str">
        <f t="shared" si="6"/>
        <v/>
      </c>
      <c r="Q299" s="51" t="str">
        <f t="shared" si="7"/>
        <v/>
      </c>
      <c r="R299" s="51" t="str">
        <f t="shared" si="8"/>
        <v/>
      </c>
      <c r="S299" s="51" t="str">
        <f t="shared" si="9"/>
        <v/>
      </c>
      <c r="T299" s="51" t="str">
        <f t="shared" si="10"/>
        <v/>
      </c>
      <c r="U299" s="42" t="str">
        <f t="shared" si="13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11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2"/>
        <v/>
      </c>
      <c r="M300" s="42" t="str">
        <f t="shared" si="15"/>
        <v/>
      </c>
      <c r="N300" s="12"/>
      <c r="O300" s="23">
        <v>47058</v>
      </c>
      <c r="P300" s="51" t="str">
        <f t="shared" si="6"/>
        <v/>
      </c>
      <c r="Q300" s="51" t="str">
        <f t="shared" si="7"/>
        <v/>
      </c>
      <c r="R300" s="51" t="str">
        <f t="shared" si="8"/>
        <v/>
      </c>
      <c r="S300" s="51" t="str">
        <f t="shared" si="9"/>
        <v/>
      </c>
      <c r="T300" s="51" t="str">
        <f t="shared" si="10"/>
        <v/>
      </c>
      <c r="U300" s="42" t="str">
        <f t="shared" si="13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11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2"/>
        <v/>
      </c>
      <c r="M301" s="42" t="str">
        <f t="shared" si="15"/>
        <v/>
      </c>
      <c r="N301" s="12"/>
      <c r="O301" s="23">
        <v>47088</v>
      </c>
      <c r="P301" s="51" t="str">
        <f t="shared" si="6"/>
        <v/>
      </c>
      <c r="Q301" s="51" t="str">
        <f t="shared" si="7"/>
        <v/>
      </c>
      <c r="R301" s="51" t="str">
        <f t="shared" si="8"/>
        <v/>
      </c>
      <c r="S301" s="51" t="str">
        <f t="shared" si="9"/>
        <v/>
      </c>
      <c r="T301" s="51" t="str">
        <f t="shared" si="10"/>
        <v/>
      </c>
      <c r="U301" s="42" t="str">
        <f t="shared" si="13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11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2"/>
        <v/>
      </c>
      <c r="M302" s="42" t="str">
        <f t="shared" si="15"/>
        <v/>
      </c>
      <c r="N302" s="12"/>
      <c r="O302" s="23">
        <v>47119</v>
      </c>
      <c r="P302" s="51" t="str">
        <f t="shared" si="6"/>
        <v/>
      </c>
      <c r="Q302" s="51" t="str">
        <f t="shared" si="7"/>
        <v/>
      </c>
      <c r="R302" s="51" t="str">
        <f t="shared" si="8"/>
        <v/>
      </c>
      <c r="S302" s="51" t="str">
        <f t="shared" si="9"/>
        <v/>
      </c>
      <c r="T302" s="51" t="str">
        <f t="shared" si="10"/>
        <v/>
      </c>
      <c r="U302" s="42" t="str">
        <f t="shared" si="13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11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2"/>
        <v/>
      </c>
      <c r="M303" s="42" t="str">
        <f t="shared" si="15"/>
        <v/>
      </c>
      <c r="N303" s="12"/>
      <c r="O303" s="23">
        <v>47150</v>
      </c>
      <c r="P303" s="51" t="str">
        <f t="shared" si="6"/>
        <v/>
      </c>
      <c r="Q303" s="51" t="str">
        <f t="shared" si="7"/>
        <v/>
      </c>
      <c r="R303" s="51" t="str">
        <f t="shared" si="8"/>
        <v/>
      </c>
      <c r="S303" s="51" t="str">
        <f t="shared" si="9"/>
        <v/>
      </c>
      <c r="T303" s="51" t="str">
        <f t="shared" si="10"/>
        <v/>
      </c>
      <c r="U303" s="42" t="str">
        <f t="shared" si="13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11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2"/>
        <v/>
      </c>
      <c r="M304" s="42" t="str">
        <f t="shared" si="15"/>
        <v/>
      </c>
      <c r="N304" s="12"/>
      <c r="O304" s="23">
        <v>47178</v>
      </c>
      <c r="P304" s="51" t="str">
        <f t="shared" si="6"/>
        <v/>
      </c>
      <c r="Q304" s="51" t="str">
        <f t="shared" si="7"/>
        <v/>
      </c>
      <c r="R304" s="51" t="str">
        <f t="shared" si="8"/>
        <v/>
      </c>
      <c r="S304" s="51" t="str">
        <f t="shared" si="9"/>
        <v/>
      </c>
      <c r="T304" s="51" t="str">
        <f t="shared" si="10"/>
        <v/>
      </c>
      <c r="U304" s="42" t="str">
        <f t="shared" si="13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11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2"/>
        <v/>
      </c>
      <c r="M305" s="42" t="str">
        <f t="shared" si="15"/>
        <v/>
      </c>
      <c r="N305" s="12"/>
      <c r="O305" s="23">
        <v>47209</v>
      </c>
      <c r="P305" s="51" t="str">
        <f t="shared" si="6"/>
        <v/>
      </c>
      <c r="Q305" s="51" t="str">
        <f t="shared" si="7"/>
        <v/>
      </c>
      <c r="R305" s="51" t="str">
        <f t="shared" si="8"/>
        <v/>
      </c>
      <c r="S305" s="51" t="str">
        <f t="shared" si="9"/>
        <v/>
      </c>
      <c r="T305" s="51" t="str">
        <f t="shared" si="10"/>
        <v/>
      </c>
      <c r="U305" s="42" t="str">
        <f t="shared" si="13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11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2"/>
        <v/>
      </c>
      <c r="M306" s="42" t="str">
        <f t="shared" si="15"/>
        <v/>
      </c>
      <c r="N306" s="12"/>
      <c r="O306" s="23">
        <v>47239</v>
      </c>
      <c r="P306" s="51" t="str">
        <f t="shared" ref="P306:P369" si="16">IFERROR((G306*Q$480)/$L306*(100/Q$481),"")</f>
        <v/>
      </c>
      <c r="Q306" s="51" t="str">
        <f t="shared" ref="Q306:Q369" si="17">IFERROR((H306*R$480)/$L306*(100/R$481),"")</f>
        <v/>
      </c>
      <c r="R306" s="51" t="str">
        <f t="shared" ref="R306:R369" si="18">IFERROR((I306*S$480)/$L306*(100/S$481),"")</f>
        <v/>
      </c>
      <c r="S306" s="51" t="str">
        <f t="shared" ref="S306:S369" si="19">IFERROR((J306*T$480)/$L306*(100/T$481),"")</f>
        <v/>
      </c>
      <c r="T306" s="51" t="str">
        <f t="shared" ref="T306:T369" si="20">IFERROR((K306*U$480)/$L306*(100/U$481),"")</f>
        <v/>
      </c>
      <c r="U306" s="42" t="str">
        <f t="shared" si="13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21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2">IF(V548="","",V548)</f>
        <v/>
      </c>
      <c r="M307" s="42" t="str">
        <f t="shared" si="15"/>
        <v/>
      </c>
      <c r="N307" s="12"/>
      <c r="O307" s="23">
        <v>47270</v>
      </c>
      <c r="P307" s="51" t="str">
        <f t="shared" si="16"/>
        <v/>
      </c>
      <c r="Q307" s="51" t="str">
        <f t="shared" si="17"/>
        <v/>
      </c>
      <c r="R307" s="51" t="str">
        <f t="shared" si="18"/>
        <v/>
      </c>
      <c r="S307" s="51" t="str">
        <f t="shared" si="19"/>
        <v/>
      </c>
      <c r="T307" s="51" t="str">
        <f t="shared" si="20"/>
        <v/>
      </c>
      <c r="U307" s="42" t="str">
        <f t="shared" ref="U307:U370" si="23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21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2"/>
        <v/>
      </c>
      <c r="M308" s="42" t="str">
        <f t="shared" si="15"/>
        <v/>
      </c>
      <c r="N308" s="12"/>
      <c r="O308" s="23">
        <v>47300</v>
      </c>
      <c r="P308" s="51" t="str">
        <f t="shared" si="16"/>
        <v/>
      </c>
      <c r="Q308" s="51" t="str">
        <f t="shared" si="17"/>
        <v/>
      </c>
      <c r="R308" s="51" t="str">
        <f t="shared" si="18"/>
        <v/>
      </c>
      <c r="S308" s="51" t="str">
        <f t="shared" si="19"/>
        <v/>
      </c>
      <c r="T308" s="51" t="str">
        <f t="shared" si="20"/>
        <v/>
      </c>
      <c r="U308" s="42" t="str">
        <f t="shared" si="23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21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2"/>
        <v/>
      </c>
      <c r="M309" s="42" t="str">
        <f t="shared" si="15"/>
        <v/>
      </c>
      <c r="N309" s="12"/>
      <c r="O309" s="23">
        <v>47331</v>
      </c>
      <c r="P309" s="51" t="str">
        <f t="shared" si="16"/>
        <v/>
      </c>
      <c r="Q309" s="51" t="str">
        <f t="shared" si="17"/>
        <v/>
      </c>
      <c r="R309" s="51" t="str">
        <f t="shared" si="18"/>
        <v/>
      </c>
      <c r="S309" s="51" t="str">
        <f t="shared" si="19"/>
        <v/>
      </c>
      <c r="T309" s="51" t="str">
        <f t="shared" si="20"/>
        <v/>
      </c>
      <c r="U309" s="42" t="str">
        <f t="shared" si="23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21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2"/>
        <v/>
      </c>
      <c r="M310" s="42" t="str">
        <f t="shared" si="15"/>
        <v/>
      </c>
      <c r="N310" s="12"/>
      <c r="O310" s="23">
        <v>47362</v>
      </c>
      <c r="P310" s="51" t="str">
        <f t="shared" si="16"/>
        <v/>
      </c>
      <c r="Q310" s="51" t="str">
        <f t="shared" si="17"/>
        <v/>
      </c>
      <c r="R310" s="51" t="str">
        <f t="shared" si="18"/>
        <v/>
      </c>
      <c r="S310" s="51" t="str">
        <f t="shared" si="19"/>
        <v/>
      </c>
      <c r="T310" s="51" t="str">
        <f t="shared" si="20"/>
        <v/>
      </c>
      <c r="U310" s="42" t="str">
        <f t="shared" si="23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21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2"/>
        <v/>
      </c>
      <c r="M311" s="42" t="str">
        <f t="shared" si="15"/>
        <v/>
      </c>
      <c r="N311" s="12"/>
      <c r="O311" s="23">
        <v>47392</v>
      </c>
      <c r="P311" s="51" t="str">
        <f t="shared" si="16"/>
        <v/>
      </c>
      <c r="Q311" s="51" t="str">
        <f t="shared" si="17"/>
        <v/>
      </c>
      <c r="R311" s="51" t="str">
        <f t="shared" si="18"/>
        <v/>
      </c>
      <c r="S311" s="51" t="str">
        <f t="shared" si="19"/>
        <v/>
      </c>
      <c r="T311" s="51" t="str">
        <f t="shared" si="20"/>
        <v/>
      </c>
      <c r="U311" s="42" t="str">
        <f t="shared" si="23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21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2"/>
        <v/>
      </c>
      <c r="M312" s="42" t="str">
        <f t="shared" si="15"/>
        <v/>
      </c>
      <c r="N312" s="12"/>
      <c r="O312" s="23">
        <v>47423</v>
      </c>
      <c r="P312" s="51" t="str">
        <f t="shared" si="16"/>
        <v/>
      </c>
      <c r="Q312" s="51" t="str">
        <f t="shared" si="17"/>
        <v/>
      </c>
      <c r="R312" s="51" t="str">
        <f t="shared" si="18"/>
        <v/>
      </c>
      <c r="S312" s="51" t="str">
        <f t="shared" si="19"/>
        <v/>
      </c>
      <c r="T312" s="51" t="str">
        <f t="shared" si="20"/>
        <v/>
      </c>
      <c r="U312" s="42" t="str">
        <f t="shared" si="23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21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2"/>
        <v/>
      </c>
      <c r="M313" s="42" t="str">
        <f t="shared" si="15"/>
        <v/>
      </c>
      <c r="N313" s="12"/>
      <c r="O313" s="23">
        <v>47453</v>
      </c>
      <c r="P313" s="51" t="str">
        <f t="shared" si="16"/>
        <v/>
      </c>
      <c r="Q313" s="51" t="str">
        <f t="shared" si="17"/>
        <v/>
      </c>
      <c r="R313" s="51" t="str">
        <f t="shared" si="18"/>
        <v/>
      </c>
      <c r="S313" s="51" t="str">
        <f t="shared" si="19"/>
        <v/>
      </c>
      <c r="T313" s="51" t="str">
        <f t="shared" si="20"/>
        <v/>
      </c>
      <c r="U313" s="42" t="str">
        <f t="shared" si="23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21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2"/>
        <v/>
      </c>
      <c r="M314" s="42" t="str">
        <f t="shared" si="15"/>
        <v/>
      </c>
      <c r="N314" s="12"/>
      <c r="O314" s="23">
        <v>47484</v>
      </c>
      <c r="P314" s="51" t="str">
        <f t="shared" si="16"/>
        <v/>
      </c>
      <c r="Q314" s="51" t="str">
        <f t="shared" si="17"/>
        <v/>
      </c>
      <c r="R314" s="51" t="str">
        <f t="shared" si="18"/>
        <v/>
      </c>
      <c r="S314" s="51" t="str">
        <f t="shared" si="19"/>
        <v/>
      </c>
      <c r="T314" s="51" t="str">
        <f t="shared" si="20"/>
        <v/>
      </c>
      <c r="U314" s="42" t="str">
        <f t="shared" si="23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21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2"/>
        <v/>
      </c>
      <c r="M315" s="42" t="str">
        <f t="shared" si="15"/>
        <v/>
      </c>
      <c r="N315" s="12"/>
      <c r="O315" s="23">
        <v>47515</v>
      </c>
      <c r="P315" s="51" t="str">
        <f t="shared" si="16"/>
        <v/>
      </c>
      <c r="Q315" s="51" t="str">
        <f t="shared" si="17"/>
        <v/>
      </c>
      <c r="R315" s="51" t="str">
        <f t="shared" si="18"/>
        <v/>
      </c>
      <c r="S315" s="51" t="str">
        <f t="shared" si="19"/>
        <v/>
      </c>
      <c r="T315" s="51" t="str">
        <f t="shared" si="20"/>
        <v/>
      </c>
      <c r="U315" s="42" t="str">
        <f t="shared" si="23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21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2"/>
        <v/>
      </c>
      <c r="M316" s="42" t="str">
        <f t="shared" si="15"/>
        <v/>
      </c>
      <c r="N316" s="12"/>
      <c r="O316" s="23">
        <v>47543</v>
      </c>
      <c r="P316" s="51" t="str">
        <f t="shared" si="16"/>
        <v/>
      </c>
      <c r="Q316" s="51" t="str">
        <f t="shared" si="17"/>
        <v/>
      </c>
      <c r="R316" s="51" t="str">
        <f t="shared" si="18"/>
        <v/>
      </c>
      <c r="S316" s="51" t="str">
        <f t="shared" si="19"/>
        <v/>
      </c>
      <c r="T316" s="51" t="str">
        <f t="shared" si="20"/>
        <v/>
      </c>
      <c r="U316" s="42" t="str">
        <f t="shared" si="23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21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2"/>
        <v/>
      </c>
      <c r="M317" s="42" t="str">
        <f t="shared" si="15"/>
        <v/>
      </c>
      <c r="N317" s="12"/>
      <c r="O317" s="23">
        <v>47574</v>
      </c>
      <c r="P317" s="51" t="str">
        <f t="shared" si="16"/>
        <v/>
      </c>
      <c r="Q317" s="51" t="str">
        <f t="shared" si="17"/>
        <v/>
      </c>
      <c r="R317" s="51" t="str">
        <f t="shared" si="18"/>
        <v/>
      </c>
      <c r="S317" s="51" t="str">
        <f t="shared" si="19"/>
        <v/>
      </c>
      <c r="T317" s="51" t="str">
        <f t="shared" si="20"/>
        <v/>
      </c>
      <c r="U317" s="42" t="str">
        <f t="shared" si="23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21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2"/>
        <v/>
      </c>
      <c r="M318" s="42" t="str">
        <f t="shared" si="15"/>
        <v/>
      </c>
      <c r="N318" s="12"/>
      <c r="O318" s="23">
        <v>47604</v>
      </c>
      <c r="P318" s="51" t="str">
        <f t="shared" si="16"/>
        <v/>
      </c>
      <c r="Q318" s="51" t="str">
        <f t="shared" si="17"/>
        <v/>
      </c>
      <c r="R318" s="51" t="str">
        <f t="shared" si="18"/>
        <v/>
      </c>
      <c r="S318" s="51" t="str">
        <f t="shared" si="19"/>
        <v/>
      </c>
      <c r="T318" s="51" t="str">
        <f t="shared" si="20"/>
        <v/>
      </c>
      <c r="U318" s="42" t="str">
        <f t="shared" si="23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21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2"/>
        <v/>
      </c>
      <c r="M319" s="42" t="str">
        <f t="shared" si="15"/>
        <v/>
      </c>
      <c r="N319" s="12"/>
      <c r="O319" s="23">
        <v>47635</v>
      </c>
      <c r="P319" s="51" t="str">
        <f t="shared" si="16"/>
        <v/>
      </c>
      <c r="Q319" s="51" t="str">
        <f t="shared" si="17"/>
        <v/>
      </c>
      <c r="R319" s="51" t="str">
        <f t="shared" si="18"/>
        <v/>
      </c>
      <c r="S319" s="51" t="str">
        <f t="shared" si="19"/>
        <v/>
      </c>
      <c r="T319" s="51" t="str">
        <f t="shared" si="20"/>
        <v/>
      </c>
      <c r="U319" s="42" t="str">
        <f t="shared" si="23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21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2"/>
        <v/>
      </c>
      <c r="M320" s="42" t="str">
        <f t="shared" si="15"/>
        <v/>
      </c>
      <c r="N320" s="12"/>
      <c r="O320" s="23">
        <v>47665</v>
      </c>
      <c r="P320" s="51" t="str">
        <f t="shared" si="16"/>
        <v/>
      </c>
      <c r="Q320" s="51" t="str">
        <f t="shared" si="17"/>
        <v/>
      </c>
      <c r="R320" s="51" t="str">
        <f t="shared" si="18"/>
        <v/>
      </c>
      <c r="S320" s="51" t="str">
        <f t="shared" si="19"/>
        <v/>
      </c>
      <c r="T320" s="51" t="str">
        <f t="shared" si="20"/>
        <v/>
      </c>
      <c r="U320" s="42" t="str">
        <f t="shared" si="23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21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2"/>
        <v/>
      </c>
      <c r="M321" s="42" t="str">
        <f t="shared" si="15"/>
        <v/>
      </c>
      <c r="N321" s="12"/>
      <c r="O321" s="23">
        <v>47696</v>
      </c>
      <c r="P321" s="51" t="str">
        <f t="shared" si="16"/>
        <v/>
      </c>
      <c r="Q321" s="51" t="str">
        <f t="shared" si="17"/>
        <v/>
      </c>
      <c r="R321" s="51" t="str">
        <f t="shared" si="18"/>
        <v/>
      </c>
      <c r="S321" s="51" t="str">
        <f t="shared" si="19"/>
        <v/>
      </c>
      <c r="T321" s="51" t="str">
        <f t="shared" si="20"/>
        <v/>
      </c>
      <c r="U321" s="42" t="str">
        <f t="shared" si="23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21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2"/>
        <v/>
      </c>
      <c r="M322" s="42" t="str">
        <f t="shared" si="15"/>
        <v/>
      </c>
      <c r="N322" s="12"/>
      <c r="O322" s="23">
        <v>47727</v>
      </c>
      <c r="P322" s="51" t="str">
        <f t="shared" si="16"/>
        <v/>
      </c>
      <c r="Q322" s="51" t="str">
        <f t="shared" si="17"/>
        <v/>
      </c>
      <c r="R322" s="51" t="str">
        <f t="shared" si="18"/>
        <v/>
      </c>
      <c r="S322" s="51" t="str">
        <f t="shared" si="19"/>
        <v/>
      </c>
      <c r="T322" s="51" t="str">
        <f t="shared" si="20"/>
        <v/>
      </c>
      <c r="U322" s="42" t="str">
        <f t="shared" si="23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21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2"/>
        <v/>
      </c>
      <c r="M323" s="42" t="str">
        <f t="shared" si="15"/>
        <v/>
      </c>
      <c r="N323" s="12"/>
      <c r="O323" s="23">
        <v>47757</v>
      </c>
      <c r="P323" s="51" t="str">
        <f t="shared" si="16"/>
        <v/>
      </c>
      <c r="Q323" s="51" t="str">
        <f t="shared" si="17"/>
        <v/>
      </c>
      <c r="R323" s="51" t="str">
        <f t="shared" si="18"/>
        <v/>
      </c>
      <c r="S323" s="51" t="str">
        <f t="shared" si="19"/>
        <v/>
      </c>
      <c r="T323" s="51" t="str">
        <f t="shared" si="20"/>
        <v/>
      </c>
      <c r="U323" s="42" t="str">
        <f t="shared" si="23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21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2"/>
        <v/>
      </c>
      <c r="M324" s="42" t="str">
        <f t="shared" si="15"/>
        <v/>
      </c>
      <c r="N324" s="12"/>
      <c r="O324" s="23">
        <v>47788</v>
      </c>
      <c r="P324" s="51" t="str">
        <f t="shared" si="16"/>
        <v/>
      </c>
      <c r="Q324" s="51" t="str">
        <f t="shared" si="17"/>
        <v/>
      </c>
      <c r="R324" s="51" t="str">
        <f t="shared" si="18"/>
        <v/>
      </c>
      <c r="S324" s="51" t="str">
        <f t="shared" si="19"/>
        <v/>
      </c>
      <c r="T324" s="51" t="str">
        <f t="shared" si="20"/>
        <v/>
      </c>
      <c r="U324" s="42" t="str">
        <f t="shared" si="23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21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2"/>
        <v/>
      </c>
      <c r="M325" s="42" t="str">
        <f t="shared" si="15"/>
        <v/>
      </c>
      <c r="N325" s="12"/>
      <c r="O325" s="23">
        <v>47818</v>
      </c>
      <c r="P325" s="51" t="str">
        <f t="shared" si="16"/>
        <v/>
      </c>
      <c r="Q325" s="51" t="str">
        <f t="shared" si="17"/>
        <v/>
      </c>
      <c r="R325" s="51" t="str">
        <f t="shared" si="18"/>
        <v/>
      </c>
      <c r="S325" s="51" t="str">
        <f t="shared" si="19"/>
        <v/>
      </c>
      <c r="T325" s="51" t="str">
        <f t="shared" si="20"/>
        <v/>
      </c>
      <c r="U325" s="42" t="str">
        <f t="shared" si="23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21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2"/>
        <v/>
      </c>
      <c r="M326" s="42" t="str">
        <f t="shared" si="15"/>
        <v/>
      </c>
      <c r="N326" s="12"/>
      <c r="O326" s="23">
        <v>47849</v>
      </c>
      <c r="P326" s="51" t="str">
        <f t="shared" si="16"/>
        <v/>
      </c>
      <c r="Q326" s="51" t="str">
        <f t="shared" si="17"/>
        <v/>
      </c>
      <c r="R326" s="51" t="str">
        <f t="shared" si="18"/>
        <v/>
      </c>
      <c r="S326" s="51" t="str">
        <f t="shared" si="19"/>
        <v/>
      </c>
      <c r="T326" s="51" t="str">
        <f t="shared" si="20"/>
        <v/>
      </c>
      <c r="U326" s="42" t="str">
        <f t="shared" si="23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21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2"/>
        <v/>
      </c>
      <c r="M327" s="42" t="str">
        <f t="shared" si="15"/>
        <v/>
      </c>
      <c r="N327" s="12"/>
      <c r="O327" s="23">
        <v>47880</v>
      </c>
      <c r="P327" s="51" t="str">
        <f t="shared" si="16"/>
        <v/>
      </c>
      <c r="Q327" s="51" t="str">
        <f t="shared" si="17"/>
        <v/>
      </c>
      <c r="R327" s="51" t="str">
        <f t="shared" si="18"/>
        <v/>
      </c>
      <c r="S327" s="51" t="str">
        <f t="shared" si="19"/>
        <v/>
      </c>
      <c r="T327" s="51" t="str">
        <f t="shared" si="20"/>
        <v/>
      </c>
      <c r="U327" s="42" t="str">
        <f t="shared" si="23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21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2"/>
        <v/>
      </c>
      <c r="M328" s="42" t="str">
        <f t="shared" si="15"/>
        <v/>
      </c>
      <c r="N328" s="12"/>
      <c r="O328" s="23">
        <v>47908</v>
      </c>
      <c r="P328" s="51" t="str">
        <f t="shared" si="16"/>
        <v/>
      </c>
      <c r="Q328" s="51" t="str">
        <f t="shared" si="17"/>
        <v/>
      </c>
      <c r="R328" s="51" t="str">
        <f t="shared" si="18"/>
        <v/>
      </c>
      <c r="S328" s="51" t="str">
        <f t="shared" si="19"/>
        <v/>
      </c>
      <c r="T328" s="51" t="str">
        <f t="shared" si="20"/>
        <v/>
      </c>
      <c r="U328" s="42" t="str">
        <f t="shared" si="23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21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2"/>
        <v/>
      </c>
      <c r="M329" s="42" t="str">
        <f t="shared" si="15"/>
        <v/>
      </c>
      <c r="N329" s="12"/>
      <c r="O329" s="23">
        <v>47939</v>
      </c>
      <c r="P329" s="51" t="str">
        <f t="shared" si="16"/>
        <v/>
      </c>
      <c r="Q329" s="51" t="str">
        <f t="shared" si="17"/>
        <v/>
      </c>
      <c r="R329" s="51" t="str">
        <f t="shared" si="18"/>
        <v/>
      </c>
      <c r="S329" s="51" t="str">
        <f t="shared" si="19"/>
        <v/>
      </c>
      <c r="T329" s="51" t="str">
        <f t="shared" si="20"/>
        <v/>
      </c>
      <c r="U329" s="42" t="str">
        <f t="shared" si="23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21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2"/>
        <v/>
      </c>
      <c r="M330" s="42" t="str">
        <f t="shared" si="15"/>
        <v/>
      </c>
      <c r="N330" s="12"/>
      <c r="O330" s="23">
        <v>47969</v>
      </c>
      <c r="P330" s="51" t="str">
        <f t="shared" si="16"/>
        <v/>
      </c>
      <c r="Q330" s="51" t="str">
        <f t="shared" si="17"/>
        <v/>
      </c>
      <c r="R330" s="51" t="str">
        <f t="shared" si="18"/>
        <v/>
      </c>
      <c r="S330" s="51" t="str">
        <f t="shared" si="19"/>
        <v/>
      </c>
      <c r="T330" s="51" t="str">
        <f t="shared" si="20"/>
        <v/>
      </c>
      <c r="U330" s="42" t="str">
        <f t="shared" si="23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21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2"/>
        <v/>
      </c>
      <c r="M331" s="42" t="str">
        <f t="shared" si="15"/>
        <v/>
      </c>
      <c r="N331" s="12"/>
      <c r="O331" s="23">
        <v>48000</v>
      </c>
      <c r="P331" s="51" t="str">
        <f t="shared" si="16"/>
        <v/>
      </c>
      <c r="Q331" s="51" t="str">
        <f t="shared" si="17"/>
        <v/>
      </c>
      <c r="R331" s="51" t="str">
        <f t="shared" si="18"/>
        <v/>
      </c>
      <c r="S331" s="51" t="str">
        <f t="shared" si="19"/>
        <v/>
      </c>
      <c r="T331" s="51" t="str">
        <f t="shared" si="20"/>
        <v/>
      </c>
      <c r="U331" s="42" t="str">
        <f t="shared" si="23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21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2"/>
        <v/>
      </c>
      <c r="M332" s="42" t="str">
        <f t="shared" si="15"/>
        <v/>
      </c>
      <c r="N332" s="12"/>
      <c r="O332" s="23">
        <v>48030</v>
      </c>
      <c r="P332" s="51" t="str">
        <f t="shared" si="16"/>
        <v/>
      </c>
      <c r="Q332" s="51" t="str">
        <f t="shared" si="17"/>
        <v/>
      </c>
      <c r="R332" s="51" t="str">
        <f t="shared" si="18"/>
        <v/>
      </c>
      <c r="S332" s="51" t="str">
        <f t="shared" si="19"/>
        <v/>
      </c>
      <c r="T332" s="51" t="str">
        <f t="shared" si="20"/>
        <v/>
      </c>
      <c r="U332" s="42" t="str">
        <f t="shared" si="23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21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2"/>
        <v/>
      </c>
      <c r="M333" s="42" t="str">
        <f t="shared" si="15"/>
        <v/>
      </c>
      <c r="N333" s="12"/>
      <c r="O333" s="23">
        <v>48061</v>
      </c>
      <c r="P333" s="51" t="str">
        <f t="shared" si="16"/>
        <v/>
      </c>
      <c r="Q333" s="51" t="str">
        <f t="shared" si="17"/>
        <v/>
      </c>
      <c r="R333" s="51" t="str">
        <f t="shared" si="18"/>
        <v/>
      </c>
      <c r="S333" s="51" t="str">
        <f t="shared" si="19"/>
        <v/>
      </c>
      <c r="T333" s="51" t="str">
        <f t="shared" si="20"/>
        <v/>
      </c>
      <c r="U333" s="42" t="str">
        <f t="shared" si="23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21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2"/>
        <v/>
      </c>
      <c r="M334" s="42" t="str">
        <f t="shared" si="15"/>
        <v/>
      </c>
      <c r="N334" s="12"/>
      <c r="O334" s="23">
        <v>48092</v>
      </c>
      <c r="P334" s="51" t="str">
        <f t="shared" si="16"/>
        <v/>
      </c>
      <c r="Q334" s="51" t="str">
        <f t="shared" si="17"/>
        <v/>
      </c>
      <c r="R334" s="51" t="str">
        <f t="shared" si="18"/>
        <v/>
      </c>
      <c r="S334" s="51" t="str">
        <f t="shared" si="19"/>
        <v/>
      </c>
      <c r="T334" s="51" t="str">
        <f t="shared" si="20"/>
        <v/>
      </c>
      <c r="U334" s="42" t="str">
        <f t="shared" si="23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21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2"/>
        <v/>
      </c>
      <c r="M335" s="42" t="str">
        <f t="shared" si="15"/>
        <v/>
      </c>
      <c r="N335" s="12"/>
      <c r="O335" s="23">
        <v>48122</v>
      </c>
      <c r="P335" s="51" t="str">
        <f t="shared" si="16"/>
        <v/>
      </c>
      <c r="Q335" s="51" t="str">
        <f t="shared" si="17"/>
        <v/>
      </c>
      <c r="R335" s="51" t="str">
        <f t="shared" si="18"/>
        <v/>
      </c>
      <c r="S335" s="51" t="str">
        <f t="shared" si="19"/>
        <v/>
      </c>
      <c r="T335" s="51" t="str">
        <f t="shared" si="20"/>
        <v/>
      </c>
      <c r="U335" s="42" t="str">
        <f t="shared" si="23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21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2"/>
        <v/>
      </c>
      <c r="M336" s="42" t="str">
        <f t="shared" si="15"/>
        <v/>
      </c>
      <c r="N336" s="12"/>
      <c r="O336" s="23">
        <v>48153</v>
      </c>
      <c r="P336" s="51" t="str">
        <f t="shared" si="16"/>
        <v/>
      </c>
      <c r="Q336" s="51" t="str">
        <f t="shared" si="17"/>
        <v/>
      </c>
      <c r="R336" s="51" t="str">
        <f t="shared" si="18"/>
        <v/>
      </c>
      <c r="S336" s="51" t="str">
        <f t="shared" si="19"/>
        <v/>
      </c>
      <c r="T336" s="51" t="str">
        <f t="shared" si="20"/>
        <v/>
      </c>
      <c r="U336" s="42" t="str">
        <f t="shared" si="23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21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2"/>
        <v/>
      </c>
      <c r="M337" s="42" t="str">
        <f t="shared" si="15"/>
        <v/>
      </c>
      <c r="N337" s="12"/>
      <c r="O337" s="23">
        <v>48183</v>
      </c>
      <c r="P337" s="51" t="str">
        <f t="shared" si="16"/>
        <v/>
      </c>
      <c r="Q337" s="51" t="str">
        <f t="shared" si="17"/>
        <v/>
      </c>
      <c r="R337" s="51" t="str">
        <f t="shared" si="18"/>
        <v/>
      </c>
      <c r="S337" s="51" t="str">
        <f t="shared" si="19"/>
        <v/>
      </c>
      <c r="T337" s="51" t="str">
        <f t="shared" si="20"/>
        <v/>
      </c>
      <c r="U337" s="42" t="str">
        <f t="shared" si="23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21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2"/>
        <v/>
      </c>
      <c r="M338" s="42" t="str">
        <f t="shared" si="15"/>
        <v/>
      </c>
      <c r="N338" s="12"/>
      <c r="O338" s="23">
        <v>48214</v>
      </c>
      <c r="P338" s="51" t="str">
        <f t="shared" si="16"/>
        <v/>
      </c>
      <c r="Q338" s="51" t="str">
        <f t="shared" si="17"/>
        <v/>
      </c>
      <c r="R338" s="51" t="str">
        <f t="shared" si="18"/>
        <v/>
      </c>
      <c r="S338" s="51" t="str">
        <f t="shared" si="19"/>
        <v/>
      </c>
      <c r="T338" s="51" t="str">
        <f t="shared" si="20"/>
        <v/>
      </c>
      <c r="U338" s="42" t="str">
        <f t="shared" si="23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21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2"/>
        <v/>
      </c>
      <c r="M339" s="42" t="str">
        <f t="shared" si="15"/>
        <v/>
      </c>
      <c r="N339" s="12"/>
      <c r="O339" s="23">
        <v>48245</v>
      </c>
      <c r="P339" s="51" t="str">
        <f t="shared" si="16"/>
        <v/>
      </c>
      <c r="Q339" s="51" t="str">
        <f t="shared" si="17"/>
        <v/>
      </c>
      <c r="R339" s="51" t="str">
        <f t="shared" si="18"/>
        <v/>
      </c>
      <c r="S339" s="51" t="str">
        <f t="shared" si="19"/>
        <v/>
      </c>
      <c r="T339" s="51" t="str">
        <f t="shared" si="20"/>
        <v/>
      </c>
      <c r="U339" s="42" t="str">
        <f t="shared" si="23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21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2"/>
        <v/>
      </c>
      <c r="M340" s="42" t="str">
        <f t="shared" si="15"/>
        <v/>
      </c>
      <c r="N340" s="12"/>
      <c r="O340" s="23">
        <v>48274</v>
      </c>
      <c r="P340" s="51" t="str">
        <f t="shared" si="16"/>
        <v/>
      </c>
      <c r="Q340" s="51" t="str">
        <f t="shared" si="17"/>
        <v/>
      </c>
      <c r="R340" s="51" t="str">
        <f t="shared" si="18"/>
        <v/>
      </c>
      <c r="S340" s="51" t="str">
        <f t="shared" si="19"/>
        <v/>
      </c>
      <c r="T340" s="51" t="str">
        <f t="shared" si="20"/>
        <v/>
      </c>
      <c r="U340" s="42" t="str">
        <f t="shared" si="23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21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2"/>
        <v/>
      </c>
      <c r="M341" s="42" t="str">
        <f t="shared" si="15"/>
        <v/>
      </c>
      <c r="N341" s="12"/>
      <c r="O341" s="23">
        <v>48305</v>
      </c>
      <c r="P341" s="51" t="str">
        <f t="shared" si="16"/>
        <v/>
      </c>
      <c r="Q341" s="51" t="str">
        <f t="shared" si="17"/>
        <v/>
      </c>
      <c r="R341" s="51" t="str">
        <f t="shared" si="18"/>
        <v/>
      </c>
      <c r="S341" s="51" t="str">
        <f t="shared" si="19"/>
        <v/>
      </c>
      <c r="T341" s="51" t="str">
        <f t="shared" si="20"/>
        <v/>
      </c>
      <c r="U341" s="42" t="str">
        <f t="shared" si="23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21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2"/>
        <v/>
      </c>
      <c r="M342" s="42" t="str">
        <f t="shared" ref="M342:M405" si="24">IF(L342="","",L342/L341-1)</f>
        <v/>
      </c>
      <c r="N342" s="12"/>
      <c r="O342" s="23">
        <v>48335</v>
      </c>
      <c r="P342" s="51" t="str">
        <f t="shared" si="16"/>
        <v/>
      </c>
      <c r="Q342" s="51" t="str">
        <f t="shared" si="17"/>
        <v/>
      </c>
      <c r="R342" s="51" t="str">
        <f t="shared" si="18"/>
        <v/>
      </c>
      <c r="S342" s="51" t="str">
        <f t="shared" si="19"/>
        <v/>
      </c>
      <c r="T342" s="51" t="str">
        <f t="shared" si="20"/>
        <v/>
      </c>
      <c r="U342" s="42" t="str">
        <f t="shared" si="23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21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2"/>
        <v/>
      </c>
      <c r="M343" s="42" t="str">
        <f t="shared" si="24"/>
        <v/>
      </c>
      <c r="N343" s="12"/>
      <c r="O343" s="23">
        <v>48366</v>
      </c>
      <c r="P343" s="51" t="str">
        <f t="shared" si="16"/>
        <v/>
      </c>
      <c r="Q343" s="51" t="str">
        <f t="shared" si="17"/>
        <v/>
      </c>
      <c r="R343" s="51" t="str">
        <f t="shared" si="18"/>
        <v/>
      </c>
      <c r="S343" s="51" t="str">
        <f t="shared" si="19"/>
        <v/>
      </c>
      <c r="T343" s="51" t="str">
        <f t="shared" si="20"/>
        <v/>
      </c>
      <c r="U343" s="42" t="str">
        <f t="shared" si="23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21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2"/>
        <v/>
      </c>
      <c r="M344" s="42" t="str">
        <f t="shared" si="24"/>
        <v/>
      </c>
      <c r="N344" s="12"/>
      <c r="O344" s="23">
        <v>48396</v>
      </c>
      <c r="P344" s="51" t="str">
        <f t="shared" si="16"/>
        <v/>
      </c>
      <c r="Q344" s="51" t="str">
        <f t="shared" si="17"/>
        <v/>
      </c>
      <c r="R344" s="51" t="str">
        <f t="shared" si="18"/>
        <v/>
      </c>
      <c r="S344" s="51" t="str">
        <f t="shared" si="19"/>
        <v/>
      </c>
      <c r="T344" s="51" t="str">
        <f t="shared" si="20"/>
        <v/>
      </c>
      <c r="U344" s="42" t="str">
        <f t="shared" si="23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21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2"/>
        <v/>
      </c>
      <c r="M345" s="42" t="str">
        <f t="shared" si="24"/>
        <v/>
      </c>
      <c r="N345" s="12"/>
      <c r="O345" s="23">
        <v>48427</v>
      </c>
      <c r="P345" s="51" t="str">
        <f t="shared" si="16"/>
        <v/>
      </c>
      <c r="Q345" s="51" t="str">
        <f t="shared" si="17"/>
        <v/>
      </c>
      <c r="R345" s="51" t="str">
        <f t="shared" si="18"/>
        <v/>
      </c>
      <c r="S345" s="51" t="str">
        <f t="shared" si="19"/>
        <v/>
      </c>
      <c r="T345" s="51" t="str">
        <f t="shared" si="20"/>
        <v/>
      </c>
      <c r="U345" s="42" t="str">
        <f t="shared" si="23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21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2"/>
        <v/>
      </c>
      <c r="M346" s="42" t="str">
        <f t="shared" si="24"/>
        <v/>
      </c>
      <c r="N346" s="12"/>
      <c r="O346" s="23">
        <v>48458</v>
      </c>
      <c r="P346" s="51" t="str">
        <f t="shared" si="16"/>
        <v/>
      </c>
      <c r="Q346" s="51" t="str">
        <f t="shared" si="17"/>
        <v/>
      </c>
      <c r="R346" s="51" t="str">
        <f t="shared" si="18"/>
        <v/>
      </c>
      <c r="S346" s="51" t="str">
        <f t="shared" si="19"/>
        <v/>
      </c>
      <c r="T346" s="51" t="str">
        <f t="shared" si="20"/>
        <v/>
      </c>
      <c r="U346" s="42" t="str">
        <f t="shared" si="23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21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2"/>
        <v/>
      </c>
      <c r="M347" s="42" t="str">
        <f t="shared" si="24"/>
        <v/>
      </c>
      <c r="N347" s="12"/>
      <c r="O347" s="23">
        <v>48488</v>
      </c>
      <c r="P347" s="51" t="str">
        <f t="shared" si="16"/>
        <v/>
      </c>
      <c r="Q347" s="51" t="str">
        <f t="shared" si="17"/>
        <v/>
      </c>
      <c r="R347" s="51" t="str">
        <f t="shared" si="18"/>
        <v/>
      </c>
      <c r="S347" s="51" t="str">
        <f t="shared" si="19"/>
        <v/>
      </c>
      <c r="T347" s="51" t="str">
        <f t="shared" si="20"/>
        <v/>
      </c>
      <c r="U347" s="42" t="str">
        <f t="shared" si="23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21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2"/>
        <v/>
      </c>
      <c r="M348" s="42" t="str">
        <f t="shared" si="24"/>
        <v/>
      </c>
      <c r="N348" s="12"/>
      <c r="O348" s="23">
        <v>48519</v>
      </c>
      <c r="P348" s="51" t="str">
        <f t="shared" si="16"/>
        <v/>
      </c>
      <c r="Q348" s="51" t="str">
        <f t="shared" si="17"/>
        <v/>
      </c>
      <c r="R348" s="51" t="str">
        <f t="shared" si="18"/>
        <v/>
      </c>
      <c r="S348" s="51" t="str">
        <f t="shared" si="19"/>
        <v/>
      </c>
      <c r="T348" s="51" t="str">
        <f t="shared" si="20"/>
        <v/>
      </c>
      <c r="U348" s="42" t="str">
        <f t="shared" si="23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21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2"/>
        <v/>
      </c>
      <c r="M349" s="42" t="str">
        <f t="shared" si="24"/>
        <v/>
      </c>
      <c r="N349" s="12"/>
      <c r="O349" s="23">
        <v>48549</v>
      </c>
      <c r="P349" s="51" t="str">
        <f t="shared" si="16"/>
        <v/>
      </c>
      <c r="Q349" s="51" t="str">
        <f t="shared" si="17"/>
        <v/>
      </c>
      <c r="R349" s="51" t="str">
        <f t="shared" si="18"/>
        <v/>
      </c>
      <c r="S349" s="51" t="str">
        <f t="shared" si="19"/>
        <v/>
      </c>
      <c r="T349" s="51" t="str">
        <f t="shared" si="20"/>
        <v/>
      </c>
      <c r="U349" s="42" t="str">
        <f t="shared" si="23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21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2"/>
        <v/>
      </c>
      <c r="M350" s="42" t="str">
        <f t="shared" si="24"/>
        <v/>
      </c>
      <c r="N350" s="12"/>
      <c r="O350" s="23">
        <v>48580</v>
      </c>
      <c r="P350" s="51" t="str">
        <f t="shared" si="16"/>
        <v/>
      </c>
      <c r="Q350" s="51" t="str">
        <f t="shared" si="17"/>
        <v/>
      </c>
      <c r="R350" s="51" t="str">
        <f t="shared" si="18"/>
        <v/>
      </c>
      <c r="S350" s="51" t="str">
        <f t="shared" si="19"/>
        <v/>
      </c>
      <c r="T350" s="51" t="str">
        <f t="shared" si="20"/>
        <v/>
      </c>
      <c r="U350" s="42" t="str">
        <f t="shared" si="23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21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2"/>
        <v/>
      </c>
      <c r="M351" s="42" t="str">
        <f t="shared" si="24"/>
        <v/>
      </c>
      <c r="N351" s="12"/>
      <c r="O351" s="23">
        <v>48611</v>
      </c>
      <c r="P351" s="51" t="str">
        <f t="shared" si="16"/>
        <v/>
      </c>
      <c r="Q351" s="51" t="str">
        <f t="shared" si="17"/>
        <v/>
      </c>
      <c r="R351" s="51" t="str">
        <f t="shared" si="18"/>
        <v/>
      </c>
      <c r="S351" s="51" t="str">
        <f t="shared" si="19"/>
        <v/>
      </c>
      <c r="T351" s="51" t="str">
        <f t="shared" si="20"/>
        <v/>
      </c>
      <c r="U351" s="42" t="str">
        <f t="shared" si="23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21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2"/>
        <v/>
      </c>
      <c r="M352" s="42" t="str">
        <f t="shared" si="24"/>
        <v/>
      </c>
      <c r="N352" s="12"/>
      <c r="O352" s="23">
        <v>48639</v>
      </c>
      <c r="P352" s="51" t="str">
        <f t="shared" si="16"/>
        <v/>
      </c>
      <c r="Q352" s="51" t="str">
        <f t="shared" si="17"/>
        <v/>
      </c>
      <c r="R352" s="51" t="str">
        <f t="shared" si="18"/>
        <v/>
      </c>
      <c r="S352" s="51" t="str">
        <f t="shared" si="19"/>
        <v/>
      </c>
      <c r="T352" s="51" t="str">
        <f t="shared" si="20"/>
        <v/>
      </c>
      <c r="U352" s="42" t="str">
        <f t="shared" si="23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21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2"/>
        <v/>
      </c>
      <c r="M353" s="42" t="str">
        <f t="shared" si="24"/>
        <v/>
      </c>
      <c r="N353" s="12"/>
      <c r="O353" s="23">
        <v>48670</v>
      </c>
      <c r="P353" s="51" t="str">
        <f t="shared" si="16"/>
        <v/>
      </c>
      <c r="Q353" s="51" t="str">
        <f t="shared" si="17"/>
        <v/>
      </c>
      <c r="R353" s="51" t="str">
        <f t="shared" si="18"/>
        <v/>
      </c>
      <c r="S353" s="51" t="str">
        <f t="shared" si="19"/>
        <v/>
      </c>
      <c r="T353" s="51" t="str">
        <f t="shared" si="20"/>
        <v/>
      </c>
      <c r="U353" s="42" t="str">
        <f t="shared" si="23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21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2"/>
        <v/>
      </c>
      <c r="M354" s="42" t="str">
        <f t="shared" si="24"/>
        <v/>
      </c>
      <c r="N354" s="12"/>
      <c r="O354" s="23">
        <v>48700</v>
      </c>
      <c r="P354" s="51" t="str">
        <f t="shared" si="16"/>
        <v/>
      </c>
      <c r="Q354" s="51" t="str">
        <f t="shared" si="17"/>
        <v/>
      </c>
      <c r="R354" s="51" t="str">
        <f t="shared" si="18"/>
        <v/>
      </c>
      <c r="S354" s="51" t="str">
        <f t="shared" si="19"/>
        <v/>
      </c>
      <c r="T354" s="51" t="str">
        <f t="shared" si="20"/>
        <v/>
      </c>
      <c r="U354" s="42" t="str">
        <f t="shared" si="23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21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2"/>
        <v/>
      </c>
      <c r="M355" s="42" t="str">
        <f t="shared" si="24"/>
        <v/>
      </c>
      <c r="N355" s="12"/>
      <c r="O355" s="23">
        <v>48731</v>
      </c>
      <c r="P355" s="51" t="str">
        <f t="shared" si="16"/>
        <v/>
      </c>
      <c r="Q355" s="51" t="str">
        <f t="shared" si="17"/>
        <v/>
      </c>
      <c r="R355" s="51" t="str">
        <f t="shared" si="18"/>
        <v/>
      </c>
      <c r="S355" s="51" t="str">
        <f t="shared" si="19"/>
        <v/>
      </c>
      <c r="T355" s="51" t="str">
        <f t="shared" si="20"/>
        <v/>
      </c>
      <c r="U355" s="42" t="str">
        <f t="shared" si="23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21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2"/>
        <v/>
      </c>
      <c r="M356" s="42" t="str">
        <f t="shared" si="24"/>
        <v/>
      </c>
      <c r="N356" s="12"/>
      <c r="O356" s="23">
        <v>48761</v>
      </c>
      <c r="P356" s="51" t="str">
        <f t="shared" si="16"/>
        <v/>
      </c>
      <c r="Q356" s="51" t="str">
        <f t="shared" si="17"/>
        <v/>
      </c>
      <c r="R356" s="51" t="str">
        <f t="shared" si="18"/>
        <v/>
      </c>
      <c r="S356" s="51" t="str">
        <f t="shared" si="19"/>
        <v/>
      </c>
      <c r="T356" s="51" t="str">
        <f t="shared" si="20"/>
        <v/>
      </c>
      <c r="U356" s="42" t="str">
        <f t="shared" si="23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21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2"/>
        <v/>
      </c>
      <c r="M357" s="42" t="str">
        <f t="shared" si="24"/>
        <v/>
      </c>
      <c r="N357" s="12"/>
      <c r="O357" s="23">
        <v>48792</v>
      </c>
      <c r="P357" s="51" t="str">
        <f t="shared" si="16"/>
        <v/>
      </c>
      <c r="Q357" s="51" t="str">
        <f t="shared" si="17"/>
        <v/>
      </c>
      <c r="R357" s="51" t="str">
        <f t="shared" si="18"/>
        <v/>
      </c>
      <c r="S357" s="51" t="str">
        <f t="shared" si="19"/>
        <v/>
      </c>
      <c r="T357" s="51" t="str">
        <f t="shared" si="20"/>
        <v/>
      </c>
      <c r="U357" s="42" t="str">
        <f t="shared" si="23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21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2"/>
        <v/>
      </c>
      <c r="M358" s="42" t="str">
        <f t="shared" si="24"/>
        <v/>
      </c>
      <c r="N358" s="12"/>
      <c r="O358" s="23">
        <v>48823</v>
      </c>
      <c r="P358" s="51" t="str">
        <f t="shared" si="16"/>
        <v/>
      </c>
      <c r="Q358" s="51" t="str">
        <f t="shared" si="17"/>
        <v/>
      </c>
      <c r="R358" s="51" t="str">
        <f t="shared" si="18"/>
        <v/>
      </c>
      <c r="S358" s="51" t="str">
        <f t="shared" si="19"/>
        <v/>
      </c>
      <c r="T358" s="51" t="str">
        <f t="shared" si="20"/>
        <v/>
      </c>
      <c r="U358" s="42" t="str">
        <f t="shared" si="23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21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2"/>
        <v/>
      </c>
      <c r="M359" s="42" t="str">
        <f t="shared" si="24"/>
        <v/>
      </c>
      <c r="N359" s="12"/>
      <c r="O359" s="23">
        <v>48853</v>
      </c>
      <c r="P359" s="51" t="str">
        <f t="shared" si="16"/>
        <v/>
      </c>
      <c r="Q359" s="51" t="str">
        <f t="shared" si="17"/>
        <v/>
      </c>
      <c r="R359" s="51" t="str">
        <f t="shared" si="18"/>
        <v/>
      </c>
      <c r="S359" s="51" t="str">
        <f t="shared" si="19"/>
        <v/>
      </c>
      <c r="T359" s="51" t="str">
        <f t="shared" si="20"/>
        <v/>
      </c>
      <c r="U359" s="42" t="str">
        <f t="shared" si="23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21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2"/>
        <v/>
      </c>
      <c r="M360" s="42" t="str">
        <f t="shared" si="24"/>
        <v/>
      </c>
      <c r="N360" s="12"/>
      <c r="O360" s="23">
        <v>48884</v>
      </c>
      <c r="P360" s="51" t="str">
        <f t="shared" si="16"/>
        <v/>
      </c>
      <c r="Q360" s="51" t="str">
        <f t="shared" si="17"/>
        <v/>
      </c>
      <c r="R360" s="51" t="str">
        <f t="shared" si="18"/>
        <v/>
      </c>
      <c r="S360" s="51" t="str">
        <f t="shared" si="19"/>
        <v/>
      </c>
      <c r="T360" s="51" t="str">
        <f t="shared" si="20"/>
        <v/>
      </c>
      <c r="U360" s="42" t="str">
        <f t="shared" si="23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21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2"/>
        <v/>
      </c>
      <c r="M361" s="42" t="str">
        <f t="shared" si="24"/>
        <v/>
      </c>
      <c r="N361" s="12"/>
      <c r="O361" s="23">
        <v>48914</v>
      </c>
      <c r="P361" s="51" t="str">
        <f t="shared" si="16"/>
        <v/>
      </c>
      <c r="Q361" s="51" t="str">
        <f t="shared" si="17"/>
        <v/>
      </c>
      <c r="R361" s="51" t="str">
        <f t="shared" si="18"/>
        <v/>
      </c>
      <c r="S361" s="51" t="str">
        <f t="shared" si="19"/>
        <v/>
      </c>
      <c r="T361" s="51" t="str">
        <f t="shared" si="20"/>
        <v/>
      </c>
      <c r="U361" s="42" t="str">
        <f t="shared" si="23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21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2"/>
        <v/>
      </c>
      <c r="M362" s="42" t="str">
        <f t="shared" si="24"/>
        <v/>
      </c>
      <c r="N362" s="12"/>
      <c r="O362" s="23">
        <v>48945</v>
      </c>
      <c r="P362" s="51" t="str">
        <f t="shared" si="16"/>
        <v/>
      </c>
      <c r="Q362" s="51" t="str">
        <f t="shared" si="17"/>
        <v/>
      </c>
      <c r="R362" s="51" t="str">
        <f t="shared" si="18"/>
        <v/>
      </c>
      <c r="S362" s="51" t="str">
        <f t="shared" si="19"/>
        <v/>
      </c>
      <c r="T362" s="51" t="str">
        <f t="shared" si="20"/>
        <v/>
      </c>
      <c r="U362" s="42" t="str">
        <f t="shared" si="23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21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2"/>
        <v/>
      </c>
      <c r="M363" s="42" t="str">
        <f t="shared" si="24"/>
        <v/>
      </c>
      <c r="N363" s="12"/>
      <c r="O363" s="23">
        <v>48976</v>
      </c>
      <c r="P363" s="51" t="str">
        <f t="shared" si="16"/>
        <v/>
      </c>
      <c r="Q363" s="51" t="str">
        <f t="shared" si="17"/>
        <v/>
      </c>
      <c r="R363" s="51" t="str">
        <f t="shared" si="18"/>
        <v/>
      </c>
      <c r="S363" s="51" t="str">
        <f t="shared" si="19"/>
        <v/>
      </c>
      <c r="T363" s="51" t="str">
        <f t="shared" si="20"/>
        <v/>
      </c>
      <c r="U363" s="42" t="str">
        <f t="shared" si="23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21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2"/>
        <v/>
      </c>
      <c r="M364" s="42" t="str">
        <f t="shared" si="24"/>
        <v/>
      </c>
      <c r="N364" s="12"/>
      <c r="O364" s="23">
        <v>49004</v>
      </c>
      <c r="P364" s="51" t="str">
        <f t="shared" si="16"/>
        <v/>
      </c>
      <c r="Q364" s="51" t="str">
        <f t="shared" si="17"/>
        <v/>
      </c>
      <c r="R364" s="51" t="str">
        <f t="shared" si="18"/>
        <v/>
      </c>
      <c r="S364" s="51" t="str">
        <f t="shared" si="19"/>
        <v/>
      </c>
      <c r="T364" s="51" t="str">
        <f t="shared" si="20"/>
        <v/>
      </c>
      <c r="U364" s="42" t="str">
        <f t="shared" si="23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21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2"/>
        <v/>
      </c>
      <c r="M365" s="42" t="str">
        <f t="shared" si="24"/>
        <v/>
      </c>
      <c r="N365" s="12"/>
      <c r="O365" s="23">
        <v>49035</v>
      </c>
      <c r="P365" s="51" t="str">
        <f t="shared" si="16"/>
        <v/>
      </c>
      <c r="Q365" s="51" t="str">
        <f t="shared" si="17"/>
        <v/>
      </c>
      <c r="R365" s="51" t="str">
        <f t="shared" si="18"/>
        <v/>
      </c>
      <c r="S365" s="51" t="str">
        <f t="shared" si="19"/>
        <v/>
      </c>
      <c r="T365" s="51" t="str">
        <f t="shared" si="20"/>
        <v/>
      </c>
      <c r="U365" s="42" t="str">
        <f t="shared" si="23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21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2"/>
        <v/>
      </c>
      <c r="M366" s="42" t="str">
        <f t="shared" si="24"/>
        <v/>
      </c>
      <c r="N366" s="12"/>
      <c r="O366" s="23">
        <v>49065</v>
      </c>
      <c r="P366" s="51" t="str">
        <f t="shared" si="16"/>
        <v/>
      </c>
      <c r="Q366" s="51" t="str">
        <f t="shared" si="17"/>
        <v/>
      </c>
      <c r="R366" s="51" t="str">
        <f t="shared" si="18"/>
        <v/>
      </c>
      <c r="S366" s="51" t="str">
        <f t="shared" si="19"/>
        <v/>
      </c>
      <c r="T366" s="51" t="str">
        <f t="shared" si="20"/>
        <v/>
      </c>
      <c r="U366" s="42" t="str">
        <f t="shared" si="23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21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2"/>
        <v/>
      </c>
      <c r="M367" s="42" t="str">
        <f t="shared" si="24"/>
        <v/>
      </c>
      <c r="N367" s="12"/>
      <c r="O367" s="23">
        <v>49096</v>
      </c>
      <c r="P367" s="51" t="str">
        <f t="shared" si="16"/>
        <v/>
      </c>
      <c r="Q367" s="51" t="str">
        <f t="shared" si="17"/>
        <v/>
      </c>
      <c r="R367" s="51" t="str">
        <f t="shared" si="18"/>
        <v/>
      </c>
      <c r="S367" s="51" t="str">
        <f t="shared" si="19"/>
        <v/>
      </c>
      <c r="T367" s="51" t="str">
        <f t="shared" si="20"/>
        <v/>
      </c>
      <c r="U367" s="42" t="str">
        <f t="shared" si="23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21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2"/>
        <v/>
      </c>
      <c r="M368" s="42" t="str">
        <f t="shared" si="24"/>
        <v/>
      </c>
      <c r="N368" s="12"/>
      <c r="O368" s="23">
        <v>49126</v>
      </c>
      <c r="P368" s="51" t="str">
        <f t="shared" si="16"/>
        <v/>
      </c>
      <c r="Q368" s="51" t="str">
        <f t="shared" si="17"/>
        <v/>
      </c>
      <c r="R368" s="51" t="str">
        <f t="shared" si="18"/>
        <v/>
      </c>
      <c r="S368" s="51" t="str">
        <f t="shared" si="19"/>
        <v/>
      </c>
      <c r="T368" s="51" t="str">
        <f t="shared" si="20"/>
        <v/>
      </c>
      <c r="U368" s="42" t="str">
        <f t="shared" si="23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21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2"/>
        <v/>
      </c>
      <c r="M369" s="42" t="str">
        <f t="shared" si="24"/>
        <v/>
      </c>
      <c r="N369" s="12"/>
      <c r="O369" s="23">
        <v>49157</v>
      </c>
      <c r="P369" s="51" t="str">
        <f t="shared" si="16"/>
        <v/>
      </c>
      <c r="Q369" s="51" t="str">
        <f t="shared" si="17"/>
        <v/>
      </c>
      <c r="R369" s="51" t="str">
        <f t="shared" si="18"/>
        <v/>
      </c>
      <c r="S369" s="51" t="str">
        <f t="shared" si="19"/>
        <v/>
      </c>
      <c r="T369" s="51" t="str">
        <f t="shared" si="20"/>
        <v/>
      </c>
      <c r="U369" s="42" t="str">
        <f t="shared" si="23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21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2"/>
        <v/>
      </c>
      <c r="M370" s="42" t="str">
        <f t="shared" si="24"/>
        <v/>
      </c>
      <c r="N370" s="12"/>
      <c r="O370" s="23">
        <v>49188</v>
      </c>
      <c r="P370" s="51" t="str">
        <f t="shared" ref="P370:P433" si="25">IFERROR((G370*Q$480)/$L370*(100/Q$481),"")</f>
        <v/>
      </c>
      <c r="Q370" s="51" t="str">
        <f t="shared" ref="Q370:Q433" si="26">IFERROR((H370*R$480)/$L370*(100/R$481),"")</f>
        <v/>
      </c>
      <c r="R370" s="51" t="str">
        <f t="shared" ref="R370:R433" si="27">IFERROR((I370*S$480)/$L370*(100/S$481),"")</f>
        <v/>
      </c>
      <c r="S370" s="51" t="str">
        <f t="shared" ref="S370:S433" si="28">IFERROR((J370*T$480)/$L370*(100/T$481),"")</f>
        <v/>
      </c>
      <c r="T370" s="51" t="str">
        <f t="shared" ref="T370:T433" si="29">IFERROR((K370*U$480)/$L370*(100/U$481),"")</f>
        <v/>
      </c>
      <c r="U370" s="42" t="str">
        <f t="shared" si="23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30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31">IF(V612="","",V612)</f>
        <v/>
      </c>
      <c r="M371" s="42" t="str">
        <f t="shared" si="24"/>
        <v/>
      </c>
      <c r="N371" s="12"/>
      <c r="O371" s="23">
        <v>49218</v>
      </c>
      <c r="P371" s="51" t="str">
        <f t="shared" si="25"/>
        <v/>
      </c>
      <c r="Q371" s="51" t="str">
        <f t="shared" si="26"/>
        <v/>
      </c>
      <c r="R371" s="51" t="str">
        <f t="shared" si="27"/>
        <v/>
      </c>
      <c r="S371" s="51" t="str">
        <f t="shared" si="28"/>
        <v/>
      </c>
      <c r="T371" s="51" t="str">
        <f t="shared" si="29"/>
        <v/>
      </c>
      <c r="U371" s="42" t="str">
        <f t="shared" ref="U371:U434" si="32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30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31"/>
        <v/>
      </c>
      <c r="M372" s="42" t="str">
        <f t="shared" si="24"/>
        <v/>
      </c>
      <c r="N372" s="12"/>
      <c r="O372" s="23">
        <v>49249</v>
      </c>
      <c r="P372" s="51" t="str">
        <f t="shared" si="25"/>
        <v/>
      </c>
      <c r="Q372" s="51" t="str">
        <f t="shared" si="26"/>
        <v/>
      </c>
      <c r="R372" s="51" t="str">
        <f t="shared" si="27"/>
        <v/>
      </c>
      <c r="S372" s="51" t="str">
        <f t="shared" si="28"/>
        <v/>
      </c>
      <c r="T372" s="51" t="str">
        <f t="shared" si="29"/>
        <v/>
      </c>
      <c r="U372" s="42" t="str">
        <f t="shared" si="32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30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31"/>
        <v/>
      </c>
      <c r="M373" s="42" t="str">
        <f t="shared" si="24"/>
        <v/>
      </c>
      <c r="N373" s="12"/>
      <c r="O373" s="23">
        <v>49279</v>
      </c>
      <c r="P373" s="51" t="str">
        <f t="shared" si="25"/>
        <v/>
      </c>
      <c r="Q373" s="51" t="str">
        <f t="shared" si="26"/>
        <v/>
      </c>
      <c r="R373" s="51" t="str">
        <f t="shared" si="27"/>
        <v/>
      </c>
      <c r="S373" s="51" t="str">
        <f t="shared" si="28"/>
        <v/>
      </c>
      <c r="T373" s="51" t="str">
        <f t="shared" si="29"/>
        <v/>
      </c>
      <c r="U373" s="42" t="str">
        <f t="shared" si="32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30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31"/>
        <v/>
      </c>
      <c r="M374" s="42" t="str">
        <f t="shared" si="24"/>
        <v/>
      </c>
      <c r="N374" s="12"/>
      <c r="O374" s="23">
        <v>49310</v>
      </c>
      <c r="P374" s="51" t="str">
        <f t="shared" si="25"/>
        <v/>
      </c>
      <c r="Q374" s="51" t="str">
        <f t="shared" si="26"/>
        <v/>
      </c>
      <c r="R374" s="51" t="str">
        <f t="shared" si="27"/>
        <v/>
      </c>
      <c r="S374" s="51" t="str">
        <f t="shared" si="28"/>
        <v/>
      </c>
      <c r="T374" s="51" t="str">
        <f t="shared" si="29"/>
        <v/>
      </c>
      <c r="U374" s="42" t="str">
        <f t="shared" si="32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30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31"/>
        <v/>
      </c>
      <c r="M375" s="42" t="str">
        <f t="shared" si="24"/>
        <v/>
      </c>
      <c r="N375" s="12"/>
      <c r="O375" s="23">
        <v>49341</v>
      </c>
      <c r="P375" s="51" t="str">
        <f t="shared" si="25"/>
        <v/>
      </c>
      <c r="Q375" s="51" t="str">
        <f t="shared" si="26"/>
        <v/>
      </c>
      <c r="R375" s="51" t="str">
        <f t="shared" si="27"/>
        <v/>
      </c>
      <c r="S375" s="51" t="str">
        <f t="shared" si="28"/>
        <v/>
      </c>
      <c r="T375" s="51" t="str">
        <f t="shared" si="29"/>
        <v/>
      </c>
      <c r="U375" s="42" t="str">
        <f t="shared" si="32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30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31"/>
        <v/>
      </c>
      <c r="M376" s="42" t="str">
        <f t="shared" si="24"/>
        <v/>
      </c>
      <c r="N376" s="12"/>
      <c r="O376" s="23">
        <v>49369</v>
      </c>
      <c r="P376" s="51" t="str">
        <f t="shared" si="25"/>
        <v/>
      </c>
      <c r="Q376" s="51" t="str">
        <f t="shared" si="26"/>
        <v/>
      </c>
      <c r="R376" s="51" t="str">
        <f t="shared" si="27"/>
        <v/>
      </c>
      <c r="S376" s="51" t="str">
        <f t="shared" si="28"/>
        <v/>
      </c>
      <c r="T376" s="51" t="str">
        <f t="shared" si="29"/>
        <v/>
      </c>
      <c r="U376" s="42" t="str">
        <f t="shared" si="32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30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31"/>
        <v/>
      </c>
      <c r="M377" s="42" t="str">
        <f t="shared" si="24"/>
        <v/>
      </c>
      <c r="N377" s="12"/>
      <c r="O377" s="23">
        <v>49400</v>
      </c>
      <c r="P377" s="51" t="str">
        <f t="shared" si="25"/>
        <v/>
      </c>
      <c r="Q377" s="51" t="str">
        <f t="shared" si="26"/>
        <v/>
      </c>
      <c r="R377" s="51" t="str">
        <f t="shared" si="27"/>
        <v/>
      </c>
      <c r="S377" s="51" t="str">
        <f t="shared" si="28"/>
        <v/>
      </c>
      <c r="T377" s="51" t="str">
        <f t="shared" si="29"/>
        <v/>
      </c>
      <c r="U377" s="42" t="str">
        <f t="shared" si="32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30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31"/>
        <v/>
      </c>
      <c r="M378" s="42" t="str">
        <f t="shared" si="24"/>
        <v/>
      </c>
      <c r="N378" s="12"/>
      <c r="O378" s="23">
        <v>49430</v>
      </c>
      <c r="P378" s="51" t="str">
        <f t="shared" si="25"/>
        <v/>
      </c>
      <c r="Q378" s="51" t="str">
        <f t="shared" si="26"/>
        <v/>
      </c>
      <c r="R378" s="51" t="str">
        <f t="shared" si="27"/>
        <v/>
      </c>
      <c r="S378" s="51" t="str">
        <f t="shared" si="28"/>
        <v/>
      </c>
      <c r="T378" s="51" t="str">
        <f t="shared" si="29"/>
        <v/>
      </c>
      <c r="U378" s="42" t="str">
        <f t="shared" si="32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30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31"/>
        <v/>
      </c>
      <c r="M379" s="42" t="str">
        <f t="shared" si="24"/>
        <v/>
      </c>
      <c r="N379" s="12"/>
      <c r="O379" s="23">
        <v>49461</v>
      </c>
      <c r="P379" s="51" t="str">
        <f t="shared" si="25"/>
        <v/>
      </c>
      <c r="Q379" s="51" t="str">
        <f t="shared" si="26"/>
        <v/>
      </c>
      <c r="R379" s="51" t="str">
        <f t="shared" si="27"/>
        <v/>
      </c>
      <c r="S379" s="51" t="str">
        <f t="shared" si="28"/>
        <v/>
      </c>
      <c r="T379" s="51" t="str">
        <f t="shared" si="29"/>
        <v/>
      </c>
      <c r="U379" s="42" t="str">
        <f t="shared" si="32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30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31"/>
        <v/>
      </c>
      <c r="M380" s="42" t="str">
        <f t="shared" si="24"/>
        <v/>
      </c>
      <c r="N380" s="12"/>
      <c r="O380" s="23">
        <v>49491</v>
      </c>
      <c r="P380" s="51" t="str">
        <f t="shared" si="25"/>
        <v/>
      </c>
      <c r="Q380" s="51" t="str">
        <f t="shared" si="26"/>
        <v/>
      </c>
      <c r="R380" s="51" t="str">
        <f t="shared" si="27"/>
        <v/>
      </c>
      <c r="S380" s="51" t="str">
        <f t="shared" si="28"/>
        <v/>
      </c>
      <c r="T380" s="51" t="str">
        <f t="shared" si="29"/>
        <v/>
      </c>
      <c r="U380" s="42" t="str">
        <f t="shared" si="32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30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31"/>
        <v/>
      </c>
      <c r="M381" s="42" t="str">
        <f t="shared" si="24"/>
        <v/>
      </c>
      <c r="N381" s="12"/>
      <c r="O381" s="23">
        <v>49522</v>
      </c>
      <c r="P381" s="51" t="str">
        <f t="shared" si="25"/>
        <v/>
      </c>
      <c r="Q381" s="51" t="str">
        <f t="shared" si="26"/>
        <v/>
      </c>
      <c r="R381" s="51" t="str">
        <f t="shared" si="27"/>
        <v/>
      </c>
      <c r="S381" s="51" t="str">
        <f t="shared" si="28"/>
        <v/>
      </c>
      <c r="T381" s="51" t="str">
        <f t="shared" si="29"/>
        <v/>
      </c>
      <c r="U381" s="42" t="str">
        <f t="shared" si="32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30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31"/>
        <v/>
      </c>
      <c r="M382" s="42" t="str">
        <f t="shared" si="24"/>
        <v/>
      </c>
      <c r="N382" s="12"/>
      <c r="O382" s="23">
        <v>49553</v>
      </c>
      <c r="P382" s="51" t="str">
        <f t="shared" si="25"/>
        <v/>
      </c>
      <c r="Q382" s="51" t="str">
        <f t="shared" si="26"/>
        <v/>
      </c>
      <c r="R382" s="51" t="str">
        <f t="shared" si="27"/>
        <v/>
      </c>
      <c r="S382" s="51" t="str">
        <f t="shared" si="28"/>
        <v/>
      </c>
      <c r="T382" s="51" t="str">
        <f t="shared" si="29"/>
        <v/>
      </c>
      <c r="U382" s="42" t="str">
        <f t="shared" si="32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30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31"/>
        <v/>
      </c>
      <c r="M383" s="42" t="str">
        <f t="shared" si="24"/>
        <v/>
      </c>
      <c r="N383" s="12"/>
      <c r="O383" s="23">
        <v>49583</v>
      </c>
      <c r="P383" s="51" t="str">
        <f t="shared" si="25"/>
        <v/>
      </c>
      <c r="Q383" s="51" t="str">
        <f t="shared" si="26"/>
        <v/>
      </c>
      <c r="R383" s="51" t="str">
        <f t="shared" si="27"/>
        <v/>
      </c>
      <c r="S383" s="51" t="str">
        <f t="shared" si="28"/>
        <v/>
      </c>
      <c r="T383" s="51" t="str">
        <f t="shared" si="29"/>
        <v/>
      </c>
      <c r="U383" s="42" t="str">
        <f t="shared" si="32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30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31"/>
        <v/>
      </c>
      <c r="M384" s="42" t="str">
        <f t="shared" si="24"/>
        <v/>
      </c>
      <c r="N384" s="12"/>
      <c r="O384" s="23">
        <v>49614</v>
      </c>
      <c r="P384" s="51" t="str">
        <f t="shared" si="25"/>
        <v/>
      </c>
      <c r="Q384" s="51" t="str">
        <f t="shared" si="26"/>
        <v/>
      </c>
      <c r="R384" s="51" t="str">
        <f t="shared" si="27"/>
        <v/>
      </c>
      <c r="S384" s="51" t="str">
        <f t="shared" si="28"/>
        <v/>
      </c>
      <c r="T384" s="51" t="str">
        <f t="shared" si="29"/>
        <v/>
      </c>
      <c r="U384" s="42" t="str">
        <f t="shared" si="32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30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31"/>
        <v/>
      </c>
      <c r="M385" s="42" t="str">
        <f t="shared" si="24"/>
        <v/>
      </c>
      <c r="N385" s="12"/>
      <c r="O385" s="23">
        <v>49644</v>
      </c>
      <c r="P385" s="51" t="str">
        <f t="shared" si="25"/>
        <v/>
      </c>
      <c r="Q385" s="51" t="str">
        <f t="shared" si="26"/>
        <v/>
      </c>
      <c r="R385" s="51" t="str">
        <f t="shared" si="27"/>
        <v/>
      </c>
      <c r="S385" s="51" t="str">
        <f t="shared" si="28"/>
        <v/>
      </c>
      <c r="T385" s="51" t="str">
        <f t="shared" si="29"/>
        <v/>
      </c>
      <c r="U385" s="42" t="str">
        <f t="shared" si="32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30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31"/>
        <v/>
      </c>
      <c r="M386" s="42" t="str">
        <f t="shared" si="24"/>
        <v/>
      </c>
      <c r="N386" s="12"/>
      <c r="O386" s="23">
        <v>49675</v>
      </c>
      <c r="P386" s="51" t="str">
        <f t="shared" si="25"/>
        <v/>
      </c>
      <c r="Q386" s="51" t="str">
        <f t="shared" si="26"/>
        <v/>
      </c>
      <c r="R386" s="51" t="str">
        <f t="shared" si="27"/>
        <v/>
      </c>
      <c r="S386" s="51" t="str">
        <f t="shared" si="28"/>
        <v/>
      </c>
      <c r="T386" s="51" t="str">
        <f t="shared" si="29"/>
        <v/>
      </c>
      <c r="U386" s="42" t="str">
        <f t="shared" si="32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30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31"/>
        <v/>
      </c>
      <c r="M387" s="42" t="str">
        <f t="shared" si="24"/>
        <v/>
      </c>
      <c r="N387" s="12"/>
      <c r="O387" s="23">
        <v>49706</v>
      </c>
      <c r="P387" s="51" t="str">
        <f t="shared" si="25"/>
        <v/>
      </c>
      <c r="Q387" s="51" t="str">
        <f t="shared" si="26"/>
        <v/>
      </c>
      <c r="R387" s="51" t="str">
        <f t="shared" si="27"/>
        <v/>
      </c>
      <c r="S387" s="51" t="str">
        <f t="shared" si="28"/>
        <v/>
      </c>
      <c r="T387" s="51" t="str">
        <f t="shared" si="29"/>
        <v/>
      </c>
      <c r="U387" s="42" t="str">
        <f t="shared" si="32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30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31"/>
        <v/>
      </c>
      <c r="M388" s="42" t="str">
        <f t="shared" si="24"/>
        <v/>
      </c>
      <c r="N388" s="12"/>
      <c r="O388" s="23">
        <v>49735</v>
      </c>
      <c r="P388" s="51" t="str">
        <f t="shared" si="25"/>
        <v/>
      </c>
      <c r="Q388" s="51" t="str">
        <f t="shared" si="26"/>
        <v/>
      </c>
      <c r="R388" s="51" t="str">
        <f t="shared" si="27"/>
        <v/>
      </c>
      <c r="S388" s="51" t="str">
        <f t="shared" si="28"/>
        <v/>
      </c>
      <c r="T388" s="51" t="str">
        <f t="shared" si="29"/>
        <v/>
      </c>
      <c r="U388" s="42" t="str">
        <f t="shared" si="32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30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31"/>
        <v/>
      </c>
      <c r="M389" s="42" t="str">
        <f t="shared" si="24"/>
        <v/>
      </c>
      <c r="N389" s="12"/>
      <c r="O389" s="23">
        <v>49766</v>
      </c>
      <c r="P389" s="51" t="str">
        <f t="shared" si="25"/>
        <v/>
      </c>
      <c r="Q389" s="51" t="str">
        <f t="shared" si="26"/>
        <v/>
      </c>
      <c r="R389" s="51" t="str">
        <f t="shared" si="27"/>
        <v/>
      </c>
      <c r="S389" s="51" t="str">
        <f t="shared" si="28"/>
        <v/>
      </c>
      <c r="T389" s="51" t="str">
        <f t="shared" si="29"/>
        <v/>
      </c>
      <c r="U389" s="42" t="str">
        <f t="shared" si="32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30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31"/>
        <v/>
      </c>
      <c r="M390" s="42" t="str">
        <f t="shared" si="24"/>
        <v/>
      </c>
      <c r="N390" s="12"/>
      <c r="O390" s="23">
        <v>49796</v>
      </c>
      <c r="P390" s="51" t="str">
        <f t="shared" si="25"/>
        <v/>
      </c>
      <c r="Q390" s="51" t="str">
        <f t="shared" si="26"/>
        <v/>
      </c>
      <c r="R390" s="51" t="str">
        <f t="shared" si="27"/>
        <v/>
      </c>
      <c r="S390" s="51" t="str">
        <f t="shared" si="28"/>
        <v/>
      </c>
      <c r="T390" s="51" t="str">
        <f t="shared" si="29"/>
        <v/>
      </c>
      <c r="U390" s="42" t="str">
        <f t="shared" si="32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30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31"/>
        <v/>
      </c>
      <c r="M391" s="42" t="str">
        <f t="shared" si="24"/>
        <v/>
      </c>
      <c r="N391" s="12"/>
      <c r="O391" s="23">
        <v>49827</v>
      </c>
      <c r="P391" s="51" t="str">
        <f t="shared" si="25"/>
        <v/>
      </c>
      <c r="Q391" s="51" t="str">
        <f t="shared" si="26"/>
        <v/>
      </c>
      <c r="R391" s="51" t="str">
        <f t="shared" si="27"/>
        <v/>
      </c>
      <c r="S391" s="51" t="str">
        <f t="shared" si="28"/>
        <v/>
      </c>
      <c r="T391" s="51" t="str">
        <f t="shared" si="29"/>
        <v/>
      </c>
      <c r="U391" s="42" t="str">
        <f t="shared" si="32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30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31"/>
        <v/>
      </c>
      <c r="M392" s="42" t="str">
        <f t="shared" si="24"/>
        <v/>
      </c>
      <c r="N392" s="12"/>
      <c r="O392" s="23">
        <v>49857</v>
      </c>
      <c r="P392" s="51" t="str">
        <f t="shared" si="25"/>
        <v/>
      </c>
      <c r="Q392" s="51" t="str">
        <f t="shared" si="26"/>
        <v/>
      </c>
      <c r="R392" s="51" t="str">
        <f t="shared" si="27"/>
        <v/>
      </c>
      <c r="S392" s="51" t="str">
        <f t="shared" si="28"/>
        <v/>
      </c>
      <c r="T392" s="51" t="str">
        <f t="shared" si="29"/>
        <v/>
      </c>
      <c r="U392" s="42" t="str">
        <f t="shared" si="32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30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31"/>
        <v/>
      </c>
      <c r="M393" s="42" t="str">
        <f t="shared" si="24"/>
        <v/>
      </c>
      <c r="N393" s="12"/>
      <c r="O393" s="23">
        <v>49888</v>
      </c>
      <c r="P393" s="51" t="str">
        <f t="shared" si="25"/>
        <v/>
      </c>
      <c r="Q393" s="51" t="str">
        <f t="shared" si="26"/>
        <v/>
      </c>
      <c r="R393" s="51" t="str">
        <f t="shared" si="27"/>
        <v/>
      </c>
      <c r="S393" s="51" t="str">
        <f t="shared" si="28"/>
        <v/>
      </c>
      <c r="T393" s="51" t="str">
        <f t="shared" si="29"/>
        <v/>
      </c>
      <c r="U393" s="42" t="str">
        <f t="shared" si="32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30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31"/>
        <v/>
      </c>
      <c r="M394" s="42" t="str">
        <f t="shared" si="24"/>
        <v/>
      </c>
      <c r="N394" s="12"/>
      <c r="O394" s="23">
        <v>49919</v>
      </c>
      <c r="P394" s="51" t="str">
        <f t="shared" si="25"/>
        <v/>
      </c>
      <c r="Q394" s="51" t="str">
        <f t="shared" si="26"/>
        <v/>
      </c>
      <c r="R394" s="51" t="str">
        <f t="shared" si="27"/>
        <v/>
      </c>
      <c r="S394" s="51" t="str">
        <f t="shared" si="28"/>
        <v/>
      </c>
      <c r="T394" s="51" t="str">
        <f t="shared" si="29"/>
        <v/>
      </c>
      <c r="U394" s="42" t="str">
        <f t="shared" si="32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30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31"/>
        <v/>
      </c>
      <c r="M395" s="42" t="str">
        <f t="shared" si="24"/>
        <v/>
      </c>
      <c r="N395" s="12"/>
      <c r="O395" s="23">
        <v>49949</v>
      </c>
      <c r="P395" s="51" t="str">
        <f t="shared" si="25"/>
        <v/>
      </c>
      <c r="Q395" s="51" t="str">
        <f t="shared" si="26"/>
        <v/>
      </c>
      <c r="R395" s="51" t="str">
        <f t="shared" si="27"/>
        <v/>
      </c>
      <c r="S395" s="51" t="str">
        <f t="shared" si="28"/>
        <v/>
      </c>
      <c r="T395" s="51" t="str">
        <f t="shared" si="29"/>
        <v/>
      </c>
      <c r="U395" s="42" t="str">
        <f t="shared" si="32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30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31"/>
        <v/>
      </c>
      <c r="M396" s="42" t="str">
        <f t="shared" si="24"/>
        <v/>
      </c>
      <c r="N396" s="12"/>
      <c r="O396" s="23">
        <v>49980</v>
      </c>
      <c r="P396" s="51" t="str">
        <f t="shared" si="25"/>
        <v/>
      </c>
      <c r="Q396" s="51" t="str">
        <f t="shared" si="26"/>
        <v/>
      </c>
      <c r="R396" s="51" t="str">
        <f t="shared" si="27"/>
        <v/>
      </c>
      <c r="S396" s="51" t="str">
        <f t="shared" si="28"/>
        <v/>
      </c>
      <c r="T396" s="51" t="str">
        <f t="shared" si="29"/>
        <v/>
      </c>
      <c r="U396" s="42" t="str">
        <f t="shared" si="32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30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31"/>
        <v/>
      </c>
      <c r="M397" s="42" t="str">
        <f t="shared" si="24"/>
        <v/>
      </c>
      <c r="N397" s="12"/>
      <c r="O397" s="23">
        <v>50010</v>
      </c>
      <c r="P397" s="51" t="str">
        <f t="shared" si="25"/>
        <v/>
      </c>
      <c r="Q397" s="51" t="str">
        <f t="shared" si="26"/>
        <v/>
      </c>
      <c r="R397" s="51" t="str">
        <f t="shared" si="27"/>
        <v/>
      </c>
      <c r="S397" s="51" t="str">
        <f t="shared" si="28"/>
        <v/>
      </c>
      <c r="T397" s="51" t="str">
        <f t="shared" si="29"/>
        <v/>
      </c>
      <c r="U397" s="42" t="str">
        <f t="shared" si="32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30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31"/>
        <v/>
      </c>
      <c r="M398" s="42" t="str">
        <f t="shared" si="24"/>
        <v/>
      </c>
      <c r="N398" s="12"/>
      <c r="O398" s="23">
        <v>50041</v>
      </c>
      <c r="P398" s="51" t="str">
        <f t="shared" si="25"/>
        <v/>
      </c>
      <c r="Q398" s="51" t="str">
        <f t="shared" si="26"/>
        <v/>
      </c>
      <c r="R398" s="51" t="str">
        <f t="shared" si="27"/>
        <v/>
      </c>
      <c r="S398" s="51" t="str">
        <f t="shared" si="28"/>
        <v/>
      </c>
      <c r="T398" s="51" t="str">
        <f t="shared" si="29"/>
        <v/>
      </c>
      <c r="U398" s="42" t="str">
        <f t="shared" si="32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30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31"/>
        <v/>
      </c>
      <c r="M399" s="42" t="str">
        <f t="shared" si="24"/>
        <v/>
      </c>
      <c r="N399" s="12"/>
      <c r="O399" s="23">
        <v>50072</v>
      </c>
      <c r="P399" s="51" t="str">
        <f t="shared" si="25"/>
        <v/>
      </c>
      <c r="Q399" s="51" t="str">
        <f t="shared" si="26"/>
        <v/>
      </c>
      <c r="R399" s="51" t="str">
        <f t="shared" si="27"/>
        <v/>
      </c>
      <c r="S399" s="51" t="str">
        <f t="shared" si="28"/>
        <v/>
      </c>
      <c r="T399" s="51" t="str">
        <f t="shared" si="29"/>
        <v/>
      </c>
      <c r="U399" s="42" t="str">
        <f t="shared" si="32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30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31"/>
        <v/>
      </c>
      <c r="M400" s="42" t="str">
        <f t="shared" si="24"/>
        <v/>
      </c>
      <c r="N400" s="12"/>
      <c r="O400" s="23">
        <v>50100</v>
      </c>
      <c r="P400" s="51" t="str">
        <f t="shared" si="25"/>
        <v/>
      </c>
      <c r="Q400" s="51" t="str">
        <f t="shared" si="26"/>
        <v/>
      </c>
      <c r="R400" s="51" t="str">
        <f t="shared" si="27"/>
        <v/>
      </c>
      <c r="S400" s="51" t="str">
        <f t="shared" si="28"/>
        <v/>
      </c>
      <c r="T400" s="51" t="str">
        <f t="shared" si="29"/>
        <v/>
      </c>
      <c r="U400" s="42" t="str">
        <f t="shared" si="32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30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31"/>
        <v/>
      </c>
      <c r="M401" s="42" t="str">
        <f t="shared" si="24"/>
        <v/>
      </c>
      <c r="N401" s="12"/>
      <c r="O401" s="23">
        <v>50131</v>
      </c>
      <c r="P401" s="51" t="str">
        <f t="shared" si="25"/>
        <v/>
      </c>
      <c r="Q401" s="51" t="str">
        <f t="shared" si="26"/>
        <v/>
      </c>
      <c r="R401" s="51" t="str">
        <f t="shared" si="27"/>
        <v/>
      </c>
      <c r="S401" s="51" t="str">
        <f t="shared" si="28"/>
        <v/>
      </c>
      <c r="T401" s="51" t="str">
        <f t="shared" si="29"/>
        <v/>
      </c>
      <c r="U401" s="42" t="str">
        <f t="shared" si="32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30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31"/>
        <v/>
      </c>
      <c r="M402" s="42" t="str">
        <f t="shared" si="24"/>
        <v/>
      </c>
      <c r="N402" s="12"/>
      <c r="O402" s="23">
        <v>50161</v>
      </c>
      <c r="P402" s="51" t="str">
        <f t="shared" si="25"/>
        <v/>
      </c>
      <c r="Q402" s="51" t="str">
        <f t="shared" si="26"/>
        <v/>
      </c>
      <c r="R402" s="51" t="str">
        <f t="shared" si="27"/>
        <v/>
      </c>
      <c r="S402" s="51" t="str">
        <f t="shared" si="28"/>
        <v/>
      </c>
      <c r="T402" s="51" t="str">
        <f t="shared" si="29"/>
        <v/>
      </c>
      <c r="U402" s="42" t="str">
        <f t="shared" si="32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30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31"/>
        <v/>
      </c>
      <c r="M403" s="42" t="str">
        <f t="shared" si="24"/>
        <v/>
      </c>
      <c r="N403" s="12"/>
      <c r="O403" s="23">
        <v>50192</v>
      </c>
      <c r="P403" s="51" t="str">
        <f t="shared" si="25"/>
        <v/>
      </c>
      <c r="Q403" s="51" t="str">
        <f t="shared" si="26"/>
        <v/>
      </c>
      <c r="R403" s="51" t="str">
        <f t="shared" si="27"/>
        <v/>
      </c>
      <c r="S403" s="51" t="str">
        <f t="shared" si="28"/>
        <v/>
      </c>
      <c r="T403" s="51" t="str">
        <f t="shared" si="29"/>
        <v/>
      </c>
      <c r="U403" s="42" t="str">
        <f t="shared" si="32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30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31"/>
        <v/>
      </c>
      <c r="M404" s="42" t="str">
        <f t="shared" si="24"/>
        <v/>
      </c>
      <c r="N404" s="12"/>
      <c r="O404" s="23">
        <v>50222</v>
      </c>
      <c r="P404" s="51" t="str">
        <f t="shared" si="25"/>
        <v/>
      </c>
      <c r="Q404" s="51" t="str">
        <f t="shared" si="26"/>
        <v/>
      </c>
      <c r="R404" s="51" t="str">
        <f t="shared" si="27"/>
        <v/>
      </c>
      <c r="S404" s="51" t="str">
        <f t="shared" si="28"/>
        <v/>
      </c>
      <c r="T404" s="51" t="str">
        <f t="shared" si="29"/>
        <v/>
      </c>
      <c r="U404" s="42" t="str">
        <f t="shared" si="32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30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31"/>
        <v/>
      </c>
      <c r="M405" s="42" t="str">
        <f t="shared" si="24"/>
        <v/>
      </c>
      <c r="N405" s="12"/>
      <c r="O405" s="23">
        <v>50253</v>
      </c>
      <c r="P405" s="51" t="str">
        <f t="shared" si="25"/>
        <v/>
      </c>
      <c r="Q405" s="51" t="str">
        <f t="shared" si="26"/>
        <v/>
      </c>
      <c r="R405" s="51" t="str">
        <f t="shared" si="27"/>
        <v/>
      </c>
      <c r="S405" s="51" t="str">
        <f t="shared" si="28"/>
        <v/>
      </c>
      <c r="T405" s="51" t="str">
        <f t="shared" si="29"/>
        <v/>
      </c>
      <c r="U405" s="42" t="str">
        <f t="shared" si="32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30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31"/>
        <v/>
      </c>
      <c r="M406" s="42" t="str">
        <f t="shared" ref="M406:M445" si="33">IF(L406="","",L406/L405-1)</f>
        <v/>
      </c>
      <c r="N406" s="12"/>
      <c r="O406" s="23">
        <v>50284</v>
      </c>
      <c r="P406" s="51" t="str">
        <f t="shared" si="25"/>
        <v/>
      </c>
      <c r="Q406" s="51" t="str">
        <f t="shared" si="26"/>
        <v/>
      </c>
      <c r="R406" s="51" t="str">
        <f t="shared" si="27"/>
        <v/>
      </c>
      <c r="S406" s="51" t="str">
        <f t="shared" si="28"/>
        <v/>
      </c>
      <c r="T406" s="51" t="str">
        <f t="shared" si="29"/>
        <v/>
      </c>
      <c r="U406" s="42" t="str">
        <f t="shared" si="32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30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31"/>
        <v/>
      </c>
      <c r="M407" s="42" t="str">
        <f t="shared" si="33"/>
        <v/>
      </c>
      <c r="N407" s="12"/>
      <c r="O407" s="23">
        <v>50314</v>
      </c>
      <c r="P407" s="51" t="str">
        <f t="shared" si="25"/>
        <v/>
      </c>
      <c r="Q407" s="51" t="str">
        <f t="shared" si="26"/>
        <v/>
      </c>
      <c r="R407" s="51" t="str">
        <f t="shared" si="27"/>
        <v/>
      </c>
      <c r="S407" s="51" t="str">
        <f t="shared" si="28"/>
        <v/>
      </c>
      <c r="T407" s="51" t="str">
        <f t="shared" si="29"/>
        <v/>
      </c>
      <c r="U407" s="42" t="str">
        <f t="shared" si="32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30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31"/>
        <v/>
      </c>
      <c r="M408" s="42" t="str">
        <f t="shared" si="33"/>
        <v/>
      </c>
      <c r="N408" s="12"/>
      <c r="O408" s="23">
        <v>50345</v>
      </c>
      <c r="P408" s="51" t="str">
        <f t="shared" si="25"/>
        <v/>
      </c>
      <c r="Q408" s="51" t="str">
        <f t="shared" si="26"/>
        <v/>
      </c>
      <c r="R408" s="51" t="str">
        <f t="shared" si="27"/>
        <v/>
      </c>
      <c r="S408" s="51" t="str">
        <f t="shared" si="28"/>
        <v/>
      </c>
      <c r="T408" s="51" t="str">
        <f t="shared" si="29"/>
        <v/>
      </c>
      <c r="U408" s="42" t="str">
        <f t="shared" si="32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30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31"/>
        <v/>
      </c>
      <c r="M409" s="42" t="str">
        <f t="shared" si="33"/>
        <v/>
      </c>
      <c r="N409" s="12"/>
      <c r="O409" s="23">
        <v>50375</v>
      </c>
      <c r="P409" s="51" t="str">
        <f t="shared" si="25"/>
        <v/>
      </c>
      <c r="Q409" s="51" t="str">
        <f t="shared" si="26"/>
        <v/>
      </c>
      <c r="R409" s="51" t="str">
        <f t="shared" si="27"/>
        <v/>
      </c>
      <c r="S409" s="51" t="str">
        <f t="shared" si="28"/>
        <v/>
      </c>
      <c r="T409" s="51" t="str">
        <f t="shared" si="29"/>
        <v/>
      </c>
      <c r="U409" s="42" t="str">
        <f t="shared" si="32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30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31"/>
        <v/>
      </c>
      <c r="M410" s="42" t="str">
        <f t="shared" si="33"/>
        <v/>
      </c>
      <c r="N410" s="12"/>
      <c r="O410" s="23">
        <v>50406</v>
      </c>
      <c r="P410" s="51" t="str">
        <f t="shared" si="25"/>
        <v/>
      </c>
      <c r="Q410" s="51" t="str">
        <f t="shared" si="26"/>
        <v/>
      </c>
      <c r="R410" s="51" t="str">
        <f t="shared" si="27"/>
        <v/>
      </c>
      <c r="S410" s="51" t="str">
        <f t="shared" si="28"/>
        <v/>
      </c>
      <c r="T410" s="51" t="str">
        <f t="shared" si="29"/>
        <v/>
      </c>
      <c r="U410" s="42" t="str">
        <f t="shared" si="32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30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31"/>
        <v/>
      </c>
      <c r="M411" s="42" t="str">
        <f t="shared" si="33"/>
        <v/>
      </c>
      <c r="N411" s="12"/>
      <c r="O411" s="23">
        <v>50437</v>
      </c>
      <c r="P411" s="51" t="str">
        <f t="shared" si="25"/>
        <v/>
      </c>
      <c r="Q411" s="51" t="str">
        <f t="shared" si="26"/>
        <v/>
      </c>
      <c r="R411" s="51" t="str">
        <f t="shared" si="27"/>
        <v/>
      </c>
      <c r="S411" s="51" t="str">
        <f t="shared" si="28"/>
        <v/>
      </c>
      <c r="T411" s="51" t="str">
        <f t="shared" si="29"/>
        <v/>
      </c>
      <c r="U411" s="42" t="str">
        <f t="shared" si="32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30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31"/>
        <v/>
      </c>
      <c r="M412" s="42" t="str">
        <f t="shared" si="33"/>
        <v/>
      </c>
      <c r="N412" s="12"/>
      <c r="O412" s="23">
        <v>50465</v>
      </c>
      <c r="P412" s="51" t="str">
        <f t="shared" si="25"/>
        <v/>
      </c>
      <c r="Q412" s="51" t="str">
        <f t="shared" si="26"/>
        <v/>
      </c>
      <c r="R412" s="51" t="str">
        <f t="shared" si="27"/>
        <v/>
      </c>
      <c r="S412" s="51" t="str">
        <f t="shared" si="28"/>
        <v/>
      </c>
      <c r="T412" s="51" t="str">
        <f t="shared" si="29"/>
        <v/>
      </c>
      <c r="U412" s="42" t="str">
        <f t="shared" si="32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30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31"/>
        <v/>
      </c>
      <c r="M413" s="42" t="str">
        <f t="shared" si="33"/>
        <v/>
      </c>
      <c r="N413" s="12"/>
      <c r="O413" s="23">
        <v>50496</v>
      </c>
      <c r="P413" s="51" t="str">
        <f t="shared" si="25"/>
        <v/>
      </c>
      <c r="Q413" s="51" t="str">
        <f t="shared" si="26"/>
        <v/>
      </c>
      <c r="R413" s="51" t="str">
        <f t="shared" si="27"/>
        <v/>
      </c>
      <c r="S413" s="51" t="str">
        <f t="shared" si="28"/>
        <v/>
      </c>
      <c r="T413" s="51" t="str">
        <f t="shared" si="29"/>
        <v/>
      </c>
      <c r="U413" s="42" t="str">
        <f t="shared" si="32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30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31"/>
        <v/>
      </c>
      <c r="M414" s="42" t="str">
        <f t="shared" si="33"/>
        <v/>
      </c>
      <c r="N414" s="12"/>
      <c r="O414" s="23">
        <v>50526</v>
      </c>
      <c r="P414" s="51" t="str">
        <f t="shared" si="25"/>
        <v/>
      </c>
      <c r="Q414" s="51" t="str">
        <f t="shared" si="26"/>
        <v/>
      </c>
      <c r="R414" s="51" t="str">
        <f t="shared" si="27"/>
        <v/>
      </c>
      <c r="S414" s="51" t="str">
        <f t="shared" si="28"/>
        <v/>
      </c>
      <c r="T414" s="51" t="str">
        <f t="shared" si="29"/>
        <v/>
      </c>
      <c r="U414" s="42" t="str">
        <f t="shared" si="32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30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31"/>
        <v/>
      </c>
      <c r="M415" s="42" t="str">
        <f t="shared" si="33"/>
        <v/>
      </c>
      <c r="N415" s="12"/>
      <c r="O415" s="23">
        <v>50557</v>
      </c>
      <c r="P415" s="51" t="str">
        <f t="shared" si="25"/>
        <v/>
      </c>
      <c r="Q415" s="51" t="str">
        <f t="shared" si="26"/>
        <v/>
      </c>
      <c r="R415" s="51" t="str">
        <f t="shared" si="27"/>
        <v/>
      </c>
      <c r="S415" s="51" t="str">
        <f t="shared" si="28"/>
        <v/>
      </c>
      <c r="T415" s="51" t="str">
        <f t="shared" si="29"/>
        <v/>
      </c>
      <c r="U415" s="42" t="str">
        <f t="shared" si="32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30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31"/>
        <v/>
      </c>
      <c r="M416" s="42" t="str">
        <f t="shared" si="33"/>
        <v/>
      </c>
      <c r="N416" s="12"/>
      <c r="O416" s="23">
        <v>50587</v>
      </c>
      <c r="P416" s="51" t="str">
        <f t="shared" si="25"/>
        <v/>
      </c>
      <c r="Q416" s="51" t="str">
        <f t="shared" si="26"/>
        <v/>
      </c>
      <c r="R416" s="51" t="str">
        <f t="shared" si="27"/>
        <v/>
      </c>
      <c r="S416" s="51" t="str">
        <f t="shared" si="28"/>
        <v/>
      </c>
      <c r="T416" s="51" t="str">
        <f t="shared" si="29"/>
        <v/>
      </c>
      <c r="U416" s="42" t="str">
        <f t="shared" si="32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30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31"/>
        <v/>
      </c>
      <c r="M417" s="42" t="str">
        <f t="shared" si="33"/>
        <v/>
      </c>
      <c r="N417" s="12"/>
      <c r="O417" s="23">
        <v>50618</v>
      </c>
      <c r="P417" s="51" t="str">
        <f t="shared" si="25"/>
        <v/>
      </c>
      <c r="Q417" s="51" t="str">
        <f t="shared" si="26"/>
        <v/>
      </c>
      <c r="R417" s="51" t="str">
        <f t="shared" si="27"/>
        <v/>
      </c>
      <c r="S417" s="51" t="str">
        <f t="shared" si="28"/>
        <v/>
      </c>
      <c r="T417" s="51" t="str">
        <f t="shared" si="29"/>
        <v/>
      </c>
      <c r="U417" s="42" t="str">
        <f t="shared" si="32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30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31"/>
        <v/>
      </c>
      <c r="M418" s="42" t="str">
        <f t="shared" si="33"/>
        <v/>
      </c>
      <c r="N418" s="12"/>
      <c r="O418" s="23">
        <v>50649</v>
      </c>
      <c r="P418" s="51" t="str">
        <f t="shared" si="25"/>
        <v/>
      </c>
      <c r="Q418" s="51" t="str">
        <f t="shared" si="26"/>
        <v/>
      </c>
      <c r="R418" s="51" t="str">
        <f t="shared" si="27"/>
        <v/>
      </c>
      <c r="S418" s="51" t="str">
        <f t="shared" si="28"/>
        <v/>
      </c>
      <c r="T418" s="51" t="str">
        <f t="shared" si="29"/>
        <v/>
      </c>
      <c r="U418" s="42" t="str">
        <f t="shared" si="32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30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31"/>
        <v/>
      </c>
      <c r="M419" s="42" t="str">
        <f t="shared" si="33"/>
        <v/>
      </c>
      <c r="N419" s="12"/>
      <c r="O419" s="23">
        <v>50679</v>
      </c>
      <c r="P419" s="51" t="str">
        <f t="shared" si="25"/>
        <v/>
      </c>
      <c r="Q419" s="51" t="str">
        <f t="shared" si="26"/>
        <v/>
      </c>
      <c r="R419" s="51" t="str">
        <f t="shared" si="27"/>
        <v/>
      </c>
      <c r="S419" s="51" t="str">
        <f t="shared" si="28"/>
        <v/>
      </c>
      <c r="T419" s="51" t="str">
        <f t="shared" si="29"/>
        <v/>
      </c>
      <c r="U419" s="42" t="str">
        <f t="shared" si="32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30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31"/>
        <v/>
      </c>
      <c r="M420" s="42" t="str">
        <f t="shared" si="33"/>
        <v/>
      </c>
      <c r="N420" s="12"/>
      <c r="O420" s="23">
        <v>50710</v>
      </c>
      <c r="P420" s="51" t="str">
        <f t="shared" si="25"/>
        <v/>
      </c>
      <c r="Q420" s="51" t="str">
        <f t="shared" si="26"/>
        <v/>
      </c>
      <c r="R420" s="51" t="str">
        <f t="shared" si="27"/>
        <v/>
      </c>
      <c r="S420" s="51" t="str">
        <f t="shared" si="28"/>
        <v/>
      </c>
      <c r="T420" s="51" t="str">
        <f t="shared" si="29"/>
        <v/>
      </c>
      <c r="U420" s="42" t="str">
        <f t="shared" si="32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30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31"/>
        <v/>
      </c>
      <c r="M421" s="42" t="str">
        <f t="shared" si="33"/>
        <v/>
      </c>
      <c r="N421" s="12"/>
      <c r="O421" s="23">
        <v>50740</v>
      </c>
      <c r="P421" s="51" t="str">
        <f t="shared" si="25"/>
        <v/>
      </c>
      <c r="Q421" s="51" t="str">
        <f t="shared" si="26"/>
        <v/>
      </c>
      <c r="R421" s="51" t="str">
        <f t="shared" si="27"/>
        <v/>
      </c>
      <c r="S421" s="51" t="str">
        <f t="shared" si="28"/>
        <v/>
      </c>
      <c r="T421" s="51" t="str">
        <f t="shared" si="29"/>
        <v/>
      </c>
      <c r="U421" s="42" t="str">
        <f t="shared" si="32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30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31"/>
        <v/>
      </c>
      <c r="M422" s="42" t="str">
        <f t="shared" si="33"/>
        <v/>
      </c>
      <c r="N422" s="12"/>
      <c r="O422" s="23">
        <v>50771</v>
      </c>
      <c r="P422" s="51" t="str">
        <f t="shared" si="25"/>
        <v/>
      </c>
      <c r="Q422" s="51" t="str">
        <f t="shared" si="26"/>
        <v/>
      </c>
      <c r="R422" s="51" t="str">
        <f t="shared" si="27"/>
        <v/>
      </c>
      <c r="S422" s="51" t="str">
        <f t="shared" si="28"/>
        <v/>
      </c>
      <c r="T422" s="51" t="str">
        <f t="shared" si="29"/>
        <v/>
      </c>
      <c r="U422" s="42" t="str">
        <f t="shared" si="32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30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31"/>
        <v/>
      </c>
      <c r="M423" s="42" t="str">
        <f t="shared" si="33"/>
        <v/>
      </c>
      <c r="N423" s="12"/>
      <c r="O423" s="23">
        <v>50802</v>
      </c>
      <c r="P423" s="51" t="str">
        <f t="shared" si="25"/>
        <v/>
      </c>
      <c r="Q423" s="51" t="str">
        <f t="shared" si="26"/>
        <v/>
      </c>
      <c r="R423" s="51" t="str">
        <f t="shared" si="27"/>
        <v/>
      </c>
      <c r="S423" s="51" t="str">
        <f t="shared" si="28"/>
        <v/>
      </c>
      <c r="T423" s="51" t="str">
        <f t="shared" si="29"/>
        <v/>
      </c>
      <c r="U423" s="42" t="str">
        <f t="shared" si="32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30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31"/>
        <v/>
      </c>
      <c r="M424" s="42" t="str">
        <f t="shared" si="33"/>
        <v/>
      </c>
      <c r="N424" s="12"/>
      <c r="O424" s="23">
        <v>50830</v>
      </c>
      <c r="P424" s="51" t="str">
        <f t="shared" si="25"/>
        <v/>
      </c>
      <c r="Q424" s="51" t="str">
        <f t="shared" si="26"/>
        <v/>
      </c>
      <c r="R424" s="51" t="str">
        <f t="shared" si="27"/>
        <v/>
      </c>
      <c r="S424" s="51" t="str">
        <f t="shared" si="28"/>
        <v/>
      </c>
      <c r="T424" s="51" t="str">
        <f t="shared" si="29"/>
        <v/>
      </c>
      <c r="U424" s="42" t="str">
        <f t="shared" si="32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30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31"/>
        <v/>
      </c>
      <c r="M425" s="42" t="str">
        <f t="shared" si="33"/>
        <v/>
      </c>
      <c r="N425" s="12"/>
      <c r="O425" s="23">
        <v>50861</v>
      </c>
      <c r="P425" s="51" t="str">
        <f t="shared" si="25"/>
        <v/>
      </c>
      <c r="Q425" s="51" t="str">
        <f t="shared" si="26"/>
        <v/>
      </c>
      <c r="R425" s="51" t="str">
        <f t="shared" si="27"/>
        <v/>
      </c>
      <c r="S425" s="51" t="str">
        <f t="shared" si="28"/>
        <v/>
      </c>
      <c r="T425" s="51" t="str">
        <f t="shared" si="29"/>
        <v/>
      </c>
      <c r="U425" s="42" t="str">
        <f t="shared" si="32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30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31"/>
        <v/>
      </c>
      <c r="M426" s="42" t="str">
        <f t="shared" si="33"/>
        <v/>
      </c>
      <c r="N426" s="12"/>
      <c r="O426" s="23">
        <v>50891</v>
      </c>
      <c r="P426" s="51" t="str">
        <f t="shared" si="25"/>
        <v/>
      </c>
      <c r="Q426" s="51" t="str">
        <f t="shared" si="26"/>
        <v/>
      </c>
      <c r="R426" s="51" t="str">
        <f t="shared" si="27"/>
        <v/>
      </c>
      <c r="S426" s="51" t="str">
        <f t="shared" si="28"/>
        <v/>
      </c>
      <c r="T426" s="51" t="str">
        <f t="shared" si="29"/>
        <v/>
      </c>
      <c r="U426" s="42" t="str">
        <f t="shared" si="32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30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31"/>
        <v/>
      </c>
      <c r="M427" s="42" t="str">
        <f t="shared" si="33"/>
        <v/>
      </c>
      <c r="N427" s="12"/>
      <c r="O427" s="23">
        <v>50922</v>
      </c>
      <c r="P427" s="51" t="str">
        <f t="shared" si="25"/>
        <v/>
      </c>
      <c r="Q427" s="51" t="str">
        <f t="shared" si="26"/>
        <v/>
      </c>
      <c r="R427" s="51" t="str">
        <f t="shared" si="27"/>
        <v/>
      </c>
      <c r="S427" s="51" t="str">
        <f t="shared" si="28"/>
        <v/>
      </c>
      <c r="T427" s="51" t="str">
        <f t="shared" si="29"/>
        <v/>
      </c>
      <c r="U427" s="42" t="str">
        <f t="shared" si="32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30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31"/>
        <v/>
      </c>
      <c r="M428" s="42" t="str">
        <f t="shared" si="33"/>
        <v/>
      </c>
      <c r="N428" s="12"/>
      <c r="O428" s="23">
        <v>50952</v>
      </c>
      <c r="P428" s="51" t="str">
        <f t="shared" si="25"/>
        <v/>
      </c>
      <c r="Q428" s="51" t="str">
        <f t="shared" si="26"/>
        <v/>
      </c>
      <c r="R428" s="51" t="str">
        <f t="shared" si="27"/>
        <v/>
      </c>
      <c r="S428" s="51" t="str">
        <f t="shared" si="28"/>
        <v/>
      </c>
      <c r="T428" s="51" t="str">
        <f t="shared" si="29"/>
        <v/>
      </c>
      <c r="U428" s="42" t="str">
        <f t="shared" si="32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30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31"/>
        <v/>
      </c>
      <c r="M429" s="42" t="str">
        <f t="shared" si="33"/>
        <v/>
      </c>
      <c r="N429" s="12"/>
      <c r="O429" s="23">
        <v>50983</v>
      </c>
      <c r="P429" s="51" t="str">
        <f t="shared" si="25"/>
        <v/>
      </c>
      <c r="Q429" s="51" t="str">
        <f t="shared" si="26"/>
        <v/>
      </c>
      <c r="R429" s="51" t="str">
        <f t="shared" si="27"/>
        <v/>
      </c>
      <c r="S429" s="51" t="str">
        <f t="shared" si="28"/>
        <v/>
      </c>
      <c r="T429" s="51" t="str">
        <f t="shared" si="29"/>
        <v/>
      </c>
      <c r="U429" s="42" t="str">
        <f t="shared" si="32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30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31"/>
        <v/>
      </c>
      <c r="M430" s="42" t="str">
        <f t="shared" si="33"/>
        <v/>
      </c>
      <c r="N430" s="12"/>
      <c r="O430" s="23">
        <v>51014</v>
      </c>
      <c r="P430" s="51" t="str">
        <f t="shared" si="25"/>
        <v/>
      </c>
      <c r="Q430" s="51" t="str">
        <f t="shared" si="26"/>
        <v/>
      </c>
      <c r="R430" s="51" t="str">
        <f t="shared" si="27"/>
        <v/>
      </c>
      <c r="S430" s="51" t="str">
        <f t="shared" si="28"/>
        <v/>
      </c>
      <c r="T430" s="51" t="str">
        <f t="shared" si="29"/>
        <v/>
      </c>
      <c r="U430" s="42" t="str">
        <f t="shared" si="32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30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31"/>
        <v/>
      </c>
      <c r="M431" s="42" t="str">
        <f t="shared" si="33"/>
        <v/>
      </c>
      <c r="N431" s="12"/>
      <c r="O431" s="23">
        <v>51044</v>
      </c>
      <c r="P431" s="51" t="str">
        <f t="shared" si="25"/>
        <v/>
      </c>
      <c r="Q431" s="51" t="str">
        <f t="shared" si="26"/>
        <v/>
      </c>
      <c r="R431" s="51" t="str">
        <f t="shared" si="27"/>
        <v/>
      </c>
      <c r="S431" s="51" t="str">
        <f t="shared" si="28"/>
        <v/>
      </c>
      <c r="T431" s="51" t="str">
        <f t="shared" si="29"/>
        <v/>
      </c>
      <c r="U431" s="42" t="str">
        <f t="shared" si="32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30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31"/>
        <v/>
      </c>
      <c r="M432" s="42" t="str">
        <f t="shared" si="33"/>
        <v/>
      </c>
      <c r="N432" s="12"/>
      <c r="O432" s="23">
        <v>51075</v>
      </c>
      <c r="P432" s="51" t="str">
        <f t="shared" si="25"/>
        <v/>
      </c>
      <c r="Q432" s="51" t="str">
        <f t="shared" si="26"/>
        <v/>
      </c>
      <c r="R432" s="51" t="str">
        <f t="shared" si="27"/>
        <v/>
      </c>
      <c r="S432" s="51" t="str">
        <f t="shared" si="28"/>
        <v/>
      </c>
      <c r="T432" s="51" t="str">
        <f t="shared" si="29"/>
        <v/>
      </c>
      <c r="U432" s="42" t="str">
        <f t="shared" si="32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30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31"/>
        <v/>
      </c>
      <c r="M433" s="42" t="str">
        <f t="shared" si="33"/>
        <v/>
      </c>
      <c r="N433" s="12"/>
      <c r="O433" s="23">
        <v>51105</v>
      </c>
      <c r="P433" s="51" t="str">
        <f t="shared" si="25"/>
        <v/>
      </c>
      <c r="Q433" s="51" t="str">
        <f t="shared" si="26"/>
        <v/>
      </c>
      <c r="R433" s="51" t="str">
        <f t="shared" si="27"/>
        <v/>
      </c>
      <c r="S433" s="51" t="str">
        <f t="shared" si="28"/>
        <v/>
      </c>
      <c r="T433" s="51" t="str">
        <f t="shared" si="29"/>
        <v/>
      </c>
      <c r="U433" s="42" t="str">
        <f t="shared" si="32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30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31"/>
        <v/>
      </c>
      <c r="M434" s="42" t="str">
        <f t="shared" si="33"/>
        <v/>
      </c>
      <c r="N434" s="12"/>
      <c r="O434" s="23">
        <v>51136</v>
      </c>
      <c r="P434" s="51" t="str">
        <f t="shared" ref="P434:P445" si="34">IFERROR((G434*Q$480)/$L434*(100/Q$481),"")</f>
        <v/>
      </c>
      <c r="Q434" s="51" t="str">
        <f t="shared" ref="Q434:Q445" si="35">IFERROR((H434*R$480)/$L434*(100/R$481),"")</f>
        <v/>
      </c>
      <c r="R434" s="51" t="str">
        <f t="shared" ref="R434:R445" si="36">IFERROR((I434*S$480)/$L434*(100/S$481),"")</f>
        <v/>
      </c>
      <c r="S434" s="51" t="str">
        <f t="shared" ref="S434:S445" si="37">IFERROR((J434*T$480)/$L434*(100/T$481),"")</f>
        <v/>
      </c>
      <c r="T434" s="51" t="str">
        <f t="shared" ref="T434:T445" si="38">IFERROR((K434*U$480)/$L434*(100/U$481),"")</f>
        <v/>
      </c>
      <c r="U434" s="42" t="str">
        <f t="shared" si="32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9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40">IF(V676="","",V676)</f>
        <v/>
      </c>
      <c r="M435" s="42" t="str">
        <f t="shared" si="33"/>
        <v/>
      </c>
      <c r="N435" s="12"/>
      <c r="O435" s="23">
        <v>51167</v>
      </c>
      <c r="P435" s="51" t="str">
        <f t="shared" si="34"/>
        <v/>
      </c>
      <c r="Q435" s="51" t="str">
        <f t="shared" si="35"/>
        <v/>
      </c>
      <c r="R435" s="51" t="str">
        <f t="shared" si="36"/>
        <v/>
      </c>
      <c r="S435" s="51" t="str">
        <f t="shared" si="37"/>
        <v/>
      </c>
      <c r="T435" s="51" t="str">
        <f t="shared" si="38"/>
        <v/>
      </c>
      <c r="U435" s="42" t="str">
        <f t="shared" ref="U435:U445" si="41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9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40"/>
        <v/>
      </c>
      <c r="M436" s="42" t="str">
        <f t="shared" si="33"/>
        <v/>
      </c>
      <c r="N436" s="12"/>
      <c r="O436" s="23">
        <v>51196</v>
      </c>
      <c r="P436" s="51" t="str">
        <f t="shared" si="34"/>
        <v/>
      </c>
      <c r="Q436" s="51" t="str">
        <f t="shared" si="35"/>
        <v/>
      </c>
      <c r="R436" s="51" t="str">
        <f t="shared" si="36"/>
        <v/>
      </c>
      <c r="S436" s="51" t="str">
        <f t="shared" si="37"/>
        <v/>
      </c>
      <c r="T436" s="51" t="str">
        <f t="shared" si="38"/>
        <v/>
      </c>
      <c r="U436" s="42" t="str">
        <f t="shared" si="41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9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40"/>
        <v/>
      </c>
      <c r="M437" s="42" t="str">
        <f t="shared" si="33"/>
        <v/>
      </c>
      <c r="N437" s="12"/>
      <c r="O437" s="23">
        <v>51227</v>
      </c>
      <c r="P437" s="51" t="str">
        <f t="shared" si="34"/>
        <v/>
      </c>
      <c r="Q437" s="51" t="str">
        <f t="shared" si="35"/>
        <v/>
      </c>
      <c r="R437" s="51" t="str">
        <f t="shared" si="36"/>
        <v/>
      </c>
      <c r="S437" s="51" t="str">
        <f t="shared" si="37"/>
        <v/>
      </c>
      <c r="T437" s="51" t="str">
        <f t="shared" si="38"/>
        <v/>
      </c>
      <c r="U437" s="42" t="str">
        <f t="shared" si="41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9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40"/>
        <v/>
      </c>
      <c r="M438" s="42" t="str">
        <f t="shared" si="33"/>
        <v/>
      </c>
      <c r="N438" s="12"/>
      <c r="O438" s="23">
        <v>51257</v>
      </c>
      <c r="P438" s="51" t="str">
        <f t="shared" si="34"/>
        <v/>
      </c>
      <c r="Q438" s="51" t="str">
        <f t="shared" si="35"/>
        <v/>
      </c>
      <c r="R438" s="51" t="str">
        <f t="shared" si="36"/>
        <v/>
      </c>
      <c r="S438" s="51" t="str">
        <f t="shared" si="37"/>
        <v/>
      </c>
      <c r="T438" s="51" t="str">
        <f t="shared" si="38"/>
        <v/>
      </c>
      <c r="U438" s="42" t="str">
        <f t="shared" si="41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9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40"/>
        <v/>
      </c>
      <c r="M439" s="42" t="str">
        <f t="shared" si="33"/>
        <v/>
      </c>
      <c r="N439" s="12"/>
      <c r="O439" s="23">
        <v>51288</v>
      </c>
      <c r="P439" s="51" t="str">
        <f t="shared" si="34"/>
        <v/>
      </c>
      <c r="Q439" s="51" t="str">
        <f t="shared" si="35"/>
        <v/>
      </c>
      <c r="R439" s="51" t="str">
        <f t="shared" si="36"/>
        <v/>
      </c>
      <c r="S439" s="51" t="str">
        <f t="shared" si="37"/>
        <v/>
      </c>
      <c r="T439" s="51" t="str">
        <f t="shared" si="38"/>
        <v/>
      </c>
      <c r="U439" s="42" t="str">
        <f t="shared" si="41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9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40"/>
        <v/>
      </c>
      <c r="M440" s="42" t="str">
        <f t="shared" si="33"/>
        <v/>
      </c>
      <c r="N440" s="12"/>
      <c r="O440" s="23">
        <v>51318</v>
      </c>
      <c r="P440" s="51" t="str">
        <f t="shared" si="34"/>
        <v/>
      </c>
      <c r="Q440" s="51" t="str">
        <f t="shared" si="35"/>
        <v/>
      </c>
      <c r="R440" s="51" t="str">
        <f t="shared" si="36"/>
        <v/>
      </c>
      <c r="S440" s="51" t="str">
        <f t="shared" si="37"/>
        <v/>
      </c>
      <c r="T440" s="51" t="str">
        <f t="shared" si="38"/>
        <v/>
      </c>
      <c r="U440" s="42" t="str">
        <f t="shared" si="41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9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40"/>
        <v/>
      </c>
      <c r="M441" s="42" t="str">
        <f t="shared" si="33"/>
        <v/>
      </c>
      <c r="N441" s="12"/>
      <c r="O441" s="23">
        <v>51349</v>
      </c>
      <c r="P441" s="51" t="str">
        <f t="shared" si="34"/>
        <v/>
      </c>
      <c r="Q441" s="51" t="str">
        <f t="shared" si="35"/>
        <v/>
      </c>
      <c r="R441" s="51" t="str">
        <f t="shared" si="36"/>
        <v/>
      </c>
      <c r="S441" s="51" t="str">
        <f t="shared" si="37"/>
        <v/>
      </c>
      <c r="T441" s="51" t="str">
        <f t="shared" si="38"/>
        <v/>
      </c>
      <c r="U441" s="42" t="str">
        <f t="shared" si="41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9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40"/>
        <v/>
      </c>
      <c r="M442" s="42" t="str">
        <f t="shared" si="33"/>
        <v/>
      </c>
      <c r="N442" s="12"/>
      <c r="O442" s="23">
        <v>51380</v>
      </c>
      <c r="P442" s="51" t="str">
        <f t="shared" si="34"/>
        <v/>
      </c>
      <c r="Q442" s="51" t="str">
        <f t="shared" si="35"/>
        <v/>
      </c>
      <c r="R442" s="51" t="str">
        <f t="shared" si="36"/>
        <v/>
      </c>
      <c r="S442" s="51" t="str">
        <f t="shared" si="37"/>
        <v/>
      </c>
      <c r="T442" s="51" t="str">
        <f t="shared" si="38"/>
        <v/>
      </c>
      <c r="U442" s="42" t="str">
        <f t="shared" si="41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9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40"/>
        <v/>
      </c>
      <c r="M443" s="42" t="str">
        <f t="shared" si="33"/>
        <v/>
      </c>
      <c r="N443" s="12"/>
      <c r="O443" s="23">
        <v>51410</v>
      </c>
      <c r="P443" s="51" t="str">
        <f t="shared" si="34"/>
        <v/>
      </c>
      <c r="Q443" s="51" t="str">
        <f t="shared" si="35"/>
        <v/>
      </c>
      <c r="R443" s="51" t="str">
        <f t="shared" si="36"/>
        <v/>
      </c>
      <c r="S443" s="51" t="str">
        <f t="shared" si="37"/>
        <v/>
      </c>
      <c r="T443" s="51" t="str">
        <f t="shared" si="38"/>
        <v/>
      </c>
      <c r="U443" s="42" t="str">
        <f t="shared" si="41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9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40"/>
        <v/>
      </c>
      <c r="M444" s="42" t="str">
        <f t="shared" si="33"/>
        <v/>
      </c>
      <c r="N444" s="12"/>
      <c r="O444" s="23">
        <v>51441</v>
      </c>
      <c r="P444" s="51" t="str">
        <f t="shared" si="34"/>
        <v/>
      </c>
      <c r="Q444" s="51" t="str">
        <f t="shared" si="35"/>
        <v/>
      </c>
      <c r="R444" s="51" t="str">
        <f t="shared" si="36"/>
        <v/>
      </c>
      <c r="S444" s="51" t="str">
        <f t="shared" si="37"/>
        <v/>
      </c>
      <c r="T444" s="51" t="str">
        <f t="shared" si="38"/>
        <v/>
      </c>
      <c r="U444" s="42" t="str">
        <f t="shared" si="41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9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40"/>
        <v/>
      </c>
      <c r="M445" s="57" t="str">
        <f t="shared" si="33"/>
        <v/>
      </c>
      <c r="N445" s="12"/>
      <c r="O445" s="32">
        <v>51471</v>
      </c>
      <c r="P445" s="58" t="str">
        <f t="shared" si="34"/>
        <v/>
      </c>
      <c r="Q445" s="58" t="str">
        <f t="shared" si="35"/>
        <v/>
      </c>
      <c r="R445" s="58" t="str">
        <f t="shared" si="36"/>
        <v/>
      </c>
      <c r="S445" s="58" t="str">
        <f t="shared" si="37"/>
        <v/>
      </c>
      <c r="T445" s="58" t="str">
        <f t="shared" si="38"/>
        <v/>
      </c>
      <c r="U445" s="57" t="str">
        <f t="shared" si="41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71</v>
      </c>
      <c r="G453" s="61" t="s">
        <v>65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1.0101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45689</v>
      </c>
      <c r="G455" s="65"/>
      <c r="H455" s="65"/>
      <c r="I455" s="65">
        <v>1.1001896063226724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46082</v>
      </c>
      <c r="G456" s="65"/>
      <c r="H456" s="65">
        <v>1.5893124911160985</v>
      </c>
      <c r="I456" s="65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>
        <v>46204</v>
      </c>
      <c r="G457" s="65">
        <v>1.2877799999999999</v>
      </c>
      <c r="H457" s="65"/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/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73</v>
      </c>
      <c r="G466" s="38" t="s">
        <v>31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71</v>
      </c>
      <c r="G467" s="69" t="s">
        <v>31</v>
      </c>
      <c r="H467" s="69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45292</v>
      </c>
      <c r="G468" s="63">
        <v>1</v>
      </c>
      <c r="H468" s="63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>
        <v>46082</v>
      </c>
      <c r="G469" s="65">
        <v>1.3951644867221562</v>
      </c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75</v>
      </c>
      <c r="Q480" s="74">
        <v>0.68</v>
      </c>
      <c r="R480" s="74">
        <v>0.09</v>
      </c>
      <c r="S480" s="74">
        <v>0.1</v>
      </c>
      <c r="T480" s="74">
        <v>7.0000000000000007E-2</v>
      </c>
      <c r="U480" s="74">
        <v>0.06</v>
      </c>
      <c r="V480" s="75"/>
      <c r="W480" s="12"/>
    </row>
    <row r="481" spans="5:23" s="59" customFormat="1">
      <c r="E481" s="12"/>
      <c r="F481" s="76" t="s">
        <v>76</v>
      </c>
      <c r="G481" s="7"/>
      <c r="H481" s="7"/>
      <c r="I481" s="7"/>
      <c r="J481" s="7"/>
      <c r="K481" s="12"/>
      <c r="L481" s="76" t="s">
        <v>77</v>
      </c>
      <c r="M481" s="12"/>
      <c r="N481" s="12"/>
      <c r="O481" s="12"/>
      <c r="P481" s="77" t="s">
        <v>78</v>
      </c>
      <c r="Q481" s="78">
        <v>108.6</v>
      </c>
      <c r="R481" s="78">
        <v>115.5</v>
      </c>
      <c r="S481" s="78">
        <v>97.1</v>
      </c>
      <c r="T481" s="78">
        <v>4.7699999999999996</v>
      </c>
      <c r="U481" s="78">
        <v>82.8</v>
      </c>
      <c r="V481" s="71"/>
      <c r="W481" s="12"/>
    </row>
    <row r="482" spans="5:23" s="59" customFormat="1">
      <c r="E482" s="12"/>
      <c r="F482" s="79" t="s">
        <v>3</v>
      </c>
      <c r="G482" s="38" t="s">
        <v>65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31</v>
      </c>
      <c r="N482" s="80"/>
      <c r="O482" s="72"/>
      <c r="P482" s="81" t="s">
        <v>3</v>
      </c>
      <c r="Q482" s="61" t="s">
        <v>65</v>
      </c>
      <c r="R482" s="82" t="s">
        <v>10</v>
      </c>
      <c r="S482" s="82" t="s">
        <v>11</v>
      </c>
      <c r="T482" s="82" t="s">
        <v>12</v>
      </c>
      <c r="U482" s="82" t="s">
        <v>31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153.5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147.80000000000001</v>
      </c>
      <c r="N483" s="83"/>
      <c r="O483" s="12"/>
      <c r="P483" s="84">
        <v>45292</v>
      </c>
      <c r="Q483" s="85">
        <v>42.771961325966871</v>
      </c>
      <c r="R483" s="85">
        <v>33.308174791140736</v>
      </c>
      <c r="S483" s="85">
        <v>28.940862203419272</v>
      </c>
      <c r="T483" s="85">
        <v>-26.415094339622641</v>
      </c>
      <c r="U483" s="85">
        <v>78.502415458937207</v>
      </c>
      <c r="V483" s="85">
        <v>137.83784397696471</v>
      </c>
      <c r="W483" s="12"/>
    </row>
    <row r="484" spans="5:23" s="59" customFormat="1">
      <c r="E484" s="12"/>
      <c r="F484" s="23">
        <v>45323</v>
      </c>
      <c r="G484" s="39">
        <v>153.5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150.30000000000001</v>
      </c>
      <c r="N484" s="39"/>
      <c r="O484" s="12"/>
      <c r="P484" s="23">
        <v>45323</v>
      </c>
      <c r="Q484" s="86">
        <v>42.771961325966871</v>
      </c>
      <c r="R484" s="86">
        <v>32.626291544127234</v>
      </c>
      <c r="S484" s="86">
        <v>28.732051090539233</v>
      </c>
      <c r="T484" s="86">
        <v>-33.333333333333329</v>
      </c>
      <c r="U484" s="86">
        <v>81.521739130434796</v>
      </c>
      <c r="V484" s="86">
        <v>137.45247606417558</v>
      </c>
      <c r="W484" s="12"/>
    </row>
    <row r="485" spans="5:23" s="59" customFormat="1">
      <c r="E485" s="12"/>
      <c r="F485" s="23">
        <v>45352</v>
      </c>
      <c r="G485" s="39">
        <v>153.5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166.1</v>
      </c>
      <c r="N485" s="39"/>
      <c r="O485" s="12"/>
      <c r="P485" s="23">
        <v>45352</v>
      </c>
      <c r="Q485" s="86">
        <v>42.771961325966871</v>
      </c>
      <c r="R485" s="86">
        <v>33.87641083031864</v>
      </c>
      <c r="S485" s="86">
        <v>27.68799552613908</v>
      </c>
      <c r="T485" s="86">
        <v>-32.285115303983225</v>
      </c>
      <c r="U485" s="86">
        <v>100.60386473429952</v>
      </c>
      <c r="V485" s="86">
        <v>138.67888404177921</v>
      </c>
      <c r="W485" s="12"/>
    </row>
    <row r="486" spans="5:23" s="59" customFormat="1">
      <c r="E486" s="12"/>
      <c r="F486" s="23">
        <v>45383</v>
      </c>
      <c r="G486" s="39">
        <v>154.80000000000001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162</v>
      </c>
      <c r="N486" s="39"/>
      <c r="O486" s="12"/>
      <c r="P486" s="23">
        <v>45383</v>
      </c>
      <c r="Q486" s="86">
        <v>43.981104972375704</v>
      </c>
      <c r="R486" s="86">
        <v>34.558294077332171</v>
      </c>
      <c r="S486" s="86">
        <v>28.001212195459129</v>
      </c>
      <c r="T486" s="86">
        <v>-29.140461215932913</v>
      </c>
      <c r="U486" s="86">
        <v>95.652173913043484</v>
      </c>
      <c r="V486" s="86">
        <v>139.51681721738859</v>
      </c>
      <c r="W486" s="12"/>
    </row>
    <row r="487" spans="5:23" s="59" customFormat="1">
      <c r="E487" s="12"/>
      <c r="F487" s="23">
        <v>45413</v>
      </c>
      <c r="G487" s="39">
        <v>154.80000000000001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161.1</v>
      </c>
      <c r="N487" s="39"/>
      <c r="O487" s="12"/>
      <c r="P487" s="23">
        <v>45413</v>
      </c>
      <c r="Q487" s="86">
        <v>43.981104972375704</v>
      </c>
      <c r="R487" s="86">
        <v>34.558294077332171</v>
      </c>
      <c r="S487" s="86">
        <v>27.583589969699073</v>
      </c>
      <c r="T487" s="86">
        <v>-28.930817610062888</v>
      </c>
      <c r="U487" s="86">
        <v>94.565217391304344</v>
      </c>
      <c r="V487" s="86">
        <v>139.42451265591916</v>
      </c>
      <c r="W487" s="12"/>
    </row>
    <row r="488" spans="5:23" s="59" customFormat="1">
      <c r="E488" s="12"/>
      <c r="F488" s="23">
        <v>45444</v>
      </c>
      <c r="G488" s="39">
        <v>154.80000000000001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127.9</v>
      </c>
      <c r="N488" s="39"/>
      <c r="O488" s="12"/>
      <c r="P488" s="23">
        <v>45444</v>
      </c>
      <c r="Q488" s="86">
        <v>43.981104972375704</v>
      </c>
      <c r="R488" s="86">
        <v>34.671941285167748</v>
      </c>
      <c r="S488" s="86">
        <v>28.105617751899153</v>
      </c>
      <c r="T488" s="86">
        <v>-28.092243186582799</v>
      </c>
      <c r="U488" s="86">
        <v>54.468599033816432</v>
      </c>
      <c r="V488" s="86">
        <v>137.13984679103868</v>
      </c>
      <c r="W488" s="12"/>
    </row>
    <row r="489" spans="5:23" s="59" customFormat="1">
      <c r="E489" s="12"/>
      <c r="F489" s="23">
        <v>45474</v>
      </c>
      <c r="G489" s="39">
        <v>156.1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127.9</v>
      </c>
      <c r="N489" s="39"/>
      <c r="O489" s="12"/>
      <c r="P489" s="23">
        <v>45474</v>
      </c>
      <c r="Q489" s="86">
        <v>45.190248618784523</v>
      </c>
      <c r="R489" s="86">
        <v>34.671941285167748</v>
      </c>
      <c r="S489" s="86">
        <v>28.627645534099223</v>
      </c>
      <c r="T489" s="86">
        <v>-26.834381551362675</v>
      </c>
      <c r="U489" s="86">
        <v>54.468599033816432</v>
      </c>
      <c r="V489" s="86">
        <v>138.1023175632821</v>
      </c>
      <c r="W489" s="12"/>
    </row>
    <row r="490" spans="5:23" s="59" customFormat="1">
      <c r="E490" s="12"/>
      <c r="F490" s="23">
        <v>45505</v>
      </c>
      <c r="G490" s="39">
        <v>156.1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129.6</v>
      </c>
      <c r="N490" s="39"/>
      <c r="O490" s="12"/>
      <c r="P490" s="23">
        <v>45505</v>
      </c>
      <c r="Q490" s="86">
        <v>45.190248618784523</v>
      </c>
      <c r="R490" s="86">
        <v>34.671941285167748</v>
      </c>
      <c r="S490" s="86">
        <v>28.627645534099223</v>
      </c>
      <c r="T490" s="86">
        <v>-28.721174004192868</v>
      </c>
      <c r="U490" s="86">
        <v>56.521739130434781</v>
      </c>
      <c r="V490" s="86">
        <v>138.09343049738109</v>
      </c>
      <c r="W490" s="12"/>
    </row>
    <row r="491" spans="5:23" s="59" customFormat="1">
      <c r="E491" s="12"/>
      <c r="F491" s="23">
        <v>45536</v>
      </c>
      <c r="G491" s="39">
        <v>156.1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130.4</v>
      </c>
      <c r="N491" s="39"/>
      <c r="O491" s="12"/>
      <c r="P491" s="23">
        <v>45536</v>
      </c>
      <c r="Q491" s="86">
        <v>45.190248618784523</v>
      </c>
      <c r="R491" s="86">
        <v>36.14935498703035</v>
      </c>
      <c r="S491" s="86">
        <v>28.836456646979258</v>
      </c>
      <c r="T491" s="86">
        <v>-34.591194968553452</v>
      </c>
      <c r="U491" s="86">
        <v>57.48792270531402</v>
      </c>
      <c r="V491" s="86">
        <v>137.89434838882423</v>
      </c>
      <c r="W491" s="12"/>
    </row>
    <row r="492" spans="5:23" s="59" customFormat="1">
      <c r="E492" s="12"/>
      <c r="F492" s="23">
        <v>45566</v>
      </c>
      <c r="G492" s="39">
        <v>158.9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153.4</v>
      </c>
      <c r="N492" s="39"/>
      <c r="O492" s="12"/>
      <c r="P492" s="23">
        <v>45566</v>
      </c>
      <c r="Q492" s="86">
        <v>47.794558011049745</v>
      </c>
      <c r="R492" s="86">
        <v>35.581118947852424</v>
      </c>
      <c r="S492" s="86">
        <v>29.045267759859279</v>
      </c>
      <c r="T492" s="86">
        <v>-36.058700209643604</v>
      </c>
      <c r="U492" s="86">
        <v>85.265700483091805</v>
      </c>
      <c r="V492" s="86">
        <v>141.19895994311693</v>
      </c>
      <c r="W492" s="12"/>
    </row>
    <row r="493" spans="5:23" s="59" customFormat="1">
      <c r="E493" s="12"/>
      <c r="F493" s="23">
        <v>45597</v>
      </c>
      <c r="G493" s="39">
        <v>158.9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136.4</v>
      </c>
      <c r="N493" s="39"/>
      <c r="O493" s="12"/>
      <c r="P493" s="23">
        <v>45597</v>
      </c>
      <c r="Q493" s="86">
        <v>47.794558011049745</v>
      </c>
      <c r="R493" s="86">
        <v>35.126530116510096</v>
      </c>
      <c r="S493" s="86">
        <v>28.940862203419272</v>
      </c>
      <c r="T493" s="86">
        <v>-40.880503144654085</v>
      </c>
      <c r="U493" s="86">
        <v>64.734299516908223</v>
      </c>
      <c r="V493" s="86">
        <v>139.57819612923038</v>
      </c>
      <c r="W493" s="12"/>
    </row>
    <row r="494" spans="5:23" s="59" customFormat="1">
      <c r="E494" s="12"/>
      <c r="F494" s="23">
        <v>45627</v>
      </c>
      <c r="G494" s="39">
        <v>158.9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162.80000000000001</v>
      </c>
      <c r="N494" s="39"/>
      <c r="O494" s="12"/>
      <c r="P494" s="23">
        <v>45627</v>
      </c>
      <c r="Q494" s="86">
        <v>47.794558011049745</v>
      </c>
      <c r="R494" s="86">
        <v>35.922060571359175</v>
      </c>
      <c r="S494" s="86">
        <v>28.314428864779188</v>
      </c>
      <c r="T494" s="86">
        <v>-39.203354297693913</v>
      </c>
      <c r="U494" s="86">
        <v>96.618357487922722</v>
      </c>
      <c r="V494" s="86">
        <v>141.61759443385085</v>
      </c>
      <c r="W494" s="12"/>
    </row>
    <row r="495" spans="5:23" s="59" customFormat="1">
      <c r="E495" s="12"/>
      <c r="F495" s="23">
        <v>45658</v>
      </c>
      <c r="G495" s="39">
        <v>159.5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172.2</v>
      </c>
      <c r="N495" s="39"/>
      <c r="O495" s="12"/>
      <c r="P495" s="23">
        <v>45658</v>
      </c>
      <c r="Q495" s="86">
        <v>48.352624309392276</v>
      </c>
      <c r="R495" s="86">
        <v>35.467471740016848</v>
      </c>
      <c r="S495" s="86">
        <v>28.627645534099223</v>
      </c>
      <c r="T495" s="86">
        <v>-44.025157232704402</v>
      </c>
      <c r="U495" s="86">
        <v>107.97101449275361</v>
      </c>
      <c r="V495" s="86">
        <v>142.3311214036741</v>
      </c>
      <c r="W495" s="12"/>
    </row>
    <row r="496" spans="5:23" s="59" customFormat="1">
      <c r="E496" s="12"/>
      <c r="F496" s="23">
        <v>45689</v>
      </c>
      <c r="G496" s="39">
        <v>159.5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163.69999999999999</v>
      </c>
      <c r="N496" s="39"/>
      <c r="O496" s="12"/>
      <c r="P496" s="23">
        <v>45689</v>
      </c>
      <c r="Q496" s="86">
        <v>48.352624309392276</v>
      </c>
      <c r="R496" s="86">
        <v>35.126530116510096</v>
      </c>
      <c r="S496" s="86">
        <v>28.940862203419282</v>
      </c>
      <c r="T496" s="86">
        <v>-40.880503144654085</v>
      </c>
      <c r="U496" s="86">
        <v>97.705314009661819</v>
      </c>
      <c r="V496" s="86">
        <v>141.93594208166851</v>
      </c>
      <c r="W496" s="12"/>
    </row>
    <row r="497" spans="5:23" s="59" customFormat="1">
      <c r="E497" s="12"/>
      <c r="F497" s="23">
        <v>45717</v>
      </c>
      <c r="G497" s="39">
        <v>159.5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167.2</v>
      </c>
      <c r="N497" s="39"/>
      <c r="O497" s="12"/>
      <c r="P497" s="23">
        <v>45717</v>
      </c>
      <c r="Q497" s="86">
        <v>48.352624309392276</v>
      </c>
      <c r="R497" s="86">
        <v>35.922060571359175</v>
      </c>
      <c r="S497" s="86">
        <v>28.147728604628469</v>
      </c>
      <c r="T497" s="86">
        <v>-42.767295597484271</v>
      </c>
      <c r="U497" s="86">
        <v>101.93236714975843</v>
      </c>
      <c r="V497" s="86">
        <v>142.04977417943354</v>
      </c>
      <c r="W497" s="12"/>
    </row>
    <row r="498" spans="5:23" s="59" customFormat="1">
      <c r="E498" s="12"/>
      <c r="F498" s="23">
        <v>45748</v>
      </c>
      <c r="G498" s="39">
        <v>160.30000000000001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182.6</v>
      </c>
      <c r="N498" s="39"/>
      <c r="O498" s="12"/>
      <c r="P498" s="23">
        <v>45748</v>
      </c>
      <c r="Q498" s="86">
        <v>49.096712707182348</v>
      </c>
      <c r="R498" s="86">
        <v>37.285827065386187</v>
      </c>
      <c r="S498" s="86">
        <v>27.921119004973971</v>
      </c>
      <c r="T498" s="86">
        <v>-43.605870020964353</v>
      </c>
      <c r="U498" s="86">
        <v>120.53140096618358</v>
      </c>
      <c r="V498" s="86">
        <v>143.71307413376968</v>
      </c>
      <c r="W498" s="12"/>
    </row>
    <row r="499" spans="5:23" s="59" customFormat="1">
      <c r="E499" s="12"/>
      <c r="F499" s="23">
        <v>45778</v>
      </c>
      <c r="G499" s="39">
        <v>160.30000000000001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154.4</v>
      </c>
      <c r="N499" s="39"/>
      <c r="O499" s="12"/>
      <c r="P499" s="23">
        <v>45778</v>
      </c>
      <c r="Q499" s="86">
        <v>49.096712707182348</v>
      </c>
      <c r="R499" s="86">
        <v>36.603943818372677</v>
      </c>
      <c r="S499" s="86">
        <v>27.807814205146709</v>
      </c>
      <c r="T499" s="86">
        <v>-42.34800838574423</v>
      </c>
      <c r="U499" s="86">
        <v>86.473429951690832</v>
      </c>
      <c r="V499" s="86">
        <v>141.68494621515157</v>
      </c>
      <c r="W499" s="12"/>
    </row>
    <row r="500" spans="5:23" s="59" customFormat="1">
      <c r="E500" s="12"/>
      <c r="F500" s="23">
        <v>45809</v>
      </c>
      <c r="G500" s="39">
        <v>160.30000000000001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124.5</v>
      </c>
      <c r="N500" s="39"/>
      <c r="O500" s="12"/>
      <c r="P500" s="23">
        <v>45809</v>
      </c>
      <c r="Q500" s="86">
        <v>49.096712707182348</v>
      </c>
      <c r="R500" s="86">
        <v>36.717591026208254</v>
      </c>
      <c r="S500" s="86">
        <v>29.847300602037347</v>
      </c>
      <c r="T500" s="86">
        <v>-45.283018867924525</v>
      </c>
      <c r="U500" s="86">
        <v>50.362318840579711</v>
      </c>
      <c r="V500" s="86">
        <v>139.52700570312655</v>
      </c>
      <c r="W500" s="12"/>
    </row>
    <row r="501" spans="5:23" s="59" customFormat="1">
      <c r="E501" s="12"/>
      <c r="F501" s="23">
        <v>45839</v>
      </c>
      <c r="G501" s="39">
        <v>161.4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123.7</v>
      </c>
      <c r="N501" s="39"/>
      <c r="O501" s="12"/>
      <c r="P501" s="23">
        <v>45839</v>
      </c>
      <c r="Q501" s="86">
        <v>50.119834254143669</v>
      </c>
      <c r="R501" s="86">
        <v>36.831238234043859</v>
      </c>
      <c r="S501" s="86">
        <v>30.187215001519125</v>
      </c>
      <c r="T501" s="86">
        <v>-44.025157232704402</v>
      </c>
      <c r="U501" s="86">
        <v>49.396135265700494</v>
      </c>
      <c r="V501" s="86">
        <v>140.2970273436863</v>
      </c>
      <c r="W501" s="12"/>
    </row>
    <row r="502" spans="5:23" s="59" customFormat="1">
      <c r="E502" s="12"/>
      <c r="F502" s="23">
        <v>45870</v>
      </c>
      <c r="G502" s="39">
        <v>161.4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116</v>
      </c>
      <c r="N502" s="39"/>
      <c r="O502" s="12"/>
      <c r="P502" s="23">
        <v>45870</v>
      </c>
      <c r="Q502" s="86">
        <v>50.119834254143669</v>
      </c>
      <c r="R502" s="86">
        <v>37.17217985755061</v>
      </c>
      <c r="S502" s="86">
        <v>29.620691002382831</v>
      </c>
      <c r="T502" s="86">
        <v>-42.34800838574423</v>
      </c>
      <c r="U502" s="86">
        <v>40.096618357487927</v>
      </c>
      <c r="V502" s="86">
        <v>139.83048909468272</v>
      </c>
      <c r="W502" s="12"/>
    </row>
    <row r="503" spans="5:23" s="59" customFormat="1">
      <c r="E503" s="12"/>
      <c r="F503" s="23">
        <v>45901</v>
      </c>
      <c r="G503" s="39">
        <v>161.4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132.19999999999999</v>
      </c>
      <c r="N503" s="39"/>
      <c r="O503" s="12"/>
      <c r="P503" s="23">
        <v>45901</v>
      </c>
      <c r="Q503" s="86">
        <v>50.119834254143669</v>
      </c>
      <c r="R503" s="86">
        <v>39.217829598591116</v>
      </c>
      <c r="S503" s="86">
        <v>30.073910201691863</v>
      </c>
      <c r="T503" s="86">
        <v>-43.605870020964353</v>
      </c>
      <c r="U503" s="86">
        <v>59.661835748792257</v>
      </c>
      <c r="V503" s="86">
        <v>141.14578222032011</v>
      </c>
      <c r="W503" s="12"/>
    </row>
    <row r="504" spans="5:23" s="59" customFormat="1">
      <c r="E504" s="12"/>
      <c r="F504" s="23">
        <v>45931</v>
      </c>
      <c r="G504" s="39">
        <v>162.9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123.7</v>
      </c>
      <c r="N504" s="39"/>
      <c r="O504" s="12"/>
      <c r="P504" s="23">
        <v>45931</v>
      </c>
      <c r="Q504" s="86">
        <v>51.515000000000001</v>
      </c>
      <c r="R504" s="86">
        <v>38.308651935906468</v>
      </c>
      <c r="S504" s="86">
        <v>28.374338204282989</v>
      </c>
      <c r="T504" s="86">
        <v>-42.767295597484271</v>
      </c>
      <c r="U504" s="86">
        <v>49.396135265700494</v>
      </c>
      <c r="V504" s="86">
        <v>141.28546991877801</v>
      </c>
      <c r="W504" s="12"/>
    </row>
    <row r="505" spans="5:23" s="59" customFormat="1">
      <c r="E505" s="12"/>
      <c r="F505" s="23">
        <v>45962</v>
      </c>
      <c r="G505" s="39">
        <v>162.9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116</v>
      </c>
      <c r="N505" s="39"/>
      <c r="O505" s="12"/>
      <c r="P505" s="23">
        <v>45962</v>
      </c>
      <c r="Q505" s="39">
        <v>51.515000000000001</v>
      </c>
      <c r="R505" s="39">
        <v>38.195004728070863</v>
      </c>
      <c r="S505" s="39">
        <v>28.374338204282989</v>
      </c>
      <c r="T505" s="39">
        <v>-42.138364779874216</v>
      </c>
      <c r="U505" s="39">
        <v>40.096618357487927</v>
      </c>
      <c r="V505" s="86">
        <v>140.76129581281276</v>
      </c>
      <c r="W505" s="12"/>
    </row>
    <row r="506" spans="5:23" s="59" customFormat="1">
      <c r="E506" s="12"/>
      <c r="F506" s="23">
        <v>45992</v>
      </c>
      <c r="G506" s="39">
        <v>162.9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146.69999999999999</v>
      </c>
      <c r="N506" s="39"/>
      <c r="O506" s="12"/>
      <c r="P506" s="23">
        <v>45992</v>
      </c>
      <c r="Q506" s="39">
        <v>51.515000000000001</v>
      </c>
      <c r="R506" s="39">
        <v>38.763240767248796</v>
      </c>
      <c r="S506" s="39">
        <v>30.073910201691863</v>
      </c>
      <c r="T506" s="39">
        <v>-43.815513626834374</v>
      </c>
      <c r="U506" s="39">
        <v>77.173913043478251</v>
      </c>
      <c r="V506" s="86">
        <v>143.08963151795189</v>
      </c>
      <c r="W506" s="12"/>
    </row>
    <row r="507" spans="5:23" s="59" customFormat="1">
      <c r="E507" s="12"/>
      <c r="F507" s="23">
        <v>46023</v>
      </c>
      <c r="G507" s="39">
        <v>164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145.9</v>
      </c>
      <c r="N507" s="39"/>
      <c r="O507" s="12"/>
      <c r="P507" s="23">
        <v>46023</v>
      </c>
      <c r="Q507" s="39">
        <v>52.538121546961328</v>
      </c>
      <c r="R507" s="39">
        <v>38.308651935906468</v>
      </c>
      <c r="S507" s="39">
        <v>29.167471803073795</v>
      </c>
      <c r="T507" s="39">
        <v>-43.605870020964353</v>
      </c>
      <c r="U507" s="39">
        <v>76.207729468599055</v>
      </c>
      <c r="V507" s="86">
        <v>143.61050137312111</v>
      </c>
      <c r="W507" s="12"/>
    </row>
    <row r="508" spans="5:23" s="59" customFormat="1">
      <c r="E508" s="12"/>
      <c r="F508" s="23">
        <v>46054</v>
      </c>
      <c r="G508" s="39">
        <v>164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140.80000000000001</v>
      </c>
      <c r="N508" s="39"/>
      <c r="O508" s="12"/>
      <c r="P508" s="23">
        <v>46054</v>
      </c>
      <c r="Q508" s="39">
        <v>52.538121546961328</v>
      </c>
      <c r="R508" s="39">
        <v>37.740415896728543</v>
      </c>
      <c r="S508" s="39">
        <v>28.034423804801222</v>
      </c>
      <c r="T508" s="39">
        <v>-41.509433962264147</v>
      </c>
      <c r="U508" s="39">
        <v>70.048309178743978</v>
      </c>
      <c r="V508" s="86">
        <v>143.22324063648554</v>
      </c>
      <c r="W508" s="12"/>
    </row>
    <row r="509" spans="5:23" s="59" customFormat="1">
      <c r="E509" s="12"/>
      <c r="F509" s="23">
        <v>46082</v>
      </c>
      <c r="G509" s="39">
        <v>164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110.7</v>
      </c>
      <c r="N509" s="39"/>
      <c r="O509" s="12"/>
      <c r="P509" s="23">
        <v>46082</v>
      </c>
      <c r="Q509" s="39">
        <v>52.538121546961328</v>
      </c>
      <c r="R509" s="39">
        <v>36.956079862151753</v>
      </c>
      <c r="S509" s="39">
        <v>26.78807100670139</v>
      </c>
      <c r="T509" s="39">
        <v>-42.138364779874216</v>
      </c>
      <c r="U509" s="39">
        <v>86.527425942201333</v>
      </c>
      <c r="V509" s="86">
        <v>143.97273696213838</v>
      </c>
      <c r="W509" s="12"/>
    </row>
    <row r="510" spans="5:23" s="59" customFormat="1">
      <c r="E510" s="12"/>
      <c r="F510" s="23">
        <v>46113</v>
      </c>
      <c r="G510" s="39">
        <v>165.1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120.49</v>
      </c>
      <c r="N510" s="39"/>
      <c r="O510" s="12"/>
      <c r="P510" s="23">
        <v>46113</v>
      </c>
      <c r="Q510" s="39">
        <v>53.561243093922648</v>
      </c>
      <c r="R510" s="39">
        <v>38.345868274296599</v>
      </c>
      <c r="S510" s="39">
        <v>27.354595005837673</v>
      </c>
      <c r="T510" s="39">
        <v>-44.025157232704402</v>
      </c>
      <c r="U510" s="39">
        <v>103.02339251830024</v>
      </c>
      <c r="V510" s="86">
        <v>145.70787549394657</v>
      </c>
      <c r="W510" s="12"/>
    </row>
    <row r="511" spans="5:23" s="59" customFormat="1">
      <c r="E511" s="12"/>
      <c r="F511" s="23">
        <v>46143</v>
      </c>
      <c r="G511" s="39">
        <v>165.1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114.98</v>
      </c>
      <c r="N511" s="39"/>
      <c r="O511" s="12"/>
      <c r="P511" s="23">
        <v>46143</v>
      </c>
      <c r="Q511" s="39">
        <v>53.561243093922648</v>
      </c>
      <c r="R511" s="39">
        <v>38.290827149063119</v>
      </c>
      <c r="S511" s="39">
        <v>29.394081402728311</v>
      </c>
      <c r="T511" s="39">
        <v>-34.800838574423473</v>
      </c>
      <c r="U511" s="39">
        <v>93.739145752794144</v>
      </c>
      <c r="V511" s="86">
        <v>145.99551793251391</v>
      </c>
      <c r="W511" s="12"/>
    </row>
    <row r="512" spans="5:23" s="59" customFormat="1">
      <c r="E512" s="12"/>
      <c r="F512" s="23">
        <v>46174</v>
      </c>
      <c r="G512" s="39">
        <v>165.1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96.64</v>
      </c>
      <c r="N512" s="39"/>
      <c r="O512" s="12"/>
      <c r="P512" s="23">
        <v>46174</v>
      </c>
      <c r="Q512" s="39">
        <v>53.561243093922648</v>
      </c>
      <c r="R512" s="39">
        <v>38.621073900463848</v>
      </c>
      <c r="S512" s="39">
        <v>26.901375806528645</v>
      </c>
      <c r="T512" s="39">
        <v>-34.800838574423473</v>
      </c>
      <c r="U512" s="39">
        <v>62.836589368151174</v>
      </c>
      <c r="V512" s="86">
        <v>143.92181619744144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103.98</v>
      </c>
      <c r="N513" s="39"/>
      <c r="O513" s="12"/>
      <c r="P513" s="23">
        <v>46204</v>
      </c>
      <c r="Q513" s="39">
        <v>54.272723756906061</v>
      </c>
      <c r="R513" s="39">
        <v>39.419170216349009</v>
      </c>
      <c r="S513" s="39">
        <v>27.127985406183157</v>
      </c>
      <c r="T513" s="39">
        <v>-38.784067085953879</v>
      </c>
      <c r="U513" s="39">
        <v>75.20435184706497</v>
      </c>
      <c r="V513" s="86">
        <v>144.96335242959299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100.92</v>
      </c>
      <c r="N514" s="39"/>
      <c r="O514" s="12"/>
      <c r="P514" s="23">
        <v>46235</v>
      </c>
      <c r="Q514" s="39">
        <v>54.272723756906061</v>
      </c>
      <c r="R514" s="39">
        <v>39.74941696774976</v>
      </c>
      <c r="S514" s="39">
        <v>28.600947803937515</v>
      </c>
      <c r="T514" s="39">
        <v>-39.412997903563934</v>
      </c>
      <c r="U514" s="39">
        <v>70.048309178743978</v>
      </c>
      <c r="V514" s="86">
        <v>144.7869831596625</v>
      </c>
      <c r="W514" s="12"/>
    </row>
    <row r="515" spans="5:23" s="59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101.53</v>
      </c>
      <c r="N515" s="39"/>
      <c r="O515" s="12"/>
      <c r="P515" s="23">
        <v>46266</v>
      </c>
      <c r="Q515" s="39">
        <v>54.272723756906061</v>
      </c>
      <c r="R515" s="39">
        <v>41.620815225687338</v>
      </c>
      <c r="S515" s="39">
        <v>30.640434200828143</v>
      </c>
      <c r="T515" s="39">
        <v>-34.591194968553452</v>
      </c>
      <c r="U515" s="39">
        <v>71.076147749879851</v>
      </c>
      <c r="V515" s="86">
        <v>145.55855416228485</v>
      </c>
      <c r="W515" s="12"/>
    </row>
    <row r="516" spans="5:23" s="59" customFormat="1">
      <c r="E516" s="12"/>
      <c r="F516" s="23">
        <v>46296</v>
      </c>
      <c r="G516" s="39"/>
      <c r="H516" s="39"/>
      <c r="I516" s="39"/>
      <c r="J516" s="39"/>
      <c r="K516" s="12"/>
      <c r="L516" s="23">
        <v>46296</v>
      </c>
      <c r="M516" s="39"/>
      <c r="N516" s="39"/>
      <c r="O516" s="12"/>
      <c r="P516" s="23">
        <v>46296</v>
      </c>
      <c r="Q516" s="39"/>
      <c r="R516" s="39"/>
      <c r="S516" s="39"/>
      <c r="T516" s="39"/>
      <c r="U516" s="39"/>
      <c r="V516" s="86"/>
      <c r="W516" s="12"/>
    </row>
    <row r="517" spans="5:23" s="59" customFormat="1">
      <c r="E517" s="12"/>
      <c r="F517" s="23">
        <v>46327</v>
      </c>
      <c r="G517" s="39"/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/>
      <c r="R517" s="39"/>
      <c r="S517" s="39"/>
      <c r="T517" s="39"/>
      <c r="U517" s="39"/>
      <c r="V517" s="86"/>
      <c r="W517" s="12"/>
    </row>
    <row r="518" spans="5:23" s="59" customFormat="1" hidden="1">
      <c r="E518" s="12"/>
      <c r="F518" s="23">
        <v>46357</v>
      </c>
      <c r="G518" s="39"/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/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5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topLeftCell="A65" zoomScale="115" zoomScaleNormal="100" zoomScaleSheetLayoutView="115" workbookViewId="0">
      <selection activeCell="F83" sqref="F83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9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5" t="s">
        <v>7</v>
      </c>
      <c r="G12" s="135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El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94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17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 t="s">
        <v>79</v>
      </c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89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90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95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91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92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93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65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64</v>
      </c>
      <c r="G39" s="103" t="s">
        <v>63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81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80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 t="s">
        <v>96</v>
      </c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82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31</v>
      </c>
      <c r="G50" s="103" t="s">
        <v>83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66</v>
      </c>
      <c r="G51" s="103" t="s">
        <v>67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32</v>
      </c>
      <c r="G52" s="103" t="s">
        <v>33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34</v>
      </c>
      <c r="G53" s="103" t="s">
        <v>35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1</v>
      </c>
      <c r="G54" s="104" t="s">
        <v>36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37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38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39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40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41275</v>
      </c>
      <c r="G64" s="110" t="s">
        <v>41</v>
      </c>
      <c r="H64" s="110"/>
      <c r="I64" s="110"/>
      <c r="J64" s="110" t="s">
        <v>42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41306</v>
      </c>
      <c r="G65" s="110" t="s">
        <v>41</v>
      </c>
      <c r="H65" s="110"/>
      <c r="I65" s="110"/>
      <c r="J65" s="110" t="s">
        <v>43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41699</v>
      </c>
      <c r="G66" s="110" t="s">
        <v>44</v>
      </c>
      <c r="H66" s="110"/>
      <c r="I66" s="110"/>
      <c r="J66" s="110" t="s">
        <v>45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41944</v>
      </c>
      <c r="G67" s="110" t="s">
        <v>44</v>
      </c>
      <c r="H67" s="110"/>
      <c r="I67" s="110"/>
      <c r="J67" s="110" t="s">
        <v>46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42339</v>
      </c>
      <c r="G68" s="110" t="s">
        <v>47</v>
      </c>
      <c r="H68" s="110"/>
      <c r="I68" s="110"/>
      <c r="J68" s="110" t="s">
        <v>48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43525</v>
      </c>
      <c r="G69" s="110" t="s">
        <v>44</v>
      </c>
      <c r="H69" s="110"/>
      <c r="I69" s="110"/>
      <c r="J69" s="110" t="s">
        <v>49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45658</v>
      </c>
      <c r="G70" s="110" t="s">
        <v>97</v>
      </c>
      <c r="H70" s="110"/>
      <c r="I70" s="110"/>
      <c r="J70" s="110" t="s">
        <v>98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45717</v>
      </c>
      <c r="G71" s="110" t="s">
        <v>97</v>
      </c>
      <c r="H71" s="110"/>
      <c r="I71" s="110"/>
      <c r="J71" s="110" t="s">
        <v>99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/>
      <c r="G72" s="110"/>
      <c r="H72" s="110"/>
      <c r="I72" s="110"/>
      <c r="J72" s="110" t="s">
        <v>100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/>
      <c r="G73" s="110"/>
      <c r="H73" s="110"/>
      <c r="I73" s="110"/>
      <c r="J73" s="110" t="s">
        <v>101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/>
      <c r="G74" s="110"/>
      <c r="H74" s="110"/>
      <c r="I74" s="110"/>
      <c r="J74" s="110" t="s">
        <v>102</v>
      </c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>
        <v>45717</v>
      </c>
      <c r="G75" s="110" t="s">
        <v>44</v>
      </c>
      <c r="H75" s="110"/>
      <c r="I75" s="110"/>
      <c r="J75" s="110" t="s">
        <v>68</v>
      </c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>
        <v>46082</v>
      </c>
      <c r="G76" s="110" t="s">
        <v>84</v>
      </c>
      <c r="H76" s="110"/>
      <c r="I76" s="110"/>
      <c r="J76" s="110" t="s">
        <v>85</v>
      </c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>
        <v>46082</v>
      </c>
      <c r="G77" s="110" t="s">
        <v>86</v>
      </c>
      <c r="H77" s="110"/>
      <c r="I77" s="110"/>
      <c r="J77" s="110" t="s">
        <v>87</v>
      </c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>
        <v>46082</v>
      </c>
      <c r="G78" s="110" t="s">
        <v>59</v>
      </c>
      <c r="H78" s="110"/>
      <c r="I78" s="110"/>
      <c r="J78" s="110" t="s">
        <v>88</v>
      </c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>
        <v>46204</v>
      </c>
      <c r="G79" s="110" t="s">
        <v>97</v>
      </c>
      <c r="H79" s="110"/>
      <c r="I79" s="110"/>
      <c r="J79" s="110" t="s">
        <v>103</v>
      </c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 t="s">
        <v>104</v>
      </c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50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51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52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 t="s">
        <v>53</v>
      </c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 t="s">
        <v>54</v>
      </c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 t="s">
        <v>6</v>
      </c>
      <c r="G98" s="118"/>
      <c r="H98" s="119" t="s">
        <v>55</v>
      </c>
      <c r="I98" s="119" t="s">
        <v>3</v>
      </c>
      <c r="J98" s="119"/>
      <c r="K98" s="120" t="s">
        <v>56</v>
      </c>
      <c r="L98" s="102"/>
      <c r="M98" s="120" t="s">
        <v>57</v>
      </c>
      <c r="N98" s="120" t="s">
        <v>58</v>
      </c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 t="s">
        <v>59</v>
      </c>
      <c r="G99" s="122"/>
      <c r="H99" s="123" t="s">
        <v>44</v>
      </c>
      <c r="I99" s="124">
        <v>42064</v>
      </c>
      <c r="J99" s="125"/>
      <c r="K99" s="126">
        <v>99.761665053242993</v>
      </c>
      <c r="L99" s="125"/>
      <c r="M99" s="126">
        <v>99.8</v>
      </c>
      <c r="N99" s="126">
        <v>-3.8334946757004218E-2</v>
      </c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 t="s">
        <v>59</v>
      </c>
      <c r="G100" s="122"/>
      <c r="H100" s="123" t="s">
        <v>44</v>
      </c>
      <c r="I100" s="124">
        <v>42095</v>
      </c>
      <c r="J100" s="125"/>
      <c r="K100" s="126">
        <v>99.953146176185882</v>
      </c>
      <c r="L100" s="125"/>
      <c r="M100" s="126">
        <v>100</v>
      </c>
      <c r="N100" s="126">
        <v>-4.6853823814117845E-2</v>
      </c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 t="s">
        <v>59</v>
      </c>
      <c r="G101" s="122"/>
      <c r="H101" s="123" t="s">
        <v>44</v>
      </c>
      <c r="I101" s="124">
        <v>42125</v>
      </c>
      <c r="J101" s="125"/>
      <c r="K101" s="126">
        <v>100.33610842207165</v>
      </c>
      <c r="L101" s="125"/>
      <c r="M101" s="126">
        <v>100.3</v>
      </c>
      <c r="N101" s="126">
        <v>3.6108422071649215E-2</v>
      </c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 t="s">
        <v>59</v>
      </c>
      <c r="G102" s="122"/>
      <c r="H102" s="123" t="s">
        <v>41</v>
      </c>
      <c r="I102" s="124">
        <v>42767</v>
      </c>
      <c r="J102" s="125"/>
      <c r="K102" s="126">
        <v>131.81805</v>
      </c>
      <c r="L102" s="125"/>
      <c r="M102" s="126">
        <v>131.82815814722545</v>
      </c>
      <c r="N102" s="126">
        <v>-1.0108147225452058E-2</v>
      </c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 t="s">
        <v>59</v>
      </c>
      <c r="G103" s="122"/>
      <c r="H103" s="123" t="s">
        <v>41</v>
      </c>
      <c r="I103" s="124">
        <v>42795</v>
      </c>
      <c r="J103" s="125"/>
      <c r="K103" s="126">
        <v>131.81805</v>
      </c>
      <c r="L103" s="125"/>
      <c r="M103" s="126">
        <v>131.82815814722545</v>
      </c>
      <c r="N103" s="126">
        <v>-1.0108147225452058E-2</v>
      </c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 t="s">
        <v>60</v>
      </c>
      <c r="G104" s="122"/>
      <c r="H104" s="123" t="s">
        <v>41</v>
      </c>
      <c r="I104" s="124">
        <v>42005</v>
      </c>
      <c r="J104" s="125"/>
      <c r="K104" s="126">
        <v>127.67664000000001</v>
      </c>
      <c r="L104" s="125"/>
      <c r="M104" s="126">
        <v>127.7</v>
      </c>
      <c r="N104" s="126">
        <v>-2.3359999999996717E-2</v>
      </c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 t="s">
        <v>60</v>
      </c>
      <c r="G105" s="122"/>
      <c r="H105" s="123" t="s">
        <v>41</v>
      </c>
      <c r="I105" s="124">
        <v>42036</v>
      </c>
      <c r="J105" s="125"/>
      <c r="K105" s="123">
        <v>127.67664000000001</v>
      </c>
      <c r="L105" s="125"/>
      <c r="M105" s="126">
        <v>127.7</v>
      </c>
      <c r="N105" s="123">
        <v>-2.3359999999996717E-2</v>
      </c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 t="s">
        <v>60</v>
      </c>
      <c r="G106" s="122"/>
      <c r="H106" s="123" t="s">
        <v>41</v>
      </c>
      <c r="I106" s="124">
        <v>42064</v>
      </c>
      <c r="J106" s="125"/>
      <c r="K106" s="123">
        <v>127.67664000000001</v>
      </c>
      <c r="L106" s="125"/>
      <c r="M106" s="126">
        <v>127.7</v>
      </c>
      <c r="N106" s="123">
        <v>-2.3359999999996717E-2</v>
      </c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 t="s">
        <v>60</v>
      </c>
      <c r="G107" s="122"/>
      <c r="H107" s="123" t="s">
        <v>41</v>
      </c>
      <c r="I107" s="124">
        <v>42767</v>
      </c>
      <c r="J107" s="125"/>
      <c r="K107" s="126">
        <v>131.82967519181585</v>
      </c>
      <c r="L107" s="125"/>
      <c r="M107" s="126">
        <v>131.82815814722545</v>
      </c>
      <c r="N107" s="126">
        <v>1.5170445904004737E-3</v>
      </c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 t="s">
        <v>60</v>
      </c>
      <c r="G108" s="122"/>
      <c r="H108" s="123" t="s">
        <v>41</v>
      </c>
      <c r="I108" s="124">
        <v>42795</v>
      </c>
      <c r="J108" s="125"/>
      <c r="K108" s="126">
        <v>131.82967519181585</v>
      </c>
      <c r="L108" s="125"/>
      <c r="M108" s="126">
        <v>131.82815814722545</v>
      </c>
      <c r="N108" s="126">
        <v>1.5170445904004737E-3</v>
      </c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2026-08-20T12:49:10Z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