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ILON12\"/>
    </mc:Choice>
  </mc:AlternateContent>
  <xr:revisionPtr revIDLastSave="0" documentId="13_ncr:1_{B07F6927-49B8-4E0A-86BE-D3668FAFDCD3}" xr6:coauthVersionLast="47" xr6:coauthVersionMax="47" xr10:uidLastSave="{00000000-0000-0000-0000-000000000000}"/>
  <bookViews>
    <workbookView xWindow="-120" yWindow="-120" windowWidth="29040" windowHeight="15720" activeTab="2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H241" i="3"/>
  <c r="G241" i="3"/>
  <c r="H240" i="3"/>
  <c r="G240" i="3"/>
  <c r="H239" i="3"/>
  <c r="G239" i="3"/>
  <c r="H238" i="3"/>
  <c r="G238" i="3"/>
  <c r="H237" i="3"/>
  <c r="G237" i="3"/>
  <c r="H236" i="3"/>
  <c r="G236" i="3"/>
  <c r="H235" i="3"/>
  <c r="G235" i="3"/>
  <c r="H234" i="3"/>
  <c r="G234" i="3"/>
  <c r="H233" i="3"/>
  <c r="G233" i="3"/>
  <c r="H232" i="3"/>
  <c r="G232" i="3"/>
  <c r="H231" i="3"/>
  <c r="G231" i="3"/>
  <c r="H230" i="3"/>
  <c r="G230" i="3"/>
  <c r="H229" i="3"/>
  <c r="G229" i="3"/>
  <c r="H228" i="3"/>
  <c r="G228" i="3"/>
  <c r="H227" i="3"/>
  <c r="G227" i="3"/>
  <c r="H226" i="3"/>
  <c r="G226" i="3"/>
  <c r="H225" i="3"/>
  <c r="G225" i="3"/>
  <c r="H224" i="3"/>
  <c r="G224" i="3"/>
  <c r="H223" i="3"/>
  <c r="G223" i="3"/>
  <c r="H222" i="3"/>
  <c r="G222" i="3"/>
  <c r="H221" i="3"/>
  <c r="G221" i="3"/>
  <c r="H220" i="3"/>
  <c r="G220" i="3"/>
  <c r="H219" i="3"/>
  <c r="G219" i="3"/>
  <c r="H218" i="3"/>
  <c r="G218" i="3"/>
  <c r="H217" i="3"/>
  <c r="G217" i="3"/>
  <c r="H216" i="3"/>
  <c r="G216" i="3"/>
  <c r="H215" i="3"/>
  <c r="G215" i="3"/>
  <c r="H214" i="3"/>
  <c r="G214" i="3"/>
  <c r="H213" i="3"/>
  <c r="G213" i="3"/>
  <c r="H212" i="3"/>
  <c r="G212" i="3"/>
  <c r="H211" i="3"/>
  <c r="G211" i="3"/>
  <c r="H210" i="3"/>
  <c r="G210" i="3"/>
  <c r="H209" i="3"/>
  <c r="G209" i="3"/>
  <c r="H208" i="3"/>
  <c r="G208" i="3"/>
  <c r="H207" i="3"/>
  <c r="G207" i="3"/>
  <c r="H206" i="3"/>
  <c r="G206" i="3"/>
  <c r="H205" i="3"/>
  <c r="G205" i="3"/>
  <c r="H204" i="3"/>
  <c r="G204" i="3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J186" i="3"/>
  <c r="H186" i="3"/>
  <c r="G186" i="3"/>
  <c r="H185" i="3"/>
  <c r="G185" i="3"/>
  <c r="H184" i="3"/>
  <c r="G184" i="3"/>
  <c r="I183" i="3"/>
  <c r="H183" i="3"/>
  <c r="G183" i="3"/>
  <c r="I182" i="3"/>
  <c r="H182" i="3"/>
  <c r="G182" i="3"/>
  <c r="I181" i="3"/>
  <c r="H181" i="3"/>
  <c r="G181" i="3"/>
  <c r="I180" i="3"/>
  <c r="H180" i="3"/>
  <c r="G180" i="3"/>
  <c r="I179" i="3"/>
  <c r="H179" i="3"/>
  <c r="G179" i="3"/>
  <c r="I178" i="3"/>
  <c r="H178" i="3"/>
  <c r="G178" i="3"/>
  <c r="I177" i="3"/>
  <c r="H177" i="3"/>
  <c r="G177" i="3"/>
  <c r="I176" i="3"/>
  <c r="H176" i="3"/>
  <c r="G176" i="3"/>
  <c r="I175" i="3"/>
  <c r="H175" i="3"/>
  <c r="G175" i="3"/>
  <c r="I174" i="3"/>
  <c r="H174" i="3"/>
  <c r="G174" i="3"/>
  <c r="I173" i="3"/>
  <c r="H173" i="3"/>
  <c r="G173" i="3"/>
  <c r="I172" i="3"/>
  <c r="I241" i="3" s="1"/>
  <c r="H172" i="3"/>
  <c r="G172" i="3"/>
  <c r="I171" i="3"/>
  <c r="H171" i="3"/>
  <c r="G171" i="3"/>
  <c r="I170" i="3"/>
  <c r="H170" i="3"/>
  <c r="G170" i="3"/>
  <c r="I169" i="3"/>
  <c r="H169" i="3"/>
  <c r="G169" i="3"/>
  <c r="I168" i="3"/>
  <c r="H168" i="3"/>
  <c r="G168" i="3"/>
  <c r="I167" i="3"/>
  <c r="H167" i="3"/>
  <c r="G167" i="3"/>
  <c r="I166" i="3"/>
  <c r="H166" i="3"/>
  <c r="G166" i="3"/>
  <c r="I165" i="3"/>
  <c r="H165" i="3"/>
  <c r="G165" i="3"/>
  <c r="J164" i="3"/>
  <c r="I164" i="3"/>
  <c r="H164" i="3"/>
  <c r="G164" i="3"/>
  <c r="I163" i="3"/>
  <c r="H163" i="3"/>
  <c r="G163" i="3"/>
  <c r="I162" i="3"/>
  <c r="H162" i="3"/>
  <c r="G162" i="3"/>
  <c r="I161" i="3"/>
  <c r="H161" i="3"/>
  <c r="G161" i="3"/>
  <c r="I160" i="3"/>
  <c r="H160" i="3"/>
  <c r="I159" i="3"/>
  <c r="H159" i="3"/>
  <c r="I158" i="3"/>
  <c r="H158" i="3"/>
  <c r="G158" i="3"/>
  <c r="I157" i="3"/>
  <c r="H157" i="3"/>
  <c r="G157" i="3"/>
  <c r="I156" i="3"/>
  <c r="H156" i="3"/>
  <c r="G156" i="3"/>
  <c r="I155" i="3"/>
  <c r="H155" i="3"/>
  <c r="G155" i="3"/>
  <c r="I154" i="3"/>
  <c r="H154" i="3"/>
  <c r="G154" i="3"/>
  <c r="I153" i="3"/>
  <c r="H153" i="3"/>
  <c r="G153" i="3"/>
  <c r="I152" i="3"/>
  <c r="H152" i="3"/>
  <c r="G152" i="3"/>
  <c r="I151" i="3"/>
  <c r="H151" i="3"/>
  <c r="G151" i="3"/>
  <c r="I150" i="3"/>
  <c r="H150" i="3"/>
  <c r="G150" i="3"/>
  <c r="I149" i="3"/>
  <c r="H149" i="3"/>
  <c r="G149" i="3"/>
  <c r="J148" i="3"/>
  <c r="I148" i="3"/>
  <c r="H148" i="3"/>
  <c r="G148" i="3"/>
  <c r="I147" i="3"/>
  <c r="G147" i="3"/>
  <c r="I146" i="3"/>
  <c r="G146" i="3"/>
  <c r="I145" i="3"/>
  <c r="G145" i="3"/>
  <c r="I144" i="3"/>
  <c r="G144" i="3"/>
  <c r="I143" i="3"/>
  <c r="G143" i="3"/>
  <c r="I142" i="3"/>
  <c r="G142" i="3"/>
  <c r="I141" i="3"/>
  <c r="G141" i="3"/>
  <c r="I140" i="3"/>
  <c r="G140" i="3"/>
  <c r="I139" i="3"/>
  <c r="G139" i="3"/>
  <c r="G138" i="3"/>
  <c r="G137" i="3"/>
  <c r="G136" i="3"/>
  <c r="I135" i="3"/>
  <c r="G135" i="3"/>
  <c r="I134" i="3"/>
  <c r="I133" i="3"/>
  <c r="I132" i="3"/>
  <c r="G131" i="3"/>
  <c r="G132" i="3" s="1"/>
  <c r="G128" i="3"/>
  <c r="G130" i="3" s="1"/>
  <c r="G125" i="3"/>
  <c r="G127" i="3" s="1"/>
  <c r="G122" i="3"/>
  <c r="G124" i="3" s="1"/>
  <c r="G119" i="3"/>
  <c r="G121" i="3" s="1"/>
  <c r="G118" i="3"/>
  <c r="G117" i="3"/>
  <c r="G116" i="3"/>
  <c r="G115" i="3"/>
  <c r="H114" i="3"/>
  <c r="H139" i="3" s="1"/>
  <c r="H140" i="3" s="1"/>
  <c r="G114" i="3"/>
  <c r="I113" i="3"/>
  <c r="G113" i="3"/>
  <c r="G112" i="3"/>
  <c r="G111" i="3"/>
  <c r="G110" i="3"/>
  <c r="G109" i="3"/>
  <c r="G108" i="3"/>
  <c r="G106" i="3"/>
  <c r="G105" i="3"/>
  <c r="G103" i="3"/>
  <c r="G102" i="3"/>
  <c r="G100" i="3"/>
  <c r="G99" i="3"/>
  <c r="G97" i="3"/>
  <c r="G96" i="3"/>
  <c r="G94" i="3"/>
  <c r="G93" i="3"/>
  <c r="G91" i="3"/>
  <c r="G90" i="3"/>
  <c r="F12" i="4" l="1"/>
  <c r="F13" i="5"/>
  <c r="I222" i="3"/>
  <c r="I184" i="3"/>
  <c r="I219" i="3"/>
  <c r="I226" i="3"/>
  <c r="I204" i="3"/>
  <c r="H147" i="3"/>
  <c r="I237" i="3"/>
  <c r="I192" i="3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G120" i="3"/>
  <c r="I189" i="3"/>
  <c r="I195" i="3"/>
  <c r="I201" i="3"/>
  <c r="I232" i="3"/>
  <c r="G123" i="3"/>
  <c r="I220" i="3"/>
  <c r="I238" i="3"/>
  <c r="I190" i="3"/>
  <c r="I196" i="3"/>
  <c r="I185" i="3"/>
  <c r="I215" i="3"/>
  <c r="I227" i="3"/>
  <c r="I233" i="3"/>
  <c r="I203" i="3"/>
  <c r="I221" i="3"/>
  <c r="G129" i="3"/>
  <c r="I210" i="3"/>
  <c r="I216" i="3"/>
  <c r="I228" i="3"/>
  <c r="I235" i="3"/>
  <c r="I187" i="3"/>
  <c r="I199" i="3"/>
  <c r="I211" i="3"/>
  <c r="I217" i="3"/>
  <c r="I205" i="3"/>
  <c r="I236" i="3"/>
  <c r="I188" i="3"/>
  <c r="I194" i="3"/>
  <c r="I200" i="3"/>
  <c r="I212" i="3"/>
  <c r="I206" i="3"/>
  <c r="I231" i="3"/>
  <c r="G133" i="3"/>
  <c r="I186" i="3"/>
  <c r="I191" i="3"/>
  <c r="I207" i="3"/>
  <c r="I223" i="3"/>
  <c r="I239" i="3"/>
  <c r="I202" i="3"/>
  <c r="I218" i="3"/>
  <c r="I234" i="3"/>
  <c r="I197" i="3"/>
  <c r="I213" i="3"/>
  <c r="I229" i="3"/>
  <c r="I208" i="3"/>
  <c r="I224" i="3"/>
  <c r="I240" i="3"/>
  <c r="G126" i="3"/>
  <c r="I198" i="3"/>
  <c r="I214" i="3"/>
  <c r="I230" i="3"/>
  <c r="I193" i="3"/>
  <c r="I209" i="3"/>
  <c r="I22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160" i="3"/>
  <c r="G159" i="3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<sst xmlns="http://schemas.openxmlformats.org/spreadsheetml/2006/main" count="196" uniqueCount="105">
  <si>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</si>
  <si>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</si>
  <si>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</si>
  <si>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</si>
  <si>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</si>
  <si>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</si>
  <si>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</si>
  <si>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</si>
  <si>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</si>
  <si>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</si>
  <si>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</si>
  <si>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</si>
  <si>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</si>
  <si>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</si>
  <si>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</si>
  <si>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</si>
  <si>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</si>
  <si>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</si>
  <si>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</si>
  <si>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</si>
  <si>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</si>
  <si>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</si>
  <si>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</si>
  <si>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</si>
  <si>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</si>
  <si>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</si>
  <si>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</si>
  <si>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</si>
  <si>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</si>
  <si>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</si>
  <si>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</si>
  <si>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</si>
  <si>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</si>
  <si>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</si>
  <si>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</si>
  <si>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</si>
  <si>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</si>
  <si>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</si>
  <si>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</si>
  <si>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</si>
  <si>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</si>
  <si>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</si>
  <si>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</si>
  <si>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</si>
  <si>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</si>
  <si>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</si>
  <si>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</si>
  <si>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</si>
  <si>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</si>
  <si>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</si>
  <si>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</si>
  <si>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</si>
  <si>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</si>
  <si>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</si>
  <si>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</si>
  <si>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</si>
  <si>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</si>
  <si>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</si>
  <si>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</si>
  <si>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</si>
  <si>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</si>
  <si>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</si>
  <si>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</si>
  <si>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</si>
  <si>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</si>
  <si>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</si>
  <si>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</si>
  <si>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</si>
  <si>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</si>
  <si>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</si>
  <si>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</si>
  <si>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</si>
  <si>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</si>
  <si>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</si>
  <si>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</si>
  <si>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</si>
  <si>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</si>
  <si>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</si>
  <si>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</si>
  <si>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</si>
  <si>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</si>
  <si>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</si>
  <si>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</si>
  <si>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</si>
  <si>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</si>
  <si>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</si>
  <si>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</si>
  <si>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</si>
  <si>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</si>
  <si>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</si>
  <si>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</si>
  <si>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</si>
  <si>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</si>
  <si>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</si>
  <si>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ILON12.</t>
  </si>
  <si>
    <t>• Elspot-indeks - Bemærk at indekset altid følger SBLON1</t>
  </si>
  <si>
    <t>Note: 'Forskydning' indebærer, at datapunktet i omkostningsindekset er forskudt relativt til udgivelse. 'Løn, transport' bruges til det nye elindeks.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</si>
  <si>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</si>
  <si>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</si>
  <si>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</si>
  <si>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</si>
  <si>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</si>
  <si>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</si>
  <si>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 xml:space="preserve">DST har offentligjort at ILON12 udgår  med udgangen af 4. kvt. 2025. Derfor erstates ILON12 med SBLON1 som nyt delindeks fra 1. kvt. 2026, </t>
  </si>
  <si>
    <t>som har effekt fra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</si>
</sst>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7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14" fontId="0" fillId="2" borderId="0" xfId="0" applyNumberFormat="1" applyBorder="1" applyAlignment="1">
      <alignment horizontal="left"/>
    </xf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5" t="s">
        <v>0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4.25" customHeight="1">
      <c r="A3" s="2"/>
      <c r="B3" s="2"/>
      <c r="C3" s="3"/>
      <c r="D3" s="3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19" ht="35.1" customHeight="1">
      <c r="A4" s="2"/>
      <c r="B4" s="2"/>
      <c r="C4" s="3"/>
      <c r="D4" s="3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6" t="s">
        <v>7</v>
      </c>
      <c r="G11" s="136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65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232.35171650055372</v>
      </c>
      <c r="L20" s="25">
        <v>135.57627280042649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252.13554817275747</v>
      </c>
      <c r="L21" s="25">
        <v>138.0366608161998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232.92934662236991</v>
      </c>
      <c r="L22" s="25">
        <v>135.99397395594633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208.95769656699889</v>
      </c>
      <c r="L23" s="25">
        <v>133.67715512445682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217.7665559246955</v>
      </c>
      <c r="L24" s="25">
        <v>134.84297792753796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208.38006644518276</v>
      </c>
      <c r="L25" s="25">
        <v>134.86015752764487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203.75902547065337</v>
      </c>
      <c r="L26" s="25">
        <v>134.02118502417233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195.81661129568107</v>
      </c>
      <c r="L27" s="25">
        <v>133.15006720616856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152.32308</v>
      </c>
      <c r="H28" s="24">
        <v>152.26452905811624</v>
      </c>
      <c r="I28" s="24">
        <v>124.39055483709407</v>
      </c>
      <c r="J28" s="24">
        <v>3.45</v>
      </c>
      <c r="K28" s="24">
        <v>184.69723145071984</v>
      </c>
      <c r="L28" s="25">
        <v>132.55975256527307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152.32308</v>
      </c>
      <c r="H29" s="24">
        <v>152.78957915831666</v>
      </c>
      <c r="I29" s="24">
        <v>124.99882160891359</v>
      </c>
      <c r="J29" s="24">
        <v>3.69</v>
      </c>
      <c r="K29" s="24">
        <v>189.17386489479514</v>
      </c>
      <c r="L29" s="25">
        <v>133.48731801757702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152.32308</v>
      </c>
      <c r="H30" s="24">
        <v>155.54609218436875</v>
      </c>
      <c r="I30" s="24">
        <v>126.31673294785591</v>
      </c>
      <c r="J30" s="24">
        <v>3.67</v>
      </c>
      <c r="K30" s="24">
        <v>191.19557032115173</v>
      </c>
      <c r="L30" s="25">
        <v>134.01592181249461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153.13115999999999</v>
      </c>
      <c r="H31" s="24">
        <v>154.49599198396794</v>
      </c>
      <c r="I31" s="24">
        <v>126.01259956194615</v>
      </c>
      <c r="J31" s="24">
        <v>3.67</v>
      </c>
      <c r="K31" s="24">
        <v>209.39091915836102</v>
      </c>
      <c r="L31" s="25">
        <v>136.52756409472568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153.13115999999999</v>
      </c>
      <c r="H32" s="24">
        <v>154.10220440881764</v>
      </c>
      <c r="I32" s="24">
        <v>125.70846617603638</v>
      </c>
      <c r="J32" s="24">
        <v>3.81</v>
      </c>
      <c r="K32" s="24">
        <v>217.04451827242528</v>
      </c>
      <c r="L32" s="25">
        <v>137.55934264521147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153.13115999999999</v>
      </c>
      <c r="H33" s="24">
        <v>154.49599198396794</v>
      </c>
      <c r="I33" s="24">
        <v>125.60708838073313</v>
      </c>
      <c r="J33" s="24">
        <v>3.78</v>
      </c>
      <c r="K33" s="24">
        <v>215.60044296788485</v>
      </c>
      <c r="L33" s="25">
        <v>137.3675718992248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155.05035000000001</v>
      </c>
      <c r="H34" s="24">
        <v>153.97094188376755</v>
      </c>
      <c r="I34" s="24">
        <v>125.2015771995201</v>
      </c>
      <c r="J34" s="24">
        <v>3.51</v>
      </c>
      <c r="K34" s="24">
        <v>201.88172757475087</v>
      </c>
      <c r="L34" s="25">
        <v>136.3811417137959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155.05035000000001</v>
      </c>
      <c r="H35" s="24">
        <v>153.18336673346695</v>
      </c>
      <c r="I35" s="24">
        <v>124.99882160891359</v>
      </c>
      <c r="J35" s="24">
        <v>3.18</v>
      </c>
      <c r="K35" s="24">
        <v>194.80575858250279</v>
      </c>
      <c r="L35" s="25">
        <v>135.05032645327105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155.05035000000001</v>
      </c>
      <c r="H36" s="24">
        <v>154.62725450901803</v>
      </c>
      <c r="I36" s="24">
        <v>123.98504365588104</v>
      </c>
      <c r="J36" s="24">
        <v>3.23</v>
      </c>
      <c r="K36" s="24">
        <v>204.04784053156149</v>
      </c>
      <c r="L36" s="25">
        <v>136.21951192820978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156.36348000000001</v>
      </c>
      <c r="H37" s="24">
        <v>155.41482965931866</v>
      </c>
      <c r="I37" s="24">
        <v>124.28917704179081</v>
      </c>
      <c r="J37" s="24">
        <v>3.38</v>
      </c>
      <c r="K37" s="24">
        <v>211.2682170542636</v>
      </c>
      <c r="L37" s="25">
        <v>138.07598615499302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156.36348000000001</v>
      </c>
      <c r="H38" s="24">
        <v>155.41482965931866</v>
      </c>
      <c r="I38" s="24">
        <v>123.88366586057779</v>
      </c>
      <c r="J38" s="24">
        <v>3.39</v>
      </c>
      <c r="K38" s="24">
        <v>203.18139534883721</v>
      </c>
      <c r="L38" s="25">
        <v>137.0882619013332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156.36348000000001</v>
      </c>
      <c r="H39" s="24">
        <v>155.54609218436875</v>
      </c>
      <c r="I39" s="24">
        <v>124.39055483709407</v>
      </c>
      <c r="J39" s="24">
        <v>3.43</v>
      </c>
      <c r="K39" s="24">
        <v>205.2031007751938</v>
      </c>
      <c r="L39" s="25">
        <v>137.43532986119024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157.67660999999998</v>
      </c>
      <c r="H40" s="24">
        <v>155.54609218436875</v>
      </c>
      <c r="I40" s="24">
        <v>124.89744381361034</v>
      </c>
      <c r="J40" s="24">
        <v>3.49</v>
      </c>
      <c r="K40" s="24">
        <v>201.15968992248065</v>
      </c>
      <c r="L40" s="25">
        <v>137.80191181269996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157.67660999999998</v>
      </c>
      <c r="H41" s="24">
        <v>155.54609218436875</v>
      </c>
      <c r="I41" s="24">
        <v>124.89744381361034</v>
      </c>
      <c r="J41" s="24">
        <v>3.4</v>
      </c>
      <c r="K41" s="24">
        <v>201.30409745293468</v>
      </c>
      <c r="L41" s="25">
        <v>137.70589563820323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157.67660999999998</v>
      </c>
      <c r="H42" s="24">
        <v>157.25250501002006</v>
      </c>
      <c r="I42" s="24">
        <v>125.10019940421685</v>
      </c>
      <c r="J42" s="24">
        <v>3.12</v>
      </c>
      <c r="K42" s="24">
        <v>206.50276854928018</v>
      </c>
      <c r="L42" s="25">
        <v>138.10956989288141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160.50489000000002</v>
      </c>
      <c r="H43" s="24">
        <v>156.59619238476955</v>
      </c>
      <c r="I43" s="24">
        <v>125.30295499482335</v>
      </c>
      <c r="J43" s="24">
        <v>3.05</v>
      </c>
      <c r="K43" s="24">
        <v>196.82746400885938</v>
      </c>
      <c r="L43" s="25">
        <v>138.40561736170241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160.50489000000002</v>
      </c>
      <c r="H44" s="24">
        <v>156.07114228456916</v>
      </c>
      <c r="I44" s="24">
        <v>125.2015771995201</v>
      </c>
      <c r="J44" s="24">
        <v>2.82</v>
      </c>
      <c r="K44" s="24">
        <v>188.01860465116278</v>
      </c>
      <c r="L44" s="25">
        <v>137.02187184595567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160.50489000000002</v>
      </c>
      <c r="H45" s="24">
        <v>156.98997995991985</v>
      </c>
      <c r="I45" s="24">
        <v>124.59331042770059</v>
      </c>
      <c r="J45" s="24">
        <v>2.9</v>
      </c>
      <c r="K45" s="24">
        <v>192.92846068660023</v>
      </c>
      <c r="L45" s="25">
        <v>137.71427088356899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161.11095</v>
      </c>
      <c r="H46" s="24">
        <v>156.46492985971946</v>
      </c>
      <c r="I46" s="24">
        <v>124.89744381361034</v>
      </c>
      <c r="J46" s="24">
        <v>2.67</v>
      </c>
      <c r="K46" s="24">
        <v>195.09457364341085</v>
      </c>
      <c r="L46" s="25">
        <v>138.00949547030183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161.11095</v>
      </c>
      <c r="H47" s="24">
        <v>156.07114228456916</v>
      </c>
      <c r="I47" s="24">
        <v>125.20157719952012</v>
      </c>
      <c r="J47" s="24">
        <v>2.82</v>
      </c>
      <c r="K47" s="24">
        <v>197.26068660022148</v>
      </c>
      <c r="L47" s="25">
        <v>138.4569594760396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161.11095</v>
      </c>
      <c r="H48" s="24">
        <v>156.98997995991985</v>
      </c>
      <c r="I48" s="24">
        <v>124.43144447509424</v>
      </c>
      <c r="J48" s="24">
        <v>2.73</v>
      </c>
      <c r="K48" s="24">
        <v>218.63300110741972</v>
      </c>
      <c r="L48" s="25">
        <v>140.88033549698537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161.91903000000002</v>
      </c>
      <c r="H49" s="24">
        <v>158.56513026052104</v>
      </c>
      <c r="I49" s="24">
        <v>124.21140655382972</v>
      </c>
      <c r="J49" s="24">
        <v>2.69</v>
      </c>
      <c r="K49" s="24">
        <v>216.61129568106313</v>
      </c>
      <c r="L49" s="25">
        <v>141.12450130838047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161.91903000000002</v>
      </c>
      <c r="H50" s="24">
        <v>157.77755511022045</v>
      </c>
      <c r="I50" s="24">
        <v>124.10138759319744</v>
      </c>
      <c r="J50" s="24">
        <v>2.75</v>
      </c>
      <c r="K50" s="24">
        <v>210.54617940199338</v>
      </c>
      <c r="L50" s="25">
        <v>140.41318726247795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161.91903000000002</v>
      </c>
      <c r="H51" s="24">
        <v>157.90881763527054</v>
      </c>
      <c r="I51" s="24">
        <v>126.08172888457825</v>
      </c>
      <c r="J51" s="24">
        <v>2.61</v>
      </c>
      <c r="K51" s="24">
        <v>203.32580287929127</v>
      </c>
      <c r="L51" s="25">
        <v>139.57016355223911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163.03014000000002</v>
      </c>
      <c r="H52" s="24">
        <v>158.04008016032066</v>
      </c>
      <c r="I52" s="24">
        <v>126.41178576647506</v>
      </c>
      <c r="J52" s="24">
        <v>2.67</v>
      </c>
      <c r="K52" s="24">
        <v>200.00442967884828</v>
      </c>
      <c r="L52" s="25">
        <v>139.903790679628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163.03014000000002</v>
      </c>
      <c r="H53" s="24">
        <v>158.43386773547095</v>
      </c>
      <c r="I53" s="24">
        <v>125.86169096331372</v>
      </c>
      <c r="J53" s="24">
        <v>2.75</v>
      </c>
      <c r="K53" s="24">
        <v>202.74817275747509</v>
      </c>
      <c r="L53" s="25">
        <v>140.30734386119281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163.03014000000002</v>
      </c>
      <c r="H54" s="24">
        <v>160.79659318637275</v>
      </c>
      <c r="I54" s="24">
        <v>126.30176680584279</v>
      </c>
      <c r="J54" s="24">
        <v>2.69</v>
      </c>
      <c r="K54" s="24">
        <v>208.95769656699889</v>
      </c>
      <c r="L54" s="25">
        <v>141.17554289524395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164.54528999999999</v>
      </c>
      <c r="H55" s="24">
        <v>159.74649298597197</v>
      </c>
      <c r="I55" s="24">
        <v>124.65148239635877</v>
      </c>
      <c r="J55" s="24">
        <v>2.73</v>
      </c>
      <c r="K55" s="24">
        <v>204.33665559246955</v>
      </c>
      <c r="L55" s="25">
        <v>141.28713718984577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164.54528999999999</v>
      </c>
      <c r="H56" s="24">
        <v>159.61523046092185</v>
      </c>
      <c r="I56" s="24">
        <v>124.65148239635877</v>
      </c>
      <c r="J56" s="24">
        <v>2.76</v>
      </c>
      <c r="K56" s="24">
        <v>204.62547065337762</v>
      </c>
      <c r="L56" s="25">
        <v>141.35016400762174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164.54528999999999</v>
      </c>
      <c r="H57" s="24">
        <v>160.27154308617236</v>
      </c>
      <c r="I57" s="24">
        <v>126.30176680584279</v>
      </c>
      <c r="J57" s="24">
        <v>2.68</v>
      </c>
      <c r="K57" s="24">
        <v>204.04784053156149</v>
      </c>
      <c r="L57" s="25">
        <v>141.37918994901275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165.65639999999999</v>
      </c>
      <c r="H58" s="24">
        <v>159.74649298597197</v>
      </c>
      <c r="I58" s="24">
        <v>125.42161512078465</v>
      </c>
      <c r="J58" s="24">
        <v>2.69</v>
      </c>
      <c r="K58" s="24">
        <v>213.1455149501661</v>
      </c>
      <c r="L58" s="25">
        <v>142.97075140956406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165.65639999999999</v>
      </c>
      <c r="H59" s="24">
        <v>159.09018036072146</v>
      </c>
      <c r="I59" s="24">
        <v>124.32142551446198</v>
      </c>
      <c r="J59" s="24">
        <v>2.79</v>
      </c>
      <c r="K59" s="24">
        <v>205.4919158361019</v>
      </c>
      <c r="L59" s="25">
        <v>142.037961618433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165.65639999999999</v>
      </c>
      <c r="H60" s="24">
        <v>158.18427224078528</v>
      </c>
      <c r="I60" s="24">
        <v>123.11121694750705</v>
      </c>
      <c r="J60" s="24">
        <v>2.76</v>
      </c>
      <c r="K60" s="24">
        <v>202.91651685048672</v>
      </c>
      <c r="L60" s="25">
        <v>141.51871201744612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166.76750999999999</v>
      </c>
      <c r="H61" s="24">
        <v>159.78947785681257</v>
      </c>
      <c r="I61" s="24">
        <v>123.66131175066837</v>
      </c>
      <c r="J61" s="24">
        <v>2.67</v>
      </c>
      <c r="K61" s="24">
        <v>205.32576106283639</v>
      </c>
      <c r="L61" s="25">
        <v>142.46836241853146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166.76750999999999</v>
      </c>
      <c r="H62" s="24">
        <v>159.7259053571679</v>
      </c>
      <c r="I62" s="24">
        <v>125.64165304204919</v>
      </c>
      <c r="J62" s="24">
        <v>3.11</v>
      </c>
      <c r="K62" s="24">
        <v>249.08677447163635</v>
      </c>
      <c r="L62" s="25">
        <v>148.41061647715833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166.76750999999999</v>
      </c>
      <c r="H63" s="24">
        <v>160.10734035503575</v>
      </c>
      <c r="I63" s="24">
        <v>123.22123590813931</v>
      </c>
      <c r="J63" s="24">
        <v>3.11</v>
      </c>
      <c r="K63" s="24">
        <v>269.35765681002681</v>
      </c>
      <c r="L63" s="25">
        <v>150.62589299199226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167.54017799999997</v>
      </c>
      <c r="H64" s="24">
        <v>161.0291415998831</v>
      </c>
      <c r="I64" s="24">
        <v>123.44127382940384</v>
      </c>
      <c r="J64" s="24">
        <v>2.92</v>
      </c>
      <c r="K64" s="24">
        <v>261.5899211598649</v>
      </c>
      <c r="L64" s="25">
        <v>149.97329981378709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167.54017799999997</v>
      </c>
      <c r="H65" s="24">
        <v>161.41057659775097</v>
      </c>
      <c r="I65" s="24">
        <v>124.87152031762332</v>
      </c>
      <c r="J65" s="24">
        <v>2.89</v>
      </c>
      <c r="K65" s="24">
        <v>247.81984432548694</v>
      </c>
      <c r="L65" s="25">
        <v>148.45525545940498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167.54017799999997</v>
      </c>
      <c r="H66" s="29">
        <v>163.57204158566887</v>
      </c>
      <c r="I66" s="29">
        <v>126.85186160900412</v>
      </c>
      <c r="J66" s="29">
        <v>3.12</v>
      </c>
      <c r="K66" s="29">
        <v>252.51371667023719</v>
      </c>
      <c r="L66" s="30">
        <v>149.63662359861675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168.46955118155932</v>
      </c>
      <c r="H67" s="24">
        <v>163.21352682481756</v>
      </c>
      <c r="I67" s="24">
        <v>126.96448097926842</v>
      </c>
      <c r="J67" s="24">
        <v>3.14</v>
      </c>
      <c r="K67" s="24">
        <v>249.17608945905994</v>
      </c>
      <c r="L67" s="25">
        <v>149.76351637212343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169.40407975044673</v>
      </c>
      <c r="H68" s="24">
        <v>162.85579785127138</v>
      </c>
      <c r="I68" s="24">
        <v>127.0772003332649</v>
      </c>
      <c r="J68" s="24">
        <v>3.16</v>
      </c>
      <c r="K68" s="24">
        <v>245.88257769455103</v>
      </c>
      <c r="L68" s="25">
        <v>149.89857295892449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170.34379230445157</v>
      </c>
      <c r="H69" s="24">
        <v>162.49885294275339</v>
      </c>
      <c r="I69" s="24">
        <v>127.19001975975935</v>
      </c>
      <c r="J69" s="24">
        <v>3.18</v>
      </c>
      <c r="K69" s="24">
        <v>242.63259827604892</v>
      </c>
      <c r="L69" s="25">
        <v>150.04173963109378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170.79151318946487</v>
      </c>
      <c r="H70" s="24">
        <v>162.71394525705367</v>
      </c>
      <c r="I70" s="24">
        <v>127.35837538326436</v>
      </c>
      <c r="J70" s="24">
        <v>3.2022222222222223</v>
      </c>
      <c r="K70" s="24">
        <v>241.33920011546559</v>
      </c>
      <c r="L70" s="25">
        <v>150.19357845202302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171.24041083582748</v>
      </c>
      <c r="H71" s="24">
        <v>162.92932227923239</v>
      </c>
      <c r="I71" s="24">
        <v>127.52695385142353</v>
      </c>
      <c r="J71" s="24">
        <v>3.2244444444444444</v>
      </c>
      <c r="K71" s="24">
        <v>240.05269665416705</v>
      </c>
      <c r="L71" s="25">
        <v>150.34692858991858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171.69048833646471</v>
      </c>
      <c r="H72" s="24">
        <v>163.14498438614439</v>
      </c>
      <c r="I72" s="24">
        <v>127.69575545920614</v>
      </c>
      <c r="J72" s="24">
        <v>3.2466666666666666</v>
      </c>
      <c r="K72" s="24">
        <v>238.77305113867732</v>
      </c>
      <c r="L72" s="25">
        <v>150.50178743160768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172.1417487924312</v>
      </c>
      <c r="H73" s="24">
        <v>163.36093195514329</v>
      </c>
      <c r="I73" s="24">
        <v>127.86478050197195</v>
      </c>
      <c r="J73" s="24">
        <v>3.2688888888888887</v>
      </c>
      <c r="K73" s="24">
        <v>237.58320907947441</v>
      </c>
      <c r="L73" s="25">
        <v>150.66803120942672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172.59419531293216</v>
      </c>
      <c r="H74" s="24">
        <v>163.57716536408225</v>
      </c>
      <c r="I74" s="24">
        <v>128.03402927547162</v>
      </c>
      <c r="J74" s="24">
        <v>3.2911111111111109</v>
      </c>
      <c r="K74" s="24">
        <v>236.39929618237375</v>
      </c>
      <c r="L74" s="25">
        <v>150.83567665973075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173.0478310153448</v>
      </c>
      <c r="H75" s="24">
        <v>163.79368499131454</v>
      </c>
      <c r="I75" s="24">
        <v>128.20350207584735</v>
      </c>
      <c r="J75" s="24">
        <v>3.313333333333333</v>
      </c>
      <c r="K75" s="24">
        <v>235.22128290146799</v>
      </c>
      <c r="L75" s="25">
        <v>151.00472204111281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173.50265902523992</v>
      </c>
      <c r="H76" s="24">
        <v>164.01049121569426</v>
      </c>
      <c r="I76" s="24">
        <v>128.37319919963326</v>
      </c>
      <c r="J76" s="24">
        <v>3.3355555555555552</v>
      </c>
      <c r="K76" s="24">
        <v>234.34767412975603</v>
      </c>
      <c r="L76" s="25">
        <v>151.21070543091935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173.95868247640334</v>
      </c>
      <c r="H77" s="24">
        <v>164.22758441657697</v>
      </c>
      <c r="I77" s="24">
        <v>128.54312094375601</v>
      </c>
      <c r="J77" s="24">
        <v>3.3577777777777773</v>
      </c>
      <c r="K77" s="24">
        <v>233.47730992960919</v>
      </c>
      <c r="L77" s="25">
        <v>151.4177762407937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174.41590451085753</v>
      </c>
      <c r="H78" s="24">
        <v>164.44496497382036</v>
      </c>
      <c r="I78" s="24">
        <v>128.71326760553529</v>
      </c>
      <c r="J78" s="24">
        <v>3.3799999999999994</v>
      </c>
      <c r="K78" s="24">
        <v>232.61017825073105</v>
      </c>
      <c r="L78" s="25">
        <v>151.62593482596924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174.87432827888324</v>
      </c>
      <c r="H79" s="24">
        <v>164.66263326778494</v>
      </c>
      <c r="I79" s="24">
        <v>128.88363948268434</v>
      </c>
      <c r="J79" s="24">
        <v>3.4022222222222216</v>
      </c>
      <c r="K79" s="24">
        <v>231.90573481693883</v>
      </c>
      <c r="L79" s="25">
        <v>151.85416580513629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175.33395693904123</v>
      </c>
      <c r="H80" s="24">
        <v>164.88058967933466</v>
      </c>
      <c r="I80" s="24">
        <v>129.05423687331049</v>
      </c>
      <c r="J80" s="24">
        <v>3.4244444444444437</v>
      </c>
      <c r="K80" s="24">
        <v>231.2034247401439</v>
      </c>
      <c r="L80" s="25">
        <v>152.08335730021372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175.79479365819404</v>
      </c>
      <c r="H81" s="24">
        <v>165.09883458983762</v>
      </c>
      <c r="I81" s="24">
        <v>129.22506007591559</v>
      </c>
      <c r="J81" s="24">
        <v>3.4466666666666659</v>
      </c>
      <c r="K81" s="24">
        <v>230.50324155962585</v>
      </c>
      <c r="L81" s="25">
        <v>152.31351034579868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zoomScale="60" zoomScaleNormal="100" workbookViewId="0">
      <selection activeCell="Q12" sqref="Q12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12" width="15.6640625" style="4" customWidth="1"/>
    <col min="13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5" t="s">
        <v>8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6" t="s">
        <v>7</v>
      </c>
      <c r="G11" s="136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65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65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f>G89</f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f t="shared" ref="G91:G97" si="2">G89</f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f>G92</f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f t="shared" si="2"/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f>G95</f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f t="shared" si="2"/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f>G98</f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f>G98</f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f>G101</f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f t="shared" ref="G103:G109" si="3">G101</f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f>G104</f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f t="shared" si="3"/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f>G107</f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f t="shared" si="3"/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f>123.1*1.0101</f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f>123.1*1.0101</f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f>123.1*1.0101</f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f>123.7 * 1.0101</f>
        <v>124.94937</v>
      </c>
      <c r="H113" s="39">
        <v>129.9</v>
      </c>
      <c r="I113" s="39">
        <f>I112*(1+(((SUM(I$87:I$98)-SUM(I$75:I$86))/SUM(I$75:I$86))/12))</f>
        <v>99.411828002363066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f>123.7 * 1.0101</f>
        <v>124.94937</v>
      </c>
      <c r="H114" s="39">
        <f>H113*(1+(((SUM(H$87:H$98)-SUM(H$75:H$86))/SUM(H$75:H$86))/12))</f>
        <v>130.2013098649202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f>123.7 * 1.0101</f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f>124.1 * 1.0101</f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f>124.1 * 1.0101</f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f>124.1 * 1.0101</f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f>124.4*1.0101</f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f>G119</f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f>G119</f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f>124.6*1.0101</f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f>G122</f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f>G122</f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f>125.1*1.0101</f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f>G125</f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f>G125</f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f>125.4*1.0101</f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f>G128</f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f>G128</f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f>125.9*1.0101</f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f>G131</f>
        <v>127.17159000000001</v>
      </c>
      <c r="H132" s="39">
        <v>130.80000000000001</v>
      </c>
      <c r="I132" s="39">
        <f>+I$120*(103.5/103.3)</f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f>G131</f>
        <v>127.17159000000001</v>
      </c>
      <c r="H133" s="39">
        <v>130.9</v>
      </c>
      <c r="I133" s="39">
        <f>+I$120*(103.5/103.3)</f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f>+I$120*(103.4/103.3)</f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f>G134</f>
        <v>127.7</v>
      </c>
      <c r="H135" s="39">
        <v>130.30000000000001</v>
      </c>
      <c r="I135" s="39">
        <f>+I$120*(103.8/103.3)</f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f>G134</f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f>126.9*1.0101</f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f>126.9*1.0101</f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f>126.9*1.0101</f>
        <v>128.18169</v>
      </c>
      <c r="H139" s="39">
        <f>H138*(1+(((SUM(H$111:H$122)-SUM(H$99:H$110))/SUM(H$99:H$110))/12))</f>
        <v>131.59655849136419</v>
      </c>
      <c r="I139" s="39">
        <f>+I$120*(106/103.3)</f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f>127.2*1.0101</f>
        <v>128.48472000000001</v>
      </c>
      <c r="H140" s="39">
        <f>H139*(1+(((SUM(H$111:H$122)-SUM(H$99:H$110))/SUM(H$99:H$110))/12))</f>
        <v>131.69318788419039</v>
      </c>
      <c r="I140" s="39">
        <f>+I$120*(106/103.3)</f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f>127.2*1.0101</f>
        <v>128.48472000000001</v>
      </c>
      <c r="H141" s="39">
        <v>131.6</v>
      </c>
      <c r="I141" s="39">
        <f>+I$120*(106.2/103.3)</f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f>127.2*1.0101</f>
        <v>128.48472000000001</v>
      </c>
      <c r="H142" s="39">
        <v>131.5</v>
      </c>
      <c r="I142" s="39">
        <f>+I$120*(106.3/103.3)</f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f>127.8*1.0101</f>
        <v>129.09078</v>
      </c>
      <c r="H143" s="39">
        <v>131.1</v>
      </c>
      <c r="I143" s="39">
        <f>+I$120*(106.5/103.3)</f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f>127.8*1.0101</f>
        <v>129.09078</v>
      </c>
      <c r="H144" s="39">
        <v>131.4</v>
      </c>
      <c r="I144" s="39">
        <f>+I$120*(106.5/103.3)</f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f>127.8*1.0101</f>
        <v>129.09078</v>
      </c>
      <c r="H145" s="39">
        <v>131.4</v>
      </c>
      <c r="I145" s="39">
        <f>+I$120*(106.7/103.3)</f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f>128.2*1.0101</f>
        <v>129.49481999999998</v>
      </c>
      <c r="H146" s="39">
        <v>131</v>
      </c>
      <c r="I146" s="39">
        <f>+I$120*(106.8/103.3)</f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f>128.2*1.0101</f>
        <v>129.49481999999998</v>
      </c>
      <c r="H147" s="39">
        <f>H146*(1+(((SUM(H$123:H$134)-SUM(H$111:H$122))/SUM(H$111:H$122))/12))</f>
        <v>131.06588895517743</v>
      </c>
      <c r="I147" s="39">
        <f>+I$120*(106.8/103.3)</f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f>128.2*1.0101</f>
        <v>129.49481999999998</v>
      </c>
      <c r="H148" s="39">
        <f>131/99.8*99.4</f>
        <v>130.47494989979961</v>
      </c>
      <c r="I148" s="39">
        <f>+I$120*(106.9/103.3)</f>
        <v>102.76060019361086</v>
      </c>
      <c r="J148" s="39">
        <f>+J147</f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f>128.7*1.0101</f>
        <v>129.99986999999999</v>
      </c>
      <c r="H149" s="39">
        <f>131/99.8*100.1</f>
        <v>131.3937875751503</v>
      </c>
      <c r="I149" s="39">
        <f>+I$120*(106.9/103.3)</f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f>128.7*1.0101</f>
        <v>129.99986999999999</v>
      </c>
      <c r="H150" s="39">
        <f>131/99.8*100.2</f>
        <v>131.52505010020042</v>
      </c>
      <c r="I150" s="39">
        <f>+I$120*(107/103.3)</f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4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f>128.7*1.0101</f>
        <v>129.99986999999999</v>
      </c>
      <c r="H151" s="39">
        <f>131/99.8*100.3</f>
        <v>131.65631262525051</v>
      </c>
      <c r="I151" s="39">
        <f>+I$120*(106.8/103.3)</f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4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f>129.4*1.0101</f>
        <v>130.70694</v>
      </c>
      <c r="H152" s="39">
        <f>131/99.8*100.5</f>
        <v>131.91883767535072</v>
      </c>
      <c r="I152" s="39">
        <f>+I$120*(106.7/103.3)</f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4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f>129.4*1.0101</f>
        <v>130.70694</v>
      </c>
      <c r="H153" s="39">
        <f>131/99.8*100.6</f>
        <v>132.05010020040081</v>
      </c>
      <c r="I153" s="39">
        <f>+I$120*(107/103.3)</f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4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f>129.4*1.0101</f>
        <v>130.70694</v>
      </c>
      <c r="H154" s="39">
        <f>131/99.8*100.5</f>
        <v>131.91883767535072</v>
      </c>
      <c r="I154" s="39">
        <f>+I$120*(107.2/103.3)</f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4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f>130*1.0101</f>
        <v>131.31299999999999</v>
      </c>
      <c r="H155" s="39">
        <f>131/99.8*100.2</f>
        <v>131.52505010020042</v>
      </c>
      <c r="I155" s="39">
        <f>+I$120*(107.1/103.3)</f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4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f>130*1.0101</f>
        <v>131.31299999999999</v>
      </c>
      <c r="H156" s="39">
        <f>131/99.8*100.2</f>
        <v>131.52505010020042</v>
      </c>
      <c r="I156" s="39">
        <f>+I$120*(107.2/103.3)</f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4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f>130*1.0101</f>
        <v>131.31299999999999</v>
      </c>
      <c r="H157" s="39">
        <f>131/99.8*100.4</f>
        <v>131.78757515030063</v>
      </c>
      <c r="I157" s="39">
        <f>+I$120*(107.2/103.3)</f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4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f>130.5*1.0101</f>
        <v>131.81805</v>
      </c>
      <c r="H158" s="39">
        <f>131/99.8*100.3</f>
        <v>131.65631262525051</v>
      </c>
      <c r="I158" s="39">
        <f>+I$120*(107.2/103.3)</f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4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f>G156*(1+(((SUM(G$135:G$146)-SUM(G$123:G$134))/SUM(G$123:G$134))/4))</f>
        <v>131.79126077521192</v>
      </c>
      <c r="H159" s="39">
        <f>131/99.8*100.3</f>
        <v>131.65631262525051</v>
      </c>
      <c r="I159" s="39">
        <f>+I$120*(107.1/103.3)</f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4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f>G157*(1+(((SUM(G$135:G$146)-SUM(G$123:G$134))/SUM(G$123:G$134))/4))</f>
        <v>131.79126077521192</v>
      </c>
      <c r="H160" s="39">
        <f>131/99.8*100.3</f>
        <v>131.65631262525051</v>
      </c>
      <c r="I160" s="39">
        <f>+I$120*(107.4/103.3)</f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4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f>131.1*1.0101</f>
        <v>132.42410999999998</v>
      </c>
      <c r="H161" s="39">
        <f>131/99.8*101.1</f>
        <v>132.70641282565131</v>
      </c>
      <c r="I161" s="39">
        <f>+I$120*(107.5/103.3)</f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4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f>131.1*1.0101</f>
        <v>132.42410999999998</v>
      </c>
      <c r="H162" s="39">
        <f>131/99.8*101.2</f>
        <v>132.8376753507014</v>
      </c>
      <c r="I162" s="39">
        <f>+I$120*(107.9/103.3)</f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4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f>131.1*1.0101</f>
        <v>132.42410999999998</v>
      </c>
      <c r="H163" s="39">
        <f>131/99.8*101.4</f>
        <v>133.10020040080161</v>
      </c>
      <c r="I163" s="39">
        <f>+I$120*(107.7/103.3)</f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4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f>131.4*1.0101</f>
        <v>132.72713999999999</v>
      </c>
      <c r="H164" s="39">
        <f>131/99.8*101.3</f>
        <v>132.96893787575152</v>
      </c>
      <c r="I164" s="39">
        <f>+I$120*(107.7/103.3)</f>
        <v>103.5296224588577</v>
      </c>
      <c r="J164" s="39">
        <f>+J163</f>
        <v>0.75</v>
      </c>
      <c r="K164" s="39">
        <v>140.36411960132892</v>
      </c>
      <c r="L164" s="39">
        <v>109.75058594376398</v>
      </c>
      <c r="M164" s="42">
        <f t="shared" si="4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f>131.4*1.0101</f>
        <v>132.72713999999999</v>
      </c>
      <c r="H165" s="39">
        <f>131/99.8*101.2</f>
        <v>132.8376753507014</v>
      </c>
      <c r="I165" s="39">
        <f>+I$120*(107.9/103.3)</f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4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f>131.4*1.0101</f>
        <v>132.72713999999999</v>
      </c>
      <c r="H166" s="39">
        <f>131/99.8*102</f>
        <v>133.88777555110221</v>
      </c>
      <c r="I166" s="39">
        <f>+I$120*(108.4/103.3)</f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4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f>132.2*1.0101</f>
        <v>133.53521999999998</v>
      </c>
      <c r="H167" s="39">
        <f>131/99.8*101.7</f>
        <v>133.49398797595191</v>
      </c>
      <c r="I167" s="39">
        <f>+I$120*(108.3/103.3)</f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4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f>132.2*1.0101</f>
        <v>133.53521999999998</v>
      </c>
      <c r="H168" s="39">
        <f>131/99.8*101.8</f>
        <v>133.625250501002</v>
      </c>
      <c r="I168" s="39">
        <f>+I$120*(108.1/103.3)</f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4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f>132.2*1.0101</f>
        <v>133.53521999999998</v>
      </c>
      <c r="H169" s="39">
        <f>131/99.8*101.9</f>
        <v>133.75651302605212</v>
      </c>
      <c r="I169" s="39">
        <f>+I$120*(108.5/103.3)</f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4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f>132.9*1.0101</f>
        <v>134.24229</v>
      </c>
      <c r="H170" s="39">
        <f>131/99.8*101.6</f>
        <v>133.36272545090179</v>
      </c>
      <c r="I170" s="39">
        <f>+I$120*(108.7/103.3)</f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4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f>132.9*1.0101</f>
        <v>134.24229</v>
      </c>
      <c r="H171" s="39">
        <f>131/99.8*101.3</f>
        <v>132.96893787575152</v>
      </c>
      <c r="I171" s="39">
        <f>+I$120*(108.3/103.3)</f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4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f>132.9*1.0101</f>
        <v>134.24229</v>
      </c>
      <c r="H172" s="39">
        <f>131/99.8*101</f>
        <v>132.57515030060122</v>
      </c>
      <c r="I172" s="39">
        <f>+I$120*(108.9/103.3)</f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4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f>133.4*1.0101</f>
        <v>134.74734000000001</v>
      </c>
      <c r="H173" s="39">
        <f>131/99.8*101.7</f>
        <v>133.49398797595191</v>
      </c>
      <c r="I173" s="39">
        <f>+I$120*(109/103.3)</f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4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f>133.4*1.0101</f>
        <v>134.74734000000001</v>
      </c>
      <c r="H174" s="39">
        <f>131/99.8*101.7</f>
        <v>133.49398797595191</v>
      </c>
      <c r="I174" s="39">
        <f>+I$120*(109/103.3)</f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4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f>133.4*1.0101</f>
        <v>134.74734000000001</v>
      </c>
      <c r="H175" s="39">
        <f>131/99.8*102.2</f>
        <v>134.15030060120242</v>
      </c>
      <c r="I175" s="39">
        <f>+I$120*(109.1/103.3)</f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4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f>134*1.0101</f>
        <v>135.35339999999999</v>
      </c>
      <c r="H176" s="39">
        <f>131/99.8*102.4</f>
        <v>134.41282565130263</v>
      </c>
      <c r="I176" s="39">
        <f>+I$120*(109.2/103.3)</f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4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f>134*1.0101</f>
        <v>135.35339999999999</v>
      </c>
      <c r="H177" s="39">
        <f>131/99.8*102.3</f>
        <v>134.28156312625251</v>
      </c>
      <c r="I177" s="39">
        <f>+I$120*(108.2/103.3)</f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4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f>134*1.0101</f>
        <v>135.35339999999999</v>
      </c>
      <c r="H178" s="39">
        <f>131/99.8*103.1</f>
        <v>135.33166332665331</v>
      </c>
      <c r="I178" s="39">
        <f>+I$120*(108.8/103.3)</f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4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f>135.2*1.0101</f>
        <v>136.56551999999999</v>
      </c>
      <c r="H179" s="39">
        <f>131/99.8*102.7</f>
        <v>134.80661322645292</v>
      </c>
      <c r="I179" s="39">
        <f>+I$120*(108.7/103.3)</f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4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f>135.2*1.0101</f>
        <v>136.56551999999999</v>
      </c>
      <c r="H180" s="39">
        <f>131/99.8*102.4</f>
        <v>134.41282565130263</v>
      </c>
      <c r="I180" s="39">
        <f>+I$120*(109.4/103.3)</f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4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f>135.2*1.0101</f>
        <v>136.56551999999999</v>
      </c>
      <c r="H181" s="39">
        <f>131/99.8*102.7</f>
        <v>134.80661322645292</v>
      </c>
      <c r="I181" s="39">
        <f>+I$120*(109.9/103.3)</f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4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f>135.8*1.0101</f>
        <v>137.17158000000001</v>
      </c>
      <c r="H182" s="39">
        <f>131/99.8*102.4</f>
        <v>134.41282565130263</v>
      </c>
      <c r="I182" s="39">
        <f>+I$120*(109.9/103.3)</f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4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f>135.8*1.0101</f>
        <v>137.17158000000001</v>
      </c>
      <c r="H183" s="39">
        <f>131/99.8*102.1</f>
        <v>134.0190380761523</v>
      </c>
      <c r="I183" s="39">
        <f>+I$120*(109.7/103.3)</f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4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f>135.8*1.0101</f>
        <v>137.17158000000001</v>
      </c>
      <c r="H184" s="39">
        <f>131/99.8*102.3</f>
        <v>134.28156312625251</v>
      </c>
      <c r="I184" s="39">
        <f>+I$172*(103.3/103.6)</f>
        <v>104.38001930501932</v>
      </c>
      <c r="J184" s="39">
        <v>0.68</v>
      </c>
      <c r="K184" s="39">
        <v>152.20553709856037</v>
      </c>
      <c r="L184" s="39">
        <v>113.76792809580698</v>
      </c>
      <c r="M184" s="42">
        <f t="shared" si="4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f>136.4*1.0101</f>
        <v>137.77764000000002</v>
      </c>
      <c r="H185" s="39">
        <f>131/99.8*102.8</f>
        <v>134.93787575150301</v>
      </c>
      <c r="I185" s="39">
        <f>+I$172*(103.6/103.6)</f>
        <v>104.68315585672798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4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f>136.4*1.0101</f>
        <v>137.77764000000002</v>
      </c>
      <c r="H186" s="39">
        <f>131/99.8*102.9</f>
        <v>135.06913827655313</v>
      </c>
      <c r="I186" s="39">
        <f>+I$172*(103.7/103.6)</f>
        <v>104.78420137396422</v>
      </c>
      <c r="J186" s="39">
        <f>+J185</f>
        <v>0.55000000000000004</v>
      </c>
      <c r="K186" s="39">
        <v>159.57032115171651</v>
      </c>
      <c r="L186" s="39">
        <v>114.90814252864149</v>
      </c>
      <c r="M186" s="42">
        <f t="shared" si="4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f>136.4*1.0101</f>
        <v>137.77764000000002</v>
      </c>
      <c r="H187" s="39">
        <f>131/99.8*103.2</f>
        <v>135.46292585170343</v>
      </c>
      <c r="I187" s="39">
        <f>+I$172*(104.5/103.6)</f>
        <v>105.592565511854</v>
      </c>
      <c r="J187" s="39">
        <v>0.59</v>
      </c>
      <c r="K187" s="39">
        <v>160.1479512735327</v>
      </c>
      <c r="L187" s="39">
        <v>115.12966981526006</v>
      </c>
      <c r="M187" s="42">
        <f t="shared" si="4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f>136.6*1.0101</f>
        <v>137.97966</v>
      </c>
      <c r="H188" s="39">
        <f>131/99.8*103.1</f>
        <v>135.33166332665331</v>
      </c>
      <c r="I188" s="39">
        <f>+I$172*(104.6/103.6)</f>
        <v>105.69361102909022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4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f>136.6*1.0101</f>
        <v>137.97966</v>
      </c>
      <c r="H189" s="39">
        <f>131/99.8*102.9</f>
        <v>135.06913827655313</v>
      </c>
      <c r="I189" s="39">
        <f>+I$172*(105/103.6)</f>
        <v>106.09779309803513</v>
      </c>
      <c r="J189" s="39">
        <v>0.39</v>
      </c>
      <c r="K189" s="39">
        <v>154.66046511627906</v>
      </c>
      <c r="L189" s="39">
        <v>114.35614575682418</v>
      </c>
      <c r="M189" s="42">
        <f t="shared" si="4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f>136.6*1.0101</f>
        <v>137.97966</v>
      </c>
      <c r="H190" s="39">
        <f>131/99.8*103.5</f>
        <v>135.85671342685373</v>
      </c>
      <c r="I190" s="39">
        <f>+I$172*(104.4/103.6)</f>
        <v>105.49151999461779</v>
      </c>
      <c r="J190" s="39">
        <v>0.3</v>
      </c>
      <c r="K190" s="39">
        <v>156.24894795127355</v>
      </c>
      <c r="L190" s="39">
        <v>114.43021496834194</v>
      </c>
      <c r="M190" s="42">
        <f t="shared" si="4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f>137.8*1.0101</f>
        <v>139.19178000000002</v>
      </c>
      <c r="H191" s="39">
        <f>131/99.8*103.1</f>
        <v>135.33166332665331</v>
      </c>
      <c r="I191" s="39">
        <f>+I$172*(104.1/103.6)</f>
        <v>105.18838344290909</v>
      </c>
      <c r="J191" s="39">
        <v>0.21</v>
      </c>
      <c r="K191" s="39">
        <v>154.51605758582502</v>
      </c>
      <c r="L191" s="39">
        <v>114.7158339003598</v>
      </c>
      <c r="M191" s="42">
        <f t="shared" si="4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f>137.8*1.0101</f>
        <v>139.19178000000002</v>
      </c>
      <c r="H192" s="39">
        <f>131/99.8*102.9</f>
        <v>135.06913827655313</v>
      </c>
      <c r="I192" s="39">
        <f>+I$172*(103.9/103.6)</f>
        <v>104.98629240843665</v>
      </c>
      <c r="J192" s="39">
        <v>0.26</v>
      </c>
      <c r="K192" s="39">
        <v>159.42591362126248</v>
      </c>
      <c r="L192" s="39">
        <v>115.32625709959332</v>
      </c>
      <c r="M192" s="42">
        <f t="shared" si="4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f>137.8*1.0101</f>
        <v>139.19178000000002</v>
      </c>
      <c r="H193" s="39">
        <f>131/99.8*103.3</f>
        <v>135.59418837675352</v>
      </c>
      <c r="I193" s="39">
        <f>+I$172*(103.7/103.6)</f>
        <v>104.78420137396422</v>
      </c>
      <c r="J193" s="39">
        <v>0.34</v>
      </c>
      <c r="K193" s="39">
        <v>158.70387596899226</v>
      </c>
      <c r="L193" s="39">
        <v>115.35850327339361</v>
      </c>
      <c r="M193" s="42">
        <f t="shared" si="4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f>138.6*1.0101</f>
        <v>139.99985999999998</v>
      </c>
      <c r="H194" s="39">
        <f>131/99.8*103.1</f>
        <v>135.33166332665331</v>
      </c>
      <c r="I194" s="39">
        <f>+I$172*(103.9/103.6)</f>
        <v>104.98629240843665</v>
      </c>
      <c r="J194" s="39">
        <v>0.23</v>
      </c>
      <c r="K194" s="39">
        <v>157.25980066445183</v>
      </c>
      <c r="L194" s="39">
        <v>115.49528725236792</v>
      </c>
      <c r="M194" s="42">
        <f t="shared" si="4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f>138.6*1.0101</f>
        <v>139.99985999999998</v>
      </c>
      <c r="H195" s="39">
        <f>131/99.8*102.9</f>
        <v>135.06913827655313</v>
      </c>
      <c r="I195" s="39">
        <f>+I$172*(104/103.6)</f>
        <v>105.08733792567287</v>
      </c>
      <c r="J195" s="39">
        <v>0.36</v>
      </c>
      <c r="K195" s="39">
        <v>159.85913621262461</v>
      </c>
      <c r="L195" s="39">
        <v>115.95946691988824</v>
      </c>
      <c r="M195" s="42">
        <f t="shared" si="4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f>138.6*1.0101</f>
        <v>139.99985999999998</v>
      </c>
      <c r="H196" s="39">
        <f>131/99.8*103</f>
        <v>135.20040080160322</v>
      </c>
      <c r="I196" s="39">
        <f>+I$172*(104.9/103.6)</f>
        <v>105.99674758079891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4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f>139.2*1.0101</f>
        <v>140.60592</v>
      </c>
      <c r="H197" s="39">
        <f>131/99.8*103.6</f>
        <v>135.98797595190382</v>
      </c>
      <c r="I197" s="39">
        <f>+I$172*(105/103.6)</f>
        <v>106.09779309803513</v>
      </c>
      <c r="J197" s="39">
        <v>0.1</v>
      </c>
      <c r="K197" s="39">
        <v>156.10454042081949</v>
      </c>
      <c r="L197" s="39">
        <v>115.67789442141988</v>
      </c>
      <c r="M197" s="42">
        <f t="shared" si="4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f>139.2*1.0101</f>
        <v>140.60592</v>
      </c>
      <c r="H198" s="39">
        <f>131/99.8*103.3</f>
        <v>135.59418837675352</v>
      </c>
      <c r="I198" s="39">
        <f>+I$172*(105.2/103.6)</f>
        <v>106.29988413250759</v>
      </c>
      <c r="J198" s="39">
        <v>0.45</v>
      </c>
      <c r="K198" s="39">
        <v>145.70719822812848</v>
      </c>
      <c r="L198" s="39">
        <v>114.87188483156237</v>
      </c>
      <c r="M198" s="42">
        <f t="shared" si="4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f>139.2*1.0101</f>
        <v>140.60592</v>
      </c>
      <c r="H199" s="39">
        <f>131/99.8*103.2</f>
        <v>135.46292585170343</v>
      </c>
      <c r="I199" s="39">
        <f>+I$172*(105.2/103.6)</f>
        <v>106.29988413250759</v>
      </c>
      <c r="J199" s="39">
        <v>0.35</v>
      </c>
      <c r="K199" s="39">
        <v>133.57696566998894</v>
      </c>
      <c r="L199" s="39">
        <v>113.2929315868731</v>
      </c>
      <c r="M199" s="42">
        <f t="shared" si="4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f>139.8*1.0101</f>
        <v>141.21198000000001</v>
      </c>
      <c r="H200" s="39">
        <f>131/99.8*103.1</f>
        <v>135.33166332665331</v>
      </c>
      <c r="I200" s="39">
        <f>+I$172*(105.3/103.6)</f>
        <v>106.4009296497438</v>
      </c>
      <c r="J200" s="39">
        <v>0.23</v>
      </c>
      <c r="K200" s="39">
        <v>127.22303433001107</v>
      </c>
      <c r="L200" s="39">
        <v>112.72071229548855</v>
      </c>
      <c r="M200" s="42">
        <f t="shared" si="4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f>139.8*1.0101</f>
        <v>141.21198000000001</v>
      </c>
      <c r="H201" s="39">
        <f>131/99.8*103.2</f>
        <v>135.46292585170343</v>
      </c>
      <c r="I201" s="39">
        <f>+I$172*(105.5/103.6)</f>
        <v>106.60302068421623</v>
      </c>
      <c r="J201" s="39">
        <v>0.22</v>
      </c>
      <c r="K201" s="39">
        <v>133.57696566998894</v>
      </c>
      <c r="L201" s="39">
        <v>113.49243885353881</v>
      </c>
      <c r="M201" s="42">
        <f t="shared" si="4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f>139.8*1.0101</f>
        <v>141.21198000000001</v>
      </c>
      <c r="H202" s="39">
        <f>131/99.8*104</f>
        <v>136.51302605210421</v>
      </c>
      <c r="I202" s="39">
        <f>+I$172*(105.7/103.6)</f>
        <v>106.80511171868869</v>
      </c>
      <c r="J202" s="39">
        <v>0.17</v>
      </c>
      <c r="K202" s="39">
        <v>138.19800664451827</v>
      </c>
      <c r="L202" s="39">
        <v>114.07119691049098</v>
      </c>
      <c r="M202" s="42">
        <f t="shared" si="4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f>140.2*1.0101</f>
        <v>141.61601999999999</v>
      </c>
      <c r="H203" s="39">
        <f>131/99.8*103.6</f>
        <v>135.98797595190382</v>
      </c>
      <c r="I203" s="39">
        <f>+I$172*(106/103.6)</f>
        <v>107.10824827039735</v>
      </c>
      <c r="J203" s="39">
        <v>0.22</v>
      </c>
      <c r="K203" s="39">
        <v>138.19800664451827</v>
      </c>
      <c r="L203" s="39">
        <v>114.34913890532042</v>
      </c>
      <c r="M203" s="42">
        <f t="shared" si="4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f>140.2*1.0101</f>
        <v>141.61601999999999</v>
      </c>
      <c r="H204" s="39">
        <f>131/99.8*103.5</f>
        <v>135.85671342685373</v>
      </c>
      <c r="I204" s="39">
        <f>+I$172*(105.9/103.6)</f>
        <v>107.00720275316112</v>
      </c>
      <c r="J204" s="39">
        <v>0.15</v>
      </c>
      <c r="K204" s="39">
        <v>135.02104097452934</v>
      </c>
      <c r="L204" s="39">
        <v>113.86439011534036</v>
      </c>
      <c r="M204" s="42">
        <f t="shared" si="4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f>140.2*1.0101</f>
        <v>141.61601999999999</v>
      </c>
      <c r="H205" s="39">
        <f>131/99.8*103.7</f>
        <v>136.11923847695391</v>
      </c>
      <c r="I205" s="39">
        <f>+I$172*(105.7/103.6)</f>
        <v>106.80511171868869</v>
      </c>
      <c r="J205" s="39">
        <v>0.08</v>
      </c>
      <c r="K205" s="39">
        <v>134.73222591362128</v>
      </c>
      <c r="L205" s="39">
        <v>113.74134760862323</v>
      </c>
      <c r="M205" s="42">
        <f t="shared" si="4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f>141*1.0101</f>
        <v>142.42410000000001</v>
      </c>
      <c r="H206" s="39">
        <f>131/99.8*103.6</f>
        <v>135.98797595190382</v>
      </c>
      <c r="I206" s="39">
        <f>+I$172*(106.1/103.6)</f>
        <v>107.20929378763357</v>
      </c>
      <c r="J206" s="39">
        <v>0.15</v>
      </c>
      <c r="K206" s="39">
        <v>135.02104097452934</v>
      </c>
      <c r="L206" s="39">
        <v>114.33872793080045</v>
      </c>
      <c r="M206" s="42">
        <f t="shared" si="4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f>141*1.0101</f>
        <v>142.42410000000001</v>
      </c>
      <c r="H207" s="39">
        <f>131/99.8*103.4</f>
        <v>135.72545090180361</v>
      </c>
      <c r="I207" s="39">
        <f>+I$172*(105.8/103.6)</f>
        <v>106.90615723592491</v>
      </c>
      <c r="J207" s="39">
        <v>-0.01</v>
      </c>
      <c r="K207" s="39">
        <v>142.38582502768548</v>
      </c>
      <c r="L207" s="39">
        <v>114.96785702200084</v>
      </c>
      <c r="M207" s="42">
        <f t="shared" si="4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f>141*1.0101</f>
        <v>142.42410000000001</v>
      </c>
      <c r="H208" s="39">
        <f>131/99.8*103.6</f>
        <v>135.98797595190382</v>
      </c>
      <c r="I208" s="39">
        <f>+I$172*(106.9/103.6)</f>
        <v>108.01765792552338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4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f>141.6*1.0101</f>
        <v>143.03016</v>
      </c>
      <c r="H209" s="39">
        <f>131/99.8*104.2</f>
        <v>136.77555110220442</v>
      </c>
      <c r="I209" s="39">
        <f>+I$172*(107.1/103.6)</f>
        <v>108.21974895999581</v>
      </c>
      <c r="J209" s="39">
        <v>0.33</v>
      </c>
      <c r="K209" s="39">
        <v>151.77231450719822</v>
      </c>
      <c r="L209" s="39">
        <v>117.04269769478231</v>
      </c>
      <c r="M209" s="42">
        <f t="shared" si="4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f>141.6*1.0101</f>
        <v>143.03016</v>
      </c>
      <c r="H210" s="39">
        <f>131/99.8*104.3</f>
        <v>136.90681362725451</v>
      </c>
      <c r="I210" s="39">
        <f>+I$172*(107.7/103.6)</f>
        <v>108.82602206341316</v>
      </c>
      <c r="J210" s="39">
        <v>0.44</v>
      </c>
      <c r="K210" s="39">
        <v>157.1153931339978</v>
      </c>
      <c r="L210" s="39">
        <v>117.88261404066569</v>
      </c>
      <c r="M210" s="42">
        <f t="shared" si="4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f>141.6*1.0101</f>
        <v>143.03016</v>
      </c>
      <c r="H211" s="39">
        <f>131/99.8*104.7</f>
        <v>137.43186372745492</v>
      </c>
      <c r="I211" s="39">
        <f>+I$172*(108/103.6)</f>
        <v>109.12915861512184</v>
      </c>
      <c r="J211" s="39">
        <v>0.39</v>
      </c>
      <c r="K211" s="39">
        <v>154.0828349944629</v>
      </c>
      <c r="L211" s="39">
        <v>117.52325873951577</v>
      </c>
      <c r="M211" s="42">
        <f t="shared" si="4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f>142.6*1.0101</f>
        <v>144.04025999999999</v>
      </c>
      <c r="H212" s="39">
        <f>131/99.8*104.9</f>
        <v>137.69438877755513</v>
      </c>
      <c r="I212" s="39">
        <f>+I$172*(108.2/103.6)</f>
        <v>109.33124964959428</v>
      </c>
      <c r="J212" s="39">
        <v>0.48</v>
      </c>
      <c r="K212" s="39">
        <v>157.25980066445183</v>
      </c>
      <c r="L212" s="39">
        <v>118.60971933724922</v>
      </c>
      <c r="M212" s="42">
        <f t="shared" si="4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f>142.6*1.0101</f>
        <v>144.04025999999999</v>
      </c>
      <c r="H213" s="39">
        <f>131/99.8*105</f>
        <v>137.82565130260522</v>
      </c>
      <c r="I213" s="39">
        <f>+I$172*(108.4/103.6)</f>
        <v>109.53334068406674</v>
      </c>
      <c r="J213" s="39">
        <v>0.42</v>
      </c>
      <c r="K213" s="39">
        <v>161.15880398671095</v>
      </c>
      <c r="L213" s="39">
        <v>119.02629947809577</v>
      </c>
      <c r="M213" s="42">
        <f t="shared" si="4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f>142.6*1.0101</f>
        <v>144.04025999999999</v>
      </c>
      <c r="H214" s="39">
        <f>131/99.8*105.7</f>
        <v>138.74448897795594</v>
      </c>
      <c r="I214" s="39">
        <f>+I$172*(108.5/103.6)</f>
        <v>109.63438620130296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5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8.5364187615203493E-2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f>144.1*1.0101</f>
        <v>145.55540999999999</v>
      </c>
      <c r="H215" s="39">
        <f>131/99.8*105.5</f>
        <v>138.48196392785573</v>
      </c>
      <c r="I215" s="39">
        <f>+I$172*(108.7/103.6)</f>
        <v>109.83647723577542</v>
      </c>
      <c r="J215" s="39">
        <v>0.4</v>
      </c>
      <c r="K215" s="39">
        <v>163.90254706533776</v>
      </c>
      <c r="L215" s="39">
        <v>120.23852615706713</v>
      </c>
      <c r="M215" s="42">
        <f t="shared" si="5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8.4947777663078011E-2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f>144.1*1.0101</f>
        <v>145.55540999999999</v>
      </c>
      <c r="H216" s="39">
        <f>131/99.8*105.8</f>
        <v>138.87575150300603</v>
      </c>
      <c r="I216" s="39">
        <f>+I$172*(109.3/103.6)</f>
        <v>110.44275033919274</v>
      </c>
      <c r="J216" s="39">
        <v>0.45</v>
      </c>
      <c r="K216" s="39">
        <v>167.94595791805094</v>
      </c>
      <c r="L216" s="39">
        <v>120.86643200403307</v>
      </c>
      <c r="M216" s="42">
        <f t="shared" si="5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f>144.1*1.0101</f>
        <v>145.55540999999999</v>
      </c>
      <c r="H217" s="39">
        <f>131/99.8*106.8</f>
        <v>140.18837675350701</v>
      </c>
      <c r="I217" s="39">
        <f>+I$172*(109.8/103.6)</f>
        <v>110.94797792537386</v>
      </c>
      <c r="J217" s="39">
        <v>0.49</v>
      </c>
      <c r="K217" s="39">
        <v>183.25315614617941</v>
      </c>
      <c r="L217" s="39">
        <v>122.87693223945698</v>
      </c>
      <c r="M217" s="42">
        <f t="shared" si="5"/>
        <v>1.6634066234012979E-2</v>
      </c>
      <c r="N217" s="12"/>
      <c r="O217" s="23">
        <v>44531</v>
      </c>
      <c r="P217" s="43">
        <v>0.65445443766814204</v>
      </c>
      <c r="Q217" s="43">
        <v>7.9022297029274019E-2</v>
      </c>
      <c r="R217" s="43">
        <v>8.3964963149440811E-2</v>
      </c>
      <c r="S217" s="43">
        <v>5.0160122817579983E-3</v>
      </c>
      <c r="T217" s="43">
        <v>0.17754228987138509</v>
      </c>
      <c r="U217" s="43">
        <v>0.99999999999999989</v>
      </c>
      <c r="V217" s="12"/>
      <c r="W217" s="12"/>
    </row>
    <row r="218" spans="5:23" ht="13.5" hidden="1" customHeight="1">
      <c r="E218" s="12"/>
      <c r="F218" s="23">
        <v>44562</v>
      </c>
      <c r="G218" s="39">
        <f>144.9*1.0101</f>
        <v>146.36349000000001</v>
      </c>
      <c r="H218" s="39">
        <f>131/99.8*107.1</f>
        <v>140.58216432865731</v>
      </c>
      <c r="I218" s="39">
        <f>+I$172*(109.7/103.6)</f>
        <v>110.84693240813765</v>
      </c>
      <c r="J218" s="39">
        <v>0.42</v>
      </c>
      <c r="K218" s="39">
        <v>184.55282392026578</v>
      </c>
      <c r="L218" s="39">
        <v>123.40793614752445</v>
      </c>
      <c r="M218" s="42">
        <f t="shared" si="5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8.3527534039629245E-2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f>144.9*1.0101</f>
        <v>146.36349000000001</v>
      </c>
      <c r="H219" s="39">
        <f>131/99.8*106.6</f>
        <v>139.92585170340681</v>
      </c>
      <c r="I219" s="39">
        <f>+I$172*(110.3/103.6)</f>
        <v>111.45320551155497</v>
      </c>
      <c r="J219" s="39">
        <v>0.54</v>
      </c>
      <c r="K219" s="39">
        <v>178.34330011074198</v>
      </c>
      <c r="L219" s="39">
        <v>122.83057063615094</v>
      </c>
      <c r="M219" s="42">
        <f t="shared" si="5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f>144.9*1.0101</f>
        <v>146.36349000000001</v>
      </c>
      <c r="H220" s="39">
        <f>131/99.8*108.1</f>
        <v>141.89478957915833</v>
      </c>
      <c r="I220" s="39">
        <f>+I$172*(113.2/103.6)</f>
        <v>114.38352551140548</v>
      </c>
      <c r="J220" s="39">
        <v>0.7</v>
      </c>
      <c r="K220" s="39">
        <v>184.40841638981175</v>
      </c>
      <c r="L220" s="39">
        <v>124.16274130176751</v>
      </c>
      <c r="M220" s="42">
        <f t="shared" si="5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f>145.2*1.0101</f>
        <v>146.66651999999999</v>
      </c>
      <c r="H221" s="39">
        <f>131/99.8*109.2</f>
        <v>143.33867735470943</v>
      </c>
      <c r="I221" s="39">
        <f>+I$172*(113.6/103.6)</f>
        <v>114.78770758035037</v>
      </c>
      <c r="J221" s="39">
        <v>1.04</v>
      </c>
      <c r="K221" s="39">
        <v>192.63964562569214</v>
      </c>
      <c r="L221" s="39">
        <v>125.87533793282554</v>
      </c>
      <c r="M221" s="42">
        <f t="shared" si="5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8.4801552597409458E-2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f>145.2*1.0101</f>
        <v>146.66651999999999</v>
      </c>
      <c r="H222" s="39">
        <f>131/99.8*109.9</f>
        <v>144.25751503006015</v>
      </c>
      <c r="I222" s="39">
        <f>+I$172*(113.8/103.6)</f>
        <v>114.98979861482283</v>
      </c>
      <c r="J222" s="39">
        <v>1.24</v>
      </c>
      <c r="K222" s="39">
        <v>225.85337763012183</v>
      </c>
      <c r="L222" s="39">
        <v>130.16336141122974</v>
      </c>
      <c r="M222" s="42">
        <f t="shared" si="5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8.2152281368970945E-2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f>145.2*1.0101</f>
        <v>146.66651999999999</v>
      </c>
      <c r="H223" s="39">
        <f>131/99.8*111.7</f>
        <v>146.62024048096194</v>
      </c>
      <c r="I223" s="39">
        <f>+I$172*(115.9/103.6)</f>
        <v>117.11175447678353</v>
      </c>
      <c r="J223" s="39">
        <v>1.58</v>
      </c>
      <c r="K223" s="39">
        <v>224.1204872646733</v>
      </c>
      <c r="L223" s="39">
        <v>130.74571637608227</v>
      </c>
      <c r="M223" s="42">
        <f t="shared" si="5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f>145.9*1.0101</f>
        <v>147.37359000000001</v>
      </c>
      <c r="H224" s="39">
        <f>131/99.8*112.7</f>
        <v>147.93286573146295</v>
      </c>
      <c r="I224" s="39">
        <f>+I$172*(116.1/103.6)</f>
        <v>117.31384551125596</v>
      </c>
      <c r="J224" s="39">
        <v>1.84</v>
      </c>
      <c r="K224" s="39">
        <v>235.38427464008859</v>
      </c>
      <c r="L224" s="39">
        <v>132.91404464500877</v>
      </c>
      <c r="M224" s="42">
        <f t="shared" si="5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f>145.9*1.0101</f>
        <v>147.37359000000001</v>
      </c>
      <c r="H225" s="39">
        <f>131/99.8*113.6</f>
        <v>149.11422845691382</v>
      </c>
      <c r="I225" s="39">
        <f>+I$172*(116.6/103.6)</f>
        <v>117.8190730974371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5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8.0390294665955334E-2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f>145.9*1.0101</f>
        <v>147.37359000000001</v>
      </c>
      <c r="H226" s="39">
        <f>131/99.8*114.9</f>
        <v>150.82064128256513</v>
      </c>
      <c r="I226" s="39">
        <f>+I$172*(117.7/103.6)</f>
        <v>118.93057378703557</v>
      </c>
      <c r="J226" s="39">
        <v>1.9</v>
      </c>
      <c r="K226" s="39">
        <v>248.52535991140641</v>
      </c>
      <c r="L226" s="39">
        <v>134.90429434343835</v>
      </c>
      <c r="M226" s="42">
        <f t="shared" si="5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f>147.2*1.0101</f>
        <v>148.68671999999998</v>
      </c>
      <c r="H227" s="39">
        <f>131/99.8*114.9</f>
        <v>150.82064128256513</v>
      </c>
      <c r="I227" s="39">
        <f>+I$172*(118.4/103.6)</f>
        <v>119.63789240768914</v>
      </c>
      <c r="J227" s="39">
        <v>2.52</v>
      </c>
      <c r="K227" s="39">
        <v>230.76323366555928</v>
      </c>
      <c r="L227" s="39">
        <v>134.360891406886</v>
      </c>
      <c r="M227" s="42">
        <f t="shared" si="5"/>
        <v>-4.0280625549914406E-3</v>
      </c>
      <c r="N227" s="12"/>
      <c r="O227" s="23">
        <v>44835</v>
      </c>
      <c r="P227" s="43">
        <v>0.61139337686629858</v>
      </c>
      <c r="Q227" s="43">
        <v>7.7749196472743504E-2</v>
      </c>
      <c r="R227" s="43">
        <v>8.2802785674864043E-2</v>
      </c>
      <c r="S227" s="43">
        <v>2.3591770548437009E-2</v>
      </c>
      <c r="T227" s="43">
        <v>0.20446287043765674</v>
      </c>
      <c r="U227" s="43">
        <v>0.99999999999999978</v>
      </c>
      <c r="V227" s="12"/>
      <c r="W227" s="12"/>
    </row>
    <row r="228" spans="5:23" ht="13.5" hidden="1" customHeight="1">
      <c r="E228" s="12"/>
      <c r="F228" s="23">
        <v>44866</v>
      </c>
      <c r="G228" s="39">
        <f>147.2*1.0101</f>
        <v>148.68671999999998</v>
      </c>
      <c r="H228" s="39">
        <f>131/99.8*116.4</f>
        <v>152.78957915831666</v>
      </c>
      <c r="I228" s="39">
        <f>+I$172*(118.5/103.6)</f>
        <v>119.73893792492535</v>
      </c>
      <c r="J228" s="39">
        <v>3.22</v>
      </c>
      <c r="K228" s="39">
        <v>232.35171650055372</v>
      </c>
      <c r="L228" s="39">
        <v>135.57627280042649</v>
      </c>
      <c r="M228" s="42">
        <f t="shared" si="5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8.2129803130954915E-2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f>147.2*1.0101</f>
        <v>148.68671999999998</v>
      </c>
      <c r="H229" s="39">
        <f>131/99.8*117.6</f>
        <v>154.36472945891785</v>
      </c>
      <c r="I229" s="39">
        <f>+I$172*(120.6/103.6)</f>
        <v>121.86089378688604</v>
      </c>
      <c r="J229" s="39">
        <v>3.06</v>
      </c>
      <c r="K229" s="39">
        <v>252.13554817275747</v>
      </c>
      <c r="L229" s="39">
        <v>138.0366608161998</v>
      </c>
      <c r="M229" s="42">
        <f t="shared" si="5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f>148.2*1.0101</f>
        <v>149.69681999999997</v>
      </c>
      <c r="H230" s="39">
        <f>131/99.8*116.6</f>
        <v>153.05210420841684</v>
      </c>
      <c r="I230" s="39">
        <f>+I$172*(120.9/103.6)</f>
        <v>122.16403033859473</v>
      </c>
      <c r="J230" s="39">
        <v>2.86</v>
      </c>
      <c r="K230" s="39">
        <v>232.92934662236991</v>
      </c>
      <c r="L230" s="39">
        <v>135.99397395594633</v>
      </c>
      <c r="M230" s="42">
        <f t="shared" si="5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f>148.2*1.0101</f>
        <v>149.69681999999997</v>
      </c>
      <c r="H231" s="39">
        <f>131/99.8*115.9</f>
        <v>152.13326653306615</v>
      </c>
      <c r="I231" s="39">
        <f>+I$172*(121/103.6)</f>
        <v>122.26507585583094</v>
      </c>
      <c r="J231" s="39">
        <v>3.33</v>
      </c>
      <c r="K231" s="39">
        <v>208.95769656699889</v>
      </c>
      <c r="L231" s="39">
        <v>133.67715512445682</v>
      </c>
      <c r="M231" s="42">
        <f t="shared" si="5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f>148.2*1.0101</f>
        <v>149.69681999999997</v>
      </c>
      <c r="H232" s="39">
        <f>131/99.8*116.4</f>
        <v>152.78957915831666</v>
      </c>
      <c r="I232" s="39">
        <f>+I$172*(122.7/103.6)</f>
        <v>123.98284964884677</v>
      </c>
      <c r="J232" s="39">
        <v>3.26</v>
      </c>
      <c r="K232" s="39">
        <v>217.7665559246955</v>
      </c>
      <c r="L232" s="39">
        <v>134.84297792753799</v>
      </c>
      <c r="M232" s="42">
        <f t="shared" si="5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f>149.4*1.0101</f>
        <v>150.90894</v>
      </c>
      <c r="H233" s="39">
        <f>131/99.8*117.5</f>
        <v>154.23346693386776</v>
      </c>
      <c r="I233" s="39">
        <f>+I$172*(122.3/103.6)</f>
        <v>123.57866757990186</v>
      </c>
      <c r="J233" s="39">
        <v>3.58</v>
      </c>
      <c r="K233" s="39">
        <v>208.38006644518276</v>
      </c>
      <c r="L233" s="39">
        <v>134.86015752764487</v>
      </c>
      <c r="M233" s="42">
        <f t="shared" si="5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8.5213600577300222E-2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f>149.4*1.0101</f>
        <v>150.90894</v>
      </c>
      <c r="H234" s="39">
        <f>131/99.8*117.3</f>
        <v>153.97094188376755</v>
      </c>
      <c r="I234" s="39">
        <f>+I$172*(122.9/103.6)</f>
        <v>124.1849406833192</v>
      </c>
      <c r="J234" s="39">
        <v>3.32</v>
      </c>
      <c r="K234" s="39">
        <v>203.75902547065337</v>
      </c>
      <c r="L234" s="39">
        <v>134.02118502417233</v>
      </c>
      <c r="M234" s="42">
        <f t="shared" si="5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8.6167709946358487E-2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f>149.4*1.0101</f>
        <v>150.90894</v>
      </c>
      <c r="H235" s="39">
        <f>131/99.8*117.6</f>
        <v>154.36472945891785</v>
      </c>
      <c r="I235" s="39">
        <f>+I$172*(123/103.6)</f>
        <v>124.28598620055541</v>
      </c>
      <c r="J235" s="39">
        <v>3.35</v>
      </c>
      <c r="K235" s="39">
        <v>195.81661129568107</v>
      </c>
      <c r="L235" s="39">
        <v>133.15006720616856</v>
      </c>
      <c r="M235" s="42">
        <f t="shared" si="5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8.6802022262699105E-2</v>
      </c>
      <c r="S235" s="43">
        <v>3.1647272633086608E-2</v>
      </c>
      <c r="T235" s="43">
        <v>0.17507690257961783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f>150.8*1.0101</f>
        <v>152.32308</v>
      </c>
      <c r="H236" s="39">
        <f>131/99.8*116</f>
        <v>152.26452905811624</v>
      </c>
      <c r="I236" s="39">
        <f>+I$172*(122.7/103.6)</f>
        <v>123.98284964884677</v>
      </c>
      <c r="J236" s="39">
        <v>3.45</v>
      </c>
      <c r="K236" s="39">
        <v>184.69723145071984</v>
      </c>
      <c r="L236" s="39">
        <v>132.55975256527307</v>
      </c>
      <c r="M236" s="42">
        <f t="shared" si="5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f>150.8*1.0101</f>
        <v>152.32308</v>
      </c>
      <c r="H237" s="39">
        <f>131/99.8*116.4</f>
        <v>152.78957915831666</v>
      </c>
      <c r="I237" s="39">
        <f>+I$172*(123.3/103.6)</f>
        <v>124.58912275226409</v>
      </c>
      <c r="J237" s="39">
        <v>3.69</v>
      </c>
      <c r="K237" s="39">
        <v>189.17386489479514</v>
      </c>
      <c r="L237" s="39">
        <v>133.48731801757702</v>
      </c>
      <c r="M237" s="42">
        <f t="shared" si="5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8.6793897504352846E-2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f>150.8*1.0101</f>
        <v>152.32308</v>
      </c>
      <c r="H238" s="39">
        <f>131/99.8*118.5</f>
        <v>155.54609218436875</v>
      </c>
      <c r="I238" s="39">
        <f>+I$172*(124.6/103.6)</f>
        <v>125.90271447633499</v>
      </c>
      <c r="J238" s="39">
        <v>3.67</v>
      </c>
      <c r="K238" s="39">
        <v>191.19557032115173</v>
      </c>
      <c r="L238" s="39">
        <v>134.01592181249461</v>
      </c>
      <c r="M238" s="42">
        <f t="shared" si="5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f>151.6*1.0101</f>
        <v>153.13115999999999</v>
      </c>
      <c r="H239" s="39">
        <f>131/99.8*117.7</f>
        <v>154.49599198396794</v>
      </c>
      <c r="I239" s="39">
        <f>+I$172*(124.3/103.6)</f>
        <v>125.59957792462635</v>
      </c>
      <c r="J239" s="39">
        <v>3.67</v>
      </c>
      <c r="K239" s="39">
        <v>209.39091915836102</v>
      </c>
      <c r="L239" s="39">
        <v>136.52756409472568</v>
      </c>
      <c r="M239" s="42">
        <f t="shared" si="5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8.5549388333339221E-2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f>151.6*1.0101</f>
        <v>153.13115999999999</v>
      </c>
      <c r="H240" s="39">
        <f>131/99.8*117.4</f>
        <v>154.10220440881764</v>
      </c>
      <c r="I240" s="39">
        <f>+I$172*(124/103.6)</f>
        <v>125.29644137291767</v>
      </c>
      <c r="J240" s="39">
        <v>3.81</v>
      </c>
      <c r="K240" s="39">
        <v>217.04451827242528</v>
      </c>
      <c r="L240" s="39">
        <v>137.55934264521147</v>
      </c>
      <c r="M240" s="42">
        <f t="shared" si="5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f>151.6*1.0101</f>
        <v>153.13115999999999</v>
      </c>
      <c r="H241" s="44">
        <f>131/99.8*117.7</f>
        <v>154.49599198396794</v>
      </c>
      <c r="I241" s="44">
        <f>+I$172*(123.9/103.6)</f>
        <v>125.19539585568144</v>
      </c>
      <c r="J241" s="44">
        <v>3.78</v>
      </c>
      <c r="K241" s="44">
        <v>215.60044296788485</v>
      </c>
      <c r="L241" s="45">
        <v>137.3675718992248</v>
      </c>
      <c r="M241" s="42">
        <f t="shared" si="5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136.3811417137959</v>
      </c>
      <c r="M242" s="42">
        <f t="shared" si="5"/>
        <v>-7.1809537854579109E-3</v>
      </c>
      <c r="N242" s="12"/>
      <c r="O242" s="23">
        <v>45292</v>
      </c>
      <c r="P242" s="51">
        <f t="shared" ref="P242:P305" si="6">IFERROR((G242*Q$480)/$L242*(100/Q$481),"")</f>
        <v>0.62811599697082388</v>
      </c>
      <c r="Q242" s="51">
        <f t="shared" ref="Q242:Q305" si="7">IFERROR((H242*R$480)/$L242*(100/R$481),"")</f>
        <v>7.8197424140000846E-2</v>
      </c>
      <c r="R242" s="51">
        <f t="shared" ref="R242:R305" si="8">IFERROR((I242*S$480)/$L242*(100/S$481),"")</f>
        <v>8.5090045826576616E-2</v>
      </c>
      <c r="S242" s="51">
        <f t="shared" ref="S242:S305" si="9">IFERROR((J242*T$480)/$L242*(100/T$481),"")</f>
        <v>3.2373202659411557E-2</v>
      </c>
      <c r="T242" s="51">
        <f t="shared" ref="T242:T305" si="10">IFERROR((K242*U$480)/$L242*(100/U$481),"")</f>
        <v>0.17622333040318719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11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2">IF(V484="","",V484)</f>
        <v>135.05032645327105</v>
      </c>
      <c r="M243" s="42">
        <f t="shared" si="5"/>
        <v>-9.7580592433933466E-3</v>
      </c>
      <c r="N243" s="12"/>
      <c r="O243" s="23">
        <v>45323</v>
      </c>
      <c r="P243" s="51">
        <f t="shared" si="6"/>
        <v>0.6343055884816432</v>
      </c>
      <c r="Q243" s="51">
        <f t="shared" si="7"/>
        <v>7.8564070166845509E-2</v>
      </c>
      <c r="R243" s="51">
        <f t="shared" si="8"/>
        <v>8.5789386093467743E-2</v>
      </c>
      <c r="S243" s="51">
        <f t="shared" si="9"/>
        <v>2.9618588159311451E-2</v>
      </c>
      <c r="T243" s="51">
        <f t="shared" si="10"/>
        <v>0.17172236709873218</v>
      </c>
      <c r="U243" s="42">
        <f t="shared" ref="U243:U306" si="13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11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2"/>
        <v>136.21951192820978</v>
      </c>
      <c r="M244" s="42">
        <f t="shared" si="5"/>
        <v>8.657405766014703E-3</v>
      </c>
      <c r="N244" s="12"/>
      <c r="O244" s="23">
        <v>45352</v>
      </c>
      <c r="P244" s="51">
        <f t="shared" si="6"/>
        <v>0.62886128119976092</v>
      </c>
      <c r="Q244" s="51">
        <f t="shared" si="7"/>
        <v>7.8623926299706035E-2</v>
      </c>
      <c r="R244" s="51">
        <f t="shared" si="8"/>
        <v>8.436324161408662E-2</v>
      </c>
      <c r="S244" s="51">
        <f t="shared" si="9"/>
        <v>2.9826072816222002E-2</v>
      </c>
      <c r="T244" s="51">
        <f t="shared" si="10"/>
        <v>0.1783254780702245</v>
      </c>
      <c r="U244" s="42">
        <f t="shared" si="13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11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4">IF(V486="","",V486)</f>
        <v>138.07598615499302</v>
      </c>
      <c r="M245" s="42">
        <f t="shared" si="5"/>
        <v>1.3628548513384908E-2</v>
      </c>
      <c r="N245" s="12"/>
      <c r="O245" s="23">
        <v>45383</v>
      </c>
      <c r="P245" s="51">
        <f t="shared" si="6"/>
        <v>0.6256603004555219</v>
      </c>
      <c r="Q245" s="51">
        <f t="shared" si="7"/>
        <v>7.7961880454020624E-2</v>
      </c>
      <c r="R245" s="51">
        <f t="shared" si="8"/>
        <v>8.3433111132443921E-2</v>
      </c>
      <c r="S245" s="51">
        <f t="shared" si="9"/>
        <v>3.0791540552689234E-2</v>
      </c>
      <c r="T245" s="51">
        <f t="shared" si="10"/>
        <v>0.18215316740532417</v>
      </c>
      <c r="U245" s="42">
        <f t="shared" si="13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11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4"/>
        <v>137.0882619013332</v>
      </c>
      <c r="M246" s="42">
        <f t="shared" si="5"/>
        <v>-7.1534832461821463E-3</v>
      </c>
      <c r="N246" s="12"/>
      <c r="O246" s="23">
        <v>45413</v>
      </c>
      <c r="P246" s="51">
        <f t="shared" si="6"/>
        <v>0.63016819810292801</v>
      </c>
      <c r="Q246" s="51">
        <f t="shared" si="7"/>
        <v>7.8523597694558606E-2</v>
      </c>
      <c r="R246" s="51">
        <f t="shared" si="8"/>
        <v>8.3760074991229033E-2</v>
      </c>
      <c r="S246" s="51">
        <f t="shared" si="9"/>
        <v>3.1105149954160718E-2</v>
      </c>
      <c r="T246" s="51">
        <f t="shared" si="10"/>
        <v>0.17644297925712352</v>
      </c>
      <c r="U246" s="42">
        <f t="shared" si="13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11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4"/>
        <v>137.43532986119024</v>
      </c>
      <c r="M247" s="42">
        <f t="shared" si="5"/>
        <v>2.5317117238443654E-3</v>
      </c>
      <c r="N247" s="12"/>
      <c r="O247" s="23">
        <v>45444</v>
      </c>
      <c r="P247" s="51">
        <f t="shared" si="6"/>
        <v>0.62857682279133054</v>
      </c>
      <c r="Q247" s="51">
        <f t="shared" si="7"/>
        <v>7.8391453738241246E-2</v>
      </c>
      <c r="R247" s="51">
        <f t="shared" si="8"/>
        <v>8.3890405831715406E-2</v>
      </c>
      <c r="S247" s="51">
        <f t="shared" si="9"/>
        <v>3.1392695118225018E-2</v>
      </c>
      <c r="T247" s="51">
        <f t="shared" si="10"/>
        <v>0.17774862252048798</v>
      </c>
      <c r="U247" s="42">
        <f t="shared" si="13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11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4"/>
        <v>137.80191181269996</v>
      </c>
      <c r="M248" s="42">
        <f t="shared" si="5"/>
        <v>2.6673050654439923E-3</v>
      </c>
      <c r="N248" s="12"/>
      <c r="O248" s="23">
        <v>45474</v>
      </c>
      <c r="P248" s="51">
        <f t="shared" si="6"/>
        <v>0.632169380129327</v>
      </c>
      <c r="Q248" s="51">
        <f t="shared" si="7"/>
        <v>7.8182916050229284E-2</v>
      </c>
      <c r="R248" s="51">
        <f t="shared" si="8"/>
        <v>8.4008182076629426E-2</v>
      </c>
      <c r="S248" s="51">
        <f t="shared" si="9"/>
        <v>3.1856866491700289E-2</v>
      </c>
      <c r="T248" s="51">
        <f t="shared" si="10"/>
        <v>0.17378265525211398</v>
      </c>
      <c r="U248" s="42">
        <f t="shared" si="13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11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4"/>
        <v>137.70589563820323</v>
      </c>
      <c r="M249" s="42">
        <f t="shared" si="5"/>
        <v>-6.9676953848962775E-4</v>
      </c>
      <c r="N249" s="12"/>
      <c r="O249" s="23">
        <v>45505</v>
      </c>
      <c r="P249" s="51">
        <f t="shared" si="6"/>
        <v>0.63261016362107703</v>
      </c>
      <c r="Q249" s="51">
        <f t="shared" si="7"/>
        <v>7.823742950788011E-2</v>
      </c>
      <c r="R249" s="51">
        <f t="shared" si="8"/>
        <v>8.4066757232268474E-2</v>
      </c>
      <c r="S249" s="51">
        <f t="shared" si="9"/>
        <v>3.105698227318272E-2</v>
      </c>
      <c r="T249" s="51">
        <f t="shared" si="10"/>
        <v>0.17402866736559167</v>
      </c>
      <c r="U249" s="42">
        <f t="shared" si="13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11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4"/>
        <v>138.10956989288141</v>
      </c>
      <c r="M250" s="42">
        <f t="shared" si="5"/>
        <v>2.931423181319337E-3</v>
      </c>
      <c r="N250" s="12"/>
      <c r="O250" s="23">
        <v>45536</v>
      </c>
      <c r="P250" s="51">
        <f t="shared" si="6"/>
        <v>0.63076113580570081</v>
      </c>
      <c r="Q250" s="51">
        <f t="shared" si="7"/>
        <v>7.8864545066719749E-2</v>
      </c>
      <c r="R250" s="51">
        <f t="shared" si="8"/>
        <v>8.3957115406423324E-2</v>
      </c>
      <c r="S250" s="51">
        <f t="shared" si="9"/>
        <v>2.8416048974236038E-2</v>
      </c>
      <c r="T250" s="51">
        <f t="shared" si="10"/>
        <v>0.17800115474692005</v>
      </c>
      <c r="U250" s="42">
        <f t="shared" si="13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160.50489000000002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11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4"/>
        <v>138.40561736170241</v>
      </c>
      <c r="M251" s="42">
        <f t="shared" si="5"/>
        <v>2.1435695517018072E-3</v>
      </c>
      <c r="N251" s="12"/>
      <c r="O251" s="23">
        <v>45566</v>
      </c>
      <c r="P251" s="51">
        <f t="shared" si="6"/>
        <v>0.64070184792345852</v>
      </c>
      <c r="Q251" s="51">
        <f t="shared" si="7"/>
        <v>7.8367408220740883E-2</v>
      </c>
      <c r="R251" s="51">
        <f t="shared" si="8"/>
        <v>8.3913314501070327E-2</v>
      </c>
      <c r="S251" s="51">
        <f t="shared" si="9"/>
        <v>2.7719091613133889E-2</v>
      </c>
      <c r="T251" s="51">
        <f t="shared" si="10"/>
        <v>0.16929833774159631</v>
      </c>
      <c r="U251" s="42">
        <f t="shared" si="13"/>
        <v>0.99999999999999989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160.50489000000002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11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4"/>
        <v>137.02187184595567</v>
      </c>
      <c r="M252" s="42">
        <f t="shared" si="5"/>
        <v>-9.9977554533102753E-3</v>
      </c>
      <c r="N252" s="12"/>
      <c r="O252" s="23">
        <v>45597</v>
      </c>
      <c r="P252" s="51">
        <f t="shared" si="6"/>
        <v>0.6471721164802291</v>
      </c>
      <c r="Q252" s="51">
        <f t="shared" si="7"/>
        <v>7.889340777269406E-2</v>
      </c>
      <c r="R252" s="51">
        <f t="shared" si="8"/>
        <v>8.4692154923661223E-2</v>
      </c>
      <c r="S252" s="51">
        <f t="shared" si="9"/>
        <v>2.5887617528014762E-2</v>
      </c>
      <c r="T252" s="51">
        <f t="shared" si="10"/>
        <v>0.16335470329540078</v>
      </c>
      <c r="U252" s="42">
        <f t="shared" si="13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160.50489000000002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11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4"/>
        <v>137.71427088356899</v>
      </c>
      <c r="M253" s="42">
        <f t="shared" si="5"/>
        <v>5.0532008378321169E-3</v>
      </c>
      <c r="N253" s="12"/>
      <c r="O253" s="23">
        <v>45627</v>
      </c>
      <c r="P253" s="51">
        <f t="shared" si="6"/>
        <v>0.64391826814812758</v>
      </c>
      <c r="Q253" s="51">
        <f t="shared" si="7"/>
        <v>7.8958881864189631E-2</v>
      </c>
      <c r="R253" s="51">
        <f t="shared" si="8"/>
        <v>8.3856949056453828E-2</v>
      </c>
      <c r="S253" s="51">
        <f t="shared" si="9"/>
        <v>2.6488167992570713E-2</v>
      </c>
      <c r="T253" s="51">
        <f t="shared" si="10"/>
        <v>0.16677773293865844</v>
      </c>
      <c r="U253" s="42">
        <f t="shared" si="13"/>
        <v>1.0000000000000002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161.11095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11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4"/>
        <v>138.00949547030183</v>
      </c>
      <c r="M254" s="42">
        <f t="shared" si="5"/>
        <v>2.14374722996169E-3</v>
      </c>
      <c r="N254" s="12"/>
      <c r="O254" s="23">
        <v>45658</v>
      </c>
      <c r="P254" s="51">
        <f t="shared" si="6"/>
        <v>0.64496703130684008</v>
      </c>
      <c r="Q254" s="51">
        <f t="shared" si="7"/>
        <v>7.8526464445581867E-2</v>
      </c>
      <c r="R254" s="51">
        <f t="shared" si="8"/>
        <v>8.3881823193535737E-2</v>
      </c>
      <c r="S254" s="51">
        <f t="shared" si="9"/>
        <v>2.4335213708251306E-2</v>
      </c>
      <c r="T254" s="51">
        <f t="shared" si="10"/>
        <v>0.16828946734579089</v>
      </c>
      <c r="U254" s="42">
        <f t="shared" si="13"/>
        <v>0.99999999999999989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161.11095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11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4"/>
        <v>138.4569594760396</v>
      </c>
      <c r="M255" s="42">
        <f t="shared" si="5"/>
        <v>3.2422697018992253E-3</v>
      </c>
      <c r="N255" s="12"/>
      <c r="O255" s="23">
        <v>45689</v>
      </c>
      <c r="P255" s="51">
        <f t="shared" si="6"/>
        <v>0.64288263242584842</v>
      </c>
      <c r="Q255" s="51">
        <f t="shared" si="7"/>
        <v>7.8075688287749329E-2</v>
      </c>
      <c r="R255" s="51">
        <f t="shared" si="8"/>
        <v>8.3814332209974321E-2</v>
      </c>
      <c r="S255" s="51">
        <f t="shared" si="9"/>
        <v>2.56192958789811E-2</v>
      </c>
      <c r="T255" s="51">
        <f t="shared" si="10"/>
        <v>0.16960805119744676</v>
      </c>
      <c r="U255" s="42">
        <f t="shared" si="13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161.11095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11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4"/>
        <v>140.88033549698537</v>
      </c>
      <c r="M256" s="42">
        <f t="shared" si="5"/>
        <v>1.7502738974743526E-2</v>
      </c>
      <c r="N256" s="12"/>
      <c r="O256" s="23">
        <v>45717</v>
      </c>
      <c r="P256" s="51">
        <f t="shared" si="6"/>
        <v>0.63182398218763536</v>
      </c>
      <c r="Q256" s="51">
        <f t="shared" si="7"/>
        <v>7.7184404816678029E-2</v>
      </c>
      <c r="R256" s="51">
        <f t="shared" si="8"/>
        <v>8.1865900828035423E-2</v>
      </c>
      <c r="S256" s="51">
        <f t="shared" si="9"/>
        <v>2.4375029006262022E-2</v>
      </c>
      <c r="T256" s="51">
        <f t="shared" si="10"/>
        <v>0.18475068316138935</v>
      </c>
      <c r="U256" s="42">
        <f t="shared" si="13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161.91903000000002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11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4"/>
        <v>141.12450130838047</v>
      </c>
      <c r="M257" s="42">
        <f t="shared" si="5"/>
        <v>1.7331433129668117E-3</v>
      </c>
      <c r="N257" s="12"/>
      <c r="O257" s="23">
        <v>45748</v>
      </c>
      <c r="P257" s="51">
        <f t="shared" si="6"/>
        <v>0.63389437549776528</v>
      </c>
      <c r="Q257" s="51">
        <f t="shared" si="7"/>
        <v>7.7823950224146468E-2</v>
      </c>
      <c r="R257" s="51">
        <f t="shared" si="8"/>
        <v>8.1579744152931011E-2</v>
      </c>
      <c r="S257" s="51">
        <f t="shared" si="9"/>
        <v>2.3976331305846782E-2</v>
      </c>
      <c r="T257" s="51">
        <f t="shared" si="10"/>
        <v>0.18272559881931036</v>
      </c>
      <c r="U257" s="42">
        <f t="shared" si="13"/>
        <v>0.99999999999999989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161.91903000000002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11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4"/>
        <v>140.41318726247795</v>
      </c>
      <c r="M258" s="42">
        <f t="shared" si="5"/>
        <v>-5.0403299165479032E-3</v>
      </c>
      <c r="N258" s="12"/>
      <c r="O258" s="23">
        <v>45778</v>
      </c>
      <c r="P258" s="51">
        <f t="shared" si="6"/>
        <v>0.63710559790287535</v>
      </c>
      <c r="Q258" s="51">
        <f t="shared" si="7"/>
        <v>7.7829694763934365E-2</v>
      </c>
      <c r="R258" s="51">
        <f t="shared" si="8"/>
        <v>8.1920391543857676E-2</v>
      </c>
      <c r="S258" s="51">
        <f t="shared" si="9"/>
        <v>2.4635289350630047E-2</v>
      </c>
      <c r="T258" s="51">
        <f t="shared" si="10"/>
        <v>0.17850902643870253</v>
      </c>
      <c r="U258" s="42">
        <f t="shared" si="13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161.91903000000002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11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4"/>
        <v>139.57016355223911</v>
      </c>
      <c r="M259" s="42">
        <f t="shared" si="5"/>
        <v>-6.0038784581034621E-3</v>
      </c>
      <c r="N259" s="12"/>
      <c r="O259" s="23">
        <v>45809</v>
      </c>
      <c r="P259" s="51">
        <f t="shared" si="6"/>
        <v>0.64095380665529245</v>
      </c>
      <c r="Q259" s="51">
        <f t="shared" si="7"/>
        <v>7.8364938492050604E-2</v>
      </c>
      <c r="R259" s="51">
        <f t="shared" si="8"/>
        <v>8.3730338610725791E-2</v>
      </c>
      <c r="S259" s="51">
        <f t="shared" si="9"/>
        <v>2.3522354523112254E-2</v>
      </c>
      <c r="T259" s="51">
        <f t="shared" si="10"/>
        <v>0.17342856171881893</v>
      </c>
      <c r="U259" s="42">
        <f t="shared" si="13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163.03014000000002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11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4"/>
        <v>139.903790679628</v>
      </c>
      <c r="M260" s="42">
        <f t="shared" si="5"/>
        <v>2.3903900296284863E-3</v>
      </c>
      <c r="N260" s="12"/>
      <c r="O260" s="23">
        <v>45839</v>
      </c>
      <c r="P260" s="51">
        <f t="shared" si="6"/>
        <v>0.64381315270253048</v>
      </c>
      <c r="Q260" s="51">
        <f t="shared" si="7"/>
        <v>7.824304835163752E-2</v>
      </c>
      <c r="R260" s="51">
        <f t="shared" si="8"/>
        <v>8.3749334404867287E-2</v>
      </c>
      <c r="S260" s="51">
        <f t="shared" si="9"/>
        <v>2.400571528278669E-2</v>
      </c>
      <c r="T260" s="51">
        <f t="shared" si="10"/>
        <v>0.17018874925817809</v>
      </c>
      <c r="U260" s="42">
        <f t="shared" si="13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163.03014000000002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11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4"/>
        <v>140.30734386119281</v>
      </c>
      <c r="M261" s="42">
        <f t="shared" si="5"/>
        <v>2.884504984492553E-3</v>
      </c>
      <c r="N261" s="12"/>
      <c r="O261" s="23">
        <v>45870</v>
      </c>
      <c r="P261" s="51">
        <f t="shared" si="6"/>
        <v>0.64196141181031174</v>
      </c>
      <c r="Q261" s="51">
        <f t="shared" si="7"/>
        <v>7.8212402049749399E-2</v>
      </c>
      <c r="R261" s="51">
        <f t="shared" si="8"/>
        <v>8.3145057622611582E-2</v>
      </c>
      <c r="S261" s="51">
        <f t="shared" si="9"/>
        <v>2.4653873430014333E-2</v>
      </c>
      <c r="T261" s="51">
        <f t="shared" si="10"/>
        <v>0.17202725508731295</v>
      </c>
      <c r="U261" s="42">
        <f t="shared" si="13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163.03014000000002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11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4"/>
        <v>141.17554289524395</v>
      </c>
      <c r="M262" s="42">
        <f t="shared" si="5"/>
        <v>6.1878374300212702E-3</v>
      </c>
      <c r="N262" s="12"/>
      <c r="O262" s="23">
        <v>45901</v>
      </c>
      <c r="P262" s="51">
        <f t="shared" si="6"/>
        <v>0.63801348806798619</v>
      </c>
      <c r="Q262" s="51">
        <f t="shared" si="7"/>
        <v>7.8890621841996814E-2</v>
      </c>
      <c r="R262" s="51">
        <f t="shared" si="8"/>
        <v>8.2922662651553722E-2</v>
      </c>
      <c r="S262" s="51">
        <f t="shared" si="9"/>
        <v>2.3967662736405385E-2</v>
      </c>
      <c r="T262" s="51">
        <f t="shared" si="10"/>
        <v>0.17620556470205792</v>
      </c>
      <c r="U262" s="42">
        <f t="shared" si="13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164.54528999999999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11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4"/>
        <v>141.28713718984577</v>
      </c>
      <c r="M263" s="42">
        <f t="shared" si="5"/>
        <v>7.9046478103239615E-4</v>
      </c>
      <c r="N263" s="12"/>
      <c r="O263" s="23">
        <v>45931</v>
      </c>
      <c r="P263" s="51">
        <f t="shared" si="6"/>
        <v>0.64343436924372466</v>
      </c>
      <c r="Q263" s="51">
        <f t="shared" si="7"/>
        <v>7.8313513706523966E-2</v>
      </c>
      <c r="R263" s="51">
        <f t="shared" si="8"/>
        <v>8.177453849079637E-2</v>
      </c>
      <c r="S263" s="51">
        <f t="shared" si="9"/>
        <v>2.4304847082694949E-2</v>
      </c>
      <c r="T263" s="51">
        <f t="shared" si="10"/>
        <v>0.17217273147626019</v>
      </c>
      <c r="U263" s="42">
        <f t="shared" si="13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164.54528999999999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11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4"/>
        <v>141.35016400762174</v>
      </c>
      <c r="M264" s="42">
        <f t="shared" si="5"/>
        <v>4.4609027424269421E-4</v>
      </c>
      <c r="N264" s="12"/>
      <c r="O264" s="23">
        <v>45962</v>
      </c>
      <c r="P264" s="51">
        <f t="shared" si="6"/>
        <v>0.64314746741360762</v>
      </c>
      <c r="Q264" s="51">
        <f t="shared" si="7"/>
        <v>7.8214273438335313E-2</v>
      </c>
      <c r="R264" s="51">
        <f t="shared" si="8"/>
        <v>8.1738075930088638E-2</v>
      </c>
      <c r="S264" s="51">
        <f t="shared" si="9"/>
        <v>2.4560976901451273E-2</v>
      </c>
      <c r="T264" s="51">
        <f t="shared" si="10"/>
        <v>0.17233920631651709</v>
      </c>
      <c r="U264" s="42">
        <f t="shared" si="13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164.54528999999999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11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2"/>
        <v>141.37918994901275</v>
      </c>
      <c r="M265" s="42">
        <f t="shared" si="5"/>
        <v>2.053477729919706E-4</v>
      </c>
      <c r="N265" s="12"/>
      <c r="O265" s="23">
        <v>45992</v>
      </c>
      <c r="P265" s="51">
        <f t="shared" si="6"/>
        <v>0.64301542562795555</v>
      </c>
      <c r="Q265" s="51">
        <f t="shared" si="7"/>
        <v>7.8519754324405236E-2</v>
      </c>
      <c r="R265" s="51">
        <f t="shared" si="8"/>
        <v>8.2803218227337244E-2</v>
      </c>
      <c r="S265" s="51">
        <f t="shared" si="9"/>
        <v>2.3844168180661422E-2</v>
      </c>
      <c r="T265" s="51">
        <f t="shared" si="10"/>
        <v>0.17181743363964069</v>
      </c>
      <c r="U265" s="42">
        <f t="shared" si="13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165.65639999999999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11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2"/>
        <v>142.97075140956406</v>
      </c>
      <c r="M266" s="42">
        <f t="shared" si="5"/>
        <v>1.1257395527059399E-2</v>
      </c>
      <c r="N266" s="12"/>
      <c r="O266" s="23">
        <v>46023</v>
      </c>
      <c r="P266" s="51">
        <f t="shared" si="6"/>
        <v>0.64015102407900171</v>
      </c>
      <c r="Q266" s="51">
        <f t="shared" si="7"/>
        <v>7.7391298890049351E-2</v>
      </c>
      <c r="R266" s="51">
        <f t="shared" si="8"/>
        <v>8.1310843984967546E-2</v>
      </c>
      <c r="S266" s="51">
        <f t="shared" si="9"/>
        <v>2.3666713403842323E-2</v>
      </c>
      <c r="T266" s="51">
        <f t="shared" si="10"/>
        <v>0.17748011964213914</v>
      </c>
      <c r="U266" s="42">
        <f t="shared" si="13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165.65639999999999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11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2"/>
        <v>142.037961618433</v>
      </c>
      <c r="M267" s="42">
        <f t="shared" si="5"/>
        <v>-6.5243399921632861E-3</v>
      </c>
      <c r="N267" s="12"/>
      <c r="O267" s="23">
        <v>46054</v>
      </c>
      <c r="P267" s="51">
        <f t="shared" si="6"/>
        <v>0.64435501527430683</v>
      </c>
      <c r="Q267" s="51">
        <f t="shared" si="7"/>
        <v>7.7579494567375284E-2</v>
      </c>
      <c r="R267" s="51">
        <f t="shared" si="8"/>
        <v>8.1126890382920688E-2</v>
      </c>
      <c r="S267" s="51">
        <f t="shared" si="9"/>
        <v>2.4707718431582402E-2</v>
      </c>
      <c r="T267" s="51">
        <f t="shared" si="10"/>
        <v>0.17223088134381481</v>
      </c>
      <c r="U267" s="42">
        <f t="shared" si="13"/>
        <v>0.99999999999999989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165.65639999999999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11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2"/>
        <v>141.51871201744612</v>
      </c>
      <c r="M268" s="42">
        <f t="shared" si="5"/>
        <v>-3.6557100304056567E-3</v>
      </c>
      <c r="N268" s="12"/>
      <c r="O268" s="23">
        <v>46082</v>
      </c>
      <c r="P268" s="51">
        <f t="shared" si="6"/>
        <v>0.64671923326219971</v>
      </c>
      <c r="Q268" s="51">
        <f t="shared" si="7"/>
        <v>7.7420761062476667E-2</v>
      </c>
      <c r="R268" s="51">
        <f t="shared" si="8"/>
        <v>8.0631926534184467E-2</v>
      </c>
      <c r="S268" s="51">
        <f t="shared" si="9"/>
        <v>2.453172491267136E-2</v>
      </c>
      <c r="T268" s="51">
        <f t="shared" si="10"/>
        <v>0.17069635422846785</v>
      </c>
      <c r="U268" s="42">
        <f t="shared" si="13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166.76750999999999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11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2"/>
        <v>142.46836241853146</v>
      </c>
      <c r="M269" s="42">
        <f t="shared" si="5"/>
        <v>6.7104228659760068E-3</v>
      </c>
      <c r="N269" s="12"/>
      <c r="O269" s="23">
        <v>46113</v>
      </c>
      <c r="P269" s="51">
        <f t="shared" si="6"/>
        <v>0.64671723807480908</v>
      </c>
      <c r="Q269" s="51">
        <f t="shared" si="7"/>
        <v>7.7685103373548073E-2</v>
      </c>
      <c r="R269" s="51">
        <f t="shared" si="8"/>
        <v>8.0452342933889809E-2</v>
      </c>
      <c r="S269" s="51">
        <f t="shared" si="9"/>
        <v>2.3573588613108692E-2</v>
      </c>
      <c r="T269" s="51">
        <f t="shared" si="10"/>
        <v>0.17157172700464426</v>
      </c>
      <c r="U269" s="42">
        <f t="shared" si="13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166.76750999999999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11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2"/>
        <v>148.41061647715833</v>
      </c>
      <c r="M270" s="42">
        <f t="shared" si="5"/>
        <v>4.1709288699270708E-2</v>
      </c>
      <c r="N270" s="12"/>
      <c r="O270" s="23">
        <v>46143</v>
      </c>
      <c r="P270" s="51">
        <f t="shared" si="6"/>
        <v>0.62082314623721158</v>
      </c>
      <c r="Q270" s="51">
        <f t="shared" si="7"/>
        <v>7.4544978213386653E-2</v>
      </c>
      <c r="R270" s="51">
        <f t="shared" si="8"/>
        <v>7.8467885941555182E-2</v>
      </c>
      <c r="S270" s="51">
        <f t="shared" si="9"/>
        <v>2.6358961227929904E-2</v>
      </c>
      <c r="T270" s="51">
        <f t="shared" si="10"/>
        <v>0.19980502837991679</v>
      </c>
      <c r="U270" s="42">
        <f t="shared" si="13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166.76750999999999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11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2"/>
        <v>150.62589299199226</v>
      </c>
      <c r="M271" s="42">
        <f t="shared" si="5"/>
        <v>1.4926671470129493E-2</v>
      </c>
      <c r="N271" s="12"/>
      <c r="O271" s="23">
        <v>46174</v>
      </c>
      <c r="P271" s="51">
        <f t="shared" si="6"/>
        <v>0.6116926115834006</v>
      </c>
      <c r="Q271" s="51">
        <f t="shared" si="7"/>
        <v>7.3624034299512309E-2</v>
      </c>
      <c r="R271" s="51">
        <f t="shared" si="8"/>
        <v>7.5824438917648507E-2</v>
      </c>
      <c r="S271" s="51">
        <f t="shared" si="9"/>
        <v>2.5971296221577008E-2</v>
      </c>
      <c r="T271" s="51">
        <f t="shared" si="10"/>
        <v>0.21288761897786149</v>
      </c>
      <c r="U271" s="42">
        <f t="shared" si="13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167.54017799999997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11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2"/>
        <v>149.97329981378709</v>
      </c>
      <c r="M272" s="42">
        <f t="shared" si="5"/>
        <v>-4.3325431321417085E-3</v>
      </c>
      <c r="N272" s="12"/>
      <c r="O272" s="23">
        <v>46204</v>
      </c>
      <c r="P272" s="51">
        <f t="shared" si="6"/>
        <v>0.61720075752866932</v>
      </c>
      <c r="Q272" s="51">
        <f t="shared" si="7"/>
        <v>7.4370128757296122E-2</v>
      </c>
      <c r="R272" s="51">
        <f t="shared" si="8"/>
        <v>7.6290371024460596E-2</v>
      </c>
      <c r="S272" s="51">
        <f t="shared" si="9"/>
        <v>2.449073254641498E-2</v>
      </c>
      <c r="T272" s="51">
        <f t="shared" si="10"/>
        <v>0.20764801014315906</v>
      </c>
      <c r="U272" s="42">
        <f t="shared" si="13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167.54017799999997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11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2"/>
        <v>148.45525545940498</v>
      </c>
      <c r="M273" s="42">
        <f t="shared" si="5"/>
        <v>-1.0122097441791156E-2</v>
      </c>
      <c r="N273" s="12"/>
      <c r="O273" s="23">
        <v>46235</v>
      </c>
      <c r="P273" s="51">
        <f t="shared" si="6"/>
        <v>0.62351200681780594</v>
      </c>
      <c r="Q273" s="51">
        <f t="shared" si="7"/>
        <v>7.5308572423541678E-2</v>
      </c>
      <c r="R273" s="51">
        <f t="shared" si="8"/>
        <v>7.7963459538953853E-2</v>
      </c>
      <c r="S273" s="51">
        <f t="shared" si="9"/>
        <v>2.4486974977994048E-2</v>
      </c>
      <c r="T273" s="51">
        <f t="shared" si="10"/>
        <v>0.19872898624170457</v>
      </c>
      <c r="U273" s="42">
        <f t="shared" si="13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167.54017799999997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11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2"/>
        <v>149.63662359861675</v>
      </c>
      <c r="M274" s="42">
        <f t="shared" si="5"/>
        <v>7.9577387513560804E-3</v>
      </c>
      <c r="N274" s="12"/>
      <c r="O274" s="23">
        <v>46266</v>
      </c>
      <c r="P274" s="51">
        <f t="shared" si="6"/>
        <v>0.61858943370999253</v>
      </c>
      <c r="Q274" s="51">
        <f t="shared" si="7"/>
        <v>7.5714520587189457E-2</v>
      </c>
      <c r="R274" s="51">
        <f t="shared" si="8"/>
        <v>7.8574608243053276E-2</v>
      </c>
      <c r="S274" s="51">
        <f t="shared" si="9"/>
        <v>2.6227057303925102E-2</v>
      </c>
      <c r="T274" s="51">
        <f t="shared" si="10"/>
        <v>0.20089438015583969</v>
      </c>
      <c r="U274" s="42">
        <f t="shared" si="13"/>
        <v>1</v>
      </c>
      <c r="V274" s="12"/>
      <c r="W274" s="12"/>
    </row>
    <row r="275" spans="5:23" ht="13.5" customHeight="1">
      <c r="E275" s="12"/>
      <c r="F275" s="23">
        <v>46296</v>
      </c>
      <c r="G275" s="47" t="str" cm="1">
        <f t="array" ref="G275">IF(G516="","",
G516*LOOKUP($F275,_xlfn._xlws.FILTER($F$454:$F$463,G$454:G$463&lt;&gt;""),_xlfn._xlws.FILTER(G$454:G$463,G$454:G$463&lt;&gt;"")))</f>
        <v/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11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2"/>
        <v/>
      </c>
      <c r="M275" s="42" t="str">
        <f t="shared" si="5"/>
        <v/>
      </c>
      <c r="N275" s="12"/>
      <c r="O275" s="23">
        <v>46296</v>
      </c>
      <c r="P275" s="51" t="str">
        <f t="shared" si="6"/>
        <v/>
      </c>
      <c r="Q275" s="51" t="str">
        <f t="shared" si="7"/>
        <v/>
      </c>
      <c r="R275" s="51" t="str">
        <f t="shared" si="8"/>
        <v/>
      </c>
      <c r="S275" s="51" t="str">
        <f t="shared" si="9"/>
        <v/>
      </c>
      <c r="T275" s="51" t="str">
        <f t="shared" si="10"/>
        <v/>
      </c>
      <c r="U275" s="42" t="str">
        <f t="shared" si="13"/>
        <v/>
      </c>
      <c r="V275" s="12"/>
      <c r="W275" s="12"/>
    </row>
    <row r="276" spans="5:23" ht="13.5" customHeight="1">
      <c r="E276" s="12"/>
      <c r="F276" s="23">
        <v>46327</v>
      </c>
      <c r="G276" s="47" t="str" cm="1">
        <f t="array" ref="G276">IF(G517="","",
G517*LOOKUP($F276,_xlfn._xlws.FILTER($F$454:$F$463,G$454:G$463&lt;&gt;""),_xlfn._xlws.FILTER(G$454:G$463,G$454:G$463&lt;&gt;"")))</f>
        <v/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11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2"/>
        <v/>
      </c>
      <c r="M276" s="42" t="str">
        <f t="shared" si="5"/>
        <v/>
      </c>
      <c r="N276" s="12"/>
      <c r="O276" s="23">
        <v>46327</v>
      </c>
      <c r="P276" s="51" t="str">
        <f t="shared" si="6"/>
        <v/>
      </c>
      <c r="Q276" s="51" t="str">
        <f t="shared" si="7"/>
        <v/>
      </c>
      <c r="R276" s="51" t="str">
        <f t="shared" si="8"/>
        <v/>
      </c>
      <c r="S276" s="51" t="str">
        <f t="shared" si="9"/>
        <v/>
      </c>
      <c r="T276" s="51" t="str">
        <f t="shared" si="10"/>
        <v/>
      </c>
      <c r="U276" s="42" t="str">
        <f t="shared" si="13"/>
        <v/>
      </c>
      <c r="V276" s="12"/>
      <c r="W276" s="12"/>
    </row>
    <row r="277" spans="5:23" ht="13.5" customHeight="1">
      <c r="E277" s="12"/>
      <c r="F277" s="23">
        <v>46357</v>
      </c>
      <c r="G277" s="47" t="str" cm="1">
        <f t="array" ref="G277">IF(G518="","",
G518*LOOKUP($F277,_xlfn._xlws.FILTER($F$454:$F$463,G$454:G$463&lt;&gt;""),_xlfn._xlws.FILTER(G$454:G$463,G$454:G$463&lt;&gt;"")))</f>
        <v/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11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2"/>
        <v/>
      </c>
      <c r="M277" s="42" t="str">
        <f t="shared" si="5"/>
        <v/>
      </c>
      <c r="N277" s="12"/>
      <c r="O277" s="23">
        <v>46357</v>
      </c>
      <c r="P277" s="51" t="str">
        <f t="shared" si="6"/>
        <v/>
      </c>
      <c r="Q277" s="51" t="str">
        <f t="shared" si="7"/>
        <v/>
      </c>
      <c r="R277" s="51" t="str">
        <f t="shared" si="8"/>
        <v/>
      </c>
      <c r="S277" s="51" t="str">
        <f t="shared" si="9"/>
        <v/>
      </c>
      <c r="T277" s="51" t="str">
        <f t="shared" si="10"/>
        <v/>
      </c>
      <c r="U277" s="42" t="str">
        <f t="shared" si="13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11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2"/>
        <v/>
      </c>
      <c r="M278" s="42" t="str">
        <f t="shared" ref="M278:M341" si="15">IF(L278="","",L278/L277-1)</f>
        <v/>
      </c>
      <c r="N278" s="12"/>
      <c r="O278" s="23">
        <v>46388</v>
      </c>
      <c r="P278" s="51" t="str">
        <f t="shared" si="6"/>
        <v/>
      </c>
      <c r="Q278" s="51" t="str">
        <f t="shared" si="7"/>
        <v/>
      </c>
      <c r="R278" s="51" t="str">
        <f t="shared" si="8"/>
        <v/>
      </c>
      <c r="S278" s="51" t="str">
        <f t="shared" si="9"/>
        <v/>
      </c>
      <c r="T278" s="51" t="str">
        <f t="shared" si="10"/>
        <v/>
      </c>
      <c r="U278" s="42" t="str">
        <f t="shared" si="13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11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2"/>
        <v/>
      </c>
      <c r="M279" s="42" t="str">
        <f t="shared" si="15"/>
        <v/>
      </c>
      <c r="N279" s="12"/>
      <c r="O279" s="23">
        <v>46419</v>
      </c>
      <c r="P279" s="51" t="str">
        <f t="shared" si="6"/>
        <v/>
      </c>
      <c r="Q279" s="51" t="str">
        <f t="shared" si="7"/>
        <v/>
      </c>
      <c r="R279" s="51" t="str">
        <f t="shared" si="8"/>
        <v/>
      </c>
      <c r="S279" s="51" t="str">
        <f t="shared" si="9"/>
        <v/>
      </c>
      <c r="T279" s="51" t="str">
        <f t="shared" si="10"/>
        <v/>
      </c>
      <c r="U279" s="42" t="str">
        <f t="shared" si="13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11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2"/>
        <v/>
      </c>
      <c r="M280" s="42" t="str">
        <f t="shared" si="15"/>
        <v/>
      </c>
      <c r="N280" s="12"/>
      <c r="O280" s="23">
        <v>46447</v>
      </c>
      <c r="P280" s="51" t="str">
        <f t="shared" si="6"/>
        <v/>
      </c>
      <c r="Q280" s="51" t="str">
        <f t="shared" si="7"/>
        <v/>
      </c>
      <c r="R280" s="51" t="str">
        <f t="shared" si="8"/>
        <v/>
      </c>
      <c r="S280" s="51" t="str">
        <f t="shared" si="9"/>
        <v/>
      </c>
      <c r="T280" s="51" t="str">
        <f t="shared" si="10"/>
        <v/>
      </c>
      <c r="U280" s="42" t="str">
        <f t="shared" si="13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11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2"/>
        <v/>
      </c>
      <c r="M281" s="42" t="str">
        <f t="shared" si="15"/>
        <v/>
      </c>
      <c r="N281" s="12"/>
      <c r="O281" s="23">
        <v>46478</v>
      </c>
      <c r="P281" s="51" t="str">
        <f t="shared" si="6"/>
        <v/>
      </c>
      <c r="Q281" s="51" t="str">
        <f t="shared" si="7"/>
        <v/>
      </c>
      <c r="R281" s="51" t="str">
        <f t="shared" si="8"/>
        <v/>
      </c>
      <c r="S281" s="51" t="str">
        <f t="shared" si="9"/>
        <v/>
      </c>
      <c r="T281" s="51" t="str">
        <f t="shared" si="10"/>
        <v/>
      </c>
      <c r="U281" s="42" t="str">
        <f t="shared" si="13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11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2"/>
        <v/>
      </c>
      <c r="M282" s="42" t="str">
        <f t="shared" si="15"/>
        <v/>
      </c>
      <c r="N282" s="12"/>
      <c r="O282" s="23">
        <v>46508</v>
      </c>
      <c r="P282" s="51" t="str">
        <f t="shared" si="6"/>
        <v/>
      </c>
      <c r="Q282" s="51" t="str">
        <f t="shared" si="7"/>
        <v/>
      </c>
      <c r="R282" s="51" t="str">
        <f t="shared" si="8"/>
        <v/>
      </c>
      <c r="S282" s="51" t="str">
        <f t="shared" si="9"/>
        <v/>
      </c>
      <c r="T282" s="51" t="str">
        <f t="shared" si="10"/>
        <v/>
      </c>
      <c r="U282" s="42" t="str">
        <f t="shared" si="13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11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2"/>
        <v/>
      </c>
      <c r="M283" s="42" t="str">
        <f t="shared" si="15"/>
        <v/>
      </c>
      <c r="N283" s="12"/>
      <c r="O283" s="23">
        <v>46539</v>
      </c>
      <c r="P283" s="51" t="str">
        <f t="shared" si="6"/>
        <v/>
      </c>
      <c r="Q283" s="51" t="str">
        <f t="shared" si="7"/>
        <v/>
      </c>
      <c r="R283" s="51" t="str">
        <f t="shared" si="8"/>
        <v/>
      </c>
      <c r="S283" s="51" t="str">
        <f t="shared" si="9"/>
        <v/>
      </c>
      <c r="T283" s="51" t="str">
        <f t="shared" si="10"/>
        <v/>
      </c>
      <c r="U283" s="42" t="str">
        <f t="shared" si="13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11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2"/>
        <v/>
      </c>
      <c r="M284" s="42" t="str">
        <f t="shared" si="15"/>
        <v/>
      </c>
      <c r="N284" s="12"/>
      <c r="O284" s="23">
        <v>46569</v>
      </c>
      <c r="P284" s="51" t="str">
        <f t="shared" si="6"/>
        <v/>
      </c>
      <c r="Q284" s="51" t="str">
        <f t="shared" si="7"/>
        <v/>
      </c>
      <c r="R284" s="51" t="str">
        <f t="shared" si="8"/>
        <v/>
      </c>
      <c r="S284" s="51" t="str">
        <f t="shared" si="9"/>
        <v/>
      </c>
      <c r="T284" s="51" t="str">
        <f t="shared" si="10"/>
        <v/>
      </c>
      <c r="U284" s="42" t="str">
        <f t="shared" si="13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11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2"/>
        <v/>
      </c>
      <c r="M285" s="42" t="str">
        <f t="shared" si="15"/>
        <v/>
      </c>
      <c r="N285" s="12"/>
      <c r="O285" s="23">
        <v>46600</v>
      </c>
      <c r="P285" s="51" t="str">
        <f t="shared" si="6"/>
        <v/>
      </c>
      <c r="Q285" s="51" t="str">
        <f t="shared" si="7"/>
        <v/>
      </c>
      <c r="R285" s="51" t="str">
        <f t="shared" si="8"/>
        <v/>
      </c>
      <c r="S285" s="51" t="str">
        <f t="shared" si="9"/>
        <v/>
      </c>
      <c r="T285" s="51" t="str">
        <f t="shared" si="10"/>
        <v/>
      </c>
      <c r="U285" s="42" t="str">
        <f t="shared" si="13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11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2"/>
        <v/>
      </c>
      <c r="M286" s="42" t="str">
        <f t="shared" si="15"/>
        <v/>
      </c>
      <c r="N286" s="12"/>
      <c r="O286" s="23">
        <v>46631</v>
      </c>
      <c r="P286" s="51" t="str">
        <f t="shared" si="6"/>
        <v/>
      </c>
      <c r="Q286" s="51" t="str">
        <f t="shared" si="7"/>
        <v/>
      </c>
      <c r="R286" s="51" t="str">
        <f t="shared" si="8"/>
        <v/>
      </c>
      <c r="S286" s="51" t="str">
        <f t="shared" si="9"/>
        <v/>
      </c>
      <c r="T286" s="51" t="str">
        <f t="shared" si="10"/>
        <v/>
      </c>
      <c r="U286" s="42" t="str">
        <f t="shared" si="13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11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2"/>
        <v/>
      </c>
      <c r="M287" s="42" t="str">
        <f t="shared" si="15"/>
        <v/>
      </c>
      <c r="N287" s="12"/>
      <c r="O287" s="23">
        <v>46661</v>
      </c>
      <c r="P287" s="51" t="str">
        <f t="shared" si="6"/>
        <v/>
      </c>
      <c r="Q287" s="51" t="str">
        <f t="shared" si="7"/>
        <v/>
      </c>
      <c r="R287" s="51" t="str">
        <f t="shared" si="8"/>
        <v/>
      </c>
      <c r="S287" s="51" t="str">
        <f t="shared" si="9"/>
        <v/>
      </c>
      <c r="T287" s="51" t="str">
        <f t="shared" si="10"/>
        <v/>
      </c>
      <c r="U287" s="42" t="str">
        <f t="shared" si="13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11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2"/>
        <v/>
      </c>
      <c r="M288" s="42" t="str">
        <f t="shared" si="15"/>
        <v/>
      </c>
      <c r="N288" s="12"/>
      <c r="O288" s="23">
        <v>46692</v>
      </c>
      <c r="P288" s="51" t="str">
        <f t="shared" si="6"/>
        <v/>
      </c>
      <c r="Q288" s="51" t="str">
        <f t="shared" si="7"/>
        <v/>
      </c>
      <c r="R288" s="51" t="str">
        <f t="shared" si="8"/>
        <v/>
      </c>
      <c r="S288" s="51" t="str">
        <f t="shared" si="9"/>
        <v/>
      </c>
      <c r="T288" s="51" t="str">
        <f t="shared" si="10"/>
        <v/>
      </c>
      <c r="U288" s="42" t="str">
        <f t="shared" si="13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11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2"/>
        <v/>
      </c>
      <c r="M289" s="42" t="str">
        <f t="shared" si="15"/>
        <v/>
      </c>
      <c r="N289" s="12"/>
      <c r="O289" s="23">
        <v>46722</v>
      </c>
      <c r="P289" s="51" t="str">
        <f t="shared" si="6"/>
        <v/>
      </c>
      <c r="Q289" s="51" t="str">
        <f t="shared" si="7"/>
        <v/>
      </c>
      <c r="R289" s="51" t="str">
        <f t="shared" si="8"/>
        <v/>
      </c>
      <c r="S289" s="51" t="str">
        <f t="shared" si="9"/>
        <v/>
      </c>
      <c r="T289" s="51" t="str">
        <f t="shared" si="10"/>
        <v/>
      </c>
      <c r="U289" s="42" t="str">
        <f t="shared" si="13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11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2"/>
        <v/>
      </c>
      <c r="M290" s="42" t="str">
        <f t="shared" si="15"/>
        <v/>
      </c>
      <c r="N290" s="12"/>
      <c r="O290" s="23">
        <v>46753</v>
      </c>
      <c r="P290" s="51" t="str">
        <f t="shared" si="6"/>
        <v/>
      </c>
      <c r="Q290" s="51" t="str">
        <f t="shared" si="7"/>
        <v/>
      </c>
      <c r="R290" s="51" t="str">
        <f t="shared" si="8"/>
        <v/>
      </c>
      <c r="S290" s="51" t="str">
        <f t="shared" si="9"/>
        <v/>
      </c>
      <c r="T290" s="51" t="str">
        <f t="shared" si="10"/>
        <v/>
      </c>
      <c r="U290" s="42" t="str">
        <f t="shared" si="13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11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2"/>
        <v/>
      </c>
      <c r="M291" s="42" t="str">
        <f t="shared" si="15"/>
        <v/>
      </c>
      <c r="N291" s="12"/>
      <c r="O291" s="23">
        <v>46784</v>
      </c>
      <c r="P291" s="51" t="str">
        <f t="shared" si="6"/>
        <v/>
      </c>
      <c r="Q291" s="51" t="str">
        <f t="shared" si="7"/>
        <v/>
      </c>
      <c r="R291" s="51" t="str">
        <f t="shared" si="8"/>
        <v/>
      </c>
      <c r="S291" s="51" t="str">
        <f t="shared" si="9"/>
        <v/>
      </c>
      <c r="T291" s="51" t="str">
        <f t="shared" si="10"/>
        <v/>
      </c>
      <c r="U291" s="42" t="str">
        <f t="shared" si="13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11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2"/>
        <v/>
      </c>
      <c r="M292" s="42" t="str">
        <f t="shared" si="15"/>
        <v/>
      </c>
      <c r="N292" s="12"/>
      <c r="O292" s="23">
        <v>46813</v>
      </c>
      <c r="P292" s="51" t="str">
        <f t="shared" si="6"/>
        <v/>
      </c>
      <c r="Q292" s="51" t="str">
        <f t="shared" si="7"/>
        <v/>
      </c>
      <c r="R292" s="51" t="str">
        <f t="shared" si="8"/>
        <v/>
      </c>
      <c r="S292" s="51" t="str">
        <f t="shared" si="9"/>
        <v/>
      </c>
      <c r="T292" s="51" t="str">
        <f t="shared" si="10"/>
        <v/>
      </c>
      <c r="U292" s="42" t="str">
        <f t="shared" si="13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11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2"/>
        <v/>
      </c>
      <c r="M293" s="42" t="str">
        <f t="shared" si="15"/>
        <v/>
      </c>
      <c r="N293" s="12"/>
      <c r="O293" s="23">
        <v>46844</v>
      </c>
      <c r="P293" s="51" t="str">
        <f t="shared" si="6"/>
        <v/>
      </c>
      <c r="Q293" s="51" t="str">
        <f t="shared" si="7"/>
        <v/>
      </c>
      <c r="R293" s="51" t="str">
        <f t="shared" si="8"/>
        <v/>
      </c>
      <c r="S293" s="51" t="str">
        <f t="shared" si="9"/>
        <v/>
      </c>
      <c r="T293" s="51" t="str">
        <f t="shared" si="10"/>
        <v/>
      </c>
      <c r="U293" s="42" t="str">
        <f t="shared" si="13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11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2"/>
        <v/>
      </c>
      <c r="M294" s="42" t="str">
        <f t="shared" si="15"/>
        <v/>
      </c>
      <c r="N294" s="12"/>
      <c r="O294" s="23">
        <v>46874</v>
      </c>
      <c r="P294" s="51" t="str">
        <f t="shared" si="6"/>
        <v/>
      </c>
      <c r="Q294" s="51" t="str">
        <f t="shared" si="7"/>
        <v/>
      </c>
      <c r="R294" s="51" t="str">
        <f t="shared" si="8"/>
        <v/>
      </c>
      <c r="S294" s="51" t="str">
        <f t="shared" si="9"/>
        <v/>
      </c>
      <c r="T294" s="51" t="str">
        <f t="shared" si="10"/>
        <v/>
      </c>
      <c r="U294" s="42" t="str">
        <f t="shared" si="13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11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2"/>
        <v/>
      </c>
      <c r="M295" s="42" t="str">
        <f t="shared" si="15"/>
        <v/>
      </c>
      <c r="N295" s="12"/>
      <c r="O295" s="23">
        <v>46905</v>
      </c>
      <c r="P295" s="51" t="str">
        <f t="shared" si="6"/>
        <v/>
      </c>
      <c r="Q295" s="51" t="str">
        <f t="shared" si="7"/>
        <v/>
      </c>
      <c r="R295" s="51" t="str">
        <f t="shared" si="8"/>
        <v/>
      </c>
      <c r="S295" s="51" t="str">
        <f t="shared" si="9"/>
        <v/>
      </c>
      <c r="T295" s="51" t="str">
        <f t="shared" si="10"/>
        <v/>
      </c>
      <c r="U295" s="42" t="str">
        <f t="shared" si="13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11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2"/>
        <v/>
      </c>
      <c r="M296" s="42" t="str">
        <f t="shared" si="15"/>
        <v/>
      </c>
      <c r="N296" s="12"/>
      <c r="O296" s="23">
        <v>46935</v>
      </c>
      <c r="P296" s="51" t="str">
        <f t="shared" si="6"/>
        <v/>
      </c>
      <c r="Q296" s="51" t="str">
        <f t="shared" si="7"/>
        <v/>
      </c>
      <c r="R296" s="51" t="str">
        <f t="shared" si="8"/>
        <v/>
      </c>
      <c r="S296" s="51" t="str">
        <f t="shared" si="9"/>
        <v/>
      </c>
      <c r="T296" s="51" t="str">
        <f t="shared" si="10"/>
        <v/>
      </c>
      <c r="U296" s="42" t="str">
        <f t="shared" si="13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11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2"/>
        <v/>
      </c>
      <c r="M297" s="42" t="str">
        <f t="shared" si="15"/>
        <v/>
      </c>
      <c r="N297" s="12"/>
      <c r="O297" s="23">
        <v>46966</v>
      </c>
      <c r="P297" s="51" t="str">
        <f t="shared" si="6"/>
        <v/>
      </c>
      <c r="Q297" s="51" t="str">
        <f t="shared" si="7"/>
        <v/>
      </c>
      <c r="R297" s="51" t="str">
        <f t="shared" si="8"/>
        <v/>
      </c>
      <c r="S297" s="51" t="str">
        <f t="shared" si="9"/>
        <v/>
      </c>
      <c r="T297" s="51" t="str">
        <f t="shared" si="10"/>
        <v/>
      </c>
      <c r="U297" s="42" t="str">
        <f t="shared" si="13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11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2"/>
        <v/>
      </c>
      <c r="M298" s="42" t="str">
        <f t="shared" si="15"/>
        <v/>
      </c>
      <c r="N298" s="12"/>
      <c r="O298" s="23">
        <v>46997</v>
      </c>
      <c r="P298" s="51" t="str">
        <f t="shared" si="6"/>
        <v/>
      </c>
      <c r="Q298" s="51" t="str">
        <f t="shared" si="7"/>
        <v/>
      </c>
      <c r="R298" s="51" t="str">
        <f t="shared" si="8"/>
        <v/>
      </c>
      <c r="S298" s="51" t="str">
        <f t="shared" si="9"/>
        <v/>
      </c>
      <c r="T298" s="51" t="str">
        <f t="shared" si="10"/>
        <v/>
      </c>
      <c r="U298" s="42" t="str">
        <f t="shared" si="13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11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2"/>
        <v/>
      </c>
      <c r="M299" s="42" t="str">
        <f t="shared" si="15"/>
        <v/>
      </c>
      <c r="N299" s="12"/>
      <c r="O299" s="23">
        <v>47027</v>
      </c>
      <c r="P299" s="51" t="str">
        <f t="shared" si="6"/>
        <v/>
      </c>
      <c r="Q299" s="51" t="str">
        <f t="shared" si="7"/>
        <v/>
      </c>
      <c r="R299" s="51" t="str">
        <f t="shared" si="8"/>
        <v/>
      </c>
      <c r="S299" s="51" t="str">
        <f t="shared" si="9"/>
        <v/>
      </c>
      <c r="T299" s="51" t="str">
        <f t="shared" si="10"/>
        <v/>
      </c>
      <c r="U299" s="42" t="str">
        <f t="shared" si="13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11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2"/>
        <v/>
      </c>
      <c r="M300" s="42" t="str">
        <f t="shared" si="15"/>
        <v/>
      </c>
      <c r="N300" s="12"/>
      <c r="O300" s="23">
        <v>47058</v>
      </c>
      <c r="P300" s="51" t="str">
        <f t="shared" si="6"/>
        <v/>
      </c>
      <c r="Q300" s="51" t="str">
        <f t="shared" si="7"/>
        <v/>
      </c>
      <c r="R300" s="51" t="str">
        <f t="shared" si="8"/>
        <v/>
      </c>
      <c r="S300" s="51" t="str">
        <f t="shared" si="9"/>
        <v/>
      </c>
      <c r="T300" s="51" t="str">
        <f t="shared" si="10"/>
        <v/>
      </c>
      <c r="U300" s="42" t="str">
        <f t="shared" si="13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11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2"/>
        <v/>
      </c>
      <c r="M301" s="42" t="str">
        <f t="shared" si="15"/>
        <v/>
      </c>
      <c r="N301" s="12"/>
      <c r="O301" s="23">
        <v>47088</v>
      </c>
      <c r="P301" s="51" t="str">
        <f t="shared" si="6"/>
        <v/>
      </c>
      <c r="Q301" s="51" t="str">
        <f t="shared" si="7"/>
        <v/>
      </c>
      <c r="R301" s="51" t="str">
        <f t="shared" si="8"/>
        <v/>
      </c>
      <c r="S301" s="51" t="str">
        <f t="shared" si="9"/>
        <v/>
      </c>
      <c r="T301" s="51" t="str">
        <f t="shared" si="10"/>
        <v/>
      </c>
      <c r="U301" s="42" t="str">
        <f t="shared" si="13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11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2"/>
        <v/>
      </c>
      <c r="M302" s="42" t="str">
        <f t="shared" si="15"/>
        <v/>
      </c>
      <c r="N302" s="12"/>
      <c r="O302" s="23">
        <v>47119</v>
      </c>
      <c r="P302" s="51" t="str">
        <f t="shared" si="6"/>
        <v/>
      </c>
      <c r="Q302" s="51" t="str">
        <f t="shared" si="7"/>
        <v/>
      </c>
      <c r="R302" s="51" t="str">
        <f t="shared" si="8"/>
        <v/>
      </c>
      <c r="S302" s="51" t="str">
        <f t="shared" si="9"/>
        <v/>
      </c>
      <c r="T302" s="51" t="str">
        <f t="shared" si="10"/>
        <v/>
      </c>
      <c r="U302" s="42" t="str">
        <f t="shared" si="13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11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2"/>
        <v/>
      </c>
      <c r="M303" s="42" t="str">
        <f t="shared" si="15"/>
        <v/>
      </c>
      <c r="N303" s="12"/>
      <c r="O303" s="23">
        <v>47150</v>
      </c>
      <c r="P303" s="51" t="str">
        <f t="shared" si="6"/>
        <v/>
      </c>
      <c r="Q303" s="51" t="str">
        <f t="shared" si="7"/>
        <v/>
      </c>
      <c r="R303" s="51" t="str">
        <f t="shared" si="8"/>
        <v/>
      </c>
      <c r="S303" s="51" t="str">
        <f t="shared" si="9"/>
        <v/>
      </c>
      <c r="T303" s="51" t="str">
        <f t="shared" si="10"/>
        <v/>
      </c>
      <c r="U303" s="42" t="str">
        <f t="shared" si="13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11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2"/>
        <v/>
      </c>
      <c r="M304" s="42" t="str">
        <f t="shared" si="15"/>
        <v/>
      </c>
      <c r="N304" s="12"/>
      <c r="O304" s="23">
        <v>47178</v>
      </c>
      <c r="P304" s="51" t="str">
        <f t="shared" si="6"/>
        <v/>
      </c>
      <c r="Q304" s="51" t="str">
        <f t="shared" si="7"/>
        <v/>
      </c>
      <c r="R304" s="51" t="str">
        <f t="shared" si="8"/>
        <v/>
      </c>
      <c r="S304" s="51" t="str">
        <f t="shared" si="9"/>
        <v/>
      </c>
      <c r="T304" s="51" t="str">
        <f t="shared" si="10"/>
        <v/>
      </c>
      <c r="U304" s="42" t="str">
        <f t="shared" si="13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11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2"/>
        <v/>
      </c>
      <c r="M305" s="42" t="str">
        <f t="shared" si="15"/>
        <v/>
      </c>
      <c r="N305" s="12"/>
      <c r="O305" s="23">
        <v>47209</v>
      </c>
      <c r="P305" s="51" t="str">
        <f t="shared" si="6"/>
        <v/>
      </c>
      <c r="Q305" s="51" t="str">
        <f t="shared" si="7"/>
        <v/>
      </c>
      <c r="R305" s="51" t="str">
        <f t="shared" si="8"/>
        <v/>
      </c>
      <c r="S305" s="51" t="str">
        <f t="shared" si="9"/>
        <v/>
      </c>
      <c r="T305" s="51" t="str">
        <f t="shared" si="10"/>
        <v/>
      </c>
      <c r="U305" s="42" t="str">
        <f t="shared" si="13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11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2"/>
        <v/>
      </c>
      <c r="M306" s="42" t="str">
        <f t="shared" si="15"/>
        <v/>
      </c>
      <c r="N306" s="12"/>
      <c r="O306" s="23">
        <v>47239</v>
      </c>
      <c r="P306" s="51" t="str">
        <f t="shared" ref="P306:P369" si="16">IFERROR((G306*Q$480)/$L306*(100/Q$481),"")</f>
        <v/>
      </c>
      <c r="Q306" s="51" t="str">
        <f t="shared" ref="Q306:Q369" si="17">IFERROR((H306*R$480)/$L306*(100/R$481),"")</f>
        <v/>
      </c>
      <c r="R306" s="51" t="str">
        <f t="shared" ref="R306:R369" si="18">IFERROR((I306*S$480)/$L306*(100/S$481),"")</f>
        <v/>
      </c>
      <c r="S306" s="51" t="str">
        <f t="shared" ref="S306:S369" si="19">IFERROR((J306*T$480)/$L306*(100/T$481),"")</f>
        <v/>
      </c>
      <c r="T306" s="51" t="str">
        <f t="shared" ref="T306:T369" si="20">IFERROR((K306*U$480)/$L306*(100/U$481),"")</f>
        <v/>
      </c>
      <c r="U306" s="42" t="str">
        <f t="shared" si="13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21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2">IF(V548="","",V548)</f>
        <v/>
      </c>
      <c r="M307" s="42" t="str">
        <f t="shared" si="15"/>
        <v/>
      </c>
      <c r="N307" s="12"/>
      <c r="O307" s="23">
        <v>47270</v>
      </c>
      <c r="P307" s="51" t="str">
        <f t="shared" si="16"/>
        <v/>
      </c>
      <c r="Q307" s="51" t="str">
        <f t="shared" si="17"/>
        <v/>
      </c>
      <c r="R307" s="51" t="str">
        <f t="shared" si="18"/>
        <v/>
      </c>
      <c r="S307" s="51" t="str">
        <f t="shared" si="19"/>
        <v/>
      </c>
      <c r="T307" s="51" t="str">
        <f t="shared" si="20"/>
        <v/>
      </c>
      <c r="U307" s="42" t="str">
        <f t="shared" ref="U307:U370" si="23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21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2"/>
        <v/>
      </c>
      <c r="M308" s="42" t="str">
        <f t="shared" si="15"/>
        <v/>
      </c>
      <c r="N308" s="12"/>
      <c r="O308" s="23">
        <v>47300</v>
      </c>
      <c r="P308" s="51" t="str">
        <f t="shared" si="16"/>
        <v/>
      </c>
      <c r="Q308" s="51" t="str">
        <f t="shared" si="17"/>
        <v/>
      </c>
      <c r="R308" s="51" t="str">
        <f t="shared" si="18"/>
        <v/>
      </c>
      <c r="S308" s="51" t="str">
        <f t="shared" si="19"/>
        <v/>
      </c>
      <c r="T308" s="51" t="str">
        <f t="shared" si="20"/>
        <v/>
      </c>
      <c r="U308" s="42" t="str">
        <f t="shared" si="23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21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2"/>
        <v/>
      </c>
      <c r="M309" s="42" t="str">
        <f t="shared" si="15"/>
        <v/>
      </c>
      <c r="N309" s="12"/>
      <c r="O309" s="23">
        <v>47331</v>
      </c>
      <c r="P309" s="51" t="str">
        <f t="shared" si="16"/>
        <v/>
      </c>
      <c r="Q309" s="51" t="str">
        <f t="shared" si="17"/>
        <v/>
      </c>
      <c r="R309" s="51" t="str">
        <f t="shared" si="18"/>
        <v/>
      </c>
      <c r="S309" s="51" t="str">
        <f t="shared" si="19"/>
        <v/>
      </c>
      <c r="T309" s="51" t="str">
        <f t="shared" si="20"/>
        <v/>
      </c>
      <c r="U309" s="42" t="str">
        <f t="shared" si="23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21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2"/>
        <v/>
      </c>
      <c r="M310" s="42" t="str">
        <f t="shared" si="15"/>
        <v/>
      </c>
      <c r="N310" s="12"/>
      <c r="O310" s="23">
        <v>47362</v>
      </c>
      <c r="P310" s="51" t="str">
        <f t="shared" si="16"/>
        <v/>
      </c>
      <c r="Q310" s="51" t="str">
        <f t="shared" si="17"/>
        <v/>
      </c>
      <c r="R310" s="51" t="str">
        <f t="shared" si="18"/>
        <v/>
      </c>
      <c r="S310" s="51" t="str">
        <f t="shared" si="19"/>
        <v/>
      </c>
      <c r="T310" s="51" t="str">
        <f t="shared" si="20"/>
        <v/>
      </c>
      <c r="U310" s="42" t="str">
        <f t="shared" si="23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21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2"/>
        <v/>
      </c>
      <c r="M311" s="42" t="str">
        <f t="shared" si="15"/>
        <v/>
      </c>
      <c r="N311" s="12"/>
      <c r="O311" s="23">
        <v>47392</v>
      </c>
      <c r="P311" s="51" t="str">
        <f t="shared" si="16"/>
        <v/>
      </c>
      <c r="Q311" s="51" t="str">
        <f t="shared" si="17"/>
        <v/>
      </c>
      <c r="R311" s="51" t="str">
        <f t="shared" si="18"/>
        <v/>
      </c>
      <c r="S311" s="51" t="str">
        <f t="shared" si="19"/>
        <v/>
      </c>
      <c r="T311" s="51" t="str">
        <f t="shared" si="20"/>
        <v/>
      </c>
      <c r="U311" s="42" t="str">
        <f t="shared" si="23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21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2"/>
        <v/>
      </c>
      <c r="M312" s="42" t="str">
        <f t="shared" si="15"/>
        <v/>
      </c>
      <c r="N312" s="12"/>
      <c r="O312" s="23">
        <v>47423</v>
      </c>
      <c r="P312" s="51" t="str">
        <f t="shared" si="16"/>
        <v/>
      </c>
      <c r="Q312" s="51" t="str">
        <f t="shared" si="17"/>
        <v/>
      </c>
      <c r="R312" s="51" t="str">
        <f t="shared" si="18"/>
        <v/>
      </c>
      <c r="S312" s="51" t="str">
        <f t="shared" si="19"/>
        <v/>
      </c>
      <c r="T312" s="51" t="str">
        <f t="shared" si="20"/>
        <v/>
      </c>
      <c r="U312" s="42" t="str">
        <f t="shared" si="23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21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2"/>
        <v/>
      </c>
      <c r="M313" s="42" t="str">
        <f t="shared" si="15"/>
        <v/>
      </c>
      <c r="N313" s="12"/>
      <c r="O313" s="23">
        <v>47453</v>
      </c>
      <c r="P313" s="51" t="str">
        <f t="shared" si="16"/>
        <v/>
      </c>
      <c r="Q313" s="51" t="str">
        <f t="shared" si="17"/>
        <v/>
      </c>
      <c r="R313" s="51" t="str">
        <f t="shared" si="18"/>
        <v/>
      </c>
      <c r="S313" s="51" t="str">
        <f t="shared" si="19"/>
        <v/>
      </c>
      <c r="T313" s="51" t="str">
        <f t="shared" si="20"/>
        <v/>
      </c>
      <c r="U313" s="42" t="str">
        <f t="shared" si="23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21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2"/>
        <v/>
      </c>
      <c r="M314" s="42" t="str">
        <f t="shared" si="15"/>
        <v/>
      </c>
      <c r="N314" s="12"/>
      <c r="O314" s="23">
        <v>47484</v>
      </c>
      <c r="P314" s="51" t="str">
        <f t="shared" si="16"/>
        <v/>
      </c>
      <c r="Q314" s="51" t="str">
        <f t="shared" si="17"/>
        <v/>
      </c>
      <c r="R314" s="51" t="str">
        <f t="shared" si="18"/>
        <v/>
      </c>
      <c r="S314" s="51" t="str">
        <f t="shared" si="19"/>
        <v/>
      </c>
      <c r="T314" s="51" t="str">
        <f t="shared" si="20"/>
        <v/>
      </c>
      <c r="U314" s="42" t="str">
        <f t="shared" si="23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21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2"/>
        <v/>
      </c>
      <c r="M315" s="42" t="str">
        <f t="shared" si="15"/>
        <v/>
      </c>
      <c r="N315" s="12"/>
      <c r="O315" s="23">
        <v>47515</v>
      </c>
      <c r="P315" s="51" t="str">
        <f t="shared" si="16"/>
        <v/>
      </c>
      <c r="Q315" s="51" t="str">
        <f t="shared" si="17"/>
        <v/>
      </c>
      <c r="R315" s="51" t="str">
        <f t="shared" si="18"/>
        <v/>
      </c>
      <c r="S315" s="51" t="str">
        <f t="shared" si="19"/>
        <v/>
      </c>
      <c r="T315" s="51" t="str">
        <f t="shared" si="20"/>
        <v/>
      </c>
      <c r="U315" s="42" t="str">
        <f t="shared" si="23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21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2"/>
        <v/>
      </c>
      <c r="M316" s="42" t="str">
        <f t="shared" si="15"/>
        <v/>
      </c>
      <c r="N316" s="12"/>
      <c r="O316" s="23">
        <v>47543</v>
      </c>
      <c r="P316" s="51" t="str">
        <f t="shared" si="16"/>
        <v/>
      </c>
      <c r="Q316" s="51" t="str">
        <f t="shared" si="17"/>
        <v/>
      </c>
      <c r="R316" s="51" t="str">
        <f t="shared" si="18"/>
        <v/>
      </c>
      <c r="S316" s="51" t="str">
        <f t="shared" si="19"/>
        <v/>
      </c>
      <c r="T316" s="51" t="str">
        <f t="shared" si="20"/>
        <v/>
      </c>
      <c r="U316" s="42" t="str">
        <f t="shared" si="23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21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2"/>
        <v/>
      </c>
      <c r="M317" s="42" t="str">
        <f t="shared" si="15"/>
        <v/>
      </c>
      <c r="N317" s="12"/>
      <c r="O317" s="23">
        <v>47574</v>
      </c>
      <c r="P317" s="51" t="str">
        <f t="shared" si="16"/>
        <v/>
      </c>
      <c r="Q317" s="51" t="str">
        <f t="shared" si="17"/>
        <v/>
      </c>
      <c r="R317" s="51" t="str">
        <f t="shared" si="18"/>
        <v/>
      </c>
      <c r="S317" s="51" t="str">
        <f t="shared" si="19"/>
        <v/>
      </c>
      <c r="T317" s="51" t="str">
        <f t="shared" si="20"/>
        <v/>
      </c>
      <c r="U317" s="42" t="str">
        <f t="shared" si="23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21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2"/>
        <v/>
      </c>
      <c r="M318" s="42" t="str">
        <f t="shared" si="15"/>
        <v/>
      </c>
      <c r="N318" s="12"/>
      <c r="O318" s="23">
        <v>47604</v>
      </c>
      <c r="P318" s="51" t="str">
        <f t="shared" si="16"/>
        <v/>
      </c>
      <c r="Q318" s="51" t="str">
        <f t="shared" si="17"/>
        <v/>
      </c>
      <c r="R318" s="51" t="str">
        <f t="shared" si="18"/>
        <v/>
      </c>
      <c r="S318" s="51" t="str">
        <f t="shared" si="19"/>
        <v/>
      </c>
      <c r="T318" s="51" t="str">
        <f t="shared" si="20"/>
        <v/>
      </c>
      <c r="U318" s="42" t="str">
        <f t="shared" si="23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21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2"/>
        <v/>
      </c>
      <c r="M319" s="42" t="str">
        <f t="shared" si="15"/>
        <v/>
      </c>
      <c r="N319" s="12"/>
      <c r="O319" s="23">
        <v>47635</v>
      </c>
      <c r="P319" s="51" t="str">
        <f t="shared" si="16"/>
        <v/>
      </c>
      <c r="Q319" s="51" t="str">
        <f t="shared" si="17"/>
        <v/>
      </c>
      <c r="R319" s="51" t="str">
        <f t="shared" si="18"/>
        <v/>
      </c>
      <c r="S319" s="51" t="str">
        <f t="shared" si="19"/>
        <v/>
      </c>
      <c r="T319" s="51" t="str">
        <f t="shared" si="20"/>
        <v/>
      </c>
      <c r="U319" s="42" t="str">
        <f t="shared" si="23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21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2"/>
        <v/>
      </c>
      <c r="M320" s="42" t="str">
        <f t="shared" si="15"/>
        <v/>
      </c>
      <c r="N320" s="12"/>
      <c r="O320" s="23">
        <v>47665</v>
      </c>
      <c r="P320" s="51" t="str">
        <f t="shared" si="16"/>
        <v/>
      </c>
      <c r="Q320" s="51" t="str">
        <f t="shared" si="17"/>
        <v/>
      </c>
      <c r="R320" s="51" t="str">
        <f t="shared" si="18"/>
        <v/>
      </c>
      <c r="S320" s="51" t="str">
        <f t="shared" si="19"/>
        <v/>
      </c>
      <c r="T320" s="51" t="str">
        <f t="shared" si="20"/>
        <v/>
      </c>
      <c r="U320" s="42" t="str">
        <f t="shared" si="23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21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2"/>
        <v/>
      </c>
      <c r="M321" s="42" t="str">
        <f t="shared" si="15"/>
        <v/>
      </c>
      <c r="N321" s="12"/>
      <c r="O321" s="23">
        <v>47696</v>
      </c>
      <c r="P321" s="51" t="str">
        <f t="shared" si="16"/>
        <v/>
      </c>
      <c r="Q321" s="51" t="str">
        <f t="shared" si="17"/>
        <v/>
      </c>
      <c r="R321" s="51" t="str">
        <f t="shared" si="18"/>
        <v/>
      </c>
      <c r="S321" s="51" t="str">
        <f t="shared" si="19"/>
        <v/>
      </c>
      <c r="T321" s="51" t="str">
        <f t="shared" si="20"/>
        <v/>
      </c>
      <c r="U321" s="42" t="str">
        <f t="shared" si="23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21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2"/>
        <v/>
      </c>
      <c r="M322" s="42" t="str">
        <f t="shared" si="15"/>
        <v/>
      </c>
      <c r="N322" s="12"/>
      <c r="O322" s="23">
        <v>47727</v>
      </c>
      <c r="P322" s="51" t="str">
        <f t="shared" si="16"/>
        <v/>
      </c>
      <c r="Q322" s="51" t="str">
        <f t="shared" si="17"/>
        <v/>
      </c>
      <c r="R322" s="51" t="str">
        <f t="shared" si="18"/>
        <v/>
      </c>
      <c r="S322" s="51" t="str">
        <f t="shared" si="19"/>
        <v/>
      </c>
      <c r="T322" s="51" t="str">
        <f t="shared" si="20"/>
        <v/>
      </c>
      <c r="U322" s="42" t="str">
        <f t="shared" si="23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21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2"/>
        <v/>
      </c>
      <c r="M323" s="42" t="str">
        <f t="shared" si="15"/>
        <v/>
      </c>
      <c r="N323" s="12"/>
      <c r="O323" s="23">
        <v>47757</v>
      </c>
      <c r="P323" s="51" t="str">
        <f t="shared" si="16"/>
        <v/>
      </c>
      <c r="Q323" s="51" t="str">
        <f t="shared" si="17"/>
        <v/>
      </c>
      <c r="R323" s="51" t="str">
        <f t="shared" si="18"/>
        <v/>
      </c>
      <c r="S323" s="51" t="str">
        <f t="shared" si="19"/>
        <v/>
      </c>
      <c r="T323" s="51" t="str">
        <f t="shared" si="20"/>
        <v/>
      </c>
      <c r="U323" s="42" t="str">
        <f t="shared" si="23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21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2"/>
        <v/>
      </c>
      <c r="M324" s="42" t="str">
        <f t="shared" si="15"/>
        <v/>
      </c>
      <c r="N324" s="12"/>
      <c r="O324" s="23">
        <v>47788</v>
      </c>
      <c r="P324" s="51" t="str">
        <f t="shared" si="16"/>
        <v/>
      </c>
      <c r="Q324" s="51" t="str">
        <f t="shared" si="17"/>
        <v/>
      </c>
      <c r="R324" s="51" t="str">
        <f t="shared" si="18"/>
        <v/>
      </c>
      <c r="S324" s="51" t="str">
        <f t="shared" si="19"/>
        <v/>
      </c>
      <c r="T324" s="51" t="str">
        <f t="shared" si="20"/>
        <v/>
      </c>
      <c r="U324" s="42" t="str">
        <f t="shared" si="23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21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2"/>
        <v/>
      </c>
      <c r="M325" s="42" t="str">
        <f t="shared" si="15"/>
        <v/>
      </c>
      <c r="N325" s="12"/>
      <c r="O325" s="23">
        <v>47818</v>
      </c>
      <c r="P325" s="51" t="str">
        <f t="shared" si="16"/>
        <v/>
      </c>
      <c r="Q325" s="51" t="str">
        <f t="shared" si="17"/>
        <v/>
      </c>
      <c r="R325" s="51" t="str">
        <f t="shared" si="18"/>
        <v/>
      </c>
      <c r="S325" s="51" t="str">
        <f t="shared" si="19"/>
        <v/>
      </c>
      <c r="T325" s="51" t="str">
        <f t="shared" si="20"/>
        <v/>
      </c>
      <c r="U325" s="42" t="str">
        <f t="shared" si="23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21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2"/>
        <v/>
      </c>
      <c r="M326" s="42" t="str">
        <f t="shared" si="15"/>
        <v/>
      </c>
      <c r="N326" s="12"/>
      <c r="O326" s="23">
        <v>47849</v>
      </c>
      <c r="P326" s="51" t="str">
        <f t="shared" si="16"/>
        <v/>
      </c>
      <c r="Q326" s="51" t="str">
        <f t="shared" si="17"/>
        <v/>
      </c>
      <c r="R326" s="51" t="str">
        <f t="shared" si="18"/>
        <v/>
      </c>
      <c r="S326" s="51" t="str">
        <f t="shared" si="19"/>
        <v/>
      </c>
      <c r="T326" s="51" t="str">
        <f t="shared" si="20"/>
        <v/>
      </c>
      <c r="U326" s="42" t="str">
        <f t="shared" si="23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21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2"/>
        <v/>
      </c>
      <c r="M327" s="42" t="str">
        <f t="shared" si="15"/>
        <v/>
      </c>
      <c r="N327" s="12"/>
      <c r="O327" s="23">
        <v>47880</v>
      </c>
      <c r="P327" s="51" t="str">
        <f t="shared" si="16"/>
        <v/>
      </c>
      <c r="Q327" s="51" t="str">
        <f t="shared" si="17"/>
        <v/>
      </c>
      <c r="R327" s="51" t="str">
        <f t="shared" si="18"/>
        <v/>
      </c>
      <c r="S327" s="51" t="str">
        <f t="shared" si="19"/>
        <v/>
      </c>
      <c r="T327" s="51" t="str">
        <f t="shared" si="20"/>
        <v/>
      </c>
      <c r="U327" s="42" t="str">
        <f t="shared" si="23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21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2"/>
        <v/>
      </c>
      <c r="M328" s="42" t="str">
        <f t="shared" si="15"/>
        <v/>
      </c>
      <c r="N328" s="12"/>
      <c r="O328" s="23">
        <v>47908</v>
      </c>
      <c r="P328" s="51" t="str">
        <f t="shared" si="16"/>
        <v/>
      </c>
      <c r="Q328" s="51" t="str">
        <f t="shared" si="17"/>
        <v/>
      </c>
      <c r="R328" s="51" t="str">
        <f t="shared" si="18"/>
        <v/>
      </c>
      <c r="S328" s="51" t="str">
        <f t="shared" si="19"/>
        <v/>
      </c>
      <c r="T328" s="51" t="str">
        <f t="shared" si="20"/>
        <v/>
      </c>
      <c r="U328" s="42" t="str">
        <f t="shared" si="23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21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2"/>
        <v/>
      </c>
      <c r="M329" s="42" t="str">
        <f t="shared" si="15"/>
        <v/>
      </c>
      <c r="N329" s="12"/>
      <c r="O329" s="23">
        <v>47939</v>
      </c>
      <c r="P329" s="51" t="str">
        <f t="shared" si="16"/>
        <v/>
      </c>
      <c r="Q329" s="51" t="str">
        <f t="shared" si="17"/>
        <v/>
      </c>
      <c r="R329" s="51" t="str">
        <f t="shared" si="18"/>
        <v/>
      </c>
      <c r="S329" s="51" t="str">
        <f t="shared" si="19"/>
        <v/>
      </c>
      <c r="T329" s="51" t="str">
        <f t="shared" si="20"/>
        <v/>
      </c>
      <c r="U329" s="42" t="str">
        <f t="shared" si="23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21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2"/>
        <v/>
      </c>
      <c r="M330" s="42" t="str">
        <f t="shared" si="15"/>
        <v/>
      </c>
      <c r="N330" s="12"/>
      <c r="O330" s="23">
        <v>47969</v>
      </c>
      <c r="P330" s="51" t="str">
        <f t="shared" si="16"/>
        <v/>
      </c>
      <c r="Q330" s="51" t="str">
        <f t="shared" si="17"/>
        <v/>
      </c>
      <c r="R330" s="51" t="str">
        <f t="shared" si="18"/>
        <v/>
      </c>
      <c r="S330" s="51" t="str">
        <f t="shared" si="19"/>
        <v/>
      </c>
      <c r="T330" s="51" t="str">
        <f t="shared" si="20"/>
        <v/>
      </c>
      <c r="U330" s="42" t="str">
        <f t="shared" si="23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21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2"/>
        <v/>
      </c>
      <c r="M331" s="42" t="str">
        <f t="shared" si="15"/>
        <v/>
      </c>
      <c r="N331" s="12"/>
      <c r="O331" s="23">
        <v>48000</v>
      </c>
      <c r="P331" s="51" t="str">
        <f t="shared" si="16"/>
        <v/>
      </c>
      <c r="Q331" s="51" t="str">
        <f t="shared" si="17"/>
        <v/>
      </c>
      <c r="R331" s="51" t="str">
        <f t="shared" si="18"/>
        <v/>
      </c>
      <c r="S331" s="51" t="str">
        <f t="shared" si="19"/>
        <v/>
      </c>
      <c r="T331" s="51" t="str">
        <f t="shared" si="20"/>
        <v/>
      </c>
      <c r="U331" s="42" t="str">
        <f t="shared" si="23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21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2"/>
        <v/>
      </c>
      <c r="M332" s="42" t="str">
        <f t="shared" si="15"/>
        <v/>
      </c>
      <c r="N332" s="12"/>
      <c r="O332" s="23">
        <v>48030</v>
      </c>
      <c r="P332" s="51" t="str">
        <f t="shared" si="16"/>
        <v/>
      </c>
      <c r="Q332" s="51" t="str">
        <f t="shared" si="17"/>
        <v/>
      </c>
      <c r="R332" s="51" t="str">
        <f t="shared" si="18"/>
        <v/>
      </c>
      <c r="S332" s="51" t="str">
        <f t="shared" si="19"/>
        <v/>
      </c>
      <c r="T332" s="51" t="str">
        <f t="shared" si="20"/>
        <v/>
      </c>
      <c r="U332" s="42" t="str">
        <f t="shared" si="23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21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2"/>
        <v/>
      </c>
      <c r="M333" s="42" t="str">
        <f t="shared" si="15"/>
        <v/>
      </c>
      <c r="N333" s="12"/>
      <c r="O333" s="23">
        <v>48061</v>
      </c>
      <c r="P333" s="51" t="str">
        <f t="shared" si="16"/>
        <v/>
      </c>
      <c r="Q333" s="51" t="str">
        <f t="shared" si="17"/>
        <v/>
      </c>
      <c r="R333" s="51" t="str">
        <f t="shared" si="18"/>
        <v/>
      </c>
      <c r="S333" s="51" t="str">
        <f t="shared" si="19"/>
        <v/>
      </c>
      <c r="T333" s="51" t="str">
        <f t="shared" si="20"/>
        <v/>
      </c>
      <c r="U333" s="42" t="str">
        <f t="shared" si="23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21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2"/>
        <v/>
      </c>
      <c r="M334" s="42" t="str">
        <f t="shared" si="15"/>
        <v/>
      </c>
      <c r="N334" s="12"/>
      <c r="O334" s="23">
        <v>48092</v>
      </c>
      <c r="P334" s="51" t="str">
        <f t="shared" si="16"/>
        <v/>
      </c>
      <c r="Q334" s="51" t="str">
        <f t="shared" si="17"/>
        <v/>
      </c>
      <c r="R334" s="51" t="str">
        <f t="shared" si="18"/>
        <v/>
      </c>
      <c r="S334" s="51" t="str">
        <f t="shared" si="19"/>
        <v/>
      </c>
      <c r="T334" s="51" t="str">
        <f t="shared" si="20"/>
        <v/>
      </c>
      <c r="U334" s="42" t="str">
        <f t="shared" si="23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21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2"/>
        <v/>
      </c>
      <c r="M335" s="42" t="str">
        <f t="shared" si="15"/>
        <v/>
      </c>
      <c r="N335" s="12"/>
      <c r="O335" s="23">
        <v>48122</v>
      </c>
      <c r="P335" s="51" t="str">
        <f t="shared" si="16"/>
        <v/>
      </c>
      <c r="Q335" s="51" t="str">
        <f t="shared" si="17"/>
        <v/>
      </c>
      <c r="R335" s="51" t="str">
        <f t="shared" si="18"/>
        <v/>
      </c>
      <c r="S335" s="51" t="str">
        <f t="shared" si="19"/>
        <v/>
      </c>
      <c r="T335" s="51" t="str">
        <f t="shared" si="20"/>
        <v/>
      </c>
      <c r="U335" s="42" t="str">
        <f t="shared" si="23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21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2"/>
        <v/>
      </c>
      <c r="M336" s="42" t="str">
        <f t="shared" si="15"/>
        <v/>
      </c>
      <c r="N336" s="12"/>
      <c r="O336" s="23">
        <v>48153</v>
      </c>
      <c r="P336" s="51" t="str">
        <f t="shared" si="16"/>
        <v/>
      </c>
      <c r="Q336" s="51" t="str">
        <f t="shared" si="17"/>
        <v/>
      </c>
      <c r="R336" s="51" t="str">
        <f t="shared" si="18"/>
        <v/>
      </c>
      <c r="S336" s="51" t="str">
        <f t="shared" si="19"/>
        <v/>
      </c>
      <c r="T336" s="51" t="str">
        <f t="shared" si="20"/>
        <v/>
      </c>
      <c r="U336" s="42" t="str">
        <f t="shared" si="23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21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2"/>
        <v/>
      </c>
      <c r="M337" s="42" t="str">
        <f t="shared" si="15"/>
        <v/>
      </c>
      <c r="N337" s="12"/>
      <c r="O337" s="23">
        <v>48183</v>
      </c>
      <c r="P337" s="51" t="str">
        <f t="shared" si="16"/>
        <v/>
      </c>
      <c r="Q337" s="51" t="str">
        <f t="shared" si="17"/>
        <v/>
      </c>
      <c r="R337" s="51" t="str">
        <f t="shared" si="18"/>
        <v/>
      </c>
      <c r="S337" s="51" t="str">
        <f t="shared" si="19"/>
        <v/>
      </c>
      <c r="T337" s="51" t="str">
        <f t="shared" si="20"/>
        <v/>
      </c>
      <c r="U337" s="42" t="str">
        <f t="shared" si="23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21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2"/>
        <v/>
      </c>
      <c r="M338" s="42" t="str">
        <f t="shared" si="15"/>
        <v/>
      </c>
      <c r="N338" s="12"/>
      <c r="O338" s="23">
        <v>48214</v>
      </c>
      <c r="P338" s="51" t="str">
        <f t="shared" si="16"/>
        <v/>
      </c>
      <c r="Q338" s="51" t="str">
        <f t="shared" si="17"/>
        <v/>
      </c>
      <c r="R338" s="51" t="str">
        <f t="shared" si="18"/>
        <v/>
      </c>
      <c r="S338" s="51" t="str">
        <f t="shared" si="19"/>
        <v/>
      </c>
      <c r="T338" s="51" t="str">
        <f t="shared" si="20"/>
        <v/>
      </c>
      <c r="U338" s="42" t="str">
        <f t="shared" si="23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21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2"/>
        <v/>
      </c>
      <c r="M339" s="42" t="str">
        <f t="shared" si="15"/>
        <v/>
      </c>
      <c r="N339" s="12"/>
      <c r="O339" s="23">
        <v>48245</v>
      </c>
      <c r="P339" s="51" t="str">
        <f t="shared" si="16"/>
        <v/>
      </c>
      <c r="Q339" s="51" t="str">
        <f t="shared" si="17"/>
        <v/>
      </c>
      <c r="R339" s="51" t="str">
        <f t="shared" si="18"/>
        <v/>
      </c>
      <c r="S339" s="51" t="str">
        <f t="shared" si="19"/>
        <v/>
      </c>
      <c r="T339" s="51" t="str">
        <f t="shared" si="20"/>
        <v/>
      </c>
      <c r="U339" s="42" t="str">
        <f t="shared" si="23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21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2"/>
        <v/>
      </c>
      <c r="M340" s="42" t="str">
        <f t="shared" si="15"/>
        <v/>
      </c>
      <c r="N340" s="12"/>
      <c r="O340" s="23">
        <v>48274</v>
      </c>
      <c r="P340" s="51" t="str">
        <f t="shared" si="16"/>
        <v/>
      </c>
      <c r="Q340" s="51" t="str">
        <f t="shared" si="17"/>
        <v/>
      </c>
      <c r="R340" s="51" t="str">
        <f t="shared" si="18"/>
        <v/>
      </c>
      <c r="S340" s="51" t="str">
        <f t="shared" si="19"/>
        <v/>
      </c>
      <c r="T340" s="51" t="str">
        <f t="shared" si="20"/>
        <v/>
      </c>
      <c r="U340" s="42" t="str">
        <f t="shared" si="23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21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2"/>
        <v/>
      </c>
      <c r="M341" s="42" t="str">
        <f t="shared" si="15"/>
        <v/>
      </c>
      <c r="N341" s="12"/>
      <c r="O341" s="23">
        <v>48305</v>
      </c>
      <c r="P341" s="51" t="str">
        <f t="shared" si="16"/>
        <v/>
      </c>
      <c r="Q341" s="51" t="str">
        <f t="shared" si="17"/>
        <v/>
      </c>
      <c r="R341" s="51" t="str">
        <f t="shared" si="18"/>
        <v/>
      </c>
      <c r="S341" s="51" t="str">
        <f t="shared" si="19"/>
        <v/>
      </c>
      <c r="T341" s="51" t="str">
        <f t="shared" si="20"/>
        <v/>
      </c>
      <c r="U341" s="42" t="str">
        <f t="shared" si="23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21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2"/>
        <v/>
      </c>
      <c r="M342" s="42" t="str">
        <f t="shared" ref="M342:M405" si="24">IF(L342="","",L342/L341-1)</f>
        <v/>
      </c>
      <c r="N342" s="12"/>
      <c r="O342" s="23">
        <v>48335</v>
      </c>
      <c r="P342" s="51" t="str">
        <f t="shared" si="16"/>
        <v/>
      </c>
      <c r="Q342" s="51" t="str">
        <f t="shared" si="17"/>
        <v/>
      </c>
      <c r="R342" s="51" t="str">
        <f t="shared" si="18"/>
        <v/>
      </c>
      <c r="S342" s="51" t="str">
        <f t="shared" si="19"/>
        <v/>
      </c>
      <c r="T342" s="51" t="str">
        <f t="shared" si="20"/>
        <v/>
      </c>
      <c r="U342" s="42" t="str">
        <f t="shared" si="23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21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2"/>
        <v/>
      </c>
      <c r="M343" s="42" t="str">
        <f t="shared" si="24"/>
        <v/>
      </c>
      <c r="N343" s="12"/>
      <c r="O343" s="23">
        <v>48366</v>
      </c>
      <c r="P343" s="51" t="str">
        <f t="shared" si="16"/>
        <v/>
      </c>
      <c r="Q343" s="51" t="str">
        <f t="shared" si="17"/>
        <v/>
      </c>
      <c r="R343" s="51" t="str">
        <f t="shared" si="18"/>
        <v/>
      </c>
      <c r="S343" s="51" t="str">
        <f t="shared" si="19"/>
        <v/>
      </c>
      <c r="T343" s="51" t="str">
        <f t="shared" si="20"/>
        <v/>
      </c>
      <c r="U343" s="42" t="str">
        <f t="shared" si="23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21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2"/>
        <v/>
      </c>
      <c r="M344" s="42" t="str">
        <f t="shared" si="24"/>
        <v/>
      </c>
      <c r="N344" s="12"/>
      <c r="O344" s="23">
        <v>48396</v>
      </c>
      <c r="P344" s="51" t="str">
        <f t="shared" si="16"/>
        <v/>
      </c>
      <c r="Q344" s="51" t="str">
        <f t="shared" si="17"/>
        <v/>
      </c>
      <c r="R344" s="51" t="str">
        <f t="shared" si="18"/>
        <v/>
      </c>
      <c r="S344" s="51" t="str">
        <f t="shared" si="19"/>
        <v/>
      </c>
      <c r="T344" s="51" t="str">
        <f t="shared" si="20"/>
        <v/>
      </c>
      <c r="U344" s="42" t="str">
        <f t="shared" si="23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21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2"/>
        <v/>
      </c>
      <c r="M345" s="42" t="str">
        <f t="shared" si="24"/>
        <v/>
      </c>
      <c r="N345" s="12"/>
      <c r="O345" s="23">
        <v>48427</v>
      </c>
      <c r="P345" s="51" t="str">
        <f t="shared" si="16"/>
        <v/>
      </c>
      <c r="Q345" s="51" t="str">
        <f t="shared" si="17"/>
        <v/>
      </c>
      <c r="R345" s="51" t="str">
        <f t="shared" si="18"/>
        <v/>
      </c>
      <c r="S345" s="51" t="str">
        <f t="shared" si="19"/>
        <v/>
      </c>
      <c r="T345" s="51" t="str">
        <f t="shared" si="20"/>
        <v/>
      </c>
      <c r="U345" s="42" t="str">
        <f t="shared" si="23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21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2"/>
        <v/>
      </c>
      <c r="M346" s="42" t="str">
        <f t="shared" si="24"/>
        <v/>
      </c>
      <c r="N346" s="12"/>
      <c r="O346" s="23">
        <v>48458</v>
      </c>
      <c r="P346" s="51" t="str">
        <f t="shared" si="16"/>
        <v/>
      </c>
      <c r="Q346" s="51" t="str">
        <f t="shared" si="17"/>
        <v/>
      </c>
      <c r="R346" s="51" t="str">
        <f t="shared" si="18"/>
        <v/>
      </c>
      <c r="S346" s="51" t="str">
        <f t="shared" si="19"/>
        <v/>
      </c>
      <c r="T346" s="51" t="str">
        <f t="shared" si="20"/>
        <v/>
      </c>
      <c r="U346" s="42" t="str">
        <f t="shared" si="23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21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2"/>
        <v/>
      </c>
      <c r="M347" s="42" t="str">
        <f t="shared" si="24"/>
        <v/>
      </c>
      <c r="N347" s="12"/>
      <c r="O347" s="23">
        <v>48488</v>
      </c>
      <c r="P347" s="51" t="str">
        <f t="shared" si="16"/>
        <v/>
      </c>
      <c r="Q347" s="51" t="str">
        <f t="shared" si="17"/>
        <v/>
      </c>
      <c r="R347" s="51" t="str">
        <f t="shared" si="18"/>
        <v/>
      </c>
      <c r="S347" s="51" t="str">
        <f t="shared" si="19"/>
        <v/>
      </c>
      <c r="T347" s="51" t="str">
        <f t="shared" si="20"/>
        <v/>
      </c>
      <c r="U347" s="42" t="str">
        <f t="shared" si="23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21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2"/>
        <v/>
      </c>
      <c r="M348" s="42" t="str">
        <f t="shared" si="24"/>
        <v/>
      </c>
      <c r="N348" s="12"/>
      <c r="O348" s="23">
        <v>48519</v>
      </c>
      <c r="P348" s="51" t="str">
        <f t="shared" si="16"/>
        <v/>
      </c>
      <c r="Q348" s="51" t="str">
        <f t="shared" si="17"/>
        <v/>
      </c>
      <c r="R348" s="51" t="str">
        <f t="shared" si="18"/>
        <v/>
      </c>
      <c r="S348" s="51" t="str">
        <f t="shared" si="19"/>
        <v/>
      </c>
      <c r="T348" s="51" t="str">
        <f t="shared" si="20"/>
        <v/>
      </c>
      <c r="U348" s="42" t="str">
        <f t="shared" si="23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21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2"/>
        <v/>
      </c>
      <c r="M349" s="42" t="str">
        <f t="shared" si="24"/>
        <v/>
      </c>
      <c r="N349" s="12"/>
      <c r="O349" s="23">
        <v>48549</v>
      </c>
      <c r="P349" s="51" t="str">
        <f t="shared" si="16"/>
        <v/>
      </c>
      <c r="Q349" s="51" t="str">
        <f t="shared" si="17"/>
        <v/>
      </c>
      <c r="R349" s="51" t="str">
        <f t="shared" si="18"/>
        <v/>
      </c>
      <c r="S349" s="51" t="str">
        <f t="shared" si="19"/>
        <v/>
      </c>
      <c r="T349" s="51" t="str">
        <f t="shared" si="20"/>
        <v/>
      </c>
      <c r="U349" s="42" t="str">
        <f t="shared" si="23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21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2"/>
        <v/>
      </c>
      <c r="M350" s="42" t="str">
        <f t="shared" si="24"/>
        <v/>
      </c>
      <c r="N350" s="12"/>
      <c r="O350" s="23">
        <v>48580</v>
      </c>
      <c r="P350" s="51" t="str">
        <f t="shared" si="16"/>
        <v/>
      </c>
      <c r="Q350" s="51" t="str">
        <f t="shared" si="17"/>
        <v/>
      </c>
      <c r="R350" s="51" t="str">
        <f t="shared" si="18"/>
        <v/>
      </c>
      <c r="S350" s="51" t="str">
        <f t="shared" si="19"/>
        <v/>
      </c>
      <c r="T350" s="51" t="str">
        <f t="shared" si="20"/>
        <v/>
      </c>
      <c r="U350" s="42" t="str">
        <f t="shared" si="23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21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2"/>
        <v/>
      </c>
      <c r="M351" s="42" t="str">
        <f t="shared" si="24"/>
        <v/>
      </c>
      <c r="N351" s="12"/>
      <c r="O351" s="23">
        <v>48611</v>
      </c>
      <c r="P351" s="51" t="str">
        <f t="shared" si="16"/>
        <v/>
      </c>
      <c r="Q351" s="51" t="str">
        <f t="shared" si="17"/>
        <v/>
      </c>
      <c r="R351" s="51" t="str">
        <f t="shared" si="18"/>
        <v/>
      </c>
      <c r="S351" s="51" t="str">
        <f t="shared" si="19"/>
        <v/>
      </c>
      <c r="T351" s="51" t="str">
        <f t="shared" si="20"/>
        <v/>
      </c>
      <c r="U351" s="42" t="str">
        <f t="shared" si="23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21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2"/>
        <v/>
      </c>
      <c r="M352" s="42" t="str">
        <f t="shared" si="24"/>
        <v/>
      </c>
      <c r="N352" s="12"/>
      <c r="O352" s="23">
        <v>48639</v>
      </c>
      <c r="P352" s="51" t="str">
        <f t="shared" si="16"/>
        <v/>
      </c>
      <c r="Q352" s="51" t="str">
        <f t="shared" si="17"/>
        <v/>
      </c>
      <c r="R352" s="51" t="str">
        <f t="shared" si="18"/>
        <v/>
      </c>
      <c r="S352" s="51" t="str">
        <f t="shared" si="19"/>
        <v/>
      </c>
      <c r="T352" s="51" t="str">
        <f t="shared" si="20"/>
        <v/>
      </c>
      <c r="U352" s="42" t="str">
        <f t="shared" si="23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21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2"/>
        <v/>
      </c>
      <c r="M353" s="42" t="str">
        <f t="shared" si="24"/>
        <v/>
      </c>
      <c r="N353" s="12"/>
      <c r="O353" s="23">
        <v>48670</v>
      </c>
      <c r="P353" s="51" t="str">
        <f t="shared" si="16"/>
        <v/>
      </c>
      <c r="Q353" s="51" t="str">
        <f t="shared" si="17"/>
        <v/>
      </c>
      <c r="R353" s="51" t="str">
        <f t="shared" si="18"/>
        <v/>
      </c>
      <c r="S353" s="51" t="str">
        <f t="shared" si="19"/>
        <v/>
      </c>
      <c r="T353" s="51" t="str">
        <f t="shared" si="20"/>
        <v/>
      </c>
      <c r="U353" s="42" t="str">
        <f t="shared" si="23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21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2"/>
        <v/>
      </c>
      <c r="M354" s="42" t="str">
        <f t="shared" si="24"/>
        <v/>
      </c>
      <c r="N354" s="12"/>
      <c r="O354" s="23">
        <v>48700</v>
      </c>
      <c r="P354" s="51" t="str">
        <f t="shared" si="16"/>
        <v/>
      </c>
      <c r="Q354" s="51" t="str">
        <f t="shared" si="17"/>
        <v/>
      </c>
      <c r="R354" s="51" t="str">
        <f t="shared" si="18"/>
        <v/>
      </c>
      <c r="S354" s="51" t="str">
        <f t="shared" si="19"/>
        <v/>
      </c>
      <c r="T354" s="51" t="str">
        <f t="shared" si="20"/>
        <v/>
      </c>
      <c r="U354" s="42" t="str">
        <f t="shared" si="23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21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2"/>
        <v/>
      </c>
      <c r="M355" s="42" t="str">
        <f t="shared" si="24"/>
        <v/>
      </c>
      <c r="N355" s="12"/>
      <c r="O355" s="23">
        <v>48731</v>
      </c>
      <c r="P355" s="51" t="str">
        <f t="shared" si="16"/>
        <v/>
      </c>
      <c r="Q355" s="51" t="str">
        <f t="shared" si="17"/>
        <v/>
      </c>
      <c r="R355" s="51" t="str">
        <f t="shared" si="18"/>
        <v/>
      </c>
      <c r="S355" s="51" t="str">
        <f t="shared" si="19"/>
        <v/>
      </c>
      <c r="T355" s="51" t="str">
        <f t="shared" si="20"/>
        <v/>
      </c>
      <c r="U355" s="42" t="str">
        <f t="shared" si="23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21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2"/>
        <v/>
      </c>
      <c r="M356" s="42" t="str">
        <f t="shared" si="24"/>
        <v/>
      </c>
      <c r="N356" s="12"/>
      <c r="O356" s="23">
        <v>48761</v>
      </c>
      <c r="P356" s="51" t="str">
        <f t="shared" si="16"/>
        <v/>
      </c>
      <c r="Q356" s="51" t="str">
        <f t="shared" si="17"/>
        <v/>
      </c>
      <c r="R356" s="51" t="str">
        <f t="shared" si="18"/>
        <v/>
      </c>
      <c r="S356" s="51" t="str">
        <f t="shared" si="19"/>
        <v/>
      </c>
      <c r="T356" s="51" t="str">
        <f t="shared" si="20"/>
        <v/>
      </c>
      <c r="U356" s="42" t="str">
        <f t="shared" si="23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21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2"/>
        <v/>
      </c>
      <c r="M357" s="42" t="str">
        <f t="shared" si="24"/>
        <v/>
      </c>
      <c r="N357" s="12"/>
      <c r="O357" s="23">
        <v>48792</v>
      </c>
      <c r="P357" s="51" t="str">
        <f t="shared" si="16"/>
        <v/>
      </c>
      <c r="Q357" s="51" t="str">
        <f t="shared" si="17"/>
        <v/>
      </c>
      <c r="R357" s="51" t="str">
        <f t="shared" si="18"/>
        <v/>
      </c>
      <c r="S357" s="51" t="str">
        <f t="shared" si="19"/>
        <v/>
      </c>
      <c r="T357" s="51" t="str">
        <f t="shared" si="20"/>
        <v/>
      </c>
      <c r="U357" s="42" t="str">
        <f t="shared" si="23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21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2"/>
        <v/>
      </c>
      <c r="M358" s="42" t="str">
        <f t="shared" si="24"/>
        <v/>
      </c>
      <c r="N358" s="12"/>
      <c r="O358" s="23">
        <v>48823</v>
      </c>
      <c r="P358" s="51" t="str">
        <f t="shared" si="16"/>
        <v/>
      </c>
      <c r="Q358" s="51" t="str">
        <f t="shared" si="17"/>
        <v/>
      </c>
      <c r="R358" s="51" t="str">
        <f t="shared" si="18"/>
        <v/>
      </c>
      <c r="S358" s="51" t="str">
        <f t="shared" si="19"/>
        <v/>
      </c>
      <c r="T358" s="51" t="str">
        <f t="shared" si="20"/>
        <v/>
      </c>
      <c r="U358" s="42" t="str">
        <f t="shared" si="23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21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2"/>
        <v/>
      </c>
      <c r="M359" s="42" t="str">
        <f t="shared" si="24"/>
        <v/>
      </c>
      <c r="N359" s="12"/>
      <c r="O359" s="23">
        <v>48853</v>
      </c>
      <c r="P359" s="51" t="str">
        <f t="shared" si="16"/>
        <v/>
      </c>
      <c r="Q359" s="51" t="str">
        <f t="shared" si="17"/>
        <v/>
      </c>
      <c r="R359" s="51" t="str">
        <f t="shared" si="18"/>
        <v/>
      </c>
      <c r="S359" s="51" t="str">
        <f t="shared" si="19"/>
        <v/>
      </c>
      <c r="T359" s="51" t="str">
        <f t="shared" si="20"/>
        <v/>
      </c>
      <c r="U359" s="42" t="str">
        <f t="shared" si="23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21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2"/>
        <v/>
      </c>
      <c r="M360" s="42" t="str">
        <f t="shared" si="24"/>
        <v/>
      </c>
      <c r="N360" s="12"/>
      <c r="O360" s="23">
        <v>48884</v>
      </c>
      <c r="P360" s="51" t="str">
        <f t="shared" si="16"/>
        <v/>
      </c>
      <c r="Q360" s="51" t="str">
        <f t="shared" si="17"/>
        <v/>
      </c>
      <c r="R360" s="51" t="str">
        <f t="shared" si="18"/>
        <v/>
      </c>
      <c r="S360" s="51" t="str">
        <f t="shared" si="19"/>
        <v/>
      </c>
      <c r="T360" s="51" t="str">
        <f t="shared" si="20"/>
        <v/>
      </c>
      <c r="U360" s="42" t="str">
        <f t="shared" si="23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21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2"/>
        <v/>
      </c>
      <c r="M361" s="42" t="str">
        <f t="shared" si="24"/>
        <v/>
      </c>
      <c r="N361" s="12"/>
      <c r="O361" s="23">
        <v>48914</v>
      </c>
      <c r="P361" s="51" t="str">
        <f t="shared" si="16"/>
        <v/>
      </c>
      <c r="Q361" s="51" t="str">
        <f t="shared" si="17"/>
        <v/>
      </c>
      <c r="R361" s="51" t="str">
        <f t="shared" si="18"/>
        <v/>
      </c>
      <c r="S361" s="51" t="str">
        <f t="shared" si="19"/>
        <v/>
      </c>
      <c r="T361" s="51" t="str">
        <f t="shared" si="20"/>
        <v/>
      </c>
      <c r="U361" s="42" t="str">
        <f t="shared" si="23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21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2"/>
        <v/>
      </c>
      <c r="M362" s="42" t="str">
        <f t="shared" si="24"/>
        <v/>
      </c>
      <c r="N362" s="12"/>
      <c r="O362" s="23">
        <v>48945</v>
      </c>
      <c r="P362" s="51" t="str">
        <f t="shared" si="16"/>
        <v/>
      </c>
      <c r="Q362" s="51" t="str">
        <f t="shared" si="17"/>
        <v/>
      </c>
      <c r="R362" s="51" t="str">
        <f t="shared" si="18"/>
        <v/>
      </c>
      <c r="S362" s="51" t="str">
        <f t="shared" si="19"/>
        <v/>
      </c>
      <c r="T362" s="51" t="str">
        <f t="shared" si="20"/>
        <v/>
      </c>
      <c r="U362" s="42" t="str">
        <f t="shared" si="23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21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2"/>
        <v/>
      </c>
      <c r="M363" s="42" t="str">
        <f t="shared" si="24"/>
        <v/>
      </c>
      <c r="N363" s="12"/>
      <c r="O363" s="23">
        <v>48976</v>
      </c>
      <c r="P363" s="51" t="str">
        <f t="shared" si="16"/>
        <v/>
      </c>
      <c r="Q363" s="51" t="str">
        <f t="shared" si="17"/>
        <v/>
      </c>
      <c r="R363" s="51" t="str">
        <f t="shared" si="18"/>
        <v/>
      </c>
      <c r="S363" s="51" t="str">
        <f t="shared" si="19"/>
        <v/>
      </c>
      <c r="T363" s="51" t="str">
        <f t="shared" si="20"/>
        <v/>
      </c>
      <c r="U363" s="42" t="str">
        <f t="shared" si="23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21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2"/>
        <v/>
      </c>
      <c r="M364" s="42" t="str">
        <f t="shared" si="24"/>
        <v/>
      </c>
      <c r="N364" s="12"/>
      <c r="O364" s="23">
        <v>49004</v>
      </c>
      <c r="P364" s="51" t="str">
        <f t="shared" si="16"/>
        <v/>
      </c>
      <c r="Q364" s="51" t="str">
        <f t="shared" si="17"/>
        <v/>
      </c>
      <c r="R364" s="51" t="str">
        <f t="shared" si="18"/>
        <v/>
      </c>
      <c r="S364" s="51" t="str">
        <f t="shared" si="19"/>
        <v/>
      </c>
      <c r="T364" s="51" t="str">
        <f t="shared" si="20"/>
        <v/>
      </c>
      <c r="U364" s="42" t="str">
        <f t="shared" si="23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21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2"/>
        <v/>
      </c>
      <c r="M365" s="42" t="str">
        <f t="shared" si="24"/>
        <v/>
      </c>
      <c r="N365" s="12"/>
      <c r="O365" s="23">
        <v>49035</v>
      </c>
      <c r="P365" s="51" t="str">
        <f t="shared" si="16"/>
        <v/>
      </c>
      <c r="Q365" s="51" t="str">
        <f t="shared" si="17"/>
        <v/>
      </c>
      <c r="R365" s="51" t="str">
        <f t="shared" si="18"/>
        <v/>
      </c>
      <c r="S365" s="51" t="str">
        <f t="shared" si="19"/>
        <v/>
      </c>
      <c r="T365" s="51" t="str">
        <f t="shared" si="20"/>
        <v/>
      </c>
      <c r="U365" s="42" t="str">
        <f t="shared" si="23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21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2"/>
        <v/>
      </c>
      <c r="M366" s="42" t="str">
        <f t="shared" si="24"/>
        <v/>
      </c>
      <c r="N366" s="12"/>
      <c r="O366" s="23">
        <v>49065</v>
      </c>
      <c r="P366" s="51" t="str">
        <f t="shared" si="16"/>
        <v/>
      </c>
      <c r="Q366" s="51" t="str">
        <f t="shared" si="17"/>
        <v/>
      </c>
      <c r="R366" s="51" t="str">
        <f t="shared" si="18"/>
        <v/>
      </c>
      <c r="S366" s="51" t="str">
        <f t="shared" si="19"/>
        <v/>
      </c>
      <c r="T366" s="51" t="str">
        <f t="shared" si="20"/>
        <v/>
      </c>
      <c r="U366" s="42" t="str">
        <f t="shared" si="23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21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2"/>
        <v/>
      </c>
      <c r="M367" s="42" t="str">
        <f t="shared" si="24"/>
        <v/>
      </c>
      <c r="N367" s="12"/>
      <c r="O367" s="23">
        <v>49096</v>
      </c>
      <c r="P367" s="51" t="str">
        <f t="shared" si="16"/>
        <v/>
      </c>
      <c r="Q367" s="51" t="str">
        <f t="shared" si="17"/>
        <v/>
      </c>
      <c r="R367" s="51" t="str">
        <f t="shared" si="18"/>
        <v/>
      </c>
      <c r="S367" s="51" t="str">
        <f t="shared" si="19"/>
        <v/>
      </c>
      <c r="T367" s="51" t="str">
        <f t="shared" si="20"/>
        <v/>
      </c>
      <c r="U367" s="42" t="str">
        <f t="shared" si="23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21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2"/>
        <v/>
      </c>
      <c r="M368" s="42" t="str">
        <f t="shared" si="24"/>
        <v/>
      </c>
      <c r="N368" s="12"/>
      <c r="O368" s="23">
        <v>49126</v>
      </c>
      <c r="P368" s="51" t="str">
        <f t="shared" si="16"/>
        <v/>
      </c>
      <c r="Q368" s="51" t="str">
        <f t="shared" si="17"/>
        <v/>
      </c>
      <c r="R368" s="51" t="str">
        <f t="shared" si="18"/>
        <v/>
      </c>
      <c r="S368" s="51" t="str">
        <f t="shared" si="19"/>
        <v/>
      </c>
      <c r="T368" s="51" t="str">
        <f t="shared" si="20"/>
        <v/>
      </c>
      <c r="U368" s="42" t="str">
        <f t="shared" si="23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21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2"/>
        <v/>
      </c>
      <c r="M369" s="42" t="str">
        <f t="shared" si="24"/>
        <v/>
      </c>
      <c r="N369" s="12"/>
      <c r="O369" s="23">
        <v>49157</v>
      </c>
      <c r="P369" s="51" t="str">
        <f t="shared" si="16"/>
        <v/>
      </c>
      <c r="Q369" s="51" t="str">
        <f t="shared" si="17"/>
        <v/>
      </c>
      <c r="R369" s="51" t="str">
        <f t="shared" si="18"/>
        <v/>
      </c>
      <c r="S369" s="51" t="str">
        <f t="shared" si="19"/>
        <v/>
      </c>
      <c r="T369" s="51" t="str">
        <f t="shared" si="20"/>
        <v/>
      </c>
      <c r="U369" s="42" t="str">
        <f t="shared" si="23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21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2"/>
        <v/>
      </c>
      <c r="M370" s="42" t="str">
        <f t="shared" si="24"/>
        <v/>
      </c>
      <c r="N370" s="12"/>
      <c r="O370" s="23">
        <v>49188</v>
      </c>
      <c r="P370" s="51" t="str">
        <f t="shared" ref="P370:P433" si="25">IFERROR((G370*Q$480)/$L370*(100/Q$481),"")</f>
        <v/>
      </c>
      <c r="Q370" s="51" t="str">
        <f t="shared" ref="Q370:Q433" si="26">IFERROR((H370*R$480)/$L370*(100/R$481),"")</f>
        <v/>
      </c>
      <c r="R370" s="51" t="str">
        <f t="shared" ref="R370:R433" si="27">IFERROR((I370*S$480)/$L370*(100/S$481),"")</f>
        <v/>
      </c>
      <c r="S370" s="51" t="str">
        <f t="shared" ref="S370:S433" si="28">IFERROR((J370*T$480)/$L370*(100/T$481),"")</f>
        <v/>
      </c>
      <c r="T370" s="51" t="str">
        <f t="shared" ref="T370:T433" si="29">IFERROR((K370*U$480)/$L370*(100/U$481),"")</f>
        <v/>
      </c>
      <c r="U370" s="42" t="str">
        <f t="shared" si="23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30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31">IF(V612="","",V612)</f>
        <v/>
      </c>
      <c r="M371" s="42" t="str">
        <f t="shared" si="24"/>
        <v/>
      </c>
      <c r="N371" s="12"/>
      <c r="O371" s="23">
        <v>49218</v>
      </c>
      <c r="P371" s="51" t="str">
        <f t="shared" si="25"/>
        <v/>
      </c>
      <c r="Q371" s="51" t="str">
        <f t="shared" si="26"/>
        <v/>
      </c>
      <c r="R371" s="51" t="str">
        <f t="shared" si="27"/>
        <v/>
      </c>
      <c r="S371" s="51" t="str">
        <f t="shared" si="28"/>
        <v/>
      </c>
      <c r="T371" s="51" t="str">
        <f t="shared" si="29"/>
        <v/>
      </c>
      <c r="U371" s="42" t="str">
        <f t="shared" ref="U371:U434" si="32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30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31"/>
        <v/>
      </c>
      <c r="M372" s="42" t="str">
        <f t="shared" si="24"/>
        <v/>
      </c>
      <c r="N372" s="12"/>
      <c r="O372" s="23">
        <v>49249</v>
      </c>
      <c r="P372" s="51" t="str">
        <f t="shared" si="25"/>
        <v/>
      </c>
      <c r="Q372" s="51" t="str">
        <f t="shared" si="26"/>
        <v/>
      </c>
      <c r="R372" s="51" t="str">
        <f t="shared" si="27"/>
        <v/>
      </c>
      <c r="S372" s="51" t="str">
        <f t="shared" si="28"/>
        <v/>
      </c>
      <c r="T372" s="51" t="str">
        <f t="shared" si="29"/>
        <v/>
      </c>
      <c r="U372" s="42" t="str">
        <f t="shared" si="32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30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31"/>
        <v/>
      </c>
      <c r="M373" s="42" t="str">
        <f t="shared" si="24"/>
        <v/>
      </c>
      <c r="N373" s="12"/>
      <c r="O373" s="23">
        <v>49279</v>
      </c>
      <c r="P373" s="51" t="str">
        <f t="shared" si="25"/>
        <v/>
      </c>
      <c r="Q373" s="51" t="str">
        <f t="shared" si="26"/>
        <v/>
      </c>
      <c r="R373" s="51" t="str">
        <f t="shared" si="27"/>
        <v/>
      </c>
      <c r="S373" s="51" t="str">
        <f t="shared" si="28"/>
        <v/>
      </c>
      <c r="T373" s="51" t="str">
        <f t="shared" si="29"/>
        <v/>
      </c>
      <c r="U373" s="42" t="str">
        <f t="shared" si="32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30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31"/>
        <v/>
      </c>
      <c r="M374" s="42" t="str">
        <f t="shared" si="24"/>
        <v/>
      </c>
      <c r="N374" s="12"/>
      <c r="O374" s="23">
        <v>49310</v>
      </c>
      <c r="P374" s="51" t="str">
        <f t="shared" si="25"/>
        <v/>
      </c>
      <c r="Q374" s="51" t="str">
        <f t="shared" si="26"/>
        <v/>
      </c>
      <c r="R374" s="51" t="str">
        <f t="shared" si="27"/>
        <v/>
      </c>
      <c r="S374" s="51" t="str">
        <f t="shared" si="28"/>
        <v/>
      </c>
      <c r="T374" s="51" t="str">
        <f t="shared" si="29"/>
        <v/>
      </c>
      <c r="U374" s="42" t="str">
        <f t="shared" si="32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30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31"/>
        <v/>
      </c>
      <c r="M375" s="42" t="str">
        <f t="shared" si="24"/>
        <v/>
      </c>
      <c r="N375" s="12"/>
      <c r="O375" s="23">
        <v>49341</v>
      </c>
      <c r="P375" s="51" t="str">
        <f t="shared" si="25"/>
        <v/>
      </c>
      <c r="Q375" s="51" t="str">
        <f t="shared" si="26"/>
        <v/>
      </c>
      <c r="R375" s="51" t="str">
        <f t="shared" si="27"/>
        <v/>
      </c>
      <c r="S375" s="51" t="str">
        <f t="shared" si="28"/>
        <v/>
      </c>
      <c r="T375" s="51" t="str">
        <f t="shared" si="29"/>
        <v/>
      </c>
      <c r="U375" s="42" t="str">
        <f t="shared" si="32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30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31"/>
        <v/>
      </c>
      <c r="M376" s="42" t="str">
        <f t="shared" si="24"/>
        <v/>
      </c>
      <c r="N376" s="12"/>
      <c r="O376" s="23">
        <v>49369</v>
      </c>
      <c r="P376" s="51" t="str">
        <f t="shared" si="25"/>
        <v/>
      </c>
      <c r="Q376" s="51" t="str">
        <f t="shared" si="26"/>
        <v/>
      </c>
      <c r="R376" s="51" t="str">
        <f t="shared" si="27"/>
        <v/>
      </c>
      <c r="S376" s="51" t="str">
        <f t="shared" si="28"/>
        <v/>
      </c>
      <c r="T376" s="51" t="str">
        <f t="shared" si="29"/>
        <v/>
      </c>
      <c r="U376" s="42" t="str">
        <f t="shared" si="32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30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31"/>
        <v/>
      </c>
      <c r="M377" s="42" t="str">
        <f t="shared" si="24"/>
        <v/>
      </c>
      <c r="N377" s="12"/>
      <c r="O377" s="23">
        <v>49400</v>
      </c>
      <c r="P377" s="51" t="str">
        <f t="shared" si="25"/>
        <v/>
      </c>
      <c r="Q377" s="51" t="str">
        <f t="shared" si="26"/>
        <v/>
      </c>
      <c r="R377" s="51" t="str">
        <f t="shared" si="27"/>
        <v/>
      </c>
      <c r="S377" s="51" t="str">
        <f t="shared" si="28"/>
        <v/>
      </c>
      <c r="T377" s="51" t="str">
        <f t="shared" si="29"/>
        <v/>
      </c>
      <c r="U377" s="42" t="str">
        <f t="shared" si="32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30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31"/>
        <v/>
      </c>
      <c r="M378" s="42" t="str">
        <f t="shared" si="24"/>
        <v/>
      </c>
      <c r="N378" s="12"/>
      <c r="O378" s="23">
        <v>49430</v>
      </c>
      <c r="P378" s="51" t="str">
        <f t="shared" si="25"/>
        <v/>
      </c>
      <c r="Q378" s="51" t="str">
        <f t="shared" si="26"/>
        <v/>
      </c>
      <c r="R378" s="51" t="str">
        <f t="shared" si="27"/>
        <v/>
      </c>
      <c r="S378" s="51" t="str">
        <f t="shared" si="28"/>
        <v/>
      </c>
      <c r="T378" s="51" t="str">
        <f t="shared" si="29"/>
        <v/>
      </c>
      <c r="U378" s="42" t="str">
        <f t="shared" si="32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30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31"/>
        <v/>
      </c>
      <c r="M379" s="42" t="str">
        <f t="shared" si="24"/>
        <v/>
      </c>
      <c r="N379" s="12"/>
      <c r="O379" s="23">
        <v>49461</v>
      </c>
      <c r="P379" s="51" t="str">
        <f t="shared" si="25"/>
        <v/>
      </c>
      <c r="Q379" s="51" t="str">
        <f t="shared" si="26"/>
        <v/>
      </c>
      <c r="R379" s="51" t="str">
        <f t="shared" si="27"/>
        <v/>
      </c>
      <c r="S379" s="51" t="str">
        <f t="shared" si="28"/>
        <v/>
      </c>
      <c r="T379" s="51" t="str">
        <f t="shared" si="29"/>
        <v/>
      </c>
      <c r="U379" s="42" t="str">
        <f t="shared" si="32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30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31"/>
        <v/>
      </c>
      <c r="M380" s="42" t="str">
        <f t="shared" si="24"/>
        <v/>
      </c>
      <c r="N380" s="12"/>
      <c r="O380" s="23">
        <v>49491</v>
      </c>
      <c r="P380" s="51" t="str">
        <f t="shared" si="25"/>
        <v/>
      </c>
      <c r="Q380" s="51" t="str">
        <f t="shared" si="26"/>
        <v/>
      </c>
      <c r="R380" s="51" t="str">
        <f t="shared" si="27"/>
        <v/>
      </c>
      <c r="S380" s="51" t="str">
        <f t="shared" si="28"/>
        <v/>
      </c>
      <c r="T380" s="51" t="str">
        <f t="shared" si="29"/>
        <v/>
      </c>
      <c r="U380" s="42" t="str">
        <f t="shared" si="32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30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31"/>
        <v/>
      </c>
      <c r="M381" s="42" t="str">
        <f t="shared" si="24"/>
        <v/>
      </c>
      <c r="N381" s="12"/>
      <c r="O381" s="23">
        <v>49522</v>
      </c>
      <c r="P381" s="51" t="str">
        <f t="shared" si="25"/>
        <v/>
      </c>
      <c r="Q381" s="51" t="str">
        <f t="shared" si="26"/>
        <v/>
      </c>
      <c r="R381" s="51" t="str">
        <f t="shared" si="27"/>
        <v/>
      </c>
      <c r="S381" s="51" t="str">
        <f t="shared" si="28"/>
        <v/>
      </c>
      <c r="T381" s="51" t="str">
        <f t="shared" si="29"/>
        <v/>
      </c>
      <c r="U381" s="42" t="str">
        <f t="shared" si="32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30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31"/>
        <v/>
      </c>
      <c r="M382" s="42" t="str">
        <f t="shared" si="24"/>
        <v/>
      </c>
      <c r="N382" s="12"/>
      <c r="O382" s="23">
        <v>49553</v>
      </c>
      <c r="P382" s="51" t="str">
        <f t="shared" si="25"/>
        <v/>
      </c>
      <c r="Q382" s="51" t="str">
        <f t="shared" si="26"/>
        <v/>
      </c>
      <c r="R382" s="51" t="str">
        <f t="shared" si="27"/>
        <v/>
      </c>
      <c r="S382" s="51" t="str">
        <f t="shared" si="28"/>
        <v/>
      </c>
      <c r="T382" s="51" t="str">
        <f t="shared" si="29"/>
        <v/>
      </c>
      <c r="U382" s="42" t="str">
        <f t="shared" si="32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30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31"/>
        <v/>
      </c>
      <c r="M383" s="42" t="str">
        <f t="shared" si="24"/>
        <v/>
      </c>
      <c r="N383" s="12"/>
      <c r="O383" s="23">
        <v>49583</v>
      </c>
      <c r="P383" s="51" t="str">
        <f t="shared" si="25"/>
        <v/>
      </c>
      <c r="Q383" s="51" t="str">
        <f t="shared" si="26"/>
        <v/>
      </c>
      <c r="R383" s="51" t="str">
        <f t="shared" si="27"/>
        <v/>
      </c>
      <c r="S383" s="51" t="str">
        <f t="shared" si="28"/>
        <v/>
      </c>
      <c r="T383" s="51" t="str">
        <f t="shared" si="29"/>
        <v/>
      </c>
      <c r="U383" s="42" t="str">
        <f t="shared" si="32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30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31"/>
        <v/>
      </c>
      <c r="M384" s="42" t="str">
        <f t="shared" si="24"/>
        <v/>
      </c>
      <c r="N384" s="12"/>
      <c r="O384" s="23">
        <v>49614</v>
      </c>
      <c r="P384" s="51" t="str">
        <f t="shared" si="25"/>
        <v/>
      </c>
      <c r="Q384" s="51" t="str">
        <f t="shared" si="26"/>
        <v/>
      </c>
      <c r="R384" s="51" t="str">
        <f t="shared" si="27"/>
        <v/>
      </c>
      <c r="S384" s="51" t="str">
        <f t="shared" si="28"/>
        <v/>
      </c>
      <c r="T384" s="51" t="str">
        <f t="shared" si="29"/>
        <v/>
      </c>
      <c r="U384" s="42" t="str">
        <f t="shared" si="32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30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31"/>
        <v/>
      </c>
      <c r="M385" s="42" t="str">
        <f t="shared" si="24"/>
        <v/>
      </c>
      <c r="N385" s="12"/>
      <c r="O385" s="23">
        <v>49644</v>
      </c>
      <c r="P385" s="51" t="str">
        <f t="shared" si="25"/>
        <v/>
      </c>
      <c r="Q385" s="51" t="str">
        <f t="shared" si="26"/>
        <v/>
      </c>
      <c r="R385" s="51" t="str">
        <f t="shared" si="27"/>
        <v/>
      </c>
      <c r="S385" s="51" t="str">
        <f t="shared" si="28"/>
        <v/>
      </c>
      <c r="T385" s="51" t="str">
        <f t="shared" si="29"/>
        <v/>
      </c>
      <c r="U385" s="42" t="str">
        <f t="shared" si="32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30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31"/>
        <v/>
      </c>
      <c r="M386" s="42" t="str">
        <f t="shared" si="24"/>
        <v/>
      </c>
      <c r="N386" s="12"/>
      <c r="O386" s="23">
        <v>49675</v>
      </c>
      <c r="P386" s="51" t="str">
        <f t="shared" si="25"/>
        <v/>
      </c>
      <c r="Q386" s="51" t="str">
        <f t="shared" si="26"/>
        <v/>
      </c>
      <c r="R386" s="51" t="str">
        <f t="shared" si="27"/>
        <v/>
      </c>
      <c r="S386" s="51" t="str">
        <f t="shared" si="28"/>
        <v/>
      </c>
      <c r="T386" s="51" t="str">
        <f t="shared" si="29"/>
        <v/>
      </c>
      <c r="U386" s="42" t="str">
        <f t="shared" si="32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30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31"/>
        <v/>
      </c>
      <c r="M387" s="42" t="str">
        <f t="shared" si="24"/>
        <v/>
      </c>
      <c r="N387" s="12"/>
      <c r="O387" s="23">
        <v>49706</v>
      </c>
      <c r="P387" s="51" t="str">
        <f t="shared" si="25"/>
        <v/>
      </c>
      <c r="Q387" s="51" t="str">
        <f t="shared" si="26"/>
        <v/>
      </c>
      <c r="R387" s="51" t="str">
        <f t="shared" si="27"/>
        <v/>
      </c>
      <c r="S387" s="51" t="str">
        <f t="shared" si="28"/>
        <v/>
      </c>
      <c r="T387" s="51" t="str">
        <f t="shared" si="29"/>
        <v/>
      </c>
      <c r="U387" s="42" t="str">
        <f t="shared" si="32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30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31"/>
        <v/>
      </c>
      <c r="M388" s="42" t="str">
        <f t="shared" si="24"/>
        <v/>
      </c>
      <c r="N388" s="12"/>
      <c r="O388" s="23">
        <v>49735</v>
      </c>
      <c r="P388" s="51" t="str">
        <f t="shared" si="25"/>
        <v/>
      </c>
      <c r="Q388" s="51" t="str">
        <f t="shared" si="26"/>
        <v/>
      </c>
      <c r="R388" s="51" t="str">
        <f t="shared" si="27"/>
        <v/>
      </c>
      <c r="S388" s="51" t="str">
        <f t="shared" si="28"/>
        <v/>
      </c>
      <c r="T388" s="51" t="str">
        <f t="shared" si="29"/>
        <v/>
      </c>
      <c r="U388" s="42" t="str">
        <f t="shared" si="32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30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31"/>
        <v/>
      </c>
      <c r="M389" s="42" t="str">
        <f t="shared" si="24"/>
        <v/>
      </c>
      <c r="N389" s="12"/>
      <c r="O389" s="23">
        <v>49766</v>
      </c>
      <c r="P389" s="51" t="str">
        <f t="shared" si="25"/>
        <v/>
      </c>
      <c r="Q389" s="51" t="str">
        <f t="shared" si="26"/>
        <v/>
      </c>
      <c r="R389" s="51" t="str">
        <f t="shared" si="27"/>
        <v/>
      </c>
      <c r="S389" s="51" t="str">
        <f t="shared" si="28"/>
        <v/>
      </c>
      <c r="T389" s="51" t="str">
        <f t="shared" si="29"/>
        <v/>
      </c>
      <c r="U389" s="42" t="str">
        <f t="shared" si="32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30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31"/>
        <v/>
      </c>
      <c r="M390" s="42" t="str">
        <f t="shared" si="24"/>
        <v/>
      </c>
      <c r="N390" s="12"/>
      <c r="O390" s="23">
        <v>49796</v>
      </c>
      <c r="P390" s="51" t="str">
        <f t="shared" si="25"/>
        <v/>
      </c>
      <c r="Q390" s="51" t="str">
        <f t="shared" si="26"/>
        <v/>
      </c>
      <c r="R390" s="51" t="str">
        <f t="shared" si="27"/>
        <v/>
      </c>
      <c r="S390" s="51" t="str">
        <f t="shared" si="28"/>
        <v/>
      </c>
      <c r="T390" s="51" t="str">
        <f t="shared" si="29"/>
        <v/>
      </c>
      <c r="U390" s="42" t="str">
        <f t="shared" si="32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30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31"/>
        <v/>
      </c>
      <c r="M391" s="42" t="str">
        <f t="shared" si="24"/>
        <v/>
      </c>
      <c r="N391" s="12"/>
      <c r="O391" s="23">
        <v>49827</v>
      </c>
      <c r="P391" s="51" t="str">
        <f t="shared" si="25"/>
        <v/>
      </c>
      <c r="Q391" s="51" t="str">
        <f t="shared" si="26"/>
        <v/>
      </c>
      <c r="R391" s="51" t="str">
        <f t="shared" si="27"/>
        <v/>
      </c>
      <c r="S391" s="51" t="str">
        <f t="shared" si="28"/>
        <v/>
      </c>
      <c r="T391" s="51" t="str">
        <f t="shared" si="29"/>
        <v/>
      </c>
      <c r="U391" s="42" t="str">
        <f t="shared" si="32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30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31"/>
        <v/>
      </c>
      <c r="M392" s="42" t="str">
        <f t="shared" si="24"/>
        <v/>
      </c>
      <c r="N392" s="12"/>
      <c r="O392" s="23">
        <v>49857</v>
      </c>
      <c r="P392" s="51" t="str">
        <f t="shared" si="25"/>
        <v/>
      </c>
      <c r="Q392" s="51" t="str">
        <f t="shared" si="26"/>
        <v/>
      </c>
      <c r="R392" s="51" t="str">
        <f t="shared" si="27"/>
        <v/>
      </c>
      <c r="S392" s="51" t="str">
        <f t="shared" si="28"/>
        <v/>
      </c>
      <c r="T392" s="51" t="str">
        <f t="shared" si="29"/>
        <v/>
      </c>
      <c r="U392" s="42" t="str">
        <f t="shared" si="32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30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31"/>
        <v/>
      </c>
      <c r="M393" s="42" t="str">
        <f t="shared" si="24"/>
        <v/>
      </c>
      <c r="N393" s="12"/>
      <c r="O393" s="23">
        <v>49888</v>
      </c>
      <c r="P393" s="51" t="str">
        <f t="shared" si="25"/>
        <v/>
      </c>
      <c r="Q393" s="51" t="str">
        <f t="shared" si="26"/>
        <v/>
      </c>
      <c r="R393" s="51" t="str">
        <f t="shared" si="27"/>
        <v/>
      </c>
      <c r="S393" s="51" t="str">
        <f t="shared" si="28"/>
        <v/>
      </c>
      <c r="T393" s="51" t="str">
        <f t="shared" si="29"/>
        <v/>
      </c>
      <c r="U393" s="42" t="str">
        <f t="shared" si="32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30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31"/>
        <v/>
      </c>
      <c r="M394" s="42" t="str">
        <f t="shared" si="24"/>
        <v/>
      </c>
      <c r="N394" s="12"/>
      <c r="O394" s="23">
        <v>49919</v>
      </c>
      <c r="P394" s="51" t="str">
        <f t="shared" si="25"/>
        <v/>
      </c>
      <c r="Q394" s="51" t="str">
        <f t="shared" si="26"/>
        <v/>
      </c>
      <c r="R394" s="51" t="str">
        <f t="shared" si="27"/>
        <v/>
      </c>
      <c r="S394" s="51" t="str">
        <f t="shared" si="28"/>
        <v/>
      </c>
      <c r="T394" s="51" t="str">
        <f t="shared" si="29"/>
        <v/>
      </c>
      <c r="U394" s="42" t="str">
        <f t="shared" si="32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30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31"/>
        <v/>
      </c>
      <c r="M395" s="42" t="str">
        <f t="shared" si="24"/>
        <v/>
      </c>
      <c r="N395" s="12"/>
      <c r="O395" s="23">
        <v>49949</v>
      </c>
      <c r="P395" s="51" t="str">
        <f t="shared" si="25"/>
        <v/>
      </c>
      <c r="Q395" s="51" t="str">
        <f t="shared" si="26"/>
        <v/>
      </c>
      <c r="R395" s="51" t="str">
        <f t="shared" si="27"/>
        <v/>
      </c>
      <c r="S395" s="51" t="str">
        <f t="shared" si="28"/>
        <v/>
      </c>
      <c r="T395" s="51" t="str">
        <f t="shared" si="29"/>
        <v/>
      </c>
      <c r="U395" s="42" t="str">
        <f t="shared" si="32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30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31"/>
        <v/>
      </c>
      <c r="M396" s="42" t="str">
        <f t="shared" si="24"/>
        <v/>
      </c>
      <c r="N396" s="12"/>
      <c r="O396" s="23">
        <v>49980</v>
      </c>
      <c r="P396" s="51" t="str">
        <f t="shared" si="25"/>
        <v/>
      </c>
      <c r="Q396" s="51" t="str">
        <f t="shared" si="26"/>
        <v/>
      </c>
      <c r="R396" s="51" t="str">
        <f t="shared" si="27"/>
        <v/>
      </c>
      <c r="S396" s="51" t="str">
        <f t="shared" si="28"/>
        <v/>
      </c>
      <c r="T396" s="51" t="str">
        <f t="shared" si="29"/>
        <v/>
      </c>
      <c r="U396" s="42" t="str">
        <f t="shared" si="32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30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31"/>
        <v/>
      </c>
      <c r="M397" s="42" t="str">
        <f t="shared" si="24"/>
        <v/>
      </c>
      <c r="N397" s="12"/>
      <c r="O397" s="23">
        <v>50010</v>
      </c>
      <c r="P397" s="51" t="str">
        <f t="shared" si="25"/>
        <v/>
      </c>
      <c r="Q397" s="51" t="str">
        <f t="shared" si="26"/>
        <v/>
      </c>
      <c r="R397" s="51" t="str">
        <f t="shared" si="27"/>
        <v/>
      </c>
      <c r="S397" s="51" t="str">
        <f t="shared" si="28"/>
        <v/>
      </c>
      <c r="T397" s="51" t="str">
        <f t="shared" si="29"/>
        <v/>
      </c>
      <c r="U397" s="42" t="str">
        <f t="shared" si="32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30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31"/>
        <v/>
      </c>
      <c r="M398" s="42" t="str">
        <f t="shared" si="24"/>
        <v/>
      </c>
      <c r="N398" s="12"/>
      <c r="O398" s="23">
        <v>50041</v>
      </c>
      <c r="P398" s="51" t="str">
        <f t="shared" si="25"/>
        <v/>
      </c>
      <c r="Q398" s="51" t="str">
        <f t="shared" si="26"/>
        <v/>
      </c>
      <c r="R398" s="51" t="str">
        <f t="shared" si="27"/>
        <v/>
      </c>
      <c r="S398" s="51" t="str">
        <f t="shared" si="28"/>
        <v/>
      </c>
      <c r="T398" s="51" t="str">
        <f t="shared" si="29"/>
        <v/>
      </c>
      <c r="U398" s="42" t="str">
        <f t="shared" si="32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30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31"/>
        <v/>
      </c>
      <c r="M399" s="42" t="str">
        <f t="shared" si="24"/>
        <v/>
      </c>
      <c r="N399" s="12"/>
      <c r="O399" s="23">
        <v>50072</v>
      </c>
      <c r="P399" s="51" t="str">
        <f t="shared" si="25"/>
        <v/>
      </c>
      <c r="Q399" s="51" t="str">
        <f t="shared" si="26"/>
        <v/>
      </c>
      <c r="R399" s="51" t="str">
        <f t="shared" si="27"/>
        <v/>
      </c>
      <c r="S399" s="51" t="str">
        <f t="shared" si="28"/>
        <v/>
      </c>
      <c r="T399" s="51" t="str">
        <f t="shared" si="29"/>
        <v/>
      </c>
      <c r="U399" s="42" t="str">
        <f t="shared" si="32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30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31"/>
        <v/>
      </c>
      <c r="M400" s="42" t="str">
        <f t="shared" si="24"/>
        <v/>
      </c>
      <c r="N400" s="12"/>
      <c r="O400" s="23">
        <v>50100</v>
      </c>
      <c r="P400" s="51" t="str">
        <f t="shared" si="25"/>
        <v/>
      </c>
      <c r="Q400" s="51" t="str">
        <f t="shared" si="26"/>
        <v/>
      </c>
      <c r="R400" s="51" t="str">
        <f t="shared" si="27"/>
        <v/>
      </c>
      <c r="S400" s="51" t="str">
        <f t="shared" si="28"/>
        <v/>
      </c>
      <c r="T400" s="51" t="str">
        <f t="shared" si="29"/>
        <v/>
      </c>
      <c r="U400" s="42" t="str">
        <f t="shared" si="32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30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31"/>
        <v/>
      </c>
      <c r="M401" s="42" t="str">
        <f t="shared" si="24"/>
        <v/>
      </c>
      <c r="N401" s="12"/>
      <c r="O401" s="23">
        <v>50131</v>
      </c>
      <c r="P401" s="51" t="str">
        <f t="shared" si="25"/>
        <v/>
      </c>
      <c r="Q401" s="51" t="str">
        <f t="shared" si="26"/>
        <v/>
      </c>
      <c r="R401" s="51" t="str">
        <f t="shared" si="27"/>
        <v/>
      </c>
      <c r="S401" s="51" t="str">
        <f t="shared" si="28"/>
        <v/>
      </c>
      <c r="T401" s="51" t="str">
        <f t="shared" si="29"/>
        <v/>
      </c>
      <c r="U401" s="42" t="str">
        <f t="shared" si="32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30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31"/>
        <v/>
      </c>
      <c r="M402" s="42" t="str">
        <f t="shared" si="24"/>
        <v/>
      </c>
      <c r="N402" s="12"/>
      <c r="O402" s="23">
        <v>50161</v>
      </c>
      <c r="P402" s="51" t="str">
        <f t="shared" si="25"/>
        <v/>
      </c>
      <c r="Q402" s="51" t="str">
        <f t="shared" si="26"/>
        <v/>
      </c>
      <c r="R402" s="51" t="str">
        <f t="shared" si="27"/>
        <v/>
      </c>
      <c r="S402" s="51" t="str">
        <f t="shared" si="28"/>
        <v/>
      </c>
      <c r="T402" s="51" t="str">
        <f t="shared" si="29"/>
        <v/>
      </c>
      <c r="U402" s="42" t="str">
        <f t="shared" si="32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30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31"/>
        <v/>
      </c>
      <c r="M403" s="42" t="str">
        <f t="shared" si="24"/>
        <v/>
      </c>
      <c r="N403" s="12"/>
      <c r="O403" s="23">
        <v>50192</v>
      </c>
      <c r="P403" s="51" t="str">
        <f t="shared" si="25"/>
        <v/>
      </c>
      <c r="Q403" s="51" t="str">
        <f t="shared" si="26"/>
        <v/>
      </c>
      <c r="R403" s="51" t="str">
        <f t="shared" si="27"/>
        <v/>
      </c>
      <c r="S403" s="51" t="str">
        <f t="shared" si="28"/>
        <v/>
      </c>
      <c r="T403" s="51" t="str">
        <f t="shared" si="29"/>
        <v/>
      </c>
      <c r="U403" s="42" t="str">
        <f t="shared" si="32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30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31"/>
        <v/>
      </c>
      <c r="M404" s="42" t="str">
        <f t="shared" si="24"/>
        <v/>
      </c>
      <c r="N404" s="12"/>
      <c r="O404" s="23">
        <v>50222</v>
      </c>
      <c r="P404" s="51" t="str">
        <f t="shared" si="25"/>
        <v/>
      </c>
      <c r="Q404" s="51" t="str">
        <f t="shared" si="26"/>
        <v/>
      </c>
      <c r="R404" s="51" t="str">
        <f t="shared" si="27"/>
        <v/>
      </c>
      <c r="S404" s="51" t="str">
        <f t="shared" si="28"/>
        <v/>
      </c>
      <c r="T404" s="51" t="str">
        <f t="shared" si="29"/>
        <v/>
      </c>
      <c r="U404" s="42" t="str">
        <f t="shared" si="32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30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31"/>
        <v/>
      </c>
      <c r="M405" s="42" t="str">
        <f t="shared" si="24"/>
        <v/>
      </c>
      <c r="N405" s="12"/>
      <c r="O405" s="23">
        <v>50253</v>
      </c>
      <c r="P405" s="51" t="str">
        <f t="shared" si="25"/>
        <v/>
      </c>
      <c r="Q405" s="51" t="str">
        <f t="shared" si="26"/>
        <v/>
      </c>
      <c r="R405" s="51" t="str">
        <f t="shared" si="27"/>
        <v/>
      </c>
      <c r="S405" s="51" t="str">
        <f t="shared" si="28"/>
        <v/>
      </c>
      <c r="T405" s="51" t="str">
        <f t="shared" si="29"/>
        <v/>
      </c>
      <c r="U405" s="42" t="str">
        <f t="shared" si="32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30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31"/>
        <v/>
      </c>
      <c r="M406" s="42" t="str">
        <f t="shared" ref="M406:M445" si="33">IF(L406="","",L406/L405-1)</f>
        <v/>
      </c>
      <c r="N406" s="12"/>
      <c r="O406" s="23">
        <v>50284</v>
      </c>
      <c r="P406" s="51" t="str">
        <f t="shared" si="25"/>
        <v/>
      </c>
      <c r="Q406" s="51" t="str">
        <f t="shared" si="26"/>
        <v/>
      </c>
      <c r="R406" s="51" t="str">
        <f t="shared" si="27"/>
        <v/>
      </c>
      <c r="S406" s="51" t="str">
        <f t="shared" si="28"/>
        <v/>
      </c>
      <c r="T406" s="51" t="str">
        <f t="shared" si="29"/>
        <v/>
      </c>
      <c r="U406" s="42" t="str">
        <f t="shared" si="32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30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31"/>
        <v/>
      </c>
      <c r="M407" s="42" t="str">
        <f t="shared" si="33"/>
        <v/>
      </c>
      <c r="N407" s="12"/>
      <c r="O407" s="23">
        <v>50314</v>
      </c>
      <c r="P407" s="51" t="str">
        <f t="shared" si="25"/>
        <v/>
      </c>
      <c r="Q407" s="51" t="str">
        <f t="shared" si="26"/>
        <v/>
      </c>
      <c r="R407" s="51" t="str">
        <f t="shared" si="27"/>
        <v/>
      </c>
      <c r="S407" s="51" t="str">
        <f t="shared" si="28"/>
        <v/>
      </c>
      <c r="T407" s="51" t="str">
        <f t="shared" si="29"/>
        <v/>
      </c>
      <c r="U407" s="42" t="str">
        <f t="shared" si="32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30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31"/>
        <v/>
      </c>
      <c r="M408" s="42" t="str">
        <f t="shared" si="33"/>
        <v/>
      </c>
      <c r="N408" s="12"/>
      <c r="O408" s="23">
        <v>50345</v>
      </c>
      <c r="P408" s="51" t="str">
        <f t="shared" si="25"/>
        <v/>
      </c>
      <c r="Q408" s="51" t="str">
        <f t="shared" si="26"/>
        <v/>
      </c>
      <c r="R408" s="51" t="str">
        <f t="shared" si="27"/>
        <v/>
      </c>
      <c r="S408" s="51" t="str">
        <f t="shared" si="28"/>
        <v/>
      </c>
      <c r="T408" s="51" t="str">
        <f t="shared" si="29"/>
        <v/>
      </c>
      <c r="U408" s="42" t="str">
        <f t="shared" si="32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30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31"/>
        <v/>
      </c>
      <c r="M409" s="42" t="str">
        <f t="shared" si="33"/>
        <v/>
      </c>
      <c r="N409" s="12"/>
      <c r="O409" s="23">
        <v>50375</v>
      </c>
      <c r="P409" s="51" t="str">
        <f t="shared" si="25"/>
        <v/>
      </c>
      <c r="Q409" s="51" t="str">
        <f t="shared" si="26"/>
        <v/>
      </c>
      <c r="R409" s="51" t="str">
        <f t="shared" si="27"/>
        <v/>
      </c>
      <c r="S409" s="51" t="str">
        <f t="shared" si="28"/>
        <v/>
      </c>
      <c r="T409" s="51" t="str">
        <f t="shared" si="29"/>
        <v/>
      </c>
      <c r="U409" s="42" t="str">
        <f t="shared" si="32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30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31"/>
        <v/>
      </c>
      <c r="M410" s="42" t="str">
        <f t="shared" si="33"/>
        <v/>
      </c>
      <c r="N410" s="12"/>
      <c r="O410" s="23">
        <v>50406</v>
      </c>
      <c r="P410" s="51" t="str">
        <f t="shared" si="25"/>
        <v/>
      </c>
      <c r="Q410" s="51" t="str">
        <f t="shared" si="26"/>
        <v/>
      </c>
      <c r="R410" s="51" t="str">
        <f t="shared" si="27"/>
        <v/>
      </c>
      <c r="S410" s="51" t="str">
        <f t="shared" si="28"/>
        <v/>
      </c>
      <c r="T410" s="51" t="str">
        <f t="shared" si="29"/>
        <v/>
      </c>
      <c r="U410" s="42" t="str">
        <f t="shared" si="32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30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31"/>
        <v/>
      </c>
      <c r="M411" s="42" t="str">
        <f t="shared" si="33"/>
        <v/>
      </c>
      <c r="N411" s="12"/>
      <c r="O411" s="23">
        <v>50437</v>
      </c>
      <c r="P411" s="51" t="str">
        <f t="shared" si="25"/>
        <v/>
      </c>
      <c r="Q411" s="51" t="str">
        <f t="shared" si="26"/>
        <v/>
      </c>
      <c r="R411" s="51" t="str">
        <f t="shared" si="27"/>
        <v/>
      </c>
      <c r="S411" s="51" t="str">
        <f t="shared" si="28"/>
        <v/>
      </c>
      <c r="T411" s="51" t="str">
        <f t="shared" si="29"/>
        <v/>
      </c>
      <c r="U411" s="42" t="str">
        <f t="shared" si="32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30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31"/>
        <v/>
      </c>
      <c r="M412" s="42" t="str">
        <f t="shared" si="33"/>
        <v/>
      </c>
      <c r="N412" s="12"/>
      <c r="O412" s="23">
        <v>50465</v>
      </c>
      <c r="P412" s="51" t="str">
        <f t="shared" si="25"/>
        <v/>
      </c>
      <c r="Q412" s="51" t="str">
        <f t="shared" si="26"/>
        <v/>
      </c>
      <c r="R412" s="51" t="str">
        <f t="shared" si="27"/>
        <v/>
      </c>
      <c r="S412" s="51" t="str">
        <f t="shared" si="28"/>
        <v/>
      </c>
      <c r="T412" s="51" t="str">
        <f t="shared" si="29"/>
        <v/>
      </c>
      <c r="U412" s="42" t="str">
        <f t="shared" si="32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30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31"/>
        <v/>
      </c>
      <c r="M413" s="42" t="str">
        <f t="shared" si="33"/>
        <v/>
      </c>
      <c r="N413" s="12"/>
      <c r="O413" s="23">
        <v>50496</v>
      </c>
      <c r="P413" s="51" t="str">
        <f t="shared" si="25"/>
        <v/>
      </c>
      <c r="Q413" s="51" t="str">
        <f t="shared" si="26"/>
        <v/>
      </c>
      <c r="R413" s="51" t="str">
        <f t="shared" si="27"/>
        <v/>
      </c>
      <c r="S413" s="51" t="str">
        <f t="shared" si="28"/>
        <v/>
      </c>
      <c r="T413" s="51" t="str">
        <f t="shared" si="29"/>
        <v/>
      </c>
      <c r="U413" s="42" t="str">
        <f t="shared" si="32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30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31"/>
        <v/>
      </c>
      <c r="M414" s="42" t="str">
        <f t="shared" si="33"/>
        <v/>
      </c>
      <c r="N414" s="12"/>
      <c r="O414" s="23">
        <v>50526</v>
      </c>
      <c r="P414" s="51" t="str">
        <f t="shared" si="25"/>
        <v/>
      </c>
      <c r="Q414" s="51" t="str">
        <f t="shared" si="26"/>
        <v/>
      </c>
      <c r="R414" s="51" t="str">
        <f t="shared" si="27"/>
        <v/>
      </c>
      <c r="S414" s="51" t="str">
        <f t="shared" si="28"/>
        <v/>
      </c>
      <c r="T414" s="51" t="str">
        <f t="shared" si="29"/>
        <v/>
      </c>
      <c r="U414" s="42" t="str">
        <f t="shared" si="32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30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31"/>
        <v/>
      </c>
      <c r="M415" s="42" t="str">
        <f t="shared" si="33"/>
        <v/>
      </c>
      <c r="N415" s="12"/>
      <c r="O415" s="23">
        <v>50557</v>
      </c>
      <c r="P415" s="51" t="str">
        <f t="shared" si="25"/>
        <v/>
      </c>
      <c r="Q415" s="51" t="str">
        <f t="shared" si="26"/>
        <v/>
      </c>
      <c r="R415" s="51" t="str">
        <f t="shared" si="27"/>
        <v/>
      </c>
      <c r="S415" s="51" t="str">
        <f t="shared" si="28"/>
        <v/>
      </c>
      <c r="T415" s="51" t="str">
        <f t="shared" si="29"/>
        <v/>
      </c>
      <c r="U415" s="42" t="str">
        <f t="shared" si="32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30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31"/>
        <v/>
      </c>
      <c r="M416" s="42" t="str">
        <f t="shared" si="33"/>
        <v/>
      </c>
      <c r="N416" s="12"/>
      <c r="O416" s="23">
        <v>50587</v>
      </c>
      <c r="P416" s="51" t="str">
        <f t="shared" si="25"/>
        <v/>
      </c>
      <c r="Q416" s="51" t="str">
        <f t="shared" si="26"/>
        <v/>
      </c>
      <c r="R416" s="51" t="str">
        <f t="shared" si="27"/>
        <v/>
      </c>
      <c r="S416" s="51" t="str">
        <f t="shared" si="28"/>
        <v/>
      </c>
      <c r="T416" s="51" t="str">
        <f t="shared" si="29"/>
        <v/>
      </c>
      <c r="U416" s="42" t="str">
        <f t="shared" si="32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30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31"/>
        <v/>
      </c>
      <c r="M417" s="42" t="str">
        <f t="shared" si="33"/>
        <v/>
      </c>
      <c r="N417" s="12"/>
      <c r="O417" s="23">
        <v>50618</v>
      </c>
      <c r="P417" s="51" t="str">
        <f t="shared" si="25"/>
        <v/>
      </c>
      <c r="Q417" s="51" t="str">
        <f t="shared" si="26"/>
        <v/>
      </c>
      <c r="R417" s="51" t="str">
        <f t="shared" si="27"/>
        <v/>
      </c>
      <c r="S417" s="51" t="str">
        <f t="shared" si="28"/>
        <v/>
      </c>
      <c r="T417" s="51" t="str">
        <f t="shared" si="29"/>
        <v/>
      </c>
      <c r="U417" s="42" t="str">
        <f t="shared" si="32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30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31"/>
        <v/>
      </c>
      <c r="M418" s="42" t="str">
        <f t="shared" si="33"/>
        <v/>
      </c>
      <c r="N418" s="12"/>
      <c r="O418" s="23">
        <v>50649</v>
      </c>
      <c r="P418" s="51" t="str">
        <f t="shared" si="25"/>
        <v/>
      </c>
      <c r="Q418" s="51" t="str">
        <f t="shared" si="26"/>
        <v/>
      </c>
      <c r="R418" s="51" t="str">
        <f t="shared" si="27"/>
        <v/>
      </c>
      <c r="S418" s="51" t="str">
        <f t="shared" si="28"/>
        <v/>
      </c>
      <c r="T418" s="51" t="str">
        <f t="shared" si="29"/>
        <v/>
      </c>
      <c r="U418" s="42" t="str">
        <f t="shared" si="32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30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31"/>
        <v/>
      </c>
      <c r="M419" s="42" t="str">
        <f t="shared" si="33"/>
        <v/>
      </c>
      <c r="N419" s="12"/>
      <c r="O419" s="23">
        <v>50679</v>
      </c>
      <c r="P419" s="51" t="str">
        <f t="shared" si="25"/>
        <v/>
      </c>
      <c r="Q419" s="51" t="str">
        <f t="shared" si="26"/>
        <v/>
      </c>
      <c r="R419" s="51" t="str">
        <f t="shared" si="27"/>
        <v/>
      </c>
      <c r="S419" s="51" t="str">
        <f t="shared" si="28"/>
        <v/>
      </c>
      <c r="T419" s="51" t="str">
        <f t="shared" si="29"/>
        <v/>
      </c>
      <c r="U419" s="42" t="str">
        <f t="shared" si="32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30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31"/>
        <v/>
      </c>
      <c r="M420" s="42" t="str">
        <f t="shared" si="33"/>
        <v/>
      </c>
      <c r="N420" s="12"/>
      <c r="O420" s="23">
        <v>50710</v>
      </c>
      <c r="P420" s="51" t="str">
        <f t="shared" si="25"/>
        <v/>
      </c>
      <c r="Q420" s="51" t="str">
        <f t="shared" si="26"/>
        <v/>
      </c>
      <c r="R420" s="51" t="str">
        <f t="shared" si="27"/>
        <v/>
      </c>
      <c r="S420" s="51" t="str">
        <f t="shared" si="28"/>
        <v/>
      </c>
      <c r="T420" s="51" t="str">
        <f t="shared" si="29"/>
        <v/>
      </c>
      <c r="U420" s="42" t="str">
        <f t="shared" si="32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30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31"/>
        <v/>
      </c>
      <c r="M421" s="42" t="str">
        <f t="shared" si="33"/>
        <v/>
      </c>
      <c r="N421" s="12"/>
      <c r="O421" s="23">
        <v>50740</v>
      </c>
      <c r="P421" s="51" t="str">
        <f t="shared" si="25"/>
        <v/>
      </c>
      <c r="Q421" s="51" t="str">
        <f t="shared" si="26"/>
        <v/>
      </c>
      <c r="R421" s="51" t="str">
        <f t="shared" si="27"/>
        <v/>
      </c>
      <c r="S421" s="51" t="str">
        <f t="shared" si="28"/>
        <v/>
      </c>
      <c r="T421" s="51" t="str">
        <f t="shared" si="29"/>
        <v/>
      </c>
      <c r="U421" s="42" t="str">
        <f t="shared" si="32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30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31"/>
        <v/>
      </c>
      <c r="M422" s="42" t="str">
        <f t="shared" si="33"/>
        <v/>
      </c>
      <c r="N422" s="12"/>
      <c r="O422" s="23">
        <v>50771</v>
      </c>
      <c r="P422" s="51" t="str">
        <f t="shared" si="25"/>
        <v/>
      </c>
      <c r="Q422" s="51" t="str">
        <f t="shared" si="26"/>
        <v/>
      </c>
      <c r="R422" s="51" t="str">
        <f t="shared" si="27"/>
        <v/>
      </c>
      <c r="S422" s="51" t="str">
        <f t="shared" si="28"/>
        <v/>
      </c>
      <c r="T422" s="51" t="str">
        <f t="shared" si="29"/>
        <v/>
      </c>
      <c r="U422" s="42" t="str">
        <f t="shared" si="32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30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31"/>
        <v/>
      </c>
      <c r="M423" s="42" t="str">
        <f t="shared" si="33"/>
        <v/>
      </c>
      <c r="N423" s="12"/>
      <c r="O423" s="23">
        <v>50802</v>
      </c>
      <c r="P423" s="51" t="str">
        <f t="shared" si="25"/>
        <v/>
      </c>
      <c r="Q423" s="51" t="str">
        <f t="shared" si="26"/>
        <v/>
      </c>
      <c r="R423" s="51" t="str">
        <f t="shared" si="27"/>
        <v/>
      </c>
      <c r="S423" s="51" t="str">
        <f t="shared" si="28"/>
        <v/>
      </c>
      <c r="T423" s="51" t="str">
        <f t="shared" si="29"/>
        <v/>
      </c>
      <c r="U423" s="42" t="str">
        <f t="shared" si="32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30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31"/>
        <v/>
      </c>
      <c r="M424" s="42" t="str">
        <f t="shared" si="33"/>
        <v/>
      </c>
      <c r="N424" s="12"/>
      <c r="O424" s="23">
        <v>50830</v>
      </c>
      <c r="P424" s="51" t="str">
        <f t="shared" si="25"/>
        <v/>
      </c>
      <c r="Q424" s="51" t="str">
        <f t="shared" si="26"/>
        <v/>
      </c>
      <c r="R424" s="51" t="str">
        <f t="shared" si="27"/>
        <v/>
      </c>
      <c r="S424" s="51" t="str">
        <f t="shared" si="28"/>
        <v/>
      </c>
      <c r="T424" s="51" t="str">
        <f t="shared" si="29"/>
        <v/>
      </c>
      <c r="U424" s="42" t="str">
        <f t="shared" si="32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30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31"/>
        <v/>
      </c>
      <c r="M425" s="42" t="str">
        <f t="shared" si="33"/>
        <v/>
      </c>
      <c r="N425" s="12"/>
      <c r="O425" s="23">
        <v>50861</v>
      </c>
      <c r="P425" s="51" t="str">
        <f t="shared" si="25"/>
        <v/>
      </c>
      <c r="Q425" s="51" t="str">
        <f t="shared" si="26"/>
        <v/>
      </c>
      <c r="R425" s="51" t="str">
        <f t="shared" si="27"/>
        <v/>
      </c>
      <c r="S425" s="51" t="str">
        <f t="shared" si="28"/>
        <v/>
      </c>
      <c r="T425" s="51" t="str">
        <f t="shared" si="29"/>
        <v/>
      </c>
      <c r="U425" s="42" t="str">
        <f t="shared" si="32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30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31"/>
        <v/>
      </c>
      <c r="M426" s="42" t="str">
        <f t="shared" si="33"/>
        <v/>
      </c>
      <c r="N426" s="12"/>
      <c r="O426" s="23">
        <v>50891</v>
      </c>
      <c r="P426" s="51" t="str">
        <f t="shared" si="25"/>
        <v/>
      </c>
      <c r="Q426" s="51" t="str">
        <f t="shared" si="26"/>
        <v/>
      </c>
      <c r="R426" s="51" t="str">
        <f t="shared" si="27"/>
        <v/>
      </c>
      <c r="S426" s="51" t="str">
        <f t="shared" si="28"/>
        <v/>
      </c>
      <c r="T426" s="51" t="str">
        <f t="shared" si="29"/>
        <v/>
      </c>
      <c r="U426" s="42" t="str">
        <f t="shared" si="32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30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31"/>
        <v/>
      </c>
      <c r="M427" s="42" t="str">
        <f t="shared" si="33"/>
        <v/>
      </c>
      <c r="N427" s="12"/>
      <c r="O427" s="23">
        <v>50922</v>
      </c>
      <c r="P427" s="51" t="str">
        <f t="shared" si="25"/>
        <v/>
      </c>
      <c r="Q427" s="51" t="str">
        <f t="shared" si="26"/>
        <v/>
      </c>
      <c r="R427" s="51" t="str">
        <f t="shared" si="27"/>
        <v/>
      </c>
      <c r="S427" s="51" t="str">
        <f t="shared" si="28"/>
        <v/>
      </c>
      <c r="T427" s="51" t="str">
        <f t="shared" si="29"/>
        <v/>
      </c>
      <c r="U427" s="42" t="str">
        <f t="shared" si="32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30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31"/>
        <v/>
      </c>
      <c r="M428" s="42" t="str">
        <f t="shared" si="33"/>
        <v/>
      </c>
      <c r="N428" s="12"/>
      <c r="O428" s="23">
        <v>50952</v>
      </c>
      <c r="P428" s="51" t="str">
        <f t="shared" si="25"/>
        <v/>
      </c>
      <c r="Q428" s="51" t="str">
        <f t="shared" si="26"/>
        <v/>
      </c>
      <c r="R428" s="51" t="str">
        <f t="shared" si="27"/>
        <v/>
      </c>
      <c r="S428" s="51" t="str">
        <f t="shared" si="28"/>
        <v/>
      </c>
      <c r="T428" s="51" t="str">
        <f t="shared" si="29"/>
        <v/>
      </c>
      <c r="U428" s="42" t="str">
        <f t="shared" si="32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30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31"/>
        <v/>
      </c>
      <c r="M429" s="42" t="str">
        <f t="shared" si="33"/>
        <v/>
      </c>
      <c r="N429" s="12"/>
      <c r="O429" s="23">
        <v>50983</v>
      </c>
      <c r="P429" s="51" t="str">
        <f t="shared" si="25"/>
        <v/>
      </c>
      <c r="Q429" s="51" t="str">
        <f t="shared" si="26"/>
        <v/>
      </c>
      <c r="R429" s="51" t="str">
        <f t="shared" si="27"/>
        <v/>
      </c>
      <c r="S429" s="51" t="str">
        <f t="shared" si="28"/>
        <v/>
      </c>
      <c r="T429" s="51" t="str">
        <f t="shared" si="29"/>
        <v/>
      </c>
      <c r="U429" s="42" t="str">
        <f t="shared" si="32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30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31"/>
        <v/>
      </c>
      <c r="M430" s="42" t="str">
        <f t="shared" si="33"/>
        <v/>
      </c>
      <c r="N430" s="12"/>
      <c r="O430" s="23">
        <v>51014</v>
      </c>
      <c r="P430" s="51" t="str">
        <f t="shared" si="25"/>
        <v/>
      </c>
      <c r="Q430" s="51" t="str">
        <f t="shared" si="26"/>
        <v/>
      </c>
      <c r="R430" s="51" t="str">
        <f t="shared" si="27"/>
        <v/>
      </c>
      <c r="S430" s="51" t="str">
        <f t="shared" si="28"/>
        <v/>
      </c>
      <c r="T430" s="51" t="str">
        <f t="shared" si="29"/>
        <v/>
      </c>
      <c r="U430" s="42" t="str">
        <f t="shared" si="32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30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31"/>
        <v/>
      </c>
      <c r="M431" s="42" t="str">
        <f t="shared" si="33"/>
        <v/>
      </c>
      <c r="N431" s="12"/>
      <c r="O431" s="23">
        <v>51044</v>
      </c>
      <c r="P431" s="51" t="str">
        <f t="shared" si="25"/>
        <v/>
      </c>
      <c r="Q431" s="51" t="str">
        <f t="shared" si="26"/>
        <v/>
      </c>
      <c r="R431" s="51" t="str">
        <f t="shared" si="27"/>
        <v/>
      </c>
      <c r="S431" s="51" t="str">
        <f t="shared" si="28"/>
        <v/>
      </c>
      <c r="T431" s="51" t="str">
        <f t="shared" si="29"/>
        <v/>
      </c>
      <c r="U431" s="42" t="str">
        <f t="shared" si="32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30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31"/>
        <v/>
      </c>
      <c r="M432" s="42" t="str">
        <f t="shared" si="33"/>
        <v/>
      </c>
      <c r="N432" s="12"/>
      <c r="O432" s="23">
        <v>51075</v>
      </c>
      <c r="P432" s="51" t="str">
        <f t="shared" si="25"/>
        <v/>
      </c>
      <c r="Q432" s="51" t="str">
        <f t="shared" si="26"/>
        <v/>
      </c>
      <c r="R432" s="51" t="str">
        <f t="shared" si="27"/>
        <v/>
      </c>
      <c r="S432" s="51" t="str">
        <f t="shared" si="28"/>
        <v/>
      </c>
      <c r="T432" s="51" t="str">
        <f t="shared" si="29"/>
        <v/>
      </c>
      <c r="U432" s="42" t="str">
        <f t="shared" si="32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30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31"/>
        <v/>
      </c>
      <c r="M433" s="42" t="str">
        <f t="shared" si="33"/>
        <v/>
      </c>
      <c r="N433" s="12"/>
      <c r="O433" s="23">
        <v>51105</v>
      </c>
      <c r="P433" s="51" t="str">
        <f t="shared" si="25"/>
        <v/>
      </c>
      <c r="Q433" s="51" t="str">
        <f t="shared" si="26"/>
        <v/>
      </c>
      <c r="R433" s="51" t="str">
        <f t="shared" si="27"/>
        <v/>
      </c>
      <c r="S433" s="51" t="str">
        <f t="shared" si="28"/>
        <v/>
      </c>
      <c r="T433" s="51" t="str">
        <f t="shared" si="29"/>
        <v/>
      </c>
      <c r="U433" s="42" t="str">
        <f t="shared" si="32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30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31"/>
        <v/>
      </c>
      <c r="M434" s="42" t="str">
        <f t="shared" si="33"/>
        <v/>
      </c>
      <c r="N434" s="12"/>
      <c r="O434" s="23">
        <v>51136</v>
      </c>
      <c r="P434" s="51" t="str">
        <f t="shared" ref="P434:P445" si="34">IFERROR((G434*Q$480)/$L434*(100/Q$481),"")</f>
        <v/>
      </c>
      <c r="Q434" s="51" t="str">
        <f t="shared" ref="Q434:Q445" si="35">IFERROR((H434*R$480)/$L434*(100/R$481),"")</f>
        <v/>
      </c>
      <c r="R434" s="51" t="str">
        <f t="shared" ref="R434:R445" si="36">IFERROR((I434*S$480)/$L434*(100/S$481),"")</f>
        <v/>
      </c>
      <c r="S434" s="51" t="str">
        <f t="shared" ref="S434:S445" si="37">IFERROR((J434*T$480)/$L434*(100/T$481),"")</f>
        <v/>
      </c>
      <c r="T434" s="51" t="str">
        <f t="shared" ref="T434:T445" si="38">IFERROR((K434*U$480)/$L434*(100/U$481),"")</f>
        <v/>
      </c>
      <c r="U434" s="42" t="str">
        <f t="shared" si="32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9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40">IF(V676="","",V676)</f>
        <v/>
      </c>
      <c r="M435" s="42" t="str">
        <f t="shared" si="33"/>
        <v/>
      </c>
      <c r="N435" s="12"/>
      <c r="O435" s="23">
        <v>51167</v>
      </c>
      <c r="P435" s="51" t="str">
        <f t="shared" si="34"/>
        <v/>
      </c>
      <c r="Q435" s="51" t="str">
        <f t="shared" si="35"/>
        <v/>
      </c>
      <c r="R435" s="51" t="str">
        <f t="shared" si="36"/>
        <v/>
      </c>
      <c r="S435" s="51" t="str">
        <f t="shared" si="37"/>
        <v/>
      </c>
      <c r="T435" s="51" t="str">
        <f t="shared" si="38"/>
        <v/>
      </c>
      <c r="U435" s="42" t="str">
        <f t="shared" ref="U435:U445" si="41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9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40"/>
        <v/>
      </c>
      <c r="M436" s="42" t="str">
        <f t="shared" si="33"/>
        <v/>
      </c>
      <c r="N436" s="12"/>
      <c r="O436" s="23">
        <v>51196</v>
      </c>
      <c r="P436" s="51" t="str">
        <f t="shared" si="34"/>
        <v/>
      </c>
      <c r="Q436" s="51" t="str">
        <f t="shared" si="35"/>
        <v/>
      </c>
      <c r="R436" s="51" t="str">
        <f t="shared" si="36"/>
        <v/>
      </c>
      <c r="S436" s="51" t="str">
        <f t="shared" si="37"/>
        <v/>
      </c>
      <c r="T436" s="51" t="str">
        <f t="shared" si="38"/>
        <v/>
      </c>
      <c r="U436" s="42" t="str">
        <f t="shared" si="41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9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40"/>
        <v/>
      </c>
      <c r="M437" s="42" t="str">
        <f t="shared" si="33"/>
        <v/>
      </c>
      <c r="N437" s="12"/>
      <c r="O437" s="23">
        <v>51227</v>
      </c>
      <c r="P437" s="51" t="str">
        <f t="shared" si="34"/>
        <v/>
      </c>
      <c r="Q437" s="51" t="str">
        <f t="shared" si="35"/>
        <v/>
      </c>
      <c r="R437" s="51" t="str">
        <f t="shared" si="36"/>
        <v/>
      </c>
      <c r="S437" s="51" t="str">
        <f t="shared" si="37"/>
        <v/>
      </c>
      <c r="T437" s="51" t="str">
        <f t="shared" si="38"/>
        <v/>
      </c>
      <c r="U437" s="42" t="str">
        <f t="shared" si="41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9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40"/>
        <v/>
      </c>
      <c r="M438" s="42" t="str">
        <f t="shared" si="33"/>
        <v/>
      </c>
      <c r="N438" s="12"/>
      <c r="O438" s="23">
        <v>51257</v>
      </c>
      <c r="P438" s="51" t="str">
        <f t="shared" si="34"/>
        <v/>
      </c>
      <c r="Q438" s="51" t="str">
        <f t="shared" si="35"/>
        <v/>
      </c>
      <c r="R438" s="51" t="str">
        <f t="shared" si="36"/>
        <v/>
      </c>
      <c r="S438" s="51" t="str">
        <f t="shared" si="37"/>
        <v/>
      </c>
      <c r="T438" s="51" t="str">
        <f t="shared" si="38"/>
        <v/>
      </c>
      <c r="U438" s="42" t="str">
        <f t="shared" si="41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9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40"/>
        <v/>
      </c>
      <c r="M439" s="42" t="str">
        <f t="shared" si="33"/>
        <v/>
      </c>
      <c r="N439" s="12"/>
      <c r="O439" s="23">
        <v>51288</v>
      </c>
      <c r="P439" s="51" t="str">
        <f t="shared" si="34"/>
        <v/>
      </c>
      <c r="Q439" s="51" t="str">
        <f t="shared" si="35"/>
        <v/>
      </c>
      <c r="R439" s="51" t="str">
        <f t="shared" si="36"/>
        <v/>
      </c>
      <c r="S439" s="51" t="str">
        <f t="shared" si="37"/>
        <v/>
      </c>
      <c r="T439" s="51" t="str">
        <f t="shared" si="38"/>
        <v/>
      </c>
      <c r="U439" s="42" t="str">
        <f t="shared" si="41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9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40"/>
        <v/>
      </c>
      <c r="M440" s="42" t="str">
        <f t="shared" si="33"/>
        <v/>
      </c>
      <c r="N440" s="12"/>
      <c r="O440" s="23">
        <v>51318</v>
      </c>
      <c r="P440" s="51" t="str">
        <f t="shared" si="34"/>
        <v/>
      </c>
      <c r="Q440" s="51" t="str">
        <f t="shared" si="35"/>
        <v/>
      </c>
      <c r="R440" s="51" t="str">
        <f t="shared" si="36"/>
        <v/>
      </c>
      <c r="S440" s="51" t="str">
        <f t="shared" si="37"/>
        <v/>
      </c>
      <c r="T440" s="51" t="str">
        <f t="shared" si="38"/>
        <v/>
      </c>
      <c r="U440" s="42" t="str">
        <f t="shared" si="41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9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40"/>
        <v/>
      </c>
      <c r="M441" s="42" t="str">
        <f t="shared" si="33"/>
        <v/>
      </c>
      <c r="N441" s="12"/>
      <c r="O441" s="23">
        <v>51349</v>
      </c>
      <c r="P441" s="51" t="str">
        <f t="shared" si="34"/>
        <v/>
      </c>
      <c r="Q441" s="51" t="str">
        <f t="shared" si="35"/>
        <v/>
      </c>
      <c r="R441" s="51" t="str">
        <f t="shared" si="36"/>
        <v/>
      </c>
      <c r="S441" s="51" t="str">
        <f t="shared" si="37"/>
        <v/>
      </c>
      <c r="T441" s="51" t="str">
        <f t="shared" si="38"/>
        <v/>
      </c>
      <c r="U441" s="42" t="str">
        <f t="shared" si="41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9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40"/>
        <v/>
      </c>
      <c r="M442" s="42" t="str">
        <f t="shared" si="33"/>
        <v/>
      </c>
      <c r="N442" s="12"/>
      <c r="O442" s="23">
        <v>51380</v>
      </c>
      <c r="P442" s="51" t="str">
        <f t="shared" si="34"/>
        <v/>
      </c>
      <c r="Q442" s="51" t="str">
        <f t="shared" si="35"/>
        <v/>
      </c>
      <c r="R442" s="51" t="str">
        <f t="shared" si="36"/>
        <v/>
      </c>
      <c r="S442" s="51" t="str">
        <f t="shared" si="37"/>
        <v/>
      </c>
      <c r="T442" s="51" t="str">
        <f t="shared" si="38"/>
        <v/>
      </c>
      <c r="U442" s="42" t="str">
        <f t="shared" si="41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9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40"/>
        <v/>
      </c>
      <c r="M443" s="42" t="str">
        <f t="shared" si="33"/>
        <v/>
      </c>
      <c r="N443" s="12"/>
      <c r="O443" s="23">
        <v>51410</v>
      </c>
      <c r="P443" s="51" t="str">
        <f t="shared" si="34"/>
        <v/>
      </c>
      <c r="Q443" s="51" t="str">
        <f t="shared" si="35"/>
        <v/>
      </c>
      <c r="R443" s="51" t="str">
        <f t="shared" si="36"/>
        <v/>
      </c>
      <c r="S443" s="51" t="str">
        <f t="shared" si="37"/>
        <v/>
      </c>
      <c r="T443" s="51" t="str">
        <f t="shared" si="38"/>
        <v/>
      </c>
      <c r="U443" s="42" t="str">
        <f t="shared" si="41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9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40"/>
        <v/>
      </c>
      <c r="M444" s="42" t="str">
        <f t="shared" si="33"/>
        <v/>
      </c>
      <c r="N444" s="12"/>
      <c r="O444" s="23">
        <v>51441</v>
      </c>
      <c r="P444" s="51" t="str">
        <f t="shared" si="34"/>
        <v/>
      </c>
      <c r="Q444" s="51" t="str">
        <f t="shared" si="35"/>
        <v/>
      </c>
      <c r="R444" s="51" t="str">
        <f t="shared" si="36"/>
        <v/>
      </c>
      <c r="S444" s="51" t="str">
        <f t="shared" si="37"/>
        <v/>
      </c>
      <c r="T444" s="51" t="str">
        <f t="shared" si="38"/>
        <v/>
      </c>
      <c r="U444" s="42" t="str">
        <f t="shared" si="41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9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40"/>
        <v/>
      </c>
      <c r="M445" s="57" t="str">
        <f t="shared" si="33"/>
        <v/>
      </c>
      <c r="N445" s="12"/>
      <c r="O445" s="32">
        <v>51471</v>
      </c>
      <c r="P445" s="58" t="str">
        <f t="shared" si="34"/>
        <v/>
      </c>
      <c r="Q445" s="58" t="str">
        <f t="shared" si="35"/>
        <v/>
      </c>
      <c r="R445" s="58" t="str">
        <f t="shared" si="36"/>
        <v/>
      </c>
      <c r="S445" s="58" t="str">
        <f t="shared" si="37"/>
        <v/>
      </c>
      <c r="T445" s="58" t="str">
        <f t="shared" si="38"/>
        <v/>
      </c>
      <c r="U445" s="57" t="str">
        <f t="shared" si="41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65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46204</v>
      </c>
      <c r="G457" s="65">
        <v>1.2877799999999999</v>
      </c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65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65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136.3811417137959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135.05032645327105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136.21951192820978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138.07598615499302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137.0882619013332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137.43532986119024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137.80191181269996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137.70589563820323</v>
      </c>
      <c r="W490" s="12"/>
    </row>
    <row r="491" spans="5:23" s="59" customFormat="1">
      <c r="E491" s="12"/>
      <c r="F491" s="23">
        <v>45536</v>
      </c>
      <c r="G491" s="39">
        <v>156.1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138.10956989288141</v>
      </c>
      <c r="W491" s="12"/>
    </row>
    <row r="492" spans="5:23" s="59" customFormat="1">
      <c r="E492" s="12"/>
      <c r="F492" s="23">
        <v>45566</v>
      </c>
      <c r="G492" s="39">
        <v>158.9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47.794558011049745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138.40561736170241</v>
      </c>
      <c r="W492" s="12"/>
    </row>
    <row r="493" spans="5:23" s="59" customFormat="1">
      <c r="E493" s="12"/>
      <c r="F493" s="23">
        <v>45597</v>
      </c>
      <c r="G493" s="39">
        <v>158.9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47.794558011049745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137.02187184595567</v>
      </c>
      <c r="W493" s="12"/>
    </row>
    <row r="494" spans="5:23" s="59" customFormat="1">
      <c r="E494" s="12"/>
      <c r="F494" s="23">
        <v>45627</v>
      </c>
      <c r="G494" s="39">
        <v>158.9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47.794558011049745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137.71427088356899</v>
      </c>
      <c r="W494" s="12"/>
    </row>
    <row r="495" spans="5:23" s="59" customFormat="1">
      <c r="E495" s="12"/>
      <c r="F495" s="23">
        <v>45658</v>
      </c>
      <c r="G495" s="39">
        <v>159.5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48.352624309392276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138.00949547030183</v>
      </c>
      <c r="W495" s="12"/>
    </row>
    <row r="496" spans="5:23" s="59" customFormat="1">
      <c r="E496" s="12"/>
      <c r="F496" s="23">
        <v>45689</v>
      </c>
      <c r="G496" s="39">
        <v>159.5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48.352624309392276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138.4569594760396</v>
      </c>
      <c r="W496" s="12"/>
    </row>
    <row r="497" spans="5:23" s="59" customFormat="1">
      <c r="E497" s="12"/>
      <c r="F497" s="23">
        <v>45717</v>
      </c>
      <c r="G497" s="39">
        <v>159.5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48.352624309392276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140.88033549698537</v>
      </c>
      <c r="W497" s="12"/>
    </row>
    <row r="498" spans="5:23" s="59" customFormat="1">
      <c r="E498" s="12"/>
      <c r="F498" s="23">
        <v>45748</v>
      </c>
      <c r="G498" s="39">
        <v>160.30000000000001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49.096712707182348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141.12450130838047</v>
      </c>
      <c r="W498" s="12"/>
    </row>
    <row r="499" spans="5:23" s="59" customFormat="1">
      <c r="E499" s="12"/>
      <c r="F499" s="23">
        <v>45778</v>
      </c>
      <c r="G499" s="39">
        <v>160.30000000000001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49.096712707182348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140.41318726247795</v>
      </c>
      <c r="W499" s="12"/>
    </row>
    <row r="500" spans="5:23" s="59" customFormat="1">
      <c r="E500" s="12"/>
      <c r="F500" s="23">
        <v>45809</v>
      </c>
      <c r="G500" s="39">
        <v>160.30000000000001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49.096712707182348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139.57016355223911</v>
      </c>
      <c r="W500" s="12"/>
    </row>
    <row r="501" spans="5:23" s="59" customFormat="1">
      <c r="E501" s="12"/>
      <c r="F501" s="23">
        <v>45839</v>
      </c>
      <c r="G501" s="39">
        <v>161.4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50.119834254143669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139.903790679628</v>
      </c>
      <c r="W501" s="12"/>
    </row>
    <row r="502" spans="5:23" s="59" customFormat="1">
      <c r="E502" s="12"/>
      <c r="F502" s="23">
        <v>45870</v>
      </c>
      <c r="G502" s="39">
        <v>161.4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50.119834254143669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140.30734386119281</v>
      </c>
      <c r="W502" s="12"/>
    </row>
    <row r="503" spans="5:23" s="59" customFormat="1">
      <c r="E503" s="12"/>
      <c r="F503" s="23">
        <v>45901</v>
      </c>
      <c r="G503" s="39">
        <v>161.4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50.119834254143669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141.17554289524395</v>
      </c>
      <c r="W503" s="12"/>
    </row>
    <row r="504" spans="5:23" s="59" customFormat="1">
      <c r="E504" s="12"/>
      <c r="F504" s="23">
        <v>45931</v>
      </c>
      <c r="G504" s="39">
        <v>162.9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51.515000000000001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141.28713718984577</v>
      </c>
      <c r="W504" s="12"/>
    </row>
    <row r="505" spans="5:23" s="59" customFormat="1">
      <c r="E505" s="12"/>
      <c r="F505" s="23">
        <v>45962</v>
      </c>
      <c r="G505" s="39">
        <v>162.9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51.515000000000001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141.35016400762174</v>
      </c>
      <c r="W505" s="12"/>
    </row>
    <row r="506" spans="5:23" s="59" customFormat="1">
      <c r="E506" s="12"/>
      <c r="F506" s="23">
        <v>45992</v>
      </c>
      <c r="G506" s="39">
        <v>162.9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51.515000000000001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141.37918994901275</v>
      </c>
      <c r="W506" s="12"/>
    </row>
    <row r="507" spans="5:23" s="59" customFormat="1">
      <c r="E507" s="12"/>
      <c r="F507" s="23">
        <v>46023</v>
      </c>
      <c r="G507" s="39">
        <v>164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52.538121546961328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142.97075140956406</v>
      </c>
      <c r="W507" s="12"/>
    </row>
    <row r="508" spans="5:23" s="59" customFormat="1">
      <c r="E508" s="12"/>
      <c r="F508" s="23">
        <v>46054</v>
      </c>
      <c r="G508" s="39">
        <v>164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52.538121546961328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142.037961618433</v>
      </c>
      <c r="W508" s="12"/>
    </row>
    <row r="509" spans="5:23" s="59" customFormat="1">
      <c r="E509" s="12"/>
      <c r="F509" s="23">
        <v>46082</v>
      </c>
      <c r="G509" s="39">
        <v>164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52.538121546961328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141.51871201744612</v>
      </c>
      <c r="W509" s="12"/>
    </row>
    <row r="510" spans="5:23" s="59" customFormat="1">
      <c r="E510" s="12"/>
      <c r="F510" s="23">
        <v>46113</v>
      </c>
      <c r="G510" s="39">
        <v>165.1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53.561243093922648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142.46836241853146</v>
      </c>
      <c r="W510" s="12"/>
    </row>
    <row r="511" spans="5:23" s="59" customFormat="1">
      <c r="E511" s="12"/>
      <c r="F511" s="23">
        <v>46143</v>
      </c>
      <c r="G511" s="39">
        <v>165.1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53.561243093922648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148.41061647715833</v>
      </c>
      <c r="W511" s="12"/>
    </row>
    <row r="512" spans="5:23" s="59" customFormat="1">
      <c r="E512" s="12"/>
      <c r="F512" s="23">
        <v>46174</v>
      </c>
      <c r="G512" s="39">
        <v>165.1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53.561243093922648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150.62589299199226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54.272723756906061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149.97329981378709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54.272723756906061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148.45525545940498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54.272723756906061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149.63662359861675</v>
      </c>
      <c r="W515" s="12"/>
    </row>
    <row r="516" spans="5:23" s="59" customFormat="1">
      <c r="E516" s="12"/>
      <c r="F516" s="23">
        <v>46296</v>
      </c>
      <c r="G516" s="39"/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/>
      <c r="R516" s="39"/>
      <c r="S516" s="39"/>
      <c r="T516" s="39"/>
      <c r="U516" s="39"/>
      <c r="V516" s="86"/>
      <c r="W516" s="12"/>
    </row>
    <row r="517" spans="5:23" s="59" customFormat="1">
      <c r="E517" s="12"/>
      <c r="F517" s="23">
        <v>46327</v>
      </c>
      <c r="G517" s="39"/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/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/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/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tabSelected="1" view="pageBreakPreview" topLeftCell="A65" zoomScale="115" zoomScaleNormal="100" zoomScaleSheetLayoutView="115" workbookViewId="0">
      <selection activeCell="L83" sqref="L8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5" t="s">
        <v>9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</row>
    <row r="3" spans="1:19" ht="14.25" customHeight="1">
      <c r="A3" s="2"/>
      <c r="B3" s="2"/>
      <c r="C3" s="3"/>
      <c r="D3" s="3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</row>
    <row r="4" spans="1:19" ht="35.1" customHeight="1">
      <c r="A4" s="2"/>
      <c r="B4" s="2"/>
      <c r="C4" s="3"/>
      <c r="D4" s="3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6" t="s">
        <v>7</v>
      </c>
      <c r="G12" s="136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17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 t="s">
        <v>79</v>
      </c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90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95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91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92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93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96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97</v>
      </c>
      <c r="H70" s="110"/>
      <c r="I70" s="110"/>
      <c r="J70" s="110" t="s">
        <v>98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97</v>
      </c>
      <c r="H71" s="110"/>
      <c r="I71" s="110"/>
      <c r="J71" s="110" t="s">
        <v>99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100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101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102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44</v>
      </c>
      <c r="H75" s="110"/>
      <c r="I75" s="110"/>
      <c r="J75" s="110" t="s">
        <v>68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46082</v>
      </c>
      <c r="G76" s="110" t="s">
        <v>84</v>
      </c>
      <c r="H76" s="110"/>
      <c r="I76" s="110"/>
      <c r="J76" s="110" t="s">
        <v>85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86</v>
      </c>
      <c r="H77" s="110"/>
      <c r="I77" s="110"/>
      <c r="J77" s="110" t="s">
        <v>87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59</v>
      </c>
      <c r="H78" s="110"/>
      <c r="I78" s="110"/>
      <c r="J78" s="110" t="s">
        <v>88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34">
        <v>46204</v>
      </c>
      <c r="G79" s="134" t="s">
        <v>97</v>
      </c>
      <c r="H79" s="134"/>
      <c r="I79" s="134"/>
      <c r="J79" s="134" t="s">
        <v>103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34"/>
      <c r="G80" s="134"/>
      <c r="H80" s="134"/>
      <c r="I80" s="134"/>
      <c r="J80" s="134" t="s">
        <v>104</v>
      </c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