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3 marts\EY TiD Prognosemodel december 2025\SBLON1\"/>
    </mc:Choice>
  </mc:AlternateContent>
  <xr:revisionPtr revIDLastSave="0" documentId="13_ncr:1_{0AA291D2-AC52-424E-B6D4-52793046C5CA}" xr6:coauthVersionLast="47" xr6:coauthVersionMax="47" xr10:uidLastSave="{00000000-0000-0000-0000-000000000000}"/>
  <bookViews>
    <workbookView xWindow="-12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K445" i="3" a="1"/>
  <c r="K445" i="3" s="1"/>
  <c r="J445" i="3"/>
  <c r="L444" i="3"/>
  <c r="K444" i="3" a="1"/>
  <c r="K444" i="3" s="1"/>
  <c r="J444" i="3"/>
  <c r="L443" i="3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M439" i="3" s="1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K433" i="3" a="1"/>
  <c r="K433" i="3" s="1"/>
  <c r="J433" i="3"/>
  <c r="L432" i="3"/>
  <c r="M432" i="3" s="1"/>
  <c r="K432" i="3" a="1"/>
  <c r="K432" i="3" s="1"/>
  <c r="J432" i="3"/>
  <c r="L431" i="3"/>
  <c r="K431" i="3" a="1"/>
  <c r="K431" i="3" s="1"/>
  <c r="J431" i="3"/>
  <c r="L430" i="3"/>
  <c r="M430" i="3" s="1"/>
  <c r="K430" i="3" a="1"/>
  <c r="K430" i="3" s="1"/>
  <c r="J430" i="3"/>
  <c r="L429" i="3"/>
  <c r="M429" i="3" s="1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M423" i="3" s="1"/>
  <c r="K423" i="3" a="1"/>
  <c r="K423" i="3" s="1"/>
  <c r="J423" i="3"/>
  <c r="L422" i="3"/>
  <c r="K422" i="3" a="1"/>
  <c r="K422" i="3" s="1"/>
  <c r="J422" i="3"/>
  <c r="L421" i="3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M397" i="3" s="1"/>
  <c r="K397" i="3" a="1"/>
  <c r="K397" i="3" s="1"/>
  <c r="J397" i="3"/>
  <c r="L396" i="3"/>
  <c r="M396" i="3" s="1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M375" i="3" s="1"/>
  <c r="K375" i="3" a="1"/>
  <c r="K375" i="3" s="1"/>
  <c r="J375" i="3"/>
  <c r="L374" i="3"/>
  <c r="K374" i="3" a="1"/>
  <c r="K374" i="3" s="1"/>
  <c r="J374" i="3"/>
  <c r="L373" i="3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K369" i="3" a="1"/>
  <c r="K369" i="3" s="1"/>
  <c r="J369" i="3"/>
  <c r="L368" i="3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M365" i="3" s="1"/>
  <c r="K365" i="3" a="1"/>
  <c r="K365" i="3" s="1"/>
  <c r="J365" i="3"/>
  <c r="L364" i="3"/>
  <c r="K364" i="3" a="1"/>
  <c r="K364" i="3" s="1"/>
  <c r="J364" i="3"/>
  <c r="L363" i="3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K359" i="3" a="1"/>
  <c r="K359" i="3" s="1"/>
  <c r="J359" i="3"/>
  <c r="L358" i="3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K353" i="3" a="1"/>
  <c r="K353" i="3" s="1"/>
  <c r="J353" i="3"/>
  <c r="L352" i="3"/>
  <c r="M352" i="3" s="1"/>
  <c r="K352" i="3" a="1"/>
  <c r="K352" i="3" s="1"/>
  <c r="J352" i="3"/>
  <c r="L351" i="3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K348" i="3" a="1"/>
  <c r="K348" i="3" s="1"/>
  <c r="J348" i="3"/>
  <c r="L347" i="3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K337" i="3" a="1"/>
  <c r="K337" i="3" s="1"/>
  <c r="J337" i="3"/>
  <c r="L336" i="3"/>
  <c r="M336" i="3" s="1"/>
  <c r="K336" i="3" a="1"/>
  <c r="K336" i="3" s="1"/>
  <c r="J336" i="3"/>
  <c r="L335" i="3"/>
  <c r="M335" i="3" s="1"/>
  <c r="K335" i="3" a="1"/>
  <c r="K335" i="3" s="1"/>
  <c r="J335" i="3"/>
  <c r="L334" i="3"/>
  <c r="M334" i="3" s="1"/>
  <c r="K334" i="3" a="1"/>
  <c r="K334" i="3" s="1"/>
  <c r="J334" i="3"/>
  <c r="L333" i="3"/>
  <c r="M333" i="3" s="1"/>
  <c r="K333" i="3" a="1"/>
  <c r="K333" i="3" s="1"/>
  <c r="J333" i="3"/>
  <c r="L332" i="3"/>
  <c r="M332" i="3" s="1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M327" i="3" s="1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M317" i="3" s="1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M295" i="3" s="1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K289" i="3" a="1"/>
  <c r="K289" i="3" s="1"/>
  <c r="J289" i="3"/>
  <c r="L288" i="3"/>
  <c r="M288" i="3" s="1"/>
  <c r="K288" i="3" a="1"/>
  <c r="K288" i="3" s="1"/>
  <c r="J288" i="3"/>
  <c r="L287" i="3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M284" i="3" s="1"/>
  <c r="K284" i="3" a="1"/>
  <c r="K284" i="3" s="1"/>
  <c r="J284" i="3"/>
  <c r="L283" i="3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K273" i="3" a="1"/>
  <c r="K273" i="3" s="1"/>
  <c r="J273" i="3"/>
  <c r="L272" i="3"/>
  <c r="M272" i="3" s="1"/>
  <c r="K272" i="3" a="1"/>
  <c r="K272" i="3" s="1"/>
  <c r="J272" i="3"/>
  <c r="L271" i="3"/>
  <c r="M271" i="3" s="1"/>
  <c r="K271" i="3" a="1"/>
  <c r="K271" i="3" s="1"/>
  <c r="J271" i="3"/>
  <c r="L270" i="3"/>
  <c r="M270" i="3" s="1"/>
  <c r="K270" i="3" a="1"/>
  <c r="K270" i="3" s="1"/>
  <c r="J270" i="3"/>
  <c r="L269" i="3"/>
  <c r="M269" i="3" s="1"/>
  <c r="K269" i="3" a="1"/>
  <c r="K269" i="3" s="1"/>
  <c r="J269" i="3"/>
  <c r="L268" i="3"/>
  <c r="K268" i="3" a="1"/>
  <c r="K268" i="3" s="1"/>
  <c r="J268" i="3"/>
  <c r="L267" i="3"/>
  <c r="K267" i="3" a="1"/>
  <c r="K267" i="3" s="1"/>
  <c r="J267" i="3"/>
  <c r="L266" i="3"/>
  <c r="K266" i="3" a="1"/>
  <c r="K266" i="3" s="1"/>
  <c r="J266" i="3"/>
  <c r="L265" i="3"/>
  <c r="K265" i="3" a="1"/>
  <c r="K265" i="3" s="1"/>
  <c r="J265" i="3"/>
  <c r="L264" i="3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Q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R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Q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R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Q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R242" i="3" s="1"/>
  <c r="H242" i="3" a="1"/>
  <c r="H242" i="3" s="1"/>
  <c r="G242" i="3" a="1"/>
  <c r="G242" i="3" s="1"/>
  <c r="M431" i="3"/>
  <c r="M426" i="3"/>
  <c r="M421" i="3"/>
  <c r="M407" i="3"/>
  <c r="M389" i="3"/>
  <c r="M378" i="3"/>
  <c r="M373" i="3"/>
  <c r="M359" i="3"/>
  <c r="M277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I239" i="3"/>
  <c r="H239" i="3"/>
  <c r="G239" i="3"/>
  <c r="H238" i="3"/>
  <c r="G238" i="3"/>
  <c r="I237" i="3"/>
  <c r="H237" i="3"/>
  <c r="G237" i="3"/>
  <c r="H236" i="3"/>
  <c r="G236" i="3"/>
  <c r="H235" i="3"/>
  <c r="G235" i="3"/>
  <c r="H234" i="3"/>
  <c r="G234" i="3"/>
  <c r="I233" i="3"/>
  <c r="H233" i="3"/>
  <c r="G233" i="3"/>
  <c r="I232" i="3"/>
  <c r="H232" i="3"/>
  <c r="G232" i="3"/>
  <c r="H231" i="3"/>
  <c r="G231" i="3"/>
  <c r="H230" i="3"/>
  <c r="G230" i="3"/>
  <c r="H229" i="3"/>
  <c r="G229" i="3"/>
  <c r="I228" i="3"/>
  <c r="H228" i="3"/>
  <c r="G228" i="3"/>
  <c r="I227" i="3"/>
  <c r="H227" i="3"/>
  <c r="G227" i="3"/>
  <c r="I226" i="3"/>
  <c r="H226" i="3"/>
  <c r="G226" i="3"/>
  <c r="H225" i="3"/>
  <c r="G225" i="3"/>
  <c r="H224" i="3"/>
  <c r="G224" i="3"/>
  <c r="H223" i="3"/>
  <c r="G223" i="3"/>
  <c r="H222" i="3"/>
  <c r="G222" i="3"/>
  <c r="I221" i="3"/>
  <c r="H221" i="3"/>
  <c r="G221" i="3"/>
  <c r="H220" i="3"/>
  <c r="G220" i="3"/>
  <c r="H219" i="3"/>
  <c r="G219" i="3"/>
  <c r="H218" i="3"/>
  <c r="G218" i="3"/>
  <c r="I217" i="3"/>
  <c r="H217" i="3"/>
  <c r="G217" i="3"/>
  <c r="I216" i="3"/>
  <c r="H216" i="3"/>
  <c r="G216" i="3"/>
  <c r="I215" i="3"/>
  <c r="H215" i="3"/>
  <c r="G215" i="3"/>
  <c r="H214" i="3"/>
  <c r="G214" i="3"/>
  <c r="H213" i="3"/>
  <c r="G213" i="3"/>
  <c r="H212" i="3"/>
  <c r="G212" i="3"/>
  <c r="I211" i="3"/>
  <c r="H211" i="3"/>
  <c r="G211" i="3"/>
  <c r="I210" i="3"/>
  <c r="H210" i="3"/>
  <c r="G210" i="3"/>
  <c r="H209" i="3"/>
  <c r="G209" i="3"/>
  <c r="H208" i="3"/>
  <c r="G208" i="3"/>
  <c r="H207" i="3"/>
  <c r="G207" i="3"/>
  <c r="I206" i="3"/>
  <c r="H206" i="3"/>
  <c r="G206" i="3"/>
  <c r="I205" i="3"/>
  <c r="H205" i="3"/>
  <c r="G205" i="3"/>
  <c r="H204" i="3"/>
  <c r="G204" i="3"/>
  <c r="H203" i="3"/>
  <c r="G203" i="3"/>
  <c r="H202" i="3"/>
  <c r="G202" i="3"/>
  <c r="I201" i="3"/>
  <c r="H201" i="3"/>
  <c r="G201" i="3"/>
  <c r="I200" i="3"/>
  <c r="H200" i="3"/>
  <c r="G200" i="3"/>
  <c r="I199" i="3"/>
  <c r="H199" i="3"/>
  <c r="G199" i="3"/>
  <c r="H198" i="3"/>
  <c r="G198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H192" i="3"/>
  <c r="G192" i="3"/>
  <c r="H191" i="3"/>
  <c r="G191" i="3"/>
  <c r="I190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I185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7" i="3"/>
  <c r="G125" i="3"/>
  <c r="G126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F65" i="4" s="1"/>
  <c r="F13" i="5"/>
  <c r="P421" i="3" l="1"/>
  <c r="M266" i="3"/>
  <c r="R250" i="3"/>
  <c r="R266" i="3"/>
  <c r="Q269" i="3"/>
  <c r="P405" i="3"/>
  <c r="R274" i="3"/>
  <c r="Q349" i="3"/>
  <c r="R293" i="3"/>
  <c r="P309" i="3"/>
  <c r="P437" i="3"/>
  <c r="U437" i="3" s="1"/>
  <c r="Q325" i="3"/>
  <c r="R437" i="3"/>
  <c r="Q437" i="3"/>
  <c r="R325" i="3"/>
  <c r="R298" i="3"/>
  <c r="R306" i="3"/>
  <c r="Q341" i="3"/>
  <c r="R341" i="3"/>
  <c r="I196" i="3"/>
  <c r="I212" i="3"/>
  <c r="I223" i="3"/>
  <c r="I191" i="3"/>
  <c r="I207" i="3"/>
  <c r="I186" i="3"/>
  <c r="I236" i="3"/>
  <c r="I188" i="3"/>
  <c r="I204" i="3"/>
  <c r="I220" i="3"/>
  <c r="I231" i="3"/>
  <c r="P245" i="3"/>
  <c r="Q282" i="3"/>
  <c r="Q245" i="3"/>
  <c r="R282" i="3"/>
  <c r="Q357" i="3"/>
  <c r="Q250" i="3"/>
  <c r="R357" i="3"/>
  <c r="Q298" i="3"/>
  <c r="Q314" i="3"/>
  <c r="Q330" i="3"/>
  <c r="Q346" i="3"/>
  <c r="Q362" i="3"/>
  <c r="R375" i="3"/>
  <c r="Q378" i="3"/>
  <c r="Q394" i="3"/>
  <c r="R399" i="3"/>
  <c r="R362" i="3"/>
  <c r="R378" i="3"/>
  <c r="R394" i="3"/>
  <c r="R410" i="3"/>
  <c r="R426" i="3"/>
  <c r="R442" i="3"/>
  <c r="M265" i="3"/>
  <c r="S249" i="3"/>
  <c r="S281" i="3"/>
  <c r="S297" i="3"/>
  <c r="T249" i="3"/>
  <c r="M262" i="3"/>
  <c r="R255" i="3"/>
  <c r="R271" i="3"/>
  <c r="R287" i="3"/>
  <c r="S313" i="3"/>
  <c r="M264" i="3"/>
  <c r="M263" i="3"/>
  <c r="R244" i="3"/>
  <c r="P250" i="3"/>
  <c r="Q255" i="3"/>
  <c r="R260" i="3"/>
  <c r="Q271" i="3"/>
  <c r="R276" i="3"/>
  <c r="R292" i="3"/>
  <c r="R308" i="3"/>
  <c r="R324" i="3"/>
  <c r="P330" i="3"/>
  <c r="U330" i="3" s="1"/>
  <c r="R340" i="3"/>
  <c r="P346" i="3"/>
  <c r="U346" i="3" s="1"/>
  <c r="R356" i="3"/>
  <c r="R372" i="3"/>
  <c r="P378" i="3"/>
  <c r="U378" i="3" s="1"/>
  <c r="R388" i="3"/>
  <c r="P394" i="3"/>
  <c r="U394" i="3" s="1"/>
  <c r="R404" i="3"/>
  <c r="P410" i="3"/>
  <c r="U410" i="3" s="1"/>
  <c r="R420" i="3"/>
  <c r="R436" i="3"/>
  <c r="P442" i="3"/>
  <c r="U442" i="3" s="1"/>
  <c r="T265" i="3"/>
  <c r="T281" i="3"/>
  <c r="T297" i="3"/>
  <c r="T313" i="3"/>
  <c r="T321" i="3"/>
  <c r="T329" i="3"/>
  <c r="T345" i="3"/>
  <c r="T361" i="3"/>
  <c r="T377" i="3"/>
  <c r="S265" i="3"/>
  <c r="S329" i="3"/>
  <c r="S345" i="3"/>
  <c r="Q410" i="3"/>
  <c r="R415" i="3"/>
  <c r="Q426" i="3"/>
  <c r="Q442" i="3"/>
  <c r="S361" i="3"/>
  <c r="S377" i="3"/>
  <c r="S393" i="3"/>
  <c r="S409" i="3"/>
  <c r="T385" i="3"/>
  <c r="M250" i="3"/>
  <c r="R314" i="3"/>
  <c r="R330" i="3"/>
  <c r="R346" i="3"/>
  <c r="M255" i="3"/>
  <c r="T393" i="3"/>
  <c r="T409" i="3"/>
  <c r="T425" i="3"/>
  <c r="T441" i="3"/>
  <c r="Q320" i="3"/>
  <c r="Q336" i="3"/>
  <c r="Q352" i="3"/>
  <c r="Q368" i="3"/>
  <c r="Q400" i="3"/>
  <c r="Q416" i="3"/>
  <c r="Q432" i="3"/>
  <c r="R256" i="3"/>
  <c r="R272" i="3"/>
  <c r="Q283" i="3"/>
  <c r="R288" i="3"/>
  <c r="R304" i="3"/>
  <c r="R432" i="3"/>
  <c r="S242" i="3"/>
  <c r="S250" i="3"/>
  <c r="S258" i="3"/>
  <c r="S266" i="3"/>
  <c r="S274" i="3"/>
  <c r="S282" i="3"/>
  <c r="S290" i="3"/>
  <c r="S298" i="3"/>
  <c r="S306" i="3"/>
  <c r="S314" i="3"/>
  <c r="S322" i="3"/>
  <c r="S330" i="3"/>
  <c r="S338" i="3"/>
  <c r="S346" i="3"/>
  <c r="S354" i="3"/>
  <c r="S362" i="3"/>
  <c r="S370" i="3"/>
  <c r="S378" i="3"/>
  <c r="S386" i="3"/>
  <c r="S394" i="3"/>
  <c r="S402" i="3"/>
  <c r="S410" i="3"/>
  <c r="S418" i="3"/>
  <c r="S426" i="3"/>
  <c r="S434" i="3"/>
  <c r="M248" i="3"/>
  <c r="M244" i="3"/>
  <c r="T254" i="3"/>
  <c r="M260" i="3"/>
  <c r="T270" i="3"/>
  <c r="T286" i="3"/>
  <c r="T302" i="3"/>
  <c r="T318" i="3"/>
  <c r="T334" i="3"/>
  <c r="T350" i="3"/>
  <c r="T366" i="3"/>
  <c r="T382" i="3"/>
  <c r="T398" i="3"/>
  <c r="T414" i="3"/>
  <c r="S425" i="3"/>
  <c r="T430" i="3"/>
  <c r="S441" i="3"/>
  <c r="S442" i="3"/>
  <c r="M245" i="3"/>
  <c r="M261" i="3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T250" i="3"/>
  <c r="T266" i="3"/>
  <c r="T282" i="3"/>
  <c r="T298" i="3"/>
  <c r="T314" i="3"/>
  <c r="T330" i="3"/>
  <c r="T346" i="3"/>
  <c r="T362" i="3"/>
  <c r="T378" i="3"/>
  <c r="T394" i="3"/>
  <c r="S405" i="3"/>
  <c r="T410" i="3"/>
  <c r="T426" i="3"/>
  <c r="T442" i="3"/>
  <c r="P249" i="3"/>
  <c r="Q249" i="3"/>
  <c r="P260" i="3"/>
  <c r="Q265" i="3"/>
  <c r="Q281" i="3"/>
  <c r="P292" i="3"/>
  <c r="U292" i="3" s="1"/>
  <c r="Q297" i="3"/>
  <c r="Q313" i="3"/>
  <c r="Q329" i="3"/>
  <c r="Q345" i="3"/>
  <c r="P356" i="3"/>
  <c r="U356" i="3" s="1"/>
  <c r="Q361" i="3"/>
  <c r="Q377" i="3"/>
  <c r="Q393" i="3"/>
  <c r="Q409" i="3"/>
  <c r="P420" i="3"/>
  <c r="U420" i="3" s="1"/>
  <c r="Q425" i="3"/>
  <c r="Q441" i="3"/>
  <c r="R249" i="3"/>
  <c r="R265" i="3"/>
  <c r="Q276" i="3"/>
  <c r="R281" i="3"/>
  <c r="P287" i="3"/>
  <c r="U287" i="3" s="1"/>
  <c r="Q292" i="3"/>
  <c r="R297" i="3"/>
  <c r="P303" i="3"/>
  <c r="U303" i="3" s="1"/>
  <c r="Q308" i="3"/>
  <c r="R313" i="3"/>
  <c r="Q324" i="3"/>
  <c r="R329" i="3"/>
  <c r="Q340" i="3"/>
  <c r="R345" i="3"/>
  <c r="Q356" i="3"/>
  <c r="R361" i="3"/>
  <c r="Q372" i="3"/>
  <c r="R377" i="3"/>
  <c r="Q388" i="3"/>
  <c r="R393" i="3"/>
  <c r="R409" i="3"/>
  <c r="Q420" i="3"/>
  <c r="R425" i="3"/>
  <c r="Q436" i="3"/>
  <c r="R441" i="3"/>
  <c r="M254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254" i="3"/>
  <c r="P270" i="3"/>
  <c r="U270" i="3" s="1"/>
  <c r="P286" i="3"/>
  <c r="U286" i="3" s="1"/>
  <c r="R296" i="3"/>
  <c r="P302" i="3"/>
  <c r="U302" i="3" s="1"/>
  <c r="R312" i="3"/>
  <c r="P318" i="3"/>
  <c r="U318" i="3" s="1"/>
  <c r="R328" i="3"/>
  <c r="P334" i="3"/>
  <c r="U334" i="3" s="1"/>
  <c r="R344" i="3"/>
  <c r="P350" i="3"/>
  <c r="U350" i="3" s="1"/>
  <c r="R360" i="3"/>
  <c r="P366" i="3"/>
  <c r="U366" i="3" s="1"/>
  <c r="R376" i="3"/>
  <c r="P382" i="3"/>
  <c r="U382" i="3" s="1"/>
  <c r="R392" i="3"/>
  <c r="P398" i="3"/>
  <c r="U398" i="3" s="1"/>
  <c r="R408" i="3"/>
  <c r="P414" i="3"/>
  <c r="U414" i="3" s="1"/>
  <c r="R424" i="3"/>
  <c r="R440" i="3"/>
  <c r="P348" i="3"/>
  <c r="U348" i="3" s="1"/>
  <c r="R248" i="3"/>
  <c r="R264" i="3"/>
  <c r="R28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T255" i="3"/>
  <c r="T271" i="3"/>
  <c r="T303" i="3"/>
  <c r="T319" i="3"/>
  <c r="T335" i="3"/>
  <c r="T351" i="3"/>
  <c r="T367" i="3"/>
  <c r="T383" i="3"/>
  <c r="T399" i="3"/>
  <c r="T431" i="3"/>
  <c r="S288" i="3"/>
  <c r="S320" i="3"/>
  <c r="S432" i="3"/>
  <c r="Q259" i="3"/>
  <c r="Q307" i="3"/>
  <c r="Q339" i="3"/>
  <c r="Q387" i="3"/>
  <c r="Q435" i="3"/>
  <c r="P364" i="3"/>
  <c r="U364" i="3" s="1"/>
  <c r="Q243" i="3"/>
  <c r="Q275" i="3"/>
  <c r="Q371" i="3"/>
  <c r="Q403" i="3"/>
  <c r="Q419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Q291" i="3"/>
  <c r="Q323" i="3"/>
  <c r="Q35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T253" i="3"/>
  <c r="T269" i="3"/>
  <c r="T285" i="3"/>
  <c r="T317" i="3"/>
  <c r="T333" i="3"/>
  <c r="T349" i="3"/>
  <c r="T381" i="3"/>
  <c r="T397" i="3"/>
  <c r="S307" i="3"/>
  <c r="S355" i="3"/>
  <c r="S371" i="3"/>
  <c r="S419" i="3"/>
  <c r="Q287" i="3"/>
  <c r="Q303" i="3"/>
  <c r="Q319" i="3"/>
  <c r="Q335" i="3"/>
  <c r="Q399" i="3"/>
  <c r="Q431" i="3"/>
  <c r="S270" i="3"/>
  <c r="S334" i="3"/>
  <c r="S398" i="3"/>
  <c r="S430" i="3"/>
  <c r="M249" i="3"/>
  <c r="P386" i="3"/>
  <c r="U386" i="3" s="1"/>
  <c r="S283" i="3"/>
  <c r="S299" i="3"/>
  <c r="S347" i="3"/>
  <c r="S363" i="3"/>
  <c r="P376" i="3"/>
  <c r="U376" i="3" s="1"/>
  <c r="Q381" i="3"/>
  <c r="P392" i="3"/>
  <c r="U392" i="3" s="1"/>
  <c r="Q397" i="3"/>
  <c r="R402" i="3"/>
  <c r="P408" i="3"/>
  <c r="U408" i="3" s="1"/>
  <c r="Q413" i="3"/>
  <c r="R418" i="3"/>
  <c r="P424" i="3"/>
  <c r="U424" i="3" s="1"/>
  <c r="Q429" i="3"/>
  <c r="R434" i="3"/>
  <c r="Q445" i="3"/>
  <c r="M246" i="3"/>
  <c r="P358" i="3"/>
  <c r="U358" i="3" s="1"/>
  <c r="S364" i="3"/>
  <c r="P374" i="3"/>
  <c r="U374" i="3" s="1"/>
  <c r="P422" i="3"/>
  <c r="U422" i="3" s="1"/>
  <c r="P243" i="3"/>
  <c r="P259" i="3"/>
  <c r="P275" i="3"/>
  <c r="U275" i="3" s="1"/>
  <c r="R285" i="3"/>
  <c r="P291" i="3"/>
  <c r="U291" i="3" s="1"/>
  <c r="Q296" i="3"/>
  <c r="R301" i="3"/>
  <c r="P307" i="3"/>
  <c r="U307" i="3" s="1"/>
  <c r="Q312" i="3"/>
  <c r="R317" i="3"/>
  <c r="P323" i="3"/>
  <c r="U323" i="3" s="1"/>
  <c r="Q328" i="3"/>
  <c r="R333" i="3"/>
  <c r="P339" i="3"/>
  <c r="U339" i="3" s="1"/>
  <c r="Q344" i="3"/>
  <c r="R349" i="3"/>
  <c r="P355" i="3"/>
  <c r="U355" i="3" s="1"/>
  <c r="Q360" i="3"/>
  <c r="R365" i="3"/>
  <c r="P371" i="3"/>
  <c r="U371" i="3" s="1"/>
  <c r="Q376" i="3"/>
  <c r="R381" i="3"/>
  <c r="P387" i="3"/>
  <c r="U387" i="3" s="1"/>
  <c r="Q392" i="3"/>
  <c r="R397" i="3"/>
  <c r="P403" i="3"/>
  <c r="U403" i="3" s="1"/>
  <c r="Q408" i="3"/>
  <c r="R413" i="3"/>
  <c r="P419" i="3"/>
  <c r="U419" i="3" s="1"/>
  <c r="Q424" i="3"/>
  <c r="R429" i="3"/>
  <c r="P435" i="3"/>
  <c r="U435" i="3" s="1"/>
  <c r="Q440" i="3"/>
  <c r="R445" i="3"/>
  <c r="S247" i="3"/>
  <c r="T252" i="3"/>
  <c r="M257" i="3"/>
  <c r="S263" i="3"/>
  <c r="T268" i="3"/>
  <c r="S279" i="3"/>
  <c r="T284" i="3"/>
  <c r="S295" i="3"/>
  <c r="T300" i="3"/>
  <c r="S311" i="3"/>
  <c r="T316" i="3"/>
  <c r="S327" i="3"/>
  <c r="T332" i="3"/>
  <c r="S343" i="3"/>
  <c r="T348" i="3"/>
  <c r="S359" i="3"/>
  <c r="T364" i="3"/>
  <c r="S375" i="3"/>
  <c r="T380" i="3"/>
  <c r="S391" i="3"/>
  <c r="T396" i="3"/>
  <c r="S407" i="3"/>
  <c r="T412" i="3"/>
  <c r="S423" i="3"/>
  <c r="T428" i="3"/>
  <c r="S439" i="3"/>
  <c r="T444" i="3"/>
  <c r="R355" i="3"/>
  <c r="Q366" i="3"/>
  <c r="R371" i="3"/>
  <c r="Q382" i="3"/>
  <c r="R387" i="3"/>
  <c r="Q398" i="3"/>
  <c r="R403" i="3"/>
  <c r="Q414" i="3"/>
  <c r="R419" i="3"/>
  <c r="Q430" i="3"/>
  <c r="S253" i="3"/>
  <c r="S269" i="3"/>
  <c r="S285" i="3"/>
  <c r="S301" i="3"/>
  <c r="S317" i="3"/>
  <c r="S333" i="3"/>
  <c r="S349" i="3"/>
  <c r="S365" i="3"/>
  <c r="S381" i="3"/>
  <c r="S397" i="3"/>
  <c r="Q407" i="3"/>
  <c r="S413" i="3"/>
  <c r="S429" i="3"/>
  <c r="S445" i="3"/>
  <c r="S243" i="3"/>
  <c r="P342" i="3"/>
  <c r="U342" i="3" s="1"/>
  <c r="S260" i="3"/>
  <c r="S324" i="3"/>
  <c r="S388" i="3"/>
  <c r="S291" i="3"/>
  <c r="M243" i="3"/>
  <c r="Q326" i="3"/>
  <c r="S271" i="3"/>
  <c r="S303" i="3"/>
  <c r="S319" i="3"/>
  <c r="M358" i="3"/>
  <c r="Q273" i="3"/>
  <c r="Q337" i="3"/>
  <c r="Q401" i="3"/>
  <c r="P247" i="3"/>
  <c r="P263" i="3"/>
  <c r="P279" i="3"/>
  <c r="U279" i="3" s="1"/>
  <c r="P295" i="3"/>
  <c r="U295" i="3" s="1"/>
  <c r="P311" i="3"/>
  <c r="U311" i="3" s="1"/>
  <c r="P439" i="3"/>
  <c r="U439" i="3" s="1"/>
  <c r="T256" i="3"/>
  <c r="T272" i="3"/>
  <c r="T288" i="3"/>
  <c r="T320" i="3"/>
  <c r="T336" i="3"/>
  <c r="T352" i="3"/>
  <c r="T384" i="3"/>
  <c r="T400" i="3"/>
  <c r="T416" i="3"/>
  <c r="T432" i="3"/>
  <c r="Q247" i="3"/>
  <c r="Q263" i="3"/>
  <c r="Q279" i="3"/>
  <c r="Q295" i="3"/>
  <c r="Q311" i="3"/>
  <c r="Q327" i="3"/>
  <c r="Q343" i="3"/>
  <c r="Q359" i="3"/>
  <c r="Q375" i="3"/>
  <c r="P402" i="3"/>
  <c r="U402" i="3" s="1"/>
  <c r="Q423" i="3"/>
  <c r="R428" i="3"/>
  <c r="Q439" i="3"/>
  <c r="S435" i="3"/>
  <c r="R247" i="3"/>
  <c r="P253" i="3"/>
  <c r="R263" i="3"/>
  <c r="R279" i="3"/>
  <c r="Q290" i="3"/>
  <c r="R295" i="3"/>
  <c r="P301" i="3"/>
  <c r="U301" i="3" s="1"/>
  <c r="Q306" i="3"/>
  <c r="R311" i="3"/>
  <c r="Q322" i="3"/>
  <c r="P333" i="3"/>
  <c r="U333" i="3" s="1"/>
  <c r="R343" i="3"/>
  <c r="R359" i="3"/>
  <c r="P365" i="3"/>
  <c r="U365" i="3" s="1"/>
  <c r="P381" i="3"/>
  <c r="U381" i="3" s="1"/>
  <c r="R391" i="3"/>
  <c r="P397" i="3"/>
  <c r="U397" i="3" s="1"/>
  <c r="R407" i="3"/>
  <c r="R423" i="3"/>
  <c r="P429" i="3"/>
  <c r="U429" i="3" s="1"/>
  <c r="Q434" i="3"/>
  <c r="R439" i="3"/>
  <c r="T246" i="3"/>
  <c r="P251" i="3"/>
  <c r="T262" i="3"/>
  <c r="P267" i="3"/>
  <c r="T278" i="3"/>
  <c r="T294" i="3"/>
  <c r="T310" i="3"/>
  <c r="T326" i="3"/>
  <c r="T342" i="3"/>
  <c r="T358" i="3"/>
  <c r="T374" i="3"/>
  <c r="T390" i="3"/>
  <c r="T406" i="3"/>
  <c r="T422" i="3"/>
  <c r="T438" i="3"/>
  <c r="P443" i="3"/>
  <c r="U443" i="3" s="1"/>
  <c r="S268" i="3"/>
  <c r="Q257" i="3"/>
  <c r="Q390" i="3"/>
  <c r="M247" i="3"/>
  <c r="M267" i="3"/>
  <c r="M363" i="3"/>
  <c r="R435" i="3"/>
  <c r="T242" i="3"/>
  <c r="T258" i="3"/>
  <c r="T274" i="3"/>
  <c r="T290" i="3"/>
  <c r="T306" i="3"/>
  <c r="T322" i="3"/>
  <c r="R327" i="3"/>
  <c r="T338" i="3"/>
  <c r="T354" i="3"/>
  <c r="T370" i="3"/>
  <c r="T386" i="3"/>
  <c r="Q391" i="3"/>
  <c r="T402" i="3"/>
  <c r="P407" i="3"/>
  <c r="U407" i="3" s="1"/>
  <c r="T418" i="3"/>
  <c r="P423" i="3"/>
  <c r="U423" i="3" s="1"/>
  <c r="T434" i="3"/>
  <c r="S252" i="3"/>
  <c r="R253" i="3"/>
  <c r="S259" i="3"/>
  <c r="R269" i="3"/>
  <c r="S275" i="3"/>
  <c r="Q285" i="3"/>
  <c r="T301" i="3"/>
  <c r="S323" i="3"/>
  <c r="S339" i="3"/>
  <c r="P349" i="3"/>
  <c r="U349" i="3" s="1"/>
  <c r="T365" i="3"/>
  <c r="S387" i="3"/>
  <c r="S403" i="3"/>
  <c r="T413" i="3"/>
  <c r="T429" i="3"/>
  <c r="T445" i="3"/>
  <c r="P406" i="3"/>
  <c r="U406" i="3" s="1"/>
  <c r="S406" i="3"/>
  <c r="R283" i="3"/>
  <c r="M268" i="3"/>
  <c r="M364" i="3"/>
  <c r="T243" i="3"/>
  <c r="Q248" i="3"/>
  <c r="S254" i="3"/>
  <c r="T259" i="3"/>
  <c r="Q264" i="3"/>
  <c r="T275" i="3"/>
  <c r="Q280" i="3"/>
  <c r="S286" i="3"/>
  <c r="T291" i="3"/>
  <c r="S302" i="3"/>
  <c r="T307" i="3"/>
  <c r="S318" i="3"/>
  <c r="T323" i="3"/>
  <c r="T339" i="3"/>
  <c r="S350" i="3"/>
  <c r="T355" i="3"/>
  <c r="S366" i="3"/>
  <c r="T371" i="3"/>
  <c r="S382" i="3"/>
  <c r="T387" i="3"/>
  <c r="T403" i="3"/>
  <c r="S414" i="3"/>
  <c r="T419" i="3"/>
  <c r="T435" i="3"/>
  <c r="S300" i="3"/>
  <c r="P331" i="3"/>
  <c r="U331" i="3" s="1"/>
  <c r="M348" i="3"/>
  <c r="Q246" i="3"/>
  <c r="R251" i="3"/>
  <c r="P257" i="3"/>
  <c r="Q262" i="3"/>
  <c r="R267" i="3"/>
  <c r="Q278" i="3"/>
  <c r="P294" i="3"/>
  <c r="U294" i="3" s="1"/>
  <c r="Q299" i="3"/>
  <c r="P310" i="3"/>
  <c r="U310" i="3" s="1"/>
  <c r="Q315" i="3"/>
  <c r="P326" i="3"/>
  <c r="U326" i="3" s="1"/>
  <c r="P390" i="3"/>
  <c r="U390" i="3" s="1"/>
  <c r="P411" i="3"/>
  <c r="U411" i="3" s="1"/>
  <c r="P427" i="3"/>
  <c r="U427" i="3" s="1"/>
  <c r="S276" i="3"/>
  <c r="S308" i="3"/>
  <c r="S340" i="3"/>
  <c r="S356" i="3"/>
  <c r="S372" i="3"/>
  <c r="S404" i="3"/>
  <c r="S420" i="3"/>
  <c r="S436" i="3"/>
  <c r="R262" i="3"/>
  <c r="R278" i="3"/>
  <c r="Q294" i="3"/>
  <c r="Q310" i="3"/>
  <c r="R331" i="3"/>
  <c r="Q342" i="3"/>
  <c r="P353" i="3"/>
  <c r="U353" i="3" s="1"/>
  <c r="Q358" i="3"/>
  <c r="R363" i="3"/>
  <c r="Q374" i="3"/>
  <c r="P246" i="3"/>
  <c r="Q267" i="3"/>
  <c r="R257" i="3"/>
  <c r="Q289" i="3"/>
  <c r="Q321" i="3"/>
  <c r="Q385" i="3"/>
  <c r="R390" i="3"/>
  <c r="Q406" i="3"/>
  <c r="R411" i="3"/>
  <c r="Q422" i="3"/>
  <c r="R427" i="3"/>
  <c r="Q443" i="3"/>
  <c r="Q244" i="3"/>
  <c r="Q404" i="3"/>
  <c r="P436" i="3"/>
  <c r="U436" i="3" s="1"/>
  <c r="M347" i="3"/>
  <c r="P315" i="3"/>
  <c r="U315" i="3" s="1"/>
  <c r="M443" i="3"/>
  <c r="R252" i="3"/>
  <c r="P274" i="3"/>
  <c r="U274" i="3" s="1"/>
  <c r="R289" i="3"/>
  <c r="R305" i="3"/>
  <c r="Q316" i="3"/>
  <c r="Q348" i="3"/>
  <c r="Q364" i="3"/>
  <c r="Q380" i="3"/>
  <c r="Q396" i="3"/>
  <c r="R406" i="3"/>
  <c r="Q417" i="3"/>
  <c r="R422" i="3"/>
  <c r="Q438" i="3"/>
  <c r="R443" i="3"/>
  <c r="S245" i="3"/>
  <c r="S255" i="3"/>
  <c r="S261" i="3"/>
  <c r="S277" i="3"/>
  <c r="S293" i="3"/>
  <c r="S309" i="3"/>
  <c r="S325" i="3"/>
  <c r="S335" i="3"/>
  <c r="S341" i="3"/>
  <c r="S357" i="3"/>
  <c r="S367" i="3"/>
  <c r="S373" i="3"/>
  <c r="S389" i="3"/>
  <c r="S399" i="3"/>
  <c r="S421" i="3"/>
  <c r="S431" i="3"/>
  <c r="S437" i="3"/>
  <c r="M253" i="3"/>
  <c r="M422" i="3"/>
  <c r="Q251" i="3"/>
  <c r="P299" i="3"/>
  <c r="U299" i="3" s="1"/>
  <c r="P347" i="3"/>
  <c r="U347" i="3" s="1"/>
  <c r="R246" i="3"/>
  <c r="M258" i="3"/>
  <c r="R273" i="3"/>
  <c r="P284" i="3"/>
  <c r="U284" i="3" s="1"/>
  <c r="R294" i="3"/>
  <c r="Q305" i="3"/>
  <c r="R310" i="3"/>
  <c r="R326" i="3"/>
  <c r="R342" i="3"/>
  <c r="R358" i="3"/>
  <c r="R374" i="3"/>
  <c r="M259" i="3"/>
  <c r="P242" i="3"/>
  <c r="P258" i="3"/>
  <c r="R268" i="3"/>
  <c r="Q284" i="3"/>
  <c r="Q300" i="3"/>
  <c r="Q332" i="3"/>
  <c r="M374" i="3"/>
  <c r="Q242" i="3"/>
  <c r="Q258" i="3"/>
  <c r="Q274" i="3"/>
  <c r="R284" i="3"/>
  <c r="R300" i="3"/>
  <c r="P322" i="3"/>
  <c r="U322" i="3" s="1"/>
  <c r="R332" i="3"/>
  <c r="P338" i="3"/>
  <c r="U338" i="3" s="1"/>
  <c r="R348" i="3"/>
  <c r="R364" i="3"/>
  <c r="R438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338" i="3"/>
  <c r="Q354" i="3"/>
  <c r="Q370" i="3"/>
  <c r="Q386" i="3"/>
  <c r="R412" i="3"/>
  <c r="P418" i="3"/>
  <c r="U418" i="3" s="1"/>
  <c r="R433" i="3"/>
  <c r="S251" i="3"/>
  <c r="S267" i="3"/>
  <c r="Q293" i="3"/>
  <c r="S315" i="3"/>
  <c r="P325" i="3"/>
  <c r="U325" i="3" s="1"/>
  <c r="S331" i="3"/>
  <c r="P341" i="3"/>
  <c r="U341" i="3" s="1"/>
  <c r="P357" i="3"/>
  <c r="U357" i="3" s="1"/>
  <c r="S379" i="3"/>
  <c r="S395" i="3"/>
  <c r="Q405" i="3"/>
  <c r="Q421" i="3"/>
  <c r="S443" i="3"/>
  <c r="S316" i="3"/>
  <c r="M299" i="3"/>
  <c r="R322" i="3"/>
  <c r="R338" i="3"/>
  <c r="R354" i="3"/>
  <c r="R370" i="3"/>
  <c r="R386" i="3"/>
  <c r="Q402" i="3"/>
  <c r="Q418" i="3"/>
  <c r="P434" i="3"/>
  <c r="U434" i="3" s="1"/>
  <c r="R444" i="3"/>
  <c r="S246" i="3"/>
  <c r="S262" i="3"/>
  <c r="S278" i="3"/>
  <c r="S294" i="3"/>
  <c r="S310" i="3"/>
  <c r="S326" i="3"/>
  <c r="S342" i="3"/>
  <c r="S358" i="3"/>
  <c r="S374" i="3"/>
  <c r="S390" i="3"/>
  <c r="S422" i="3"/>
  <c r="S438" i="3"/>
  <c r="P396" i="3"/>
  <c r="U396" i="3" s="1"/>
  <c r="P401" i="3"/>
  <c r="U401" i="3" s="1"/>
  <c r="P417" i="3"/>
  <c r="U417" i="3" s="1"/>
  <c r="P438" i="3"/>
  <c r="U438" i="3" s="1"/>
  <c r="T257" i="3"/>
  <c r="P269" i="3"/>
  <c r="U269" i="3" s="1"/>
  <c r="P290" i="3"/>
  <c r="U290" i="3" s="1"/>
  <c r="P306" i="3"/>
  <c r="U306" i="3" s="1"/>
  <c r="R316" i="3"/>
  <c r="R321" i="3"/>
  <c r="P327" i="3"/>
  <c r="U327" i="3" s="1"/>
  <c r="R337" i="3"/>
  <c r="P343" i="3"/>
  <c r="U343" i="3" s="1"/>
  <c r="R353" i="3"/>
  <c r="P359" i="3"/>
  <c r="U359" i="3" s="1"/>
  <c r="R369" i="3"/>
  <c r="P375" i="3"/>
  <c r="U375" i="3" s="1"/>
  <c r="R385" i="3"/>
  <c r="P391" i="3"/>
  <c r="U391" i="3" s="1"/>
  <c r="P412" i="3"/>
  <c r="U412" i="3" s="1"/>
  <c r="P428" i="3"/>
  <c r="U428" i="3" s="1"/>
  <c r="M287" i="3"/>
  <c r="S287" i="3"/>
  <c r="S351" i="3"/>
  <c r="M351" i="3"/>
  <c r="Q351" i="3"/>
  <c r="S383" i="3"/>
  <c r="Q383" i="3"/>
  <c r="S415" i="3"/>
  <c r="Q415" i="3"/>
  <c r="P285" i="3"/>
  <c r="U285" i="3" s="1"/>
  <c r="P354" i="3"/>
  <c r="U354" i="3" s="1"/>
  <c r="P413" i="3"/>
  <c r="U413" i="3" s="1"/>
  <c r="T251" i="3"/>
  <c r="S256" i="3"/>
  <c r="Q256" i="3"/>
  <c r="M256" i="3"/>
  <c r="T267" i="3"/>
  <c r="S272" i="3"/>
  <c r="Q272" i="3"/>
  <c r="T283" i="3"/>
  <c r="T299" i="3"/>
  <c r="M304" i="3"/>
  <c r="S304" i="3"/>
  <c r="T315" i="3"/>
  <c r="T331" i="3"/>
  <c r="S336" i="3"/>
  <c r="R336" i="3"/>
  <c r="T347" i="3"/>
  <c r="S352" i="3"/>
  <c r="R352" i="3"/>
  <c r="T363" i="3"/>
  <c r="S368" i="3"/>
  <c r="M368" i="3"/>
  <c r="R368" i="3"/>
  <c r="T379" i="3"/>
  <c r="S384" i="3"/>
  <c r="Q384" i="3"/>
  <c r="T395" i="3"/>
  <c r="S400" i="3"/>
  <c r="R400" i="3"/>
  <c r="T411" i="3"/>
  <c r="S416" i="3"/>
  <c r="R416" i="3"/>
  <c r="T427" i="3"/>
  <c r="T443" i="3"/>
  <c r="P433" i="3"/>
  <c r="U433" i="3" s="1"/>
  <c r="P265" i="3"/>
  <c r="P445" i="3"/>
  <c r="U445" i="3" s="1"/>
  <c r="S257" i="3"/>
  <c r="S273" i="3"/>
  <c r="P283" i="3"/>
  <c r="U283" i="3" s="1"/>
  <c r="M283" i="3"/>
  <c r="S289" i="3"/>
  <c r="S305" i="3"/>
  <c r="S321" i="3"/>
  <c r="S337" i="3"/>
  <c r="S353" i="3"/>
  <c r="S369" i="3"/>
  <c r="R379" i="3"/>
  <c r="P379" i="3"/>
  <c r="U379" i="3" s="1"/>
  <c r="S385" i="3"/>
  <c r="R395" i="3"/>
  <c r="P395" i="3"/>
  <c r="U395" i="3" s="1"/>
  <c r="S401" i="3"/>
  <c r="S417" i="3"/>
  <c r="S433" i="3"/>
  <c r="Q367" i="3"/>
  <c r="P380" i="3"/>
  <c r="U380" i="3" s="1"/>
  <c r="P370" i="3"/>
  <c r="U370" i="3" s="1"/>
  <c r="P281" i="3"/>
  <c r="U281" i="3" s="1"/>
  <c r="P244" i="3"/>
  <c r="P276" i="3"/>
  <c r="U276" i="3" s="1"/>
  <c r="P297" i="3"/>
  <c r="U297" i="3" s="1"/>
  <c r="P313" i="3"/>
  <c r="U313" i="3" s="1"/>
  <c r="S284" i="3"/>
  <c r="T305" i="3"/>
  <c r="S348" i="3"/>
  <c r="T369" i="3"/>
  <c r="S412" i="3"/>
  <c r="T433" i="3"/>
  <c r="T287" i="3"/>
  <c r="M273" i="3"/>
  <c r="T273" i="3"/>
  <c r="M289" i="3"/>
  <c r="T289" i="3"/>
  <c r="M337" i="3"/>
  <c r="T337" i="3"/>
  <c r="P337" i="3"/>
  <c r="U337" i="3" s="1"/>
  <c r="M353" i="3"/>
  <c r="T353" i="3"/>
  <c r="Q353" i="3"/>
  <c r="M369" i="3"/>
  <c r="Q369" i="3"/>
  <c r="M401" i="3"/>
  <c r="T401" i="3"/>
  <c r="R401" i="3"/>
  <c r="M417" i="3"/>
  <c r="T417" i="3"/>
  <c r="R417" i="3"/>
  <c r="M433" i="3"/>
  <c r="Q433" i="3"/>
  <c r="P252" i="3"/>
  <c r="Q288" i="3"/>
  <c r="P316" i="3"/>
  <c r="U316" i="3" s="1"/>
  <c r="T368" i="3"/>
  <c r="P388" i="3"/>
  <c r="U388" i="3" s="1"/>
  <c r="M300" i="3"/>
  <c r="P300" i="3"/>
  <c r="U300" i="3" s="1"/>
  <c r="S332" i="3"/>
  <c r="P332" i="3"/>
  <c r="U332" i="3" s="1"/>
  <c r="S380" i="3"/>
  <c r="R380" i="3"/>
  <c r="S396" i="3"/>
  <c r="R396" i="3"/>
  <c r="M444" i="3"/>
  <c r="P444" i="3"/>
  <c r="U444" i="3" s="1"/>
  <c r="P317" i="3"/>
  <c r="U317" i="3" s="1"/>
  <c r="P369" i="3"/>
  <c r="U369" i="3" s="1"/>
  <c r="P377" i="3"/>
  <c r="U377" i="3" s="1"/>
  <c r="P340" i="3"/>
  <c r="U340" i="3" s="1"/>
  <c r="P372" i="3"/>
  <c r="U372" i="3" s="1"/>
  <c r="P430" i="3"/>
  <c r="U430" i="3" s="1"/>
  <c r="M251" i="3"/>
  <c r="P261" i="3"/>
  <c r="P277" i="3"/>
  <c r="U277" i="3" s="1"/>
  <c r="P298" i="3"/>
  <c r="U298" i="3" s="1"/>
  <c r="P314" i="3"/>
  <c r="U314" i="3" s="1"/>
  <c r="P319" i="3"/>
  <c r="U319" i="3" s="1"/>
  <c r="P335" i="3"/>
  <c r="U335" i="3" s="1"/>
  <c r="P351" i="3"/>
  <c r="U351" i="3" s="1"/>
  <c r="P367" i="3"/>
  <c r="U367" i="3" s="1"/>
  <c r="Q304" i="3"/>
  <c r="P409" i="3"/>
  <c r="U409" i="3" s="1"/>
  <c r="M252" i="3"/>
  <c r="P256" i="3"/>
  <c r="P266" i="3"/>
  <c r="U266" i="3" s="1"/>
  <c r="T304" i="3"/>
  <c r="R384" i="3"/>
  <c r="P393" i="3"/>
  <c r="U393" i="3" s="1"/>
  <c r="P324" i="3"/>
  <c r="U324" i="3" s="1"/>
  <c r="P425" i="3"/>
  <c r="U425" i="3" s="1"/>
  <c r="P305" i="3"/>
  <c r="U305" i="3" s="1"/>
  <c r="P385" i="3"/>
  <c r="U385" i="3" s="1"/>
  <c r="S411" i="3"/>
  <c r="P384" i="3"/>
  <c r="U384" i="3" s="1"/>
  <c r="P273" i="3"/>
  <c r="U273" i="3" s="1"/>
  <c r="P363" i="3"/>
  <c r="U363" i="3" s="1"/>
  <c r="P282" i="3"/>
  <c r="U282" i="3" s="1"/>
  <c r="R320" i="3"/>
  <c r="R347" i="3"/>
  <c r="S427" i="3"/>
  <c r="P262" i="3"/>
  <c r="P268" i="3"/>
  <c r="P289" i="3"/>
  <c r="U289" i="3" s="1"/>
  <c r="R299" i="3"/>
  <c r="R315" i="3"/>
  <c r="S244" i="3"/>
  <c r="P321" i="3"/>
  <c r="U321" i="3" s="1"/>
  <c r="T415" i="3"/>
  <c r="S428" i="3"/>
  <c r="P255" i="3"/>
  <c r="P271" i="3"/>
  <c r="U271" i="3" s="1"/>
  <c r="P329" i="3"/>
  <c r="U329" i="3" s="1"/>
  <c r="P345" i="3"/>
  <c r="U345" i="3" s="1"/>
  <c r="P361" i="3"/>
  <c r="U361" i="3" s="1"/>
  <c r="P440" i="3"/>
  <c r="U440" i="3" s="1"/>
  <c r="S444" i="3"/>
  <c r="P272" i="3"/>
  <c r="U272" i="3" s="1"/>
  <c r="R303" i="3"/>
  <c r="U309" i="3"/>
  <c r="P383" i="3"/>
  <c r="U383" i="3" s="1"/>
  <c r="P399" i="3"/>
  <c r="U399" i="3" s="1"/>
  <c r="P441" i="3"/>
  <c r="U441" i="3" s="1"/>
  <c r="Q301" i="3"/>
  <c r="R245" i="3"/>
  <c r="R261" i="3"/>
  <c r="R277" i="3"/>
  <c r="R319" i="3"/>
  <c r="R335" i="3"/>
  <c r="R351" i="3"/>
  <c r="R367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S292" i="3"/>
  <c r="P320" i="3"/>
  <c r="U320" i="3" s="1"/>
  <c r="P336" i="3"/>
  <c r="U336" i="3" s="1"/>
  <c r="P352" i="3"/>
  <c r="U352" i="3" s="1"/>
  <c r="P368" i="3"/>
  <c r="U368" i="3" s="1"/>
  <c r="R383" i="3"/>
  <c r="P431" i="3"/>
  <c r="U431" i="3" s="1"/>
  <c r="P293" i="3"/>
  <c r="U293" i="3" s="1"/>
  <c r="P404" i="3"/>
  <c r="U404" i="3" s="1"/>
  <c r="P362" i="3"/>
  <c r="U362" i="3" s="1"/>
  <c r="P426" i="3"/>
  <c r="U426" i="3" s="1"/>
  <c r="Q331" i="3"/>
  <c r="Q347" i="3"/>
  <c r="Q363" i="3"/>
  <c r="R431" i="3"/>
  <c r="Q252" i="3"/>
  <c r="Q268" i="3"/>
  <c r="Q379" i="3"/>
  <c r="Q395" i="3"/>
  <c r="R405" i="3"/>
  <c r="R421" i="3"/>
  <c r="P432" i="3"/>
  <c r="U432" i="3" s="1"/>
  <c r="Q411" i="3"/>
  <c r="Q427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260" i="3"/>
  <c r="Q412" i="3"/>
  <c r="Q428" i="3"/>
  <c r="P278" i="3"/>
  <c r="U278" i="3" s="1"/>
  <c r="Q444" i="3"/>
  <c r="P308" i="3"/>
  <c r="U308" i="3" s="1"/>
  <c r="P389" i="3"/>
  <c r="U389" i="3" s="1"/>
  <c r="U373" i="3"/>
  <c r="P415" i="3"/>
  <c r="U415" i="3" s="1"/>
  <c r="P288" i="3"/>
  <c r="U288" i="3" s="1"/>
  <c r="P304" i="3"/>
  <c r="U304" i="3" s="1"/>
  <c r="P400" i="3"/>
  <c r="U400" i="3" s="1"/>
  <c r="P416" i="3"/>
  <c r="U416" i="3" s="1"/>
  <c r="U405" i="3"/>
  <c r="U421" i="3"/>
  <c r="F64" i="4"/>
  <c r="G64" i="4" s="1"/>
  <c r="L65" i="4"/>
  <c r="J65" i="4"/>
  <c r="J66" i="4"/>
  <c r="L66" i="4"/>
  <c r="G65" i="4"/>
  <c r="H65" i="4"/>
  <c r="K65" i="4"/>
  <c r="I65" i="4"/>
  <c r="G66" i="4"/>
  <c r="H66" i="4"/>
  <c r="K66" i="4"/>
  <c r="I66" i="4"/>
  <c r="G129" i="3"/>
  <c r="H147" i="3"/>
  <c r="G132" i="3"/>
  <c r="I222" i="3"/>
  <c r="I238" i="3"/>
  <c r="I202" i="3"/>
  <c r="I218" i="3"/>
  <c r="I234" i="3"/>
  <c r="G123" i="3"/>
  <c r="G160" i="3" s="1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68" i="3" l="1"/>
  <c r="U267" i="3"/>
  <c r="U265" i="3"/>
  <c r="U263" i="3"/>
  <c r="U264" i="3"/>
  <c r="U250" i="3"/>
  <c r="U262" i="3"/>
  <c r="U242" i="3"/>
  <c r="U249" i="3"/>
  <c r="U247" i="3"/>
  <c r="U257" i="3"/>
  <c r="U258" i="3"/>
  <c r="U253" i="3"/>
  <c r="U243" i="3"/>
  <c r="U251" i="3"/>
  <c r="U245" i="3"/>
  <c r="U260" i="3"/>
  <c r="U244" i="3"/>
  <c r="U256" i="3"/>
  <c r="U252" i="3"/>
  <c r="U248" i="3"/>
  <c r="U246" i="3"/>
  <c r="U261" i="3"/>
  <c r="U255" i="3"/>
  <c r="U259" i="3"/>
  <c r="U254" i="3"/>
  <c r="K64" i="4"/>
  <c r="I64" i="4"/>
  <c r="H64" i="4"/>
  <c r="F63" i="4"/>
  <c r="J64" i="4"/>
  <c r="L64" i="4"/>
  <c r="G159" i="3"/>
  <c r="F62" i="4" l="1"/>
  <c r="L63" i="4"/>
  <c r="J63" i="4"/>
  <c r="K63" i="4"/>
  <c r="G63" i="4"/>
  <c r="H63" i="4"/>
  <c r="I63" i="4"/>
  <c r="F61" i="4" l="1"/>
  <c r="L62" i="4"/>
  <c r="J62" i="4"/>
  <c r="G62" i="4"/>
  <c r="I62" i="4"/>
  <c r="K62" i="4"/>
  <c r="H62" i="4"/>
  <c r="F60" i="4" l="1"/>
  <c r="L61" i="4"/>
  <c r="J61" i="4"/>
  <c r="I61" i="4"/>
  <c r="G61" i="4"/>
  <c r="K61" i="4"/>
  <c r="H61" i="4"/>
  <c r="F59" i="4" l="1"/>
  <c r="L60" i="4"/>
  <c r="J60" i="4"/>
  <c r="G60" i="4"/>
  <c r="K60" i="4"/>
  <c r="I60" i="4"/>
  <c r="H60" i="4"/>
  <c r="F58" i="4" l="1"/>
  <c r="L59" i="4"/>
  <c r="J59" i="4"/>
  <c r="H59" i="4"/>
  <c r="K59" i="4"/>
  <c r="I59" i="4"/>
  <c r="G59" i="4"/>
  <c r="F57" i="4" l="1"/>
  <c r="L58" i="4"/>
  <c r="J58" i="4"/>
  <c r="H58" i="4"/>
  <c r="G58" i="4"/>
  <c r="K58" i="4"/>
  <c r="I58" i="4"/>
  <c r="F56" i="4" l="1"/>
  <c r="L57" i="4"/>
  <c r="J57" i="4"/>
  <c r="I57" i="4"/>
  <c r="K57" i="4"/>
  <c r="H57" i="4"/>
  <c r="G57" i="4"/>
  <c r="F55" i="4" l="1"/>
  <c r="J56" i="4"/>
  <c r="L56" i="4"/>
  <c r="H56" i="4"/>
  <c r="G56" i="4"/>
  <c r="K56" i="4"/>
  <c r="I56" i="4"/>
  <c r="F54" i="4" l="1"/>
  <c r="L55" i="4"/>
  <c r="J55" i="4"/>
  <c r="K55" i="4"/>
  <c r="G55" i="4"/>
  <c r="H55" i="4"/>
  <c r="I55" i="4"/>
  <c r="F53" i="4" l="1"/>
  <c r="L54" i="4"/>
  <c r="J54" i="4"/>
  <c r="H54" i="4"/>
  <c r="G54" i="4"/>
  <c r="I54" i="4"/>
  <c r="K54" i="4"/>
  <c r="F52" i="4" l="1"/>
  <c r="L53" i="4"/>
  <c r="J53" i="4"/>
  <c r="H53" i="4"/>
  <c r="I53" i="4"/>
  <c r="K53" i="4"/>
  <c r="G53" i="4"/>
  <c r="F51" i="4" l="1"/>
  <c r="L52" i="4"/>
  <c r="J52" i="4"/>
  <c r="H52" i="4"/>
  <c r="G52" i="4"/>
  <c r="I52" i="4"/>
  <c r="K52" i="4"/>
  <c r="F50" i="4" l="1"/>
  <c r="L51" i="4"/>
  <c r="J51" i="4"/>
  <c r="K51" i="4"/>
  <c r="H51" i="4"/>
  <c r="G51" i="4"/>
  <c r="I51" i="4"/>
  <c r="F49" i="4" l="1"/>
  <c r="L50" i="4"/>
  <c r="J50" i="4"/>
  <c r="I50" i="4"/>
  <c r="K50" i="4"/>
  <c r="H50" i="4"/>
  <c r="G50" i="4"/>
  <c r="F48" i="4" l="1"/>
  <c r="L49" i="4"/>
  <c r="J49" i="4"/>
  <c r="G49" i="4"/>
  <c r="H49" i="4"/>
  <c r="I49" i="4"/>
  <c r="K49" i="4"/>
  <c r="F47" i="4" l="1"/>
  <c r="J48" i="4"/>
  <c r="L48" i="4"/>
  <c r="G48" i="4"/>
  <c r="I48" i="4"/>
  <c r="H48" i="4"/>
  <c r="K48" i="4"/>
  <c r="F46" i="4" l="1"/>
  <c r="L47" i="4"/>
  <c r="K47" i="4"/>
  <c r="J47" i="4"/>
  <c r="H47" i="4"/>
  <c r="G47" i="4"/>
  <c r="I47" i="4"/>
  <c r="F45" i="4" l="1"/>
  <c r="L46" i="4"/>
  <c r="K46" i="4"/>
  <c r="J46" i="4"/>
  <c r="H46" i="4"/>
  <c r="G46" i="4"/>
  <c r="I46" i="4"/>
  <c r="F44" i="4" l="1"/>
  <c r="G45" i="4"/>
  <c r="H45" i="4"/>
  <c r="L45" i="4"/>
  <c r="K45" i="4"/>
  <c r="J45" i="4"/>
  <c r="I45" i="4"/>
  <c r="F43" i="4" l="1"/>
  <c r="L44" i="4"/>
  <c r="K44" i="4"/>
  <c r="J44" i="4"/>
  <c r="H44" i="4"/>
  <c r="G44" i="4"/>
  <c r="I44" i="4"/>
  <c r="F42" i="4" l="1"/>
  <c r="L43" i="4"/>
  <c r="K43" i="4"/>
  <c r="J43" i="4"/>
  <c r="I43" i="4"/>
  <c r="H43" i="4"/>
  <c r="G43" i="4"/>
  <c r="F41" i="4" l="1"/>
  <c r="G42" i="4"/>
  <c r="H42" i="4"/>
  <c r="L42" i="4"/>
  <c r="K42" i="4"/>
  <c r="J42" i="4"/>
  <c r="I42" i="4"/>
  <c r="F40" i="4" l="1"/>
  <c r="L41" i="4"/>
  <c r="K41" i="4"/>
  <c r="J41" i="4"/>
  <c r="H41" i="4"/>
  <c r="G41" i="4"/>
  <c r="I41" i="4"/>
  <c r="F39" i="4" l="1"/>
  <c r="L40" i="4"/>
  <c r="K40" i="4"/>
  <c r="J40" i="4"/>
  <c r="H40" i="4"/>
  <c r="G40" i="4"/>
  <c r="I40" i="4"/>
  <c r="F38" i="4" l="1"/>
  <c r="G39" i="4"/>
  <c r="L39" i="4"/>
  <c r="K39" i="4"/>
  <c r="J39" i="4"/>
  <c r="I39" i="4"/>
  <c r="H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G37" i="4"/>
  <c r="H37" i="4"/>
  <c r="F35" i="4" l="1"/>
  <c r="G36" i="4"/>
  <c r="H36" i="4"/>
  <c r="L36" i="4"/>
  <c r="K36" i="4"/>
  <c r="J36" i="4"/>
  <c r="I36" i="4"/>
  <c r="F34" i="4" l="1"/>
  <c r="L35" i="4"/>
  <c r="K35" i="4"/>
  <c r="J35" i="4"/>
  <c r="H35" i="4"/>
  <c r="G35" i="4"/>
  <c r="I35" i="4"/>
  <c r="F33" i="4" l="1"/>
  <c r="L34" i="4"/>
  <c r="K34" i="4"/>
  <c r="J34" i="4"/>
  <c r="I34" i="4"/>
  <c r="H34" i="4"/>
  <c r="G34" i="4"/>
  <c r="F32" i="4" l="1"/>
  <c r="H33" i="4"/>
  <c r="G33" i="4"/>
  <c r="L33" i="4"/>
  <c r="K33" i="4"/>
  <c r="J33" i="4"/>
  <c r="I33" i="4"/>
  <c r="F31" i="4" l="1"/>
  <c r="L32" i="4"/>
  <c r="K32" i="4"/>
  <c r="J32" i="4"/>
  <c r="I32" i="4"/>
  <c r="H32" i="4"/>
  <c r="G32" i="4"/>
  <c r="F30" i="4" l="1"/>
  <c r="L31" i="4"/>
  <c r="K31" i="4"/>
  <c r="J31" i="4"/>
  <c r="H31" i="4"/>
  <c r="G31" i="4"/>
  <c r="I31" i="4"/>
  <c r="F29" i="4" l="1"/>
  <c r="G30" i="4"/>
  <c r="L30" i="4"/>
  <c r="K30" i="4"/>
  <c r="J30" i="4"/>
  <c r="H30" i="4"/>
  <c r="I30" i="4"/>
  <c r="F28" i="4" l="1"/>
  <c r="L29" i="4"/>
  <c r="K29" i="4"/>
  <c r="J29" i="4"/>
  <c r="I29" i="4"/>
  <c r="H29" i="4"/>
  <c r="G29" i="4"/>
  <c r="F27" i="4" l="1"/>
  <c r="L28" i="4"/>
  <c r="K28" i="4"/>
  <c r="J28" i="4"/>
  <c r="H28" i="4"/>
  <c r="G28" i="4"/>
  <c r="I28" i="4"/>
  <c r="F26" i="4" l="1"/>
  <c r="H27" i="4"/>
  <c r="G27" i="4"/>
  <c r="I27" i="4"/>
  <c r="L27" i="4"/>
  <c r="K27" i="4"/>
  <c r="J27" i="4"/>
  <c r="F25" i="4" l="1"/>
  <c r="L26" i="4"/>
  <c r="K26" i="4"/>
  <c r="J26" i="4"/>
  <c r="H26" i="4"/>
  <c r="G26" i="4"/>
  <c r="I26" i="4"/>
  <c r="F24" i="4" l="1"/>
  <c r="L25" i="4"/>
  <c r="K25" i="4"/>
  <c r="J25" i="4"/>
  <c r="H25" i="4"/>
  <c r="G25" i="4"/>
  <c r="I25" i="4"/>
  <c r="F23" i="4" l="1"/>
  <c r="G24" i="4"/>
  <c r="L24" i="4"/>
  <c r="K24" i="4"/>
  <c r="J24" i="4"/>
  <c r="H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I21" i="4"/>
  <c r="G21" i="4"/>
  <c r="J21" i="4"/>
  <c r="L21" i="4"/>
  <c r="K21" i="4"/>
  <c r="H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<sst xmlns="http://schemas.openxmlformats.org/spreadsheetml/2006/main" count="194" uniqueCount="102">
  <si>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</si>
  <si>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</si>
  <si>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</si>
  <si>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</si>
  <si>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</si>
  <si>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</si>
  <si>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</si>
  <si>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</si>
  <si>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</si>
  <si>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</si>
  <si>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</si>
  <si>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</si>
  <si>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</si>
  <si>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</si>
  <si>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</si>
  <si>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</si>
  <si>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</si>
  <si>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</si>
  <si>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</si>
  <si>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</si>
  <si>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</si>
  <si>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</si>
  <si>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</si>
  <si>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</si>
  <si>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</si>
  <si>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</si>
  <si>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</si>
  <si>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</si>
  <si>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</si>
  <si>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</si>
  <si>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</si>
  <si>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</si>
  <si>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</si>
  <si>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</si>
  <si>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</si>
  <si>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</si>
  <si>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</si>
  <si>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</si>
  <si>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</si>
  <si>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</si>
  <si>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</si>
  <si>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</si>
  <si>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</si>
  <si>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</si>
  <si>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</si>
  <si>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</si>
  <si>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</si>
  <si>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</si>
  <si>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</si>
  <si>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</si>
  <si>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</si>
  <si>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</si>
  <si>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</si>
  <si>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</si>
  <si>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</si>
  <si>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</si>
  <si>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</si>
  <si>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</si>
  <si>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</si>
  <si>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</si>
  <si>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</si>
  <si>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</si>
  <si>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</si>
  <si>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</si>
  <si>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</si>
  <si>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</si>
  <si>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</si>
  <si>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</si>
  <si>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</si>
  <si>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</si>
  <si>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</si>
  <si>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</si>
  <si>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</si>
  <si>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</si>
  <si>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</si>
  <si>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</si>
  <si>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</si>
  <si>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</si>
  <si>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</si>
  <si>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</si>
  <si>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</si>
  <si>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</si>
  <si>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</si>
  <si>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</si>
  <si>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</si>
  <si>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</si>
  <si>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</si>
  <si>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</si>
  <si>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</si>
  <si>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</si>
  <si>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</si>
  <si>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</si>
  <si>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 xml:space="preserve"> 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</si>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</sst>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6" xfId="4" applyNumberFormat="1" applyFont="1" applyBorder="1">
      <protection locked="0"/>
    </xf>
    <xf numFmtId="164" fontId="15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5" fillId="5" borderId="6" xfId="4" applyNumberFormat="1" applyFont="1" applyBorder="1">
      <protection locked="0"/>
    </xf>
    <xf numFmtId="164" fontId="15" fillId="5" borderId="0" xfId="4" applyNumberFormat="1" applyFont="1" applyBorder="1">
      <protection locked="0"/>
    </xf>
    <xf numFmtId="164" fontId="15" fillId="5" borderId="8" xfId="4" applyNumberFormat="1" applyFont="1" applyBorder="1">
      <protection locked="0"/>
    </xf>
    <xf numFmtId="165" fontId="8" fillId="2" borderId="0" xfId="0" applyNumberFormat="1" applyFont="1" applyBorder="1"/>
    <xf numFmtId="165" fontId="15" fillId="5" borderId="0" xfId="4" applyNumberFormat="1" applyFont="1" applyBorder="1">
      <protection locked="0"/>
    </xf>
    <xf numFmtId="165" fontId="8" fillId="2" borderId="11" xfId="0" applyNumberFormat="1" applyFont="1" applyBorder="1"/>
    <xf numFmtId="0" fontId="8" fillId="2" borderId="0" xfId="2" applyFont="1" applyFill="1"/>
    <xf numFmtId="164" fontId="15" fillId="5" borderId="9" xfId="4" applyNumberFormat="1" applyFont="1" applyBorder="1">
      <protection locked="0"/>
    </xf>
    <xf numFmtId="165" fontId="15" fillId="5" borderId="9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16" fillId="2" borderId="0" xfId="5" applyNumberFormat="1" applyFont="1" applyBorder="1"/>
    <xf numFmtId="165" fontId="8" fillId="2" borderId="17" xfId="0" applyNumberFormat="1" applyFont="1" applyBorder="1"/>
    <xf numFmtId="165" fontId="8" fillId="2" borderId="18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5" fontId="8" fillId="2" borderId="8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4" xfId="5" applyNumberFormat="1" applyFont="1" applyBorder="1"/>
    <xf numFmtId="164" fontId="8" fillId="2" borderId="14" xfId="0" applyNumberFormat="1" applyFont="1" applyBorder="1"/>
    <xf numFmtId="164" fontId="16" fillId="2" borderId="5" xfId="5" applyNumberFormat="1" applyFont="1" applyBorder="1"/>
    <xf numFmtId="165" fontId="8" fillId="2" borderId="10" xfId="0" applyNumberFormat="1" applyFont="1" applyBorder="1"/>
    <xf numFmtId="165" fontId="8" fillId="2" borderId="5" xfId="0" applyNumberFormat="1" applyFont="1" applyBorder="1"/>
    <xf numFmtId="165" fontId="8" fillId="2" borderId="15" xfId="0" applyNumberFormat="1" applyFont="1" applyBorder="1"/>
    <xf numFmtId="0" fontId="16" fillId="2" borderId="0" xfId="5" applyFont="1"/>
    <xf numFmtId="0" fontId="8" fillId="2" borderId="2" xfId="0" applyFont="1" applyBorder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/>
    <xf numFmtId="0" fontId="8" fillId="2" borderId="5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5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7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3" fontId="8" fillId="2" borderId="6" xfId="0" applyNumberFormat="1" applyFont="1" applyBorder="1" applyAlignment="1">
      <alignment horizontal="right" vertical="top"/>
    </xf>
    <xf numFmtId="0" fontId="15" fillId="5" borderId="6" xfId="4" applyFont="1" applyBorder="1">
      <protection locked="0"/>
    </xf>
    <xf numFmtId="0" fontId="15" fillId="5" borderId="0" xfId="4" applyFont="1" applyBorder="1">
      <protection locked="0"/>
    </xf>
    <xf numFmtId="0" fontId="15" fillId="5" borderId="5" xfId="4" applyFont="1" applyBorder="1">
      <protection locked="0"/>
    </xf>
    <xf numFmtId="9" fontId="15" fillId="5" borderId="16" xfId="4" applyNumberFormat="1" applyFont="1" applyBorder="1">
      <protection locked="0"/>
    </xf>
    <xf numFmtId="164" fontId="15" fillId="5" borderId="5" xfId="4" applyNumberFormat="1" applyFont="1" applyBorder="1">
      <protection locked="0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  <xf numFmtId="14" fontId="8" fillId="2" borderId="0" xfId="0" applyNumberFormat="1" applyFont="1" applyBorder="1"/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10.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 t="s">
        <v>92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2" t="s">
        <v>0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35.1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3" t="s">
        <v>7</v>
      </c>
      <c r="G11" s="123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71" t="s">
        <v>3</v>
      </c>
      <c r="G19" s="72" t="s">
        <v>80</v>
      </c>
      <c r="H19" s="72" t="s">
        <v>10</v>
      </c>
      <c r="I19" s="72" t="s">
        <v>11</v>
      </c>
      <c r="J19" s="72" t="s">
        <v>12</v>
      </c>
      <c r="K19" s="72" t="s">
        <v>36</v>
      </c>
      <c r="L19" s="73" t="s">
        <v>4</v>
      </c>
      <c r="M19" s="74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44682</v>
      </c>
      <c r="G20" s="75">
        <f>INDEX('Omkostningsindeks og vægte'!G$20:G$445,MATCH($F20,'Omkostningsindeks og vægte'!$F$20:$F$445,0))</f>
        <v>146.66651999999999</v>
      </c>
      <c r="H20" s="75">
        <f>INDEX('Omkostningsindeks og vægte'!H$20:H$445,MATCH($F20,'Omkostningsindeks og vægte'!$F$20:$F$445,0))</f>
        <v>144.25751503006015</v>
      </c>
      <c r="I20" s="75">
        <f>INDEX('Omkostningsindeks og vægte'!I$20:I$445,MATCH($F20,'Omkostningsindeks og vægte'!$F$20:$F$445,0))</f>
        <v>114.98979861482283</v>
      </c>
      <c r="J20" s="75">
        <f>INDEX('Omkostningsindeks og vægte'!J$20:J$445,MATCH($F20,'Omkostningsindeks og vægte'!$F$20:$F$445,0))</f>
        <v>1.24</v>
      </c>
      <c r="K20" s="75">
        <f>INDEX('Omkostningsindeks og vægte'!K$20:K$445,MATCH($F20,'Omkostningsindeks og vægte'!$F$20:$F$445,0))</f>
        <v>163.9</v>
      </c>
      <c r="L20" s="76">
        <f>INDEX('Omkostningsindeks og vægte'!L$20:L$445,MATCH($F20,'Omkostningsindeks og vægte'!$F$20:$F$445,0))</f>
        <v>128.65410579829475</v>
      </c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44713</v>
      </c>
      <c r="G21" s="75">
        <f>INDEX('Omkostningsindeks og vægte'!G$20:G$445,MATCH($F21,'Omkostningsindeks og vægte'!$F$20:$F$445,0))</f>
        <v>146.66651999999999</v>
      </c>
      <c r="H21" s="75">
        <f>INDEX('Omkostningsindeks og vægte'!H$20:H$445,MATCH($F21,'Omkostningsindeks og vægte'!$F$20:$F$445,0))</f>
        <v>146.62024048096194</v>
      </c>
      <c r="I21" s="75">
        <f>INDEX('Omkostningsindeks og vægte'!I$20:I$445,MATCH($F21,'Omkostningsindeks og vægte'!$F$20:$F$445,0))</f>
        <v>117.11175447678353</v>
      </c>
      <c r="J21" s="75">
        <f>INDEX('Omkostningsindeks og vægte'!J$20:J$445,MATCH($F21,'Omkostningsindeks og vægte'!$F$20:$F$445,0))</f>
        <v>1.58</v>
      </c>
      <c r="K21" s="75">
        <f>INDEX('Omkostningsindeks og vægte'!K$20:K$445,MATCH($F21,'Omkostningsindeks og vægte'!$F$20:$F$445,0))</f>
        <v>210.2</v>
      </c>
      <c r="L21" s="76">
        <f>INDEX('Omkostningsindeks og vægte'!L$20:L$445,MATCH($F21,'Omkostningsindeks og vægte'!$F$20:$F$445,0))</f>
        <v>132.9114901892512</v>
      </c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44743</v>
      </c>
      <c r="G22" s="75">
        <f>INDEX('Omkostningsindeks og vægte'!G$20:G$445,MATCH($F22,'Omkostningsindeks og vægte'!$F$20:$F$445,0))</f>
        <v>147.37359000000001</v>
      </c>
      <c r="H22" s="75">
        <f>INDEX('Omkostningsindeks og vægte'!H$20:H$445,MATCH($F22,'Omkostningsindeks og vægte'!$F$20:$F$445,0))</f>
        <v>147.93286573146295</v>
      </c>
      <c r="I22" s="75">
        <f>INDEX('Omkostningsindeks og vægte'!I$20:I$445,MATCH($F22,'Omkostningsindeks og vægte'!$F$20:$F$445,0))</f>
        <v>117.31384551125596</v>
      </c>
      <c r="J22" s="75">
        <f>INDEX('Omkostningsindeks og vægte'!J$20:J$445,MATCH($F22,'Omkostningsindeks og vægte'!$F$20:$F$445,0))</f>
        <v>1.84</v>
      </c>
      <c r="K22" s="75">
        <f>INDEX('Omkostningsindeks og vægte'!K$20:K$445,MATCH($F22,'Omkostningsindeks og vægte'!$F$20:$F$445,0))</f>
        <v>196.7</v>
      </c>
      <c r="L22" s="76">
        <f>INDEX('Omkostningsindeks og vægte'!L$20:L$445,MATCH($F22,'Omkostningsindeks og vægte'!$F$20:$F$445,0))</f>
        <v>132.88067687739454</v>
      </c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44774</v>
      </c>
      <c r="G23" s="75">
        <f>INDEX('Omkostningsindeks og vægte'!G$20:G$445,MATCH($F23,'Omkostningsindeks og vægte'!$F$20:$F$445,0))</f>
        <v>147.37359000000001</v>
      </c>
      <c r="H23" s="75">
        <f>INDEX('Omkostningsindeks og vægte'!H$20:H$445,MATCH($F23,'Omkostningsindeks og vægte'!$F$20:$F$445,0))</f>
        <v>149.11422845691382</v>
      </c>
      <c r="I23" s="75">
        <f>INDEX('Omkostningsindeks og vægte'!I$20:I$445,MATCH($F23,'Omkostningsindeks og vægte'!$F$20:$F$445,0))</f>
        <v>117.8190730974371</v>
      </c>
      <c r="J23" s="75">
        <f>INDEX('Omkostningsindeks og vægte'!J$20:J$445,MATCH($F23,'Omkostningsindeks og vægte'!$F$20:$F$445,0))</f>
        <v>2.0699999999999998</v>
      </c>
      <c r="K23" s="75">
        <f>INDEX('Omkostningsindeks og vægte'!K$20:K$445,MATCH($F23,'Omkostningsindeks og vægte'!$F$20:$F$445,0))</f>
        <v>199.2</v>
      </c>
      <c r="L23" s="76">
        <f>INDEX('Omkostningsindeks og vægte'!L$20:L$445,MATCH($F23,'Omkostningsindeks og vægte'!$F$20:$F$445,0))</f>
        <v>133.54361951970196</v>
      </c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44805</v>
      </c>
      <c r="G24" s="75">
        <f>INDEX('Omkostningsindeks og vægte'!G$20:G$445,MATCH($F24,'Omkostningsindeks og vægte'!$F$20:$F$445,0))</f>
        <v>147.37359000000001</v>
      </c>
      <c r="H24" s="75">
        <f>INDEX('Omkostningsindeks og vægte'!H$20:H$445,MATCH($F24,'Omkostningsindeks og vægte'!$F$20:$F$445,0))</f>
        <v>150.82064128256513</v>
      </c>
      <c r="I24" s="75">
        <f>INDEX('Omkostningsindeks og vægte'!I$20:I$445,MATCH($F24,'Omkostningsindeks og vægte'!$F$20:$F$445,0))</f>
        <v>118.93057378703557</v>
      </c>
      <c r="J24" s="75">
        <f>INDEX('Omkostningsindeks og vægte'!J$20:J$445,MATCH($F24,'Omkostningsindeks og vægte'!$F$20:$F$445,0))</f>
        <v>1.9</v>
      </c>
      <c r="K24" s="75">
        <f>INDEX('Omkostningsindeks og vægte'!K$20:K$445,MATCH($F24,'Omkostningsindeks og vægte'!$F$20:$F$445,0))</f>
        <v>240</v>
      </c>
      <c r="L24" s="76">
        <f>INDEX('Omkostningsindeks og vægte'!L$20:L$445,MATCH($F24,'Omkostningsindeks og vægte'!$F$20:$F$445,0))</f>
        <v>136.49847871309873</v>
      </c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44835</v>
      </c>
      <c r="G25" s="75">
        <f>INDEX('Omkostningsindeks og vægte'!G$20:G$445,MATCH($F25,'Omkostningsindeks og vægte'!$F$20:$F$445,0))</f>
        <v>148.68671999999998</v>
      </c>
      <c r="H25" s="75">
        <f>INDEX('Omkostningsindeks og vægte'!H$20:H$445,MATCH($F25,'Omkostningsindeks og vægte'!$F$20:$F$445,0))</f>
        <v>150.82064128256513</v>
      </c>
      <c r="I25" s="75">
        <f>INDEX('Omkostningsindeks og vægte'!I$20:I$445,MATCH($F25,'Omkostningsindeks og vægte'!$F$20:$F$445,0))</f>
        <v>119.63789240768914</v>
      </c>
      <c r="J25" s="75">
        <f>INDEX('Omkostningsindeks og vægte'!J$20:J$445,MATCH($F25,'Omkostningsindeks og vægte'!$F$20:$F$445,0))</f>
        <v>2.52</v>
      </c>
      <c r="K25" s="75">
        <f>INDEX('Omkostningsindeks og vægte'!K$20:K$445,MATCH($F25,'Omkostningsindeks og vægte'!$F$20:$F$445,0))</f>
        <v>235.8</v>
      </c>
      <c r="L25" s="76">
        <f>INDEX('Omkostningsindeks og vægte'!L$20:L$445,MATCH($F25,'Omkostningsindeks og vægte'!$F$20:$F$445,0))</f>
        <v>137.99928570555366</v>
      </c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44866</v>
      </c>
      <c r="G26" s="75">
        <f>INDEX('Omkostningsindeks og vægte'!G$20:G$445,MATCH($F26,'Omkostningsindeks og vægte'!$F$20:$F$445,0))</f>
        <v>148.68671999999998</v>
      </c>
      <c r="H26" s="75">
        <f>INDEX('Omkostningsindeks og vægte'!H$20:H$445,MATCH($F26,'Omkostningsindeks og vægte'!$F$20:$F$445,0))</f>
        <v>152.78957915831666</v>
      </c>
      <c r="I26" s="75">
        <f>INDEX('Omkostningsindeks og vægte'!I$20:I$445,MATCH($F26,'Omkostningsindeks og vægte'!$F$20:$F$445,0))</f>
        <v>119.73893792492535</v>
      </c>
      <c r="J26" s="75">
        <f>INDEX('Omkostningsindeks og vægte'!J$20:J$445,MATCH($F26,'Omkostningsindeks og vægte'!$F$20:$F$445,0))</f>
        <v>3.22</v>
      </c>
      <c r="K26" s="75">
        <f>INDEX('Omkostningsindeks og vægte'!K$20:K$445,MATCH($F26,'Omkostningsindeks og vægte'!$F$20:$F$445,0))</f>
        <v>320.8</v>
      </c>
      <c r="L26" s="76">
        <f>INDEX('Omkostningsindeks og vægte'!L$20:L$445,MATCH($F26,'Omkostningsindeks og vægte'!$F$20:$F$445,0))</f>
        <v>145.34982395039387</v>
      </c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44896</v>
      </c>
      <c r="G27" s="75">
        <f>INDEX('Omkostningsindeks og vægte'!G$20:G$445,MATCH($F27,'Omkostningsindeks og vægte'!$F$20:$F$445,0))</f>
        <v>148.68671999999998</v>
      </c>
      <c r="H27" s="75">
        <f>INDEX('Omkostningsindeks og vægte'!H$20:H$445,MATCH($F27,'Omkostningsindeks og vægte'!$F$20:$F$445,0))</f>
        <v>154.36472945891785</v>
      </c>
      <c r="I27" s="75">
        <f>INDEX('Omkostningsindeks og vægte'!I$20:I$445,MATCH($F27,'Omkostningsindeks og vægte'!$F$20:$F$445,0))</f>
        <v>121.86089378688604</v>
      </c>
      <c r="J27" s="75">
        <f>INDEX('Omkostningsindeks og vægte'!J$20:J$445,MATCH($F27,'Omkostningsindeks og vægte'!$F$20:$F$445,0))</f>
        <v>3.06</v>
      </c>
      <c r="K27" s="75">
        <f>INDEX('Omkostningsindeks og vægte'!K$20:K$445,MATCH($F27,'Omkostningsindeks og vægte'!$F$20:$F$445,0))</f>
        <v>344.1</v>
      </c>
      <c r="L27" s="76">
        <f>INDEX('Omkostningsindeks og vægte'!L$20:L$445,MATCH($F27,'Omkostningsindeks og vægte'!$F$20:$F$445,0))</f>
        <v>147.14541956190737</v>
      </c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44927</v>
      </c>
      <c r="G28" s="75">
        <f>INDEX('Omkostningsindeks og vægte'!G$20:G$445,MATCH($F28,'Omkostningsindeks og vægte'!$F$20:$F$445,0))</f>
        <v>149.69681999999997</v>
      </c>
      <c r="H28" s="75">
        <f>INDEX('Omkostningsindeks og vægte'!H$20:H$445,MATCH($F28,'Omkostningsindeks og vægte'!$F$20:$F$445,0))</f>
        <v>153.05210420841684</v>
      </c>
      <c r="I28" s="75">
        <f>INDEX('Omkostningsindeks og vægte'!I$20:I$445,MATCH($F28,'Omkostningsindeks og vægte'!$F$20:$F$445,0))</f>
        <v>122.16403033859473</v>
      </c>
      <c r="J28" s="75">
        <f>INDEX('Omkostningsindeks og vægte'!J$20:J$445,MATCH($F28,'Omkostningsindeks og vægte'!$F$20:$F$445,0))</f>
        <v>2.86</v>
      </c>
      <c r="K28" s="75">
        <f>INDEX('Omkostningsindeks og vægte'!K$20:K$445,MATCH($F28,'Omkostningsindeks og vægte'!$F$20:$F$445,0))</f>
        <v>315.8</v>
      </c>
      <c r="L28" s="76">
        <f>INDEX('Omkostningsindeks og vægte'!L$20:L$445,MATCH($F28,'Omkostningsindeks og vægte'!$F$20:$F$445,0))</f>
        <v>145.36270819400971</v>
      </c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44958</v>
      </c>
      <c r="G29" s="75">
        <f>INDEX('Omkostningsindeks og vægte'!G$20:G$445,MATCH($F29,'Omkostningsindeks og vægte'!$F$20:$F$445,0))</f>
        <v>149.69681999999997</v>
      </c>
      <c r="H29" s="75">
        <f>INDEX('Omkostningsindeks og vægte'!H$20:H$445,MATCH($F29,'Omkostningsindeks og vægte'!$F$20:$F$445,0))</f>
        <v>152.13326653306615</v>
      </c>
      <c r="I29" s="75">
        <f>INDEX('Omkostningsindeks og vægte'!I$20:I$445,MATCH($F29,'Omkostningsindeks og vægte'!$F$20:$F$445,0))</f>
        <v>122.26507585583094</v>
      </c>
      <c r="J29" s="75">
        <f>INDEX('Omkostningsindeks og vægte'!J$20:J$445,MATCH($F29,'Omkostningsindeks og vægte'!$F$20:$F$445,0))</f>
        <v>3.33</v>
      </c>
      <c r="K29" s="75">
        <f>INDEX('Omkostningsindeks og vægte'!K$20:K$445,MATCH($F29,'Omkostningsindeks og vægte'!$F$20:$F$445,0))</f>
        <v>282.60000000000002</v>
      </c>
      <c r="L29" s="76">
        <f>INDEX('Omkostningsindeks og vægte'!L$20:L$445,MATCH($F29,'Omkostningsindeks og vægte'!$F$20:$F$445,0))</f>
        <v>143.58548137058037</v>
      </c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44986</v>
      </c>
      <c r="G30" s="75">
        <f>INDEX('Omkostningsindeks og vægte'!G$20:G$445,MATCH($F30,'Omkostningsindeks og vægte'!$F$20:$F$445,0))</f>
        <v>149.69681999999997</v>
      </c>
      <c r="H30" s="75">
        <f>INDEX('Omkostningsindeks og vægte'!H$20:H$445,MATCH($F30,'Omkostningsindeks og vægte'!$F$20:$F$445,0))</f>
        <v>152.78957915831666</v>
      </c>
      <c r="I30" s="75">
        <f>INDEX('Omkostningsindeks og vægte'!I$20:I$445,MATCH($F30,'Omkostningsindeks og vægte'!$F$20:$F$445,0))</f>
        <v>123.98284964884677</v>
      </c>
      <c r="J30" s="75">
        <f>INDEX('Omkostningsindeks og vægte'!J$20:J$445,MATCH($F30,'Omkostningsindeks og vægte'!$F$20:$F$445,0))</f>
        <v>3.26</v>
      </c>
      <c r="K30" s="75">
        <f>INDEX('Omkostningsindeks og vægte'!K$20:K$445,MATCH($F30,'Omkostningsindeks og vægte'!$F$20:$F$445,0))</f>
        <v>310</v>
      </c>
      <c r="L30" s="76">
        <f>INDEX('Omkostningsindeks og vægte'!L$20:L$445,MATCH($F30,'Omkostningsindeks og vægte'!$F$20:$F$445,0))</f>
        <v>145.69689393955491</v>
      </c>
      <c r="M30" s="74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45017</v>
      </c>
      <c r="G31" s="75">
        <f>INDEX('Omkostningsindeks og vægte'!G$20:G$445,MATCH($F31,'Omkostningsindeks og vægte'!$F$20:$F$445,0))</f>
        <v>150.90894</v>
      </c>
      <c r="H31" s="75">
        <f>INDEX('Omkostningsindeks og vægte'!H$20:H$445,MATCH($F31,'Omkostningsindeks og vægte'!$F$20:$F$445,0))</f>
        <v>154.23346693386776</v>
      </c>
      <c r="I31" s="75">
        <f>INDEX('Omkostningsindeks og vægte'!I$20:I$445,MATCH($F31,'Omkostningsindeks og vægte'!$F$20:$F$445,0))</f>
        <v>123.57866757990186</v>
      </c>
      <c r="J31" s="75">
        <f>INDEX('Omkostningsindeks og vægte'!J$20:J$445,MATCH($F31,'Omkostningsindeks og vægte'!$F$20:$F$445,0))</f>
        <v>3.58</v>
      </c>
      <c r="K31" s="75">
        <f>INDEX('Omkostningsindeks og vægte'!K$20:K$445,MATCH($F31,'Omkostningsindeks og vægte'!$F$20:$F$445,0))</f>
        <v>300.89999999999998</v>
      </c>
      <c r="L31" s="76">
        <f>INDEX('Omkostningsindeks og vægte'!L$20:L$445,MATCH($F31,'Omkostningsindeks og vægte'!$F$20:$F$445,0))</f>
        <v>146.3367940057758</v>
      </c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45047</v>
      </c>
      <c r="G32" s="75">
        <f>INDEX('Omkostningsindeks og vægte'!G$20:G$445,MATCH($F32,'Omkostningsindeks og vægte'!$F$20:$F$445,0))</f>
        <v>150.90894</v>
      </c>
      <c r="H32" s="75">
        <f>INDEX('Omkostningsindeks og vægte'!H$20:H$445,MATCH($F32,'Omkostningsindeks og vægte'!$F$20:$F$445,0))</f>
        <v>153.97094188376755</v>
      </c>
      <c r="I32" s="75">
        <f>INDEX('Omkostningsindeks og vægte'!I$20:I$445,MATCH($F32,'Omkostningsindeks og vægte'!$F$20:$F$445,0))</f>
        <v>124.1849406833192</v>
      </c>
      <c r="J32" s="75">
        <f>INDEX('Omkostningsindeks og vægte'!J$20:J$445,MATCH($F32,'Omkostningsindeks og vægte'!$F$20:$F$445,0))</f>
        <v>3.32</v>
      </c>
      <c r="K32" s="75">
        <f>INDEX('Omkostningsindeks og vægte'!K$20:K$445,MATCH($F32,'Omkostningsindeks og vægte'!$F$20:$F$445,0))</f>
        <v>294.2</v>
      </c>
      <c r="L32" s="76">
        <f>INDEX('Omkostningsindeks og vægte'!L$20:L$445,MATCH($F32,'Omkostningsindeks og vægte'!$F$20:$F$445,0))</f>
        <v>145.51192223316914</v>
      </c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45078</v>
      </c>
      <c r="G33" s="75">
        <f>INDEX('Omkostningsindeks og vægte'!G$20:G$445,MATCH($F33,'Omkostningsindeks og vægte'!$F$20:$F$445,0))</f>
        <v>150.90894</v>
      </c>
      <c r="H33" s="75">
        <f>INDEX('Omkostningsindeks og vægte'!H$20:H$445,MATCH($F33,'Omkostningsindeks og vægte'!$F$20:$F$445,0))</f>
        <v>154.36472945891785</v>
      </c>
      <c r="I33" s="75">
        <f>INDEX('Omkostningsindeks og vægte'!I$20:I$445,MATCH($F33,'Omkostningsindeks og vægte'!$F$20:$F$445,0))</f>
        <v>124.28598620055541</v>
      </c>
      <c r="J33" s="75">
        <f>INDEX('Omkostningsindeks og vægte'!J$20:J$445,MATCH($F33,'Omkostningsindeks og vægte'!$F$20:$F$445,0))</f>
        <v>3.35</v>
      </c>
      <c r="K33" s="75">
        <f>INDEX('Omkostningsindeks og vægte'!K$20:K$445,MATCH($F33,'Omkostningsindeks og vægte'!$F$20:$F$445,0))</f>
        <v>276.8</v>
      </c>
      <c r="L33" s="76">
        <f>INDEX('Omkostningsindeks og vægte'!L$20:L$445,MATCH($F33,'Omkostningsindeks og vægte'!$F$20:$F$445,0))</f>
        <v>144.33620312694404</v>
      </c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45108</v>
      </c>
      <c r="G34" s="75">
        <f>INDEX('Omkostningsindeks og vægte'!G$20:G$445,MATCH($F34,'Omkostningsindeks og vægte'!$F$20:$F$445,0))</f>
        <v>152.32308</v>
      </c>
      <c r="H34" s="75">
        <f>INDEX('Omkostningsindeks og vægte'!H$20:H$445,MATCH($F34,'Omkostningsindeks og vægte'!$F$20:$F$445,0))</f>
        <v>152.26452905811624</v>
      </c>
      <c r="I34" s="75">
        <f>INDEX('Omkostningsindeks og vægte'!I$20:I$445,MATCH($F34,'Omkostningsindeks og vægte'!$F$20:$F$445,0))</f>
        <v>123.98284964884677</v>
      </c>
      <c r="J34" s="75">
        <f>INDEX('Omkostningsindeks og vægte'!J$20:J$445,MATCH($F34,'Omkostningsindeks og vægte'!$F$20:$F$445,0))</f>
        <v>3.45</v>
      </c>
      <c r="K34" s="75">
        <f>INDEX('Omkostningsindeks og vægte'!K$20:K$445,MATCH($F34,'Omkostningsindeks og vægte'!$F$20:$F$445,0))</f>
        <v>162.9</v>
      </c>
      <c r="L34" s="76">
        <f>INDEX('Omkostningsindeks og vægte'!L$20:L$445,MATCH($F34,'Omkostningsindeks og vægte'!$F$20:$F$445,0))</f>
        <v>136.9198220098022</v>
      </c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45139</v>
      </c>
      <c r="G35" s="75">
        <f>INDEX('Omkostningsindeks og vægte'!G$20:G$445,MATCH($F35,'Omkostningsindeks og vægte'!$F$20:$F$445,0))</f>
        <v>152.32308</v>
      </c>
      <c r="H35" s="75">
        <f>INDEX('Omkostningsindeks og vægte'!H$20:H$445,MATCH($F35,'Omkostningsindeks og vægte'!$F$20:$F$445,0))</f>
        <v>152.78957915831666</v>
      </c>
      <c r="I35" s="75">
        <f>INDEX('Omkostningsindeks og vægte'!I$20:I$445,MATCH($F35,'Omkostningsindeks og vægte'!$F$20:$F$445,0))</f>
        <v>124.58912275226409</v>
      </c>
      <c r="J35" s="75">
        <f>INDEX('Omkostningsindeks og vægte'!J$20:J$445,MATCH($F35,'Omkostningsindeks og vægte'!$F$20:$F$445,0))</f>
        <v>3.69</v>
      </c>
      <c r="K35" s="75">
        <f>INDEX('Omkostningsindeks og vægte'!K$20:K$445,MATCH($F35,'Omkostningsindeks og vægte'!$F$20:$F$445,0))</f>
        <v>161.19999999999999</v>
      </c>
      <c r="L35" s="76">
        <f>INDEX('Omkostningsindeks og vægte'!L$20:L$445,MATCH($F35,'Omkostningsindeks og vægte'!$F$20:$F$445,0))</f>
        <v>137.25239119055155</v>
      </c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45170</v>
      </c>
      <c r="G36" s="75">
        <f>INDEX('Omkostningsindeks og vægte'!G$20:G$445,MATCH($F36,'Omkostningsindeks og vægte'!$F$20:$F$445,0))</f>
        <v>152.32308</v>
      </c>
      <c r="H36" s="75">
        <f>INDEX('Omkostningsindeks og vægte'!H$20:H$445,MATCH($F36,'Omkostningsindeks og vægte'!$F$20:$F$445,0))</f>
        <v>155.54609218436875</v>
      </c>
      <c r="I36" s="75">
        <f>INDEX('Omkostningsindeks og vægte'!I$20:I$445,MATCH($F36,'Omkostningsindeks og vægte'!$F$20:$F$445,0))</f>
        <v>125.90271447633499</v>
      </c>
      <c r="J36" s="75">
        <f>INDEX('Omkostningsindeks og vægte'!J$20:J$445,MATCH($F36,'Omkostningsindeks og vægte'!$F$20:$F$445,0))</f>
        <v>3.67</v>
      </c>
      <c r="K36" s="75">
        <f>INDEX('Omkostningsindeks og vægte'!K$20:K$445,MATCH($F36,'Omkostningsindeks og vægte'!$F$20:$F$445,0))</f>
        <v>144.5</v>
      </c>
      <c r="L36" s="76">
        <f>INDEX('Omkostningsindeks og vægte'!L$20:L$445,MATCH($F36,'Omkostningsindeks og vægte'!$F$20:$F$445,0))</f>
        <v>136.36341660437478</v>
      </c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45200</v>
      </c>
      <c r="G37" s="75">
        <f>INDEX('Omkostningsindeks og vægte'!G$20:G$445,MATCH($F37,'Omkostningsindeks og vægte'!$F$20:$F$445,0))</f>
        <v>153.13115999999999</v>
      </c>
      <c r="H37" s="75">
        <f>INDEX('Omkostningsindeks og vægte'!H$20:H$445,MATCH($F37,'Omkostningsindeks og vægte'!$F$20:$F$445,0))</f>
        <v>154.49599198396794</v>
      </c>
      <c r="I37" s="75">
        <f>INDEX('Omkostningsindeks og vægte'!I$20:I$445,MATCH($F37,'Omkostningsindeks og vægte'!$F$20:$F$445,0))</f>
        <v>125.59957792462635</v>
      </c>
      <c r="J37" s="75">
        <f>INDEX('Omkostningsindeks og vægte'!J$20:J$445,MATCH($F37,'Omkostningsindeks og vægte'!$F$20:$F$445,0))</f>
        <v>3.67</v>
      </c>
      <c r="K37" s="75">
        <f>INDEX('Omkostningsindeks og vægte'!K$20:K$445,MATCH($F37,'Omkostningsindeks og vægte'!$F$20:$F$445,0))</f>
        <v>134.5</v>
      </c>
      <c r="L37" s="76">
        <f>INDEX('Omkostningsindeks og vægte'!L$20:L$445,MATCH($F37,'Omkostningsindeks og vægte'!$F$20:$F$445,0))</f>
        <v>136.03161137713897</v>
      </c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45231</v>
      </c>
      <c r="G38" s="75">
        <f>INDEX('Omkostningsindeks og vægte'!G$20:G$445,MATCH($F38,'Omkostningsindeks og vægte'!$F$20:$F$445,0))</f>
        <v>153.13115999999999</v>
      </c>
      <c r="H38" s="75">
        <f>INDEX('Omkostningsindeks og vægte'!H$20:H$445,MATCH($F38,'Omkostningsindeks og vægte'!$F$20:$F$445,0))</f>
        <v>154.10220440881764</v>
      </c>
      <c r="I38" s="75">
        <f>INDEX('Omkostningsindeks og vægte'!I$20:I$445,MATCH($F38,'Omkostningsindeks og vægte'!$F$20:$F$445,0))</f>
        <v>125.29644137291767</v>
      </c>
      <c r="J38" s="75">
        <f>INDEX('Omkostningsindeks og vægte'!J$20:J$445,MATCH($F38,'Omkostningsindeks og vægte'!$F$20:$F$445,0))</f>
        <v>3.81</v>
      </c>
      <c r="K38" s="75">
        <f>INDEX('Omkostningsindeks og vægte'!K$20:K$445,MATCH($F38,'Omkostningsindeks og vægte'!$F$20:$F$445,0))</f>
        <v>137</v>
      </c>
      <c r="L38" s="76">
        <f>INDEX('Omkostningsindeks og vægte'!L$20:L$445,MATCH($F38,'Omkostningsindeks og vægte'!$F$20:$F$445,0))</f>
        <v>136.35621511813383</v>
      </c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45261</v>
      </c>
      <c r="G39" s="75">
        <f>INDEX('Omkostningsindeks og vægte'!G$20:G$445,MATCH($F39,'Omkostningsindeks og vægte'!$F$20:$F$445,0))</f>
        <v>153.13115999999999</v>
      </c>
      <c r="H39" s="75">
        <f>INDEX('Omkostningsindeks og vægte'!H$20:H$445,MATCH($F39,'Omkostningsindeks og vægte'!$F$20:$F$445,0))</f>
        <v>154.49599198396794</v>
      </c>
      <c r="I39" s="75">
        <f>INDEX('Omkostningsindeks og vægte'!I$20:I$445,MATCH($F39,'Omkostningsindeks og vægte'!$F$20:$F$445,0))</f>
        <v>125.19539585568144</v>
      </c>
      <c r="J39" s="75">
        <f>INDEX('Omkostningsindeks og vægte'!J$20:J$445,MATCH($F39,'Omkostningsindeks og vægte'!$F$20:$F$445,0))</f>
        <v>3.78</v>
      </c>
      <c r="K39" s="75">
        <f>INDEX('Omkostningsindeks og vægte'!K$20:K$445,MATCH($F39,'Omkostningsindeks og vægte'!$F$20:$F$445,0))</f>
        <v>143.69999999999999</v>
      </c>
      <c r="L39" s="76">
        <f>INDEX('Omkostningsindeks og vægte'!L$20:L$445,MATCH($F39,'Omkostningsindeks og vægte'!$F$20:$F$445,0))</f>
        <v>136.81794139774956</v>
      </c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45292</v>
      </c>
      <c r="G40" s="75">
        <f>INDEX('Omkostningsindeks og vægte'!G$20:G$445,MATCH($F40,'Omkostningsindeks og vægte'!$F$20:$F$445,0))</f>
        <v>155.05035000000001</v>
      </c>
      <c r="H40" s="75">
        <f>INDEX('Omkostningsindeks og vægte'!H$20:H$445,MATCH($F40,'Omkostningsindeks og vægte'!$F$20:$F$445,0))</f>
        <v>153.97094188376755</v>
      </c>
      <c r="I40" s="75">
        <f>INDEX('Omkostningsindeks og vægte'!I$20:I$445,MATCH($F40,'Omkostningsindeks og vægte'!$F$20:$F$445,0))</f>
        <v>125.2015771995201</v>
      </c>
      <c r="J40" s="75">
        <f>INDEX('Omkostningsindeks og vægte'!J$20:J$445,MATCH($F40,'Omkostningsindeks og vægte'!$F$20:$F$445,0))</f>
        <v>3.51</v>
      </c>
      <c r="K40" s="75">
        <f>INDEX('Omkostningsindeks og vægte'!K$20:K$445,MATCH($F40,'Omkostningsindeks og vægte'!$F$20:$F$445,0))</f>
        <v>147.80000000000001</v>
      </c>
      <c r="L40" s="76">
        <f>INDEX('Omkostningsindeks og vægte'!L$20:L$445,MATCH($F40,'Omkostningsindeks og vægte'!$F$20:$F$445,0))</f>
        <v>137.83784397696471</v>
      </c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45323</v>
      </c>
      <c r="G41" s="75">
        <f>INDEX('Omkostningsindeks og vægte'!G$20:G$445,MATCH($F41,'Omkostningsindeks og vægte'!$F$20:$F$445,0))</f>
        <v>155.05035000000001</v>
      </c>
      <c r="H41" s="75">
        <f>INDEX('Omkostningsindeks og vægte'!H$20:H$445,MATCH($F41,'Omkostningsindeks og vægte'!$F$20:$F$445,0))</f>
        <v>153.18336673346695</v>
      </c>
      <c r="I41" s="75">
        <f>INDEX('Omkostningsindeks og vægte'!I$20:I$445,MATCH($F41,'Omkostningsindeks og vægte'!$F$20:$F$445,0))</f>
        <v>124.99882160891359</v>
      </c>
      <c r="J41" s="75">
        <f>INDEX('Omkostningsindeks og vægte'!J$20:J$445,MATCH($F41,'Omkostningsindeks og vægte'!$F$20:$F$445,0))</f>
        <v>3.18</v>
      </c>
      <c r="K41" s="75">
        <f>INDEX('Omkostningsindeks og vægte'!K$20:K$445,MATCH($F41,'Omkostningsindeks og vægte'!$F$20:$F$445,0))</f>
        <v>150.30000000000001</v>
      </c>
      <c r="L41" s="76">
        <f>INDEX('Omkostningsindeks og vægte'!L$20:L$445,MATCH($F41,'Omkostningsindeks og vægte'!$F$20:$F$445,0))</f>
        <v>137.45247606417558</v>
      </c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45352</v>
      </c>
      <c r="G42" s="75">
        <f>INDEX('Omkostningsindeks og vægte'!G$20:G$445,MATCH($F42,'Omkostningsindeks og vægte'!$F$20:$F$445,0))</f>
        <v>155.05035000000001</v>
      </c>
      <c r="H42" s="75">
        <f>INDEX('Omkostningsindeks og vægte'!H$20:H$445,MATCH($F42,'Omkostningsindeks og vægte'!$F$20:$F$445,0))</f>
        <v>154.62725450901803</v>
      </c>
      <c r="I42" s="75">
        <f>INDEX('Omkostningsindeks og vægte'!I$20:I$445,MATCH($F42,'Omkostningsindeks og vægte'!$F$20:$F$445,0))</f>
        <v>123.98504365588104</v>
      </c>
      <c r="J42" s="75">
        <f>INDEX('Omkostningsindeks og vægte'!J$20:J$445,MATCH($F42,'Omkostningsindeks og vægte'!$F$20:$F$445,0))</f>
        <v>3.23</v>
      </c>
      <c r="K42" s="75">
        <f>INDEX('Omkostningsindeks og vægte'!K$20:K$445,MATCH($F42,'Omkostningsindeks og vægte'!$F$20:$F$445,0))</f>
        <v>166.1</v>
      </c>
      <c r="L42" s="76">
        <f>INDEX('Omkostningsindeks og vægte'!L$20:L$445,MATCH($F42,'Omkostningsindeks og vægte'!$F$20:$F$445,0))</f>
        <v>138.67888404177921</v>
      </c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45383</v>
      </c>
      <c r="G43" s="75">
        <f>INDEX('Omkostningsindeks og vægte'!G$20:G$445,MATCH($F43,'Omkostningsindeks og vægte'!$F$20:$F$445,0))</f>
        <v>156.36348000000001</v>
      </c>
      <c r="H43" s="75">
        <f>INDEX('Omkostningsindeks og vægte'!H$20:H$445,MATCH($F43,'Omkostningsindeks og vægte'!$F$20:$F$445,0))</f>
        <v>155.41482965931866</v>
      </c>
      <c r="I43" s="75">
        <f>INDEX('Omkostningsindeks og vægte'!I$20:I$445,MATCH($F43,'Omkostningsindeks og vægte'!$F$20:$F$445,0))</f>
        <v>124.28917704179081</v>
      </c>
      <c r="J43" s="75">
        <f>INDEX('Omkostningsindeks og vægte'!J$20:J$445,MATCH($F43,'Omkostningsindeks og vægte'!$F$20:$F$445,0))</f>
        <v>3.38</v>
      </c>
      <c r="K43" s="75">
        <f>INDEX('Omkostningsindeks og vægte'!K$20:K$445,MATCH($F43,'Omkostningsindeks og vægte'!$F$20:$F$445,0))</f>
        <v>162</v>
      </c>
      <c r="L43" s="76">
        <f>INDEX('Omkostningsindeks og vægte'!L$20:L$445,MATCH($F43,'Omkostningsindeks og vægte'!$F$20:$F$445,0))</f>
        <v>139.51681721738859</v>
      </c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45413</v>
      </c>
      <c r="G44" s="75">
        <f>INDEX('Omkostningsindeks og vægte'!G$20:G$445,MATCH($F44,'Omkostningsindeks og vægte'!$F$20:$F$445,0))</f>
        <v>156.36348000000001</v>
      </c>
      <c r="H44" s="75">
        <f>INDEX('Omkostningsindeks og vægte'!H$20:H$445,MATCH($F44,'Omkostningsindeks og vægte'!$F$20:$F$445,0))</f>
        <v>155.41482965931866</v>
      </c>
      <c r="I44" s="75">
        <f>INDEX('Omkostningsindeks og vægte'!I$20:I$445,MATCH($F44,'Omkostningsindeks og vægte'!$F$20:$F$445,0))</f>
        <v>123.88366586057779</v>
      </c>
      <c r="J44" s="75">
        <f>INDEX('Omkostningsindeks og vægte'!J$20:J$445,MATCH($F44,'Omkostningsindeks og vægte'!$F$20:$F$445,0))</f>
        <v>3.39</v>
      </c>
      <c r="K44" s="75">
        <f>INDEX('Omkostningsindeks og vægte'!K$20:K$445,MATCH($F44,'Omkostningsindeks og vægte'!$F$20:$F$445,0))</f>
        <v>161.1</v>
      </c>
      <c r="L44" s="76">
        <f>INDEX('Omkostningsindeks og vægte'!L$20:L$445,MATCH($F44,'Omkostningsindeks og vægte'!$F$20:$F$445,0))</f>
        <v>139.42451265591916</v>
      </c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45444</v>
      </c>
      <c r="G45" s="75">
        <f>INDEX('Omkostningsindeks og vægte'!G$20:G$445,MATCH($F45,'Omkostningsindeks og vægte'!$F$20:$F$445,0))</f>
        <v>156.36348000000001</v>
      </c>
      <c r="H45" s="75">
        <f>INDEX('Omkostningsindeks og vægte'!H$20:H$445,MATCH($F45,'Omkostningsindeks og vægte'!$F$20:$F$445,0))</f>
        <v>155.54609218436875</v>
      </c>
      <c r="I45" s="75">
        <f>INDEX('Omkostningsindeks og vægte'!I$20:I$445,MATCH($F45,'Omkostningsindeks og vægte'!$F$20:$F$445,0))</f>
        <v>124.39055483709407</v>
      </c>
      <c r="J45" s="75">
        <f>INDEX('Omkostningsindeks og vægte'!J$20:J$445,MATCH($F45,'Omkostningsindeks og vægte'!$F$20:$F$445,0))</f>
        <v>3.43</v>
      </c>
      <c r="K45" s="75">
        <f>INDEX('Omkostningsindeks og vægte'!K$20:K$445,MATCH($F45,'Omkostningsindeks og vægte'!$F$20:$F$445,0))</f>
        <v>127.9</v>
      </c>
      <c r="L45" s="76">
        <f>INDEX('Omkostningsindeks og vægte'!L$20:L$445,MATCH($F45,'Omkostningsindeks og vægte'!$F$20:$F$445,0))</f>
        <v>137.13984679103868</v>
      </c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45474</v>
      </c>
      <c r="G46" s="75">
        <f>INDEX('Omkostningsindeks og vægte'!G$20:G$445,MATCH($F46,'Omkostningsindeks og vægte'!$F$20:$F$445,0))</f>
        <v>157.67660999999998</v>
      </c>
      <c r="H46" s="75">
        <f>INDEX('Omkostningsindeks og vægte'!H$20:H$445,MATCH($F46,'Omkostningsindeks og vægte'!$F$20:$F$445,0))</f>
        <v>155.54609218436875</v>
      </c>
      <c r="I46" s="75">
        <f>INDEX('Omkostningsindeks og vægte'!I$20:I$445,MATCH($F46,'Omkostningsindeks og vægte'!$F$20:$F$445,0))</f>
        <v>124.89744381361034</v>
      </c>
      <c r="J46" s="75">
        <f>INDEX('Omkostningsindeks og vægte'!J$20:J$445,MATCH($F46,'Omkostningsindeks og vægte'!$F$20:$F$445,0))</f>
        <v>3.49</v>
      </c>
      <c r="K46" s="75">
        <f>INDEX('Omkostningsindeks og vægte'!K$20:K$445,MATCH($F46,'Omkostningsindeks og vægte'!$F$20:$F$445,0))</f>
        <v>127.9</v>
      </c>
      <c r="L46" s="76">
        <f>INDEX('Omkostningsindeks og vægte'!L$20:L$445,MATCH($F46,'Omkostningsindeks og vægte'!$F$20:$F$445,0))</f>
        <v>138.1023175632821</v>
      </c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45505</v>
      </c>
      <c r="G47" s="75">
        <f>INDEX('Omkostningsindeks og vægte'!G$20:G$445,MATCH($F47,'Omkostningsindeks og vægte'!$F$20:$F$445,0))</f>
        <v>157.67660999999998</v>
      </c>
      <c r="H47" s="75">
        <f>INDEX('Omkostningsindeks og vægte'!H$20:H$445,MATCH($F47,'Omkostningsindeks og vægte'!$F$20:$F$445,0))</f>
        <v>155.54609218436875</v>
      </c>
      <c r="I47" s="75">
        <f>INDEX('Omkostningsindeks og vægte'!I$20:I$445,MATCH($F47,'Omkostningsindeks og vægte'!$F$20:$F$445,0))</f>
        <v>124.89744381361034</v>
      </c>
      <c r="J47" s="75">
        <f>INDEX('Omkostningsindeks og vægte'!J$20:J$445,MATCH($F47,'Omkostningsindeks og vægte'!$F$20:$F$445,0))</f>
        <v>3.4</v>
      </c>
      <c r="K47" s="75">
        <f>INDEX('Omkostningsindeks og vægte'!K$20:K$445,MATCH($F47,'Omkostningsindeks og vægte'!$F$20:$F$445,0))</f>
        <v>129.6</v>
      </c>
      <c r="L47" s="76">
        <f>INDEX('Omkostningsindeks og vægte'!L$20:L$445,MATCH($F47,'Omkostningsindeks og vægte'!$F$20:$F$445,0))</f>
        <v>138.09343049738109</v>
      </c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45536</v>
      </c>
      <c r="G48" s="75">
        <f>INDEX('Omkostningsindeks og vægte'!G$20:G$445,MATCH($F48,'Omkostningsindeks og vægte'!$F$20:$F$445,0))</f>
        <v>157.67660999999998</v>
      </c>
      <c r="H48" s="75">
        <f>INDEX('Omkostningsindeks og vægte'!H$20:H$445,MATCH($F48,'Omkostningsindeks og vægte'!$F$20:$F$445,0))</f>
        <v>157.25250501002006</v>
      </c>
      <c r="I48" s="75">
        <f>INDEX('Omkostningsindeks og vægte'!I$20:I$445,MATCH($F48,'Omkostningsindeks og vægte'!$F$20:$F$445,0))</f>
        <v>125.10019940421685</v>
      </c>
      <c r="J48" s="75">
        <f>INDEX('Omkostningsindeks og vægte'!J$20:J$445,MATCH($F48,'Omkostningsindeks og vægte'!$F$20:$F$445,0))</f>
        <v>3.12</v>
      </c>
      <c r="K48" s="75">
        <f>INDEX('Omkostningsindeks og vægte'!K$20:K$445,MATCH($F48,'Omkostningsindeks og vægte'!$F$20:$F$445,0))</f>
        <v>130.4</v>
      </c>
      <c r="L48" s="76">
        <f>INDEX('Omkostningsindeks og vægte'!L$20:L$445,MATCH($F48,'Omkostningsindeks og vægte'!$F$20:$F$445,0))</f>
        <v>137.89434838882423</v>
      </c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45566</v>
      </c>
      <c r="G49" s="75">
        <f>INDEX('Omkostningsindeks og vægte'!G$20:G$445,MATCH($F49,'Omkostningsindeks og vægte'!$F$20:$F$445,0))</f>
        <v>162.86760950617284</v>
      </c>
      <c r="H49" s="75">
        <f>INDEX('Omkostningsindeks og vægte'!H$20:H$445,MATCH($F49,'Omkostningsindeks og vægte'!$F$20:$F$445,0))</f>
        <v>156.59619238476955</v>
      </c>
      <c r="I49" s="75">
        <f>INDEX('Omkostningsindeks og vægte'!I$20:I$445,MATCH($F49,'Omkostningsindeks og vægte'!$F$20:$F$445,0))</f>
        <v>125.30295499482335</v>
      </c>
      <c r="J49" s="75">
        <f>INDEX('Omkostningsindeks og vægte'!J$20:J$445,MATCH($F49,'Omkostningsindeks og vægte'!$F$20:$F$445,0))</f>
        <v>3.05</v>
      </c>
      <c r="K49" s="75">
        <f>INDEX('Omkostningsindeks og vægte'!K$20:K$445,MATCH($F49,'Omkostningsindeks og vægte'!$F$20:$F$445,0))</f>
        <v>153.4</v>
      </c>
      <c r="L49" s="76">
        <f>INDEX('Omkostningsindeks og vægte'!L$20:L$445,MATCH($F49,'Omkostningsindeks og vægte'!$F$20:$F$445,0))</f>
        <v>142.67837915508517</v>
      </c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45597</v>
      </c>
      <c r="G50" s="75">
        <f>INDEX('Omkostningsindeks og vægte'!G$20:G$445,MATCH($F50,'Omkostningsindeks og vægte'!$F$20:$F$445,0))</f>
        <v>162.86760950617284</v>
      </c>
      <c r="H50" s="75">
        <f>INDEX('Omkostningsindeks og vægte'!H$20:H$445,MATCH($F50,'Omkostningsindeks og vægte'!$F$20:$F$445,0))</f>
        <v>156.07114228456916</v>
      </c>
      <c r="I50" s="75">
        <f>INDEX('Omkostningsindeks og vægte'!I$20:I$445,MATCH($F50,'Omkostningsindeks og vægte'!$F$20:$F$445,0))</f>
        <v>125.2015771995201</v>
      </c>
      <c r="J50" s="75">
        <f>INDEX('Omkostningsindeks og vægte'!J$20:J$445,MATCH($F50,'Omkostningsindeks og vægte'!$F$20:$F$445,0))</f>
        <v>2.82</v>
      </c>
      <c r="K50" s="75">
        <f>INDEX('Omkostningsindeks og vægte'!K$20:K$445,MATCH($F50,'Omkostningsindeks og vægte'!$F$20:$F$445,0))</f>
        <v>136.4</v>
      </c>
      <c r="L50" s="76">
        <f>INDEX('Omkostningsindeks og vægte'!L$20:L$445,MATCH($F50,'Omkostningsindeks og vægte'!$F$20:$F$445,0))</f>
        <v>141.05761534119864</v>
      </c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45627</v>
      </c>
      <c r="G51" s="75">
        <f>INDEX('Omkostningsindeks og vægte'!G$20:G$445,MATCH($F51,'Omkostningsindeks og vægte'!$F$20:$F$445,0))</f>
        <v>162.86760950617284</v>
      </c>
      <c r="H51" s="75">
        <f>INDEX('Omkostningsindeks og vægte'!H$20:H$445,MATCH($F51,'Omkostningsindeks og vægte'!$F$20:$F$445,0))</f>
        <v>156.98997995991985</v>
      </c>
      <c r="I51" s="75">
        <f>INDEX('Omkostningsindeks og vægte'!I$20:I$445,MATCH($F51,'Omkostningsindeks og vægte'!$F$20:$F$445,0))</f>
        <v>124.59331042770059</v>
      </c>
      <c r="J51" s="75">
        <f>INDEX('Omkostningsindeks og vægte'!J$20:J$445,MATCH($F51,'Omkostningsindeks og vægte'!$F$20:$F$445,0))</f>
        <v>2.9</v>
      </c>
      <c r="K51" s="75">
        <f>INDEX('Omkostningsindeks og vægte'!K$20:K$445,MATCH($F51,'Omkostningsindeks og vægte'!$F$20:$F$445,0))</f>
        <v>162.80000000000001</v>
      </c>
      <c r="L51" s="76">
        <f>INDEX('Omkostningsindeks og vægte'!L$20:L$445,MATCH($F51,'Omkostningsindeks og vægte'!$F$20:$F$445,0))</f>
        <v>143.09701364581912</v>
      </c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45658</v>
      </c>
      <c r="G52" s="75">
        <f>INDEX('Omkostningsindeks og vægte'!G$20:G$445,MATCH($F52,'Omkostningsindeks og vægte'!$F$20:$F$445,0))</f>
        <v>161.82940960493826</v>
      </c>
      <c r="H52" s="75">
        <f>INDEX('Omkostningsindeks og vægte'!H$20:H$445,MATCH($F52,'Omkostningsindeks og vægte'!$F$20:$F$445,0))</f>
        <v>156.46492985971946</v>
      </c>
      <c r="I52" s="75">
        <f>INDEX('Omkostningsindeks og vægte'!I$20:I$445,MATCH($F52,'Omkostningsindeks og vægte'!$F$20:$F$445,0))</f>
        <v>124.89744381361034</v>
      </c>
      <c r="J52" s="75">
        <f>INDEX('Omkostningsindeks og vægte'!J$20:J$445,MATCH($F52,'Omkostningsindeks og vægte'!$F$20:$F$445,0))</f>
        <v>2.67</v>
      </c>
      <c r="K52" s="75">
        <f>INDEX('Omkostningsindeks og vægte'!K$20:K$445,MATCH($F52,'Omkostningsindeks og vægte'!$F$20:$F$445,0))</f>
        <v>172.2</v>
      </c>
      <c r="L52" s="76">
        <f>INDEX('Omkostningsindeks og vægte'!L$20:L$445,MATCH($F52,'Omkostningsindeks og vægte'!$F$20:$F$445,0))</f>
        <v>142.78098561302772</v>
      </c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45689</v>
      </c>
      <c r="G53" s="75">
        <f>INDEX('Omkostningsindeks og vægte'!G$20:G$445,MATCH($F53,'Omkostningsindeks og vægte'!$F$20:$F$445,0))</f>
        <v>161.82940960493826</v>
      </c>
      <c r="H53" s="75">
        <f>INDEX('Omkostningsindeks og vægte'!H$20:H$445,MATCH($F53,'Omkostningsindeks og vægte'!$F$20:$F$445,0))</f>
        <v>156.07114228456916</v>
      </c>
      <c r="I53" s="75">
        <f>INDEX('Omkostningsindeks og vægte'!I$20:I$445,MATCH($F53,'Omkostningsindeks og vægte'!$F$20:$F$445,0))</f>
        <v>125.20157719952012</v>
      </c>
      <c r="J53" s="75">
        <f>INDEX('Omkostningsindeks og vægte'!J$20:J$445,MATCH($F53,'Omkostningsindeks og vægte'!$F$20:$F$445,0))</f>
        <v>2.82</v>
      </c>
      <c r="K53" s="75">
        <f>INDEX('Omkostningsindeks og vægte'!K$20:K$445,MATCH($F53,'Omkostningsindeks og vægte'!$F$20:$F$445,0))</f>
        <v>163.69999999999999</v>
      </c>
      <c r="L53" s="76">
        <f>INDEX('Omkostningsindeks og vægte'!L$20:L$445,MATCH($F53,'Omkostningsindeks og vægte'!$F$20:$F$445,0))</f>
        <v>142.38580629102211</v>
      </c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45717</v>
      </c>
      <c r="G54" s="75">
        <f>INDEX('Omkostningsindeks og vægte'!G$20:G$445,MATCH($F54,'Omkostningsindeks og vægte'!$F$20:$F$445,0))</f>
        <v>161.82940960493826</v>
      </c>
      <c r="H54" s="75">
        <f>INDEX('Omkostningsindeks og vægte'!H$20:H$445,MATCH($F54,'Omkostningsindeks og vægte'!$F$20:$F$445,0))</f>
        <v>156.98997995991985</v>
      </c>
      <c r="I54" s="75">
        <f>INDEX('Omkostningsindeks og vægte'!I$20:I$445,MATCH($F54,'Omkostningsindeks og vægte'!$F$20:$F$445,0))</f>
        <v>124.43144447509424</v>
      </c>
      <c r="J54" s="75">
        <f>INDEX('Omkostningsindeks og vægte'!J$20:J$445,MATCH($F54,'Omkostningsindeks og vægte'!$F$20:$F$445,0))</f>
        <v>2.73</v>
      </c>
      <c r="K54" s="75">
        <f>INDEX('Omkostningsindeks og vægte'!K$20:K$445,MATCH($F54,'Omkostningsindeks og vægte'!$F$20:$F$445,0))</f>
        <v>167.2</v>
      </c>
      <c r="L54" s="76">
        <f>INDEX('Omkostningsindeks og vægte'!L$20:L$445,MATCH($F54,'Omkostningsindeks og vægte'!$F$20:$F$445,0))</f>
        <v>142.49963838878713</v>
      </c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45748</v>
      </c>
      <c r="G55" s="75">
        <f>INDEX('Omkostningsindeks og vægte'!G$20:G$445,MATCH($F55,'Omkostningsindeks og vægte'!$F$20:$F$445,0))</f>
        <v>163.25693446913579</v>
      </c>
      <c r="H55" s="75">
        <f>INDEX('Omkostningsindeks og vægte'!H$20:H$445,MATCH($F55,'Omkostningsindeks og vægte'!$F$20:$F$445,0))</f>
        <v>158.56513026052104</v>
      </c>
      <c r="I55" s="75">
        <f>INDEX('Omkostningsindeks og vægte'!I$20:I$445,MATCH($F55,'Omkostningsindeks og vægte'!$F$20:$F$445,0))</f>
        <v>124.21140655382972</v>
      </c>
      <c r="J55" s="75">
        <f>INDEX('Omkostningsindeks og vægte'!J$20:J$445,MATCH($F55,'Omkostningsindeks og vægte'!$F$20:$F$445,0))</f>
        <v>2.69</v>
      </c>
      <c r="K55" s="75">
        <f>INDEX('Omkostningsindeks og vægte'!K$20:K$445,MATCH($F55,'Omkostningsindeks og vægte'!$F$20:$F$445,0))</f>
        <v>182.6</v>
      </c>
      <c r="L55" s="76">
        <f>INDEX('Omkostningsindeks og vægte'!L$20:L$445,MATCH($F55,'Omkostningsindeks og vægte'!$F$20:$F$445,0))</f>
        <v>144.55080437227087</v>
      </c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45778</v>
      </c>
      <c r="G56" s="75">
        <f>INDEX('Omkostningsindeks og vægte'!G$20:G$445,MATCH($F56,'Omkostningsindeks og vægte'!$F$20:$F$445,0))</f>
        <v>163.25693446913579</v>
      </c>
      <c r="H56" s="75">
        <f>INDEX('Omkostningsindeks og vægte'!H$20:H$445,MATCH($F56,'Omkostningsindeks og vægte'!$F$20:$F$445,0))</f>
        <v>157.77755511022045</v>
      </c>
      <c r="I56" s="75">
        <f>INDEX('Omkostningsindeks og vægte'!I$20:I$445,MATCH($F56,'Omkostningsindeks og vægte'!$F$20:$F$445,0))</f>
        <v>124.10138759319744</v>
      </c>
      <c r="J56" s="75">
        <f>INDEX('Omkostningsindeks og vægte'!J$20:J$445,MATCH($F56,'Omkostningsindeks og vægte'!$F$20:$F$445,0))</f>
        <v>2.75</v>
      </c>
      <c r="K56" s="75">
        <f>INDEX('Omkostningsindeks og vægte'!K$20:K$445,MATCH($F56,'Omkostningsindeks og vægte'!$F$20:$F$445,0))</f>
        <v>154.4</v>
      </c>
      <c r="L56" s="76">
        <f>INDEX('Omkostningsindeks og vægte'!L$20:L$445,MATCH($F56,'Omkostningsindeks og vægte'!$F$20:$F$445,0))</f>
        <v>142.52267645365276</v>
      </c>
      <c r="M56" s="74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45809</v>
      </c>
      <c r="G57" s="75">
        <f>INDEX('Omkostningsindeks og vægte'!G$20:G$445,MATCH($F57,'Omkostningsindeks og vægte'!$F$20:$F$445,0))</f>
        <v>163.25693446913579</v>
      </c>
      <c r="H57" s="75">
        <f>INDEX('Omkostningsindeks og vægte'!H$20:H$445,MATCH($F57,'Omkostningsindeks og vægte'!$F$20:$F$445,0))</f>
        <v>157.90881763527054</v>
      </c>
      <c r="I57" s="75">
        <f>INDEX('Omkostningsindeks og vægte'!I$20:I$445,MATCH($F57,'Omkostningsindeks og vægte'!$F$20:$F$445,0))</f>
        <v>126.08172888457825</v>
      </c>
      <c r="J57" s="75">
        <f>INDEX('Omkostningsindeks og vægte'!J$20:J$445,MATCH($F57,'Omkostningsindeks og vægte'!$F$20:$F$445,0))</f>
        <v>2.61</v>
      </c>
      <c r="K57" s="75">
        <f>INDEX('Omkostningsindeks og vægte'!K$20:K$445,MATCH($F57,'Omkostningsindeks og vægte'!$F$20:$F$445,0))</f>
        <v>124.5</v>
      </c>
      <c r="L57" s="76">
        <f>INDEX('Omkostningsindeks og vægte'!L$20:L$445,MATCH($F57,'Omkostningsindeks og vægte'!$F$20:$F$445,0))</f>
        <v>140.36473594162777</v>
      </c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45839</v>
      </c>
      <c r="G58" s="77">
        <f>INDEX('Omkostningsindeks og vægte'!G$20:G$445,MATCH($F58,'Omkostningsindeks og vægte'!$F$20:$F$445,0))</f>
        <v>163.90580940740739</v>
      </c>
      <c r="H58" s="75">
        <f>INDEX('Omkostningsindeks og vægte'!H$20:H$445,MATCH($F58,'Omkostningsindeks og vægte'!$F$20:$F$445,0))</f>
        <v>158.04008016032066</v>
      </c>
      <c r="I58" s="75">
        <f>INDEX('Omkostningsindeks og vægte'!I$20:I$445,MATCH($F58,'Omkostningsindeks og vægte'!$F$20:$F$445,0))</f>
        <v>126.41178576647506</v>
      </c>
      <c r="J58" s="75">
        <f>INDEX('Omkostningsindeks og vægte'!J$20:J$445,MATCH($F58,'Omkostningsindeks og vægte'!$F$20:$F$445,0))</f>
        <v>2.67</v>
      </c>
      <c r="K58" s="75">
        <f>INDEX('Omkostningsindeks og vægte'!K$20:K$445,MATCH($F58,'Omkostningsindeks og vægte'!$F$20:$F$445,0))</f>
        <v>123.7</v>
      </c>
      <c r="L58" s="76">
        <f>INDEX('Omkostningsindeks og vægte'!L$20:L$445,MATCH($F58,'Omkostningsindeks og vægte'!$F$20:$F$445,0))</f>
        <v>140.84532863009235</v>
      </c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45870</v>
      </c>
      <c r="G59" s="75">
        <f>INDEX('Omkostningsindeks og vægte'!G$20:G$445,MATCH($F59,'Omkostningsindeks og vægte'!$F$20:$F$445,0))</f>
        <v>163.90580940740739</v>
      </c>
      <c r="H59" s="75">
        <f>INDEX('Omkostningsindeks og vægte'!H$20:H$445,MATCH($F59,'Omkostningsindeks og vægte'!$F$20:$F$445,0))</f>
        <v>158.43386773547095</v>
      </c>
      <c r="I59" s="75">
        <f>INDEX('Omkostningsindeks og vægte'!I$20:I$445,MATCH($F59,'Omkostningsindeks og vægte'!$F$20:$F$445,0))</f>
        <v>125.86169096331372</v>
      </c>
      <c r="J59" s="75">
        <f>INDEX('Omkostningsindeks og vægte'!J$20:J$445,MATCH($F59,'Omkostningsindeks og vægte'!$F$20:$F$445,0))</f>
        <v>2.75</v>
      </c>
      <c r="K59" s="75">
        <f>INDEX('Omkostningsindeks og vægte'!K$20:K$445,MATCH($F59,'Omkostningsindeks og vægte'!$F$20:$F$445,0))</f>
        <v>116</v>
      </c>
      <c r="L59" s="76">
        <f>INDEX('Omkostningsindeks og vægte'!L$20:L$445,MATCH($F59,'Omkostningsindeks og vægte'!$F$20:$F$445,0))</f>
        <v>140.37879038108881</v>
      </c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45901</v>
      </c>
      <c r="G60" s="75">
        <f>INDEX('Omkostningsindeks og vægte'!G$20:G$445,MATCH($F60,'Omkostningsindeks og vægte'!$F$20:$F$445,0))</f>
        <v>163.90580940740739</v>
      </c>
      <c r="H60" s="75">
        <f>INDEX('Omkostningsindeks og vægte'!H$20:H$445,MATCH($F60,'Omkostningsindeks og vægte'!$F$20:$F$445,0))</f>
        <v>160.79659318637275</v>
      </c>
      <c r="I60" s="75">
        <f>INDEX('Omkostningsindeks og vægte'!I$20:I$445,MATCH($F60,'Omkostningsindeks og vægte'!$F$20:$F$445,0))</f>
        <v>126.30176680584279</v>
      </c>
      <c r="J60" s="75">
        <f>INDEX('Omkostningsindeks og vægte'!J$20:J$445,MATCH($F60,'Omkostningsindeks og vægte'!$F$20:$F$445,0))</f>
        <v>2.69</v>
      </c>
      <c r="K60" s="75">
        <f>INDEX('Omkostningsindeks og vægte'!K$20:K$445,MATCH($F60,'Omkostningsindeks og vægte'!$F$20:$F$445,0))</f>
        <v>132.19999999999999</v>
      </c>
      <c r="L60" s="76">
        <f>INDEX('Omkostningsindeks og vægte'!L$20:L$445,MATCH($F60,'Omkostningsindeks og vægte'!$F$20:$F$445,0))</f>
        <v>141.6940835067262</v>
      </c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45931</v>
      </c>
      <c r="G61" s="75">
        <f>INDEX('Omkostningsindeks og vægte'!G$20:G$445,MATCH($F61,'Omkostningsindeks og vægte'!$F$20:$F$445,0))</f>
        <v>167.53950906172838</v>
      </c>
      <c r="H61" s="75">
        <f>INDEX('Omkostningsindeks og vægte'!H$20:H$445,MATCH($F61,'Omkostningsindeks og vægte'!$F$20:$F$445,0))</f>
        <v>159.74649298597197</v>
      </c>
      <c r="I61" s="75">
        <f>INDEX('Omkostningsindeks og vægte'!I$20:I$445,MATCH($F61,'Omkostningsindeks og vægte'!$F$20:$F$445,0))</f>
        <v>124.65148239635877</v>
      </c>
      <c r="J61" s="75">
        <f>INDEX('Omkostningsindeks og vægte'!J$20:J$445,MATCH($F61,'Omkostningsindeks og vægte'!$F$20:$F$445,0))</f>
        <v>2.73</v>
      </c>
      <c r="K61" s="75">
        <f>INDEX('Omkostningsindeks og vægte'!K$20:K$445,MATCH($F61,'Omkostningsindeks og vægte'!$F$20:$F$445,0))</f>
        <v>123.7</v>
      </c>
      <c r="L61" s="76">
        <f>INDEX('Omkostningsindeks og vægte'!L$20:L$445,MATCH($F61,'Omkostningsindeks og vægte'!$F$20:$F$445,0))</f>
        <v>143.16030321709783</v>
      </c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45962</v>
      </c>
      <c r="G62" s="75">
        <f>INDEX('Omkostningsindeks og vægte'!G$20:G$445,MATCH($F62,'Omkostningsindeks og vægte'!$F$20:$F$445,0))</f>
        <v>167.53950906172838</v>
      </c>
      <c r="H62" s="75">
        <f>INDEX('Omkostningsindeks og vægte'!H$20:H$445,MATCH($F62,'Omkostningsindeks og vægte'!$F$20:$F$445,0))</f>
        <v>159.61523046092185</v>
      </c>
      <c r="I62" s="75">
        <f>INDEX('Omkostningsindeks og vægte'!I$20:I$445,MATCH($F62,'Omkostningsindeks og vægte'!$F$20:$F$445,0))</f>
        <v>124.65148239635877</v>
      </c>
      <c r="J62" s="75">
        <f>INDEX('Omkostningsindeks og vægte'!J$20:J$445,MATCH($F62,'Omkostningsindeks og vægte'!$F$20:$F$445,0))</f>
        <v>2.76</v>
      </c>
      <c r="K62" s="75">
        <f>INDEX('Omkostningsindeks og vægte'!K$20:K$445,MATCH($F62,'Omkostningsindeks og vægte'!$F$20:$F$445,0))</f>
        <v>116</v>
      </c>
      <c r="L62" s="76">
        <f>INDEX('Omkostningsindeks og vægte'!L$20:L$445,MATCH($F62,'Omkostningsindeks og vægte'!$F$20:$F$445,0))</f>
        <v>142.63612911113256</v>
      </c>
      <c r="M62" s="74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45992</v>
      </c>
      <c r="G63" s="75">
        <f>INDEX('Omkostningsindeks og vægte'!G$20:G$445,MATCH($F63,'Omkostningsindeks og vægte'!$F$20:$F$445,0))</f>
        <v>167.53950906172838</v>
      </c>
      <c r="H63" s="75">
        <f>INDEX('Omkostningsindeks og vægte'!H$20:H$445,MATCH($F63,'Omkostningsindeks og vægte'!$F$20:$F$445,0))</f>
        <v>160.27154308617236</v>
      </c>
      <c r="I63" s="75">
        <f>INDEX('Omkostningsindeks og vægte'!I$20:I$445,MATCH($F63,'Omkostningsindeks og vægte'!$F$20:$F$445,0))</f>
        <v>126.30176680584279</v>
      </c>
      <c r="J63" s="75">
        <f>INDEX('Omkostningsindeks og vægte'!J$20:J$445,MATCH($F63,'Omkostningsindeks og vægte'!$F$20:$F$445,0))</f>
        <v>2.68</v>
      </c>
      <c r="K63" s="75">
        <f>INDEX('Omkostningsindeks og vægte'!K$20:K$445,MATCH($F63,'Omkostningsindeks og vægte'!$F$20:$F$445,0))</f>
        <v>146.69999999999999</v>
      </c>
      <c r="L63" s="76">
        <f>INDEX('Omkostningsindeks og vægte'!L$20:L$445,MATCH($F63,'Omkostningsindeks og vægte'!$F$20:$F$445,0))</f>
        <v>144.96446481627169</v>
      </c>
      <c r="M63" s="74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46023</v>
      </c>
      <c r="G64" s="75">
        <f>INDEX('Omkostningsindeks og vægte'!G$20:G$445,MATCH($F64,'Omkostningsindeks og vægte'!$F$20:$F$445,0))</f>
        <v>167.02040911111109</v>
      </c>
      <c r="H64" s="75">
        <f>INDEX('Omkostningsindeks og vægte'!H$20:H$445,MATCH($F64,'Omkostningsindeks og vægte'!$F$20:$F$445,0))</f>
        <v>159.74649298597197</v>
      </c>
      <c r="I64" s="75">
        <f>INDEX('Omkostningsindeks og vægte'!I$20:I$445,MATCH($F64,'Omkostningsindeks og vægte'!$F$20:$F$445,0))</f>
        <v>125.42161512078465</v>
      </c>
      <c r="J64" s="75">
        <f>INDEX('Omkostningsindeks og vægte'!J$20:J$445,MATCH($F64,'Omkostningsindeks og vægte'!$F$20:$F$445,0))</f>
        <v>2.69</v>
      </c>
      <c r="K64" s="75">
        <f>INDEX('Omkostningsindeks og vægte'!K$20:K$445,MATCH($F64,'Omkostningsindeks og vægte'!$F$20:$F$445,0))</f>
        <v>145.9</v>
      </c>
      <c r="L64" s="76">
        <f>INDEX('Omkostningsindeks og vægte'!L$20:L$445,MATCH($F64,'Omkostningsindeks og vægte'!$F$20:$F$445,0))</f>
        <v>144.46457705963633</v>
      </c>
      <c r="M64" s="74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46054</v>
      </c>
      <c r="G65" s="75">
        <f>INDEX('Omkostningsindeks og vægte'!G$20:G$445,MATCH($F65,'Omkostningsindeks og vægte'!$F$20:$F$445,0))</f>
        <v>167.02040911111109</v>
      </c>
      <c r="H65" s="75">
        <f>INDEX('Omkostningsindeks og vægte'!H$20:H$445,MATCH($F65,'Omkostningsindeks og vægte'!$F$20:$F$445,0))</f>
        <v>159.09018036072146</v>
      </c>
      <c r="I65" s="75">
        <f>INDEX('Omkostningsindeks og vægte'!I$20:I$445,MATCH($F65,'Omkostningsindeks og vægte'!$F$20:$F$445,0))</f>
        <v>124.32142551446198</v>
      </c>
      <c r="J65" s="75">
        <f>INDEX('Omkostningsindeks og vægte'!J$20:J$445,MATCH($F65,'Omkostningsindeks og vægte'!$F$20:$F$445,0))</f>
        <v>2.79</v>
      </c>
      <c r="K65" s="75">
        <f>INDEX('Omkostningsindeks og vægte'!K$20:K$445,MATCH($F65,'Omkostningsindeks og vægte'!$F$20:$F$445,0))</f>
        <v>140.80000000000001</v>
      </c>
      <c r="L65" s="76">
        <f>INDEX('Omkostningsindeks og vægte'!L$20:L$445,MATCH($F65,'Omkostningsindeks og vægte'!$F$20:$F$445,0))</f>
        <v>144.07731632300079</v>
      </c>
      <c r="M65" s="74"/>
      <c r="N65" s="9"/>
      <c r="O65" s="78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79">
        <f>EDATE(F67,-1)</f>
        <v>46082</v>
      </c>
      <c r="G66" s="80">
        <f>INDEX('Omkostningsindeks og vægte'!G$20:G$445,MATCH($F66,'Omkostningsindeks og vægte'!$F$20:$F$445,0))</f>
        <v>167.02040911111109</v>
      </c>
      <c r="H66" s="80">
        <f>INDEX('Omkostningsindeks og vægte'!H$20:H$445,MATCH($F66,'Omkostningsindeks og vægte'!$F$20:$F$445,0))</f>
        <v>158.18427224078528</v>
      </c>
      <c r="I66" s="80">
        <f>INDEX('Omkostningsindeks og vægte'!I$20:I$445,MATCH($F66,'Omkostningsindeks og vægte'!$F$20:$F$445,0))</f>
        <v>123.11121694750705</v>
      </c>
      <c r="J66" s="80">
        <f>INDEX('Omkostningsindeks og vægte'!J$20:J$445,MATCH($F66,'Omkostningsindeks og vægte'!$F$20:$F$445,0))</f>
        <v>2.76</v>
      </c>
      <c r="K66" s="80">
        <f>INDEX('Omkostningsindeks og vægte'!K$20:K$445,MATCH($F66,'Omkostningsindeks og vægte'!$F$20:$F$445,0))</f>
        <v>154.4447086801427</v>
      </c>
      <c r="L66" s="81">
        <f>INDEX('Omkostningsindeks og vægte'!L$20:L$445,MATCH($F66,'Omkostningsindeks og vægte'!$F$20:$F$445,0))</f>
        <v>144.82681264865363</v>
      </c>
      <c r="M66" s="74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82" t="s">
        <v>5</v>
      </c>
      <c r="F67" s="25">
        <v>46113</v>
      </c>
      <c r="G67" s="121">
        <v>167.547330567497</v>
      </c>
      <c r="H67" s="121">
        <v>158.49743610347792</v>
      </c>
      <c r="I67" s="121">
        <v>123.46311729074448</v>
      </c>
      <c r="J67" s="121">
        <v>2.7639999999999998</v>
      </c>
      <c r="K67" s="121">
        <v>146.92061208552937</v>
      </c>
      <c r="L67" s="121">
        <v>144.67803408526564</v>
      </c>
      <c r="M67" s="82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46143</v>
      </c>
      <c r="G68" s="121">
        <v>168.07591437294957</v>
      </c>
      <c r="H68" s="121">
        <v>158.81121994945656</v>
      </c>
      <c r="I68" s="121">
        <v>123.81602350375269</v>
      </c>
      <c r="J68" s="121">
        <v>2.7679999999999998</v>
      </c>
      <c r="K68" s="121">
        <v>139.76306757320407</v>
      </c>
      <c r="L68" s="121">
        <v>144.55701005002834</v>
      </c>
      <c r="M68" s="74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46174</v>
      </c>
      <c r="G69" s="121">
        <v>168.60616577190208</v>
      </c>
      <c r="H69" s="121">
        <v>159.12562500612742</v>
      </c>
      <c r="I69" s="121">
        <v>124.16993846170362</v>
      </c>
      <c r="J69" s="121">
        <v>2.7719999999999998</v>
      </c>
      <c r="K69" s="121">
        <v>132.95421779280716</v>
      </c>
      <c r="L69" s="121">
        <v>144.46245020759955</v>
      </c>
      <c r="M69" s="74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46204</v>
      </c>
      <c r="G70" s="121">
        <v>169.13809002533313</v>
      </c>
      <c r="H70" s="121">
        <v>159.44065250332667</v>
      </c>
      <c r="I70" s="121">
        <v>124.5248650479876</v>
      </c>
      <c r="J70" s="121">
        <v>2.7759999999999998</v>
      </c>
      <c r="K70" s="121">
        <v>131.14525548613491</v>
      </c>
      <c r="L70" s="121">
        <v>144.7314011972324</v>
      </c>
      <c r="M70" s="74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46235</v>
      </c>
      <c r="G71" s="121">
        <v>169.67169241081876</v>
      </c>
      <c r="H71" s="121">
        <v>159.75630367332525</v>
      </c>
      <c r="I71" s="121">
        <v>124.88080615423681</v>
      </c>
      <c r="J71" s="121">
        <v>2.78</v>
      </c>
      <c r="K71" s="121">
        <v>129.36090574671542</v>
      </c>
      <c r="L71" s="121">
        <v>145.00333955017138</v>
      </c>
      <c r="M71" s="74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46266</v>
      </c>
      <c r="G72" s="121">
        <v>170.20697822258501</v>
      </c>
      <c r="H72" s="121">
        <v>160.07257975083365</v>
      </c>
      <c r="I72" s="121">
        <v>125.23776468034886</v>
      </c>
      <c r="J72" s="121">
        <v>2.7839999999999998</v>
      </c>
      <c r="K72" s="121">
        <v>127.60083369832458</v>
      </c>
      <c r="L72" s="121">
        <v>145.27824470987025</v>
      </c>
      <c r="M72" s="74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46296</v>
      </c>
      <c r="G73" s="121">
        <v>170.74395277156017</v>
      </c>
      <c r="H73" s="121">
        <v>160.38948197300678</v>
      </c>
      <c r="I73" s="121">
        <v>125.59574353451042</v>
      </c>
      <c r="J73" s="121">
        <v>2.7879999999999998</v>
      </c>
      <c r="K73" s="121">
        <v>129.96926524717003</v>
      </c>
      <c r="L73" s="121">
        <v>145.853528072041</v>
      </c>
      <c r="M73" s="74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46327</v>
      </c>
      <c r="G74" s="121">
        <v>171.28262138542775</v>
      </c>
      <c r="H74" s="121">
        <v>160.70701157944882</v>
      </c>
      <c r="I74" s="121">
        <v>125.9547456332209</v>
      </c>
      <c r="J74" s="121">
        <v>2.7919999999999998</v>
      </c>
      <c r="K74" s="121">
        <v>132.38165785676236</v>
      </c>
      <c r="L74" s="121">
        <v>146.43321202634706</v>
      </c>
      <c r="M74" s="74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46357</v>
      </c>
      <c r="G75" s="121">
        <v>171.82298940867909</v>
      </c>
      <c r="H75" s="121">
        <v>161.02516981221802</v>
      </c>
      <c r="I75" s="121">
        <v>126.31477390131619</v>
      </c>
      <c r="J75" s="121">
        <v>2.7959999999999998</v>
      </c>
      <c r="K75" s="121">
        <v>134.83882749953827</v>
      </c>
      <c r="L75" s="121">
        <v>147.0173594456873</v>
      </c>
      <c r="M75" s="74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46388</v>
      </c>
      <c r="G76" s="121">
        <v>172.26068087757218</v>
      </c>
      <c r="H76" s="121">
        <v>161.2515304443275</v>
      </c>
      <c r="I76" s="121">
        <v>126.49234050222965</v>
      </c>
      <c r="J76" s="121">
        <v>2.8043333333333331</v>
      </c>
      <c r="K76" s="121">
        <v>137.15679018925121</v>
      </c>
      <c r="L76" s="121">
        <v>147.50754339685989</v>
      </c>
      <c r="M76" s="74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46419</v>
      </c>
      <c r="G77" s="121">
        <v>172.69948729518433</v>
      </c>
      <c r="H77" s="121">
        <v>161.47820928219221</v>
      </c>
      <c r="I77" s="121">
        <v>126.67015671684059</v>
      </c>
      <c r="J77" s="121">
        <v>2.8126666666666664</v>
      </c>
      <c r="K77" s="121">
        <v>139.51460008863322</v>
      </c>
      <c r="L77" s="121">
        <v>148.00136345538635</v>
      </c>
      <c r="M77" s="74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46447</v>
      </c>
      <c r="G78" s="30">
        <v>173.13941150166829</v>
      </c>
      <c r="H78" s="30">
        <v>161.70520677312888</v>
      </c>
      <c r="I78" s="30">
        <v>126.8482228960427</v>
      </c>
      <c r="J78" s="30">
        <v>2.8209999999999997</v>
      </c>
      <c r="K78" s="30">
        <v>141.9129421958188</v>
      </c>
      <c r="L78" s="30">
        <v>148.49887110817039</v>
      </c>
      <c r="M78" s="74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46478</v>
      </c>
      <c r="G79" s="30">
        <v>173.58045634441169</v>
      </c>
      <c r="H79" s="30">
        <v>161.93252336508309</v>
      </c>
      <c r="I79" s="30">
        <v>127.02653939122291</v>
      </c>
      <c r="J79" s="30">
        <v>2.829333333333333</v>
      </c>
      <c r="K79" s="30">
        <v>135.13980488910269</v>
      </c>
      <c r="L79" s="30">
        <v>148.33253113516307</v>
      </c>
      <c r="M79" s="74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46508</v>
      </c>
      <c r="G80" s="30">
        <v>174.02262467805542</v>
      </c>
      <c r="H80" s="30">
        <v>162.16015950663009</v>
      </c>
      <c r="I80" s="30">
        <v>127.20510655426213</v>
      </c>
      <c r="J80" s="30">
        <v>2.8376666666666663</v>
      </c>
      <c r="K80" s="30">
        <v>128.68993188982606</v>
      </c>
      <c r="L80" s="30">
        <v>148.19037030233716</v>
      </c>
      <c r="M80" s="74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46539</v>
      </c>
      <c r="G81" s="30">
        <v>174.4659193645121</v>
      </c>
      <c r="H81" s="30">
        <v>162.38811564697573</v>
      </c>
      <c r="I81" s="30">
        <v>127.38392473753593</v>
      </c>
      <c r="J81" s="30">
        <v>2.8459999999999996</v>
      </c>
      <c r="K81" s="30">
        <v>122.54789462955272</v>
      </c>
      <c r="L81" s="30">
        <v>148.07127246076962</v>
      </c>
      <c r="M81" s="74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46569</v>
      </c>
      <c r="G82" s="30">
        <v>174.91034327298462</v>
      </c>
      <c r="H82" s="30">
        <v>162.61639223595733</v>
      </c>
      <c r="I82" s="30">
        <v>127.56299429391524</v>
      </c>
      <c r="J82" s="30">
        <v>2.8543333333333329</v>
      </c>
      <c r="K82" s="30">
        <v>121.25978744616344</v>
      </c>
      <c r="L82" s="30">
        <v>148.30466660434143</v>
      </c>
      <c r="M82" s="74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46600</v>
      </c>
      <c r="G83" s="30">
        <v>175.3558992799847</v>
      </c>
      <c r="H83" s="30">
        <v>162.84498972404458</v>
      </c>
      <c r="I83" s="30">
        <v>127.742315576767</v>
      </c>
      <c r="J83" s="30">
        <v>2.8626666666666662</v>
      </c>
      <c r="K83" s="30">
        <v>119.98521962320883</v>
      </c>
      <c r="L83" s="30">
        <v>148.53980165520952</v>
      </c>
      <c r="M83" s="74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46631</v>
      </c>
      <c r="G84" s="30">
        <v>175.80259026935153</v>
      </c>
      <c r="H84" s="30">
        <v>163.07390856234039</v>
      </c>
      <c r="I84" s="30">
        <v>127.92188893995491</v>
      </c>
      <c r="J84" s="30">
        <v>2.8709999999999996</v>
      </c>
      <c r="K84" s="30">
        <v>118.72404884777943</v>
      </c>
      <c r="L84" s="30">
        <v>148.77666917815719</v>
      </c>
      <c r="M84" s="74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46661</v>
      </c>
      <c r="G85" s="30">
        <v>176.25041913227037</v>
      </c>
      <c r="H85" s="30">
        <v>163.30314920258181</v>
      </c>
      <c r="I85" s="30">
        <v>128.10171473784015</v>
      </c>
      <c r="J85" s="30">
        <v>2.8793333333333329</v>
      </c>
      <c r="K85" s="30">
        <v>122.90002893296017</v>
      </c>
      <c r="L85" s="30">
        <v>149.40829669382705</v>
      </c>
      <c r="M85" s="74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46692</v>
      </c>
      <c r="G86" s="30">
        <v>176.69938876729134</v>
      </c>
      <c r="H86" s="30">
        <v>163.53271209714092</v>
      </c>
      <c r="I86" s="30">
        <v>128.281793325282</v>
      </c>
      <c r="J86" s="30">
        <v>2.8876666666666662</v>
      </c>
      <c r="K86" s="30">
        <v>127.22289425193364</v>
      </c>
      <c r="L86" s="30">
        <v>150.05133350729136</v>
      </c>
      <c r="M86" s="74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>
        <v>46722</v>
      </c>
      <c r="G87" s="30">
        <v>177.14950208034816</v>
      </c>
      <c r="H87" s="30">
        <v>163.76259769902572</v>
      </c>
      <c r="I87" s="30">
        <v>128.46212505763856</v>
      </c>
      <c r="J87" s="30">
        <v>2.8959999999999995</v>
      </c>
      <c r="K87" s="30">
        <v>131.69781132165306</v>
      </c>
      <c r="L87" s="30">
        <v>150.70615589528634</v>
      </c>
      <c r="M87" s="74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30"/>
      <c r="H88" s="30"/>
      <c r="I88" s="30"/>
      <c r="J88" s="30"/>
      <c r="K88" s="30"/>
      <c r="L88" s="30"/>
      <c r="M88" s="74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7"/>
      <c r="G89" s="117"/>
      <c r="H89" s="117"/>
      <c r="I89" s="117"/>
      <c r="J89" s="117"/>
      <c r="K89" s="117"/>
      <c r="L89" s="117"/>
      <c r="M89" s="74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4"/>
      <c r="H91" s="74"/>
      <c r="I91" s="74"/>
      <c r="J91" s="74"/>
      <c r="K91" s="74"/>
      <c r="L91" s="74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261" zoomScale="60" zoomScaleNormal="100" workbookViewId="0">
      <selection activeCell="F469" sqref="F469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2" t="s">
        <v>8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3" t="s">
        <v>7</v>
      </c>
      <c r="G11" s="123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69</v>
      </c>
      <c r="H19" s="23" t="s">
        <v>10</v>
      </c>
      <c r="I19" s="23" t="s">
        <v>11</v>
      </c>
      <c r="J19" s="23" t="s">
        <v>12</v>
      </c>
      <c r="K19" s="23" t="s">
        <v>36</v>
      </c>
      <c r="L19" s="23" t="s">
        <v>4</v>
      </c>
      <c r="M19" s="24" t="s">
        <v>14</v>
      </c>
      <c r="N19" s="6"/>
      <c r="O19" s="22" t="s">
        <v>3</v>
      </c>
      <c r="P19" s="23" t="s">
        <v>69</v>
      </c>
      <c r="Q19" s="23" t="s">
        <v>10</v>
      </c>
      <c r="R19" s="23" t="s">
        <v>11</v>
      </c>
      <c r="S19" s="23" t="s">
        <v>12</v>
      </c>
      <c r="T19" s="23" t="s">
        <v>36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7">
        <v>94.877593301005618</v>
      </c>
      <c r="M20" s="28"/>
      <c r="N20" s="6"/>
      <c r="O20" s="25">
        <v>38534</v>
      </c>
      <c r="P20" s="29">
        <v>0.65995667797436408</v>
      </c>
      <c r="Q20" s="29">
        <v>9.0588355962377659E-2</v>
      </c>
      <c r="R20" s="29">
        <v>0.10789554046260352</v>
      </c>
      <c r="S20" s="29">
        <v>5.1970306565634942E-2</v>
      </c>
      <c r="T20" s="29">
        <v>8.9589119035019912E-2</v>
      </c>
      <c r="U20" s="29">
        <v>1.0000000000000002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30">
        <v>100</v>
      </c>
      <c r="H21" s="30">
        <v>110.4</v>
      </c>
      <c r="I21" s="30">
        <v>99.8</v>
      </c>
      <c r="J21" s="30">
        <v>3.3</v>
      </c>
      <c r="K21" s="30">
        <v>122.9</v>
      </c>
      <c r="L21" s="31">
        <v>95.24432694047789</v>
      </c>
      <c r="M21" s="32">
        <f>IF(L21="","",L21/L20-1)</f>
        <v>3.8653345506856063E-3</v>
      </c>
      <c r="N21" s="6"/>
      <c r="O21" s="25">
        <v>38565</v>
      </c>
      <c r="P21" s="33">
        <v>0.65741554694659354</v>
      </c>
      <c r="Q21" s="33">
        <v>9.0321362740833064E-2</v>
      </c>
      <c r="R21" s="33">
        <v>0.10791260941055802</v>
      </c>
      <c r="S21" s="33">
        <v>5.0845729621502071E-2</v>
      </c>
      <c r="T21" s="33">
        <v>9.3504751280513276E-2</v>
      </c>
      <c r="U21" s="33">
        <v>0.99999999999999989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30">
        <v>100</v>
      </c>
      <c r="H22" s="30">
        <v>110.3</v>
      </c>
      <c r="I22" s="30">
        <v>100</v>
      </c>
      <c r="J22" s="30">
        <v>3.29</v>
      </c>
      <c r="K22" s="30">
        <v>127</v>
      </c>
      <c r="L22" s="30">
        <v>95.53955845189823</v>
      </c>
      <c r="M22" s="34">
        <f t="shared" ref="M22:M85" si="0">IF(L22="","",L22/L21-1)</f>
        <v>3.0997280457958354E-3</v>
      </c>
      <c r="N22" s="6"/>
      <c r="O22" s="25">
        <v>38596</v>
      </c>
      <c r="P22" s="33">
        <v>0.65538403467354911</v>
      </c>
      <c r="Q22" s="33">
        <v>8.9960696219173589E-2</v>
      </c>
      <c r="R22" s="33">
        <v>0.10779473278843435</v>
      </c>
      <c r="S22" s="33">
        <v>5.0535006874847625E-2</v>
      </c>
      <c r="T22" s="33">
        <v>9.6325529443995361E-2</v>
      </c>
      <c r="U22" s="33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30">
        <v>100.5</v>
      </c>
      <c r="H23" s="30">
        <v>110.3</v>
      </c>
      <c r="I23" s="30">
        <v>100.1</v>
      </c>
      <c r="J23" s="30">
        <v>3.29</v>
      </c>
      <c r="K23" s="30">
        <v>126.5</v>
      </c>
      <c r="L23" s="30">
        <v>95.82670073545998</v>
      </c>
      <c r="M23" s="34">
        <f t="shared" si="0"/>
        <v>3.0054805382664362E-3</v>
      </c>
      <c r="N23" s="6"/>
      <c r="O23" s="25">
        <v>38626</v>
      </c>
      <c r="P23" s="33">
        <v>0.65668729396517767</v>
      </c>
      <c r="Q23" s="33">
        <v>8.9691131269687446E-2</v>
      </c>
      <c r="R23" s="33">
        <v>0.10757920032831378</v>
      </c>
      <c r="S23" s="33">
        <v>5.0383580005692326E-2</v>
      </c>
      <c r="T23" s="33">
        <v>9.5658794431128819E-2</v>
      </c>
      <c r="U23" s="33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30">
        <v>100.5</v>
      </c>
      <c r="H24" s="30">
        <v>111.2</v>
      </c>
      <c r="I24" s="30">
        <v>100</v>
      </c>
      <c r="J24" s="30">
        <v>3.34</v>
      </c>
      <c r="K24" s="30">
        <v>130.19999999999999</v>
      </c>
      <c r="L24" s="30">
        <v>96.22802314849929</v>
      </c>
      <c r="M24" s="34">
        <f t="shared" si="0"/>
        <v>4.1880019864943829E-3</v>
      </c>
      <c r="N24" s="6"/>
      <c r="O24" s="25">
        <v>38657</v>
      </c>
      <c r="P24" s="33">
        <v>0.65394855611311087</v>
      </c>
      <c r="Q24" s="33">
        <v>9.0045859630341965E-2</v>
      </c>
      <c r="R24" s="33">
        <v>0.1070235139108538</v>
      </c>
      <c r="S24" s="33">
        <v>5.0935967973457535E-2</v>
      </c>
      <c r="T24" s="33">
        <v>9.8046102372235946E-2</v>
      </c>
      <c r="U24" s="33">
        <v>1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30">
        <v>100.5</v>
      </c>
      <c r="H25" s="30">
        <v>111.1</v>
      </c>
      <c r="I25" s="30">
        <v>100.1</v>
      </c>
      <c r="J25" s="30">
        <v>3.72</v>
      </c>
      <c r="K25" s="30">
        <v>132.80000000000001</v>
      </c>
      <c r="L25" s="30">
        <v>96.976587390596848</v>
      </c>
      <c r="M25" s="34">
        <f t="shared" si="0"/>
        <v>7.7790670285553531E-3</v>
      </c>
      <c r="N25" s="6"/>
      <c r="O25" s="25">
        <v>38687</v>
      </c>
      <c r="P25" s="33">
        <v>0.64890071396430515</v>
      </c>
      <c r="Q25" s="33">
        <v>8.9270442382903228E-2</v>
      </c>
      <c r="R25" s="33">
        <v>0.10630359463670928</v>
      </c>
      <c r="S25" s="33">
        <v>5.6293169761350868E-2</v>
      </c>
      <c r="T25" s="33">
        <v>9.9232079254731501E-2</v>
      </c>
      <c r="U25" s="33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30">
        <v>101.3</v>
      </c>
      <c r="H26" s="30">
        <v>110.8</v>
      </c>
      <c r="I26" s="30">
        <v>99.9</v>
      </c>
      <c r="J26" s="30">
        <v>3.8</v>
      </c>
      <c r="K26" s="30">
        <v>125.9</v>
      </c>
      <c r="L26" s="30">
        <v>97.050934674472401</v>
      </c>
      <c r="M26" s="34">
        <f t="shared" si="0"/>
        <v>7.6665188862645728E-4</v>
      </c>
      <c r="N26" s="6"/>
      <c r="O26" s="25">
        <v>38718</v>
      </c>
      <c r="P26" s="33">
        <v>0.65356503591280857</v>
      </c>
      <c r="Q26" s="33">
        <v>8.896118582191459E-2</v>
      </c>
      <c r="R26" s="33">
        <v>0.10600992713138195</v>
      </c>
      <c r="S26" s="33">
        <v>5.745972395677882E-2</v>
      </c>
      <c r="T26" s="33">
        <v>9.4004127177116217E-2</v>
      </c>
      <c r="U26" s="33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30">
        <v>101.3</v>
      </c>
      <c r="H27" s="30">
        <v>110.8</v>
      </c>
      <c r="I27" s="30">
        <v>99.4</v>
      </c>
      <c r="J27" s="30">
        <v>3.69</v>
      </c>
      <c r="K27" s="30">
        <v>125.1</v>
      </c>
      <c r="L27" s="30">
        <v>96.780044777589495</v>
      </c>
      <c r="M27" s="34">
        <f t="shared" si="0"/>
        <v>-2.7912136837375812E-3</v>
      </c>
      <c r="N27" s="6"/>
      <c r="O27" s="25">
        <v>38749</v>
      </c>
      <c r="P27" s="33">
        <v>0.65539438167919628</v>
      </c>
      <c r="Q27" s="33">
        <v>8.921019052644083E-2</v>
      </c>
      <c r="R27" s="33">
        <v>0.10577458638842821</v>
      </c>
      <c r="S27" s="33">
        <v>5.5952591797896835E-2</v>
      </c>
      <c r="T27" s="33">
        <v>9.3668249608038004E-2</v>
      </c>
      <c r="U27" s="33">
        <v>1.0000000000000002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30">
        <v>101.3</v>
      </c>
      <c r="H28" s="30">
        <v>110.4</v>
      </c>
      <c r="I28" s="30">
        <v>99.8</v>
      </c>
      <c r="J28" s="30">
        <v>3.71</v>
      </c>
      <c r="K28" s="30">
        <v>126.1</v>
      </c>
      <c r="L28" s="30">
        <v>96.891884464054598</v>
      </c>
      <c r="M28" s="34">
        <f t="shared" si="0"/>
        <v>1.1556068890248294E-3</v>
      </c>
      <c r="N28" s="6"/>
      <c r="O28" s="25">
        <v>38777</v>
      </c>
      <c r="P28" s="33">
        <v>0.6546378776379812</v>
      </c>
      <c r="Q28" s="33">
        <v>8.8785530905726509E-2</v>
      </c>
      <c r="R28" s="33">
        <v>0.10607765457913335</v>
      </c>
      <c r="S28" s="33">
        <v>5.619092326008223E-2</v>
      </c>
      <c r="T28" s="33">
        <v>9.4308013617076761E-2</v>
      </c>
      <c r="U28" s="33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30">
        <v>102.1</v>
      </c>
      <c r="H29" s="30">
        <v>111.5</v>
      </c>
      <c r="I29" s="30">
        <v>99.4</v>
      </c>
      <c r="J29" s="30">
        <v>3.81</v>
      </c>
      <c r="K29" s="30">
        <v>126</v>
      </c>
      <c r="L29" s="30">
        <v>97.576829062683203</v>
      </c>
      <c r="M29" s="34">
        <f t="shared" si="0"/>
        <v>7.0691637634801019E-3</v>
      </c>
      <c r="N29" s="6"/>
      <c r="O29" s="25">
        <v>38808</v>
      </c>
      <c r="P29" s="33">
        <v>0.65517622401049458</v>
      </c>
      <c r="Q29" s="33">
        <v>8.9040725874893215E-2</v>
      </c>
      <c r="R29" s="33">
        <v>0.10491086157787463</v>
      </c>
      <c r="S29" s="33">
        <v>5.7300437227384024E-2</v>
      </c>
      <c r="T29" s="33">
        <v>9.3571751309353551E-2</v>
      </c>
      <c r="U29" s="33">
        <v>1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30">
        <v>102.1</v>
      </c>
      <c r="H30" s="30">
        <v>111.9</v>
      </c>
      <c r="I30" s="30">
        <v>99.5</v>
      </c>
      <c r="J30" s="30">
        <v>4</v>
      </c>
      <c r="K30" s="30">
        <v>127.5</v>
      </c>
      <c r="L30" s="30">
        <v>98.005818203007109</v>
      </c>
      <c r="M30" s="34">
        <f t="shared" si="0"/>
        <v>4.3964242786402874E-3</v>
      </c>
      <c r="N30" s="6"/>
      <c r="O30" s="25">
        <v>38838</v>
      </c>
      <c r="P30" s="33">
        <v>0.652308399525659</v>
      </c>
      <c r="Q30" s="33">
        <v>8.896900897678521E-2</v>
      </c>
      <c r="R30" s="33">
        <v>0.10455672995812737</v>
      </c>
      <c r="S30" s="33">
        <v>5.9894617197129608E-2</v>
      </c>
      <c r="T30" s="33">
        <v>9.4271244342298902E-2</v>
      </c>
      <c r="U30" s="33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30">
        <v>102.1</v>
      </c>
      <c r="H31" s="30">
        <v>112.4</v>
      </c>
      <c r="I31" s="30">
        <v>99.4</v>
      </c>
      <c r="J31" s="30">
        <v>4.13</v>
      </c>
      <c r="K31" s="30">
        <v>128.9</v>
      </c>
      <c r="L31" s="30">
        <v>98.326705537498142</v>
      </c>
      <c r="M31" s="34">
        <f t="shared" si="0"/>
        <v>3.2741661706894298E-3</v>
      </c>
      <c r="N31" s="6"/>
      <c r="O31" s="25">
        <v>38869</v>
      </c>
      <c r="P31" s="33">
        <v>0.65017960346312764</v>
      </c>
      <c r="Q31" s="33">
        <v>8.9074900969822624E-2</v>
      </c>
      <c r="R31" s="33">
        <v>0.10411077185026942</v>
      </c>
      <c r="S31" s="33">
        <v>6.1639374700609137E-2</v>
      </c>
      <c r="T31" s="33">
        <v>9.4995349016171182E-2</v>
      </c>
      <c r="U31" s="33">
        <v>1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30">
        <v>102.9</v>
      </c>
      <c r="H32" s="30">
        <v>112.5</v>
      </c>
      <c r="I32" s="30">
        <v>98.8</v>
      </c>
      <c r="J32" s="30">
        <v>4.0999999999999996</v>
      </c>
      <c r="K32" s="30">
        <v>130.30000000000001</v>
      </c>
      <c r="L32" s="30">
        <v>98.831050706688757</v>
      </c>
      <c r="M32" s="34">
        <f t="shared" si="0"/>
        <v>5.1292796441579913E-3</v>
      </c>
      <c r="N32" s="6"/>
      <c r="O32" s="25">
        <v>38899</v>
      </c>
      <c r="P32" s="33">
        <v>0.65193012485254032</v>
      </c>
      <c r="Q32" s="33">
        <v>8.8699186172271238E-2</v>
      </c>
      <c r="R32" s="33">
        <v>0.10295425544099948</v>
      </c>
      <c r="S32" s="33">
        <v>6.0879363777343654E-2</v>
      </c>
      <c r="T32" s="33">
        <v>9.5537069756845394E-2</v>
      </c>
      <c r="U32" s="33">
        <v>1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30">
        <v>102.9</v>
      </c>
      <c r="H33" s="30">
        <v>112.8</v>
      </c>
      <c r="I33" s="30">
        <v>98</v>
      </c>
      <c r="J33" s="30">
        <v>4.21</v>
      </c>
      <c r="K33" s="30">
        <v>130.30000000000001</v>
      </c>
      <c r="L33" s="30">
        <v>98.933463617192928</v>
      </c>
      <c r="M33" s="34">
        <f t="shared" si="0"/>
        <v>1.0362422515177716E-3</v>
      </c>
      <c r="N33" s="6"/>
      <c r="O33" s="25">
        <v>38930</v>
      </c>
      <c r="P33" s="33">
        <v>0.65125526662873623</v>
      </c>
      <c r="Q33" s="33">
        <v>8.8843653787563398E-2</v>
      </c>
      <c r="R33" s="33">
        <v>0.10201490558966433</v>
      </c>
      <c r="S33" s="33">
        <v>6.2448001304139668E-2</v>
      </c>
      <c r="T33" s="33">
        <v>9.5438172689896461E-2</v>
      </c>
      <c r="U33" s="33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30">
        <v>102.9</v>
      </c>
      <c r="H34" s="30">
        <v>112.5</v>
      </c>
      <c r="I34" s="30">
        <v>98.3</v>
      </c>
      <c r="J34" s="30">
        <v>4.16</v>
      </c>
      <c r="K34" s="30">
        <v>131.19999999999999</v>
      </c>
      <c r="L34" s="30">
        <v>98.932825106588282</v>
      </c>
      <c r="M34" s="34">
        <f t="shared" si="0"/>
        <v>-6.4539396610330257E-6</v>
      </c>
      <c r="N34" s="6"/>
      <c r="O34" s="25">
        <v>38961</v>
      </c>
      <c r="P34" s="33">
        <v>0.65125946981805805</v>
      </c>
      <c r="Q34" s="33">
        <v>8.8607939344592629E-2</v>
      </c>
      <c r="R34" s="33">
        <v>0.10232785653479134</v>
      </c>
      <c r="S34" s="33">
        <v>6.170673683236879E-2</v>
      </c>
      <c r="T34" s="33">
        <v>9.6097997470189211E-2</v>
      </c>
      <c r="U34" s="33">
        <v>1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30">
        <v>103.7</v>
      </c>
      <c r="H35" s="30">
        <v>112.5</v>
      </c>
      <c r="I35" s="30">
        <v>98.2</v>
      </c>
      <c r="J35" s="30">
        <v>4.1500000000000004</v>
      </c>
      <c r="K35" s="30">
        <v>133.9</v>
      </c>
      <c r="L35" s="30">
        <v>99.604424377229449</v>
      </c>
      <c r="M35" s="34">
        <f t="shared" si="0"/>
        <v>6.7884372039068719E-3</v>
      </c>
      <c r="N35" s="6"/>
      <c r="O35" s="25">
        <v>38991</v>
      </c>
      <c r="P35" s="33">
        <v>0.65189734735996818</v>
      </c>
      <c r="Q35" s="33">
        <v>8.8010485689206122E-2</v>
      </c>
      <c r="R35" s="33">
        <v>0.10153449845373053</v>
      </c>
      <c r="S35" s="33">
        <v>6.1143335635965766E-2</v>
      </c>
      <c r="T35" s="33">
        <v>9.7414332861129577E-2</v>
      </c>
      <c r="U35" s="33">
        <v>1.0000000000000002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30">
        <v>103.7</v>
      </c>
      <c r="H36" s="30">
        <v>112.9</v>
      </c>
      <c r="I36" s="30">
        <v>97.8</v>
      </c>
      <c r="J36" s="30">
        <v>4.1399999999999997</v>
      </c>
      <c r="K36" s="30">
        <v>128.4</v>
      </c>
      <c r="L36" s="30">
        <v>99.181172786653505</v>
      </c>
      <c r="M36" s="34">
        <f t="shared" si="0"/>
        <v>-4.2493252003844573E-3</v>
      </c>
      <c r="N36" s="6"/>
      <c r="O36" s="25">
        <v>39022</v>
      </c>
      <c r="P36" s="33">
        <v>0.65467929257608148</v>
      </c>
      <c r="Q36" s="33">
        <v>8.8700328401303555E-2</v>
      </c>
      <c r="R36" s="33">
        <v>0.10155244534044976</v>
      </c>
      <c r="S36" s="33">
        <v>6.1256300237364857E-2</v>
      </c>
      <c r="T36" s="33">
        <v>9.3811633444800452E-2</v>
      </c>
      <c r="U36" s="33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30">
        <v>103.7</v>
      </c>
      <c r="H37" s="30">
        <v>112.8</v>
      </c>
      <c r="I37" s="30">
        <v>97.5</v>
      </c>
      <c r="J37" s="30">
        <v>4.3499999999999996</v>
      </c>
      <c r="K37" s="30">
        <v>124.1</v>
      </c>
      <c r="L37" s="30">
        <v>99.139066493069535</v>
      </c>
      <c r="M37" s="34">
        <f t="shared" si="0"/>
        <v>-4.2453917816176467E-4</v>
      </c>
      <c r="N37" s="6"/>
      <c r="O37" s="25">
        <v>39052</v>
      </c>
      <c r="P37" s="33">
        <v>0.65495734763017543</v>
      </c>
      <c r="Q37" s="33">
        <v>8.8659402398395981E-2</v>
      </c>
      <c r="R37" s="33">
        <v>0.10128393376992445</v>
      </c>
      <c r="S37" s="33">
        <v>6.4390840307018596E-2</v>
      </c>
      <c r="T37" s="33">
        <v>9.0708475894485621E-2</v>
      </c>
      <c r="U37" s="33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30">
        <v>104.4</v>
      </c>
      <c r="H38" s="30">
        <v>112.7</v>
      </c>
      <c r="I38" s="30">
        <v>97.4</v>
      </c>
      <c r="J38" s="30">
        <v>4.3</v>
      </c>
      <c r="K38" s="30">
        <v>123.7</v>
      </c>
      <c r="L38" s="30">
        <v>99.456920563826344</v>
      </c>
      <c r="M38" s="34">
        <f t="shared" si="0"/>
        <v>3.2061434709900194E-3</v>
      </c>
      <c r="N38" s="6"/>
      <c r="O38" s="25">
        <v>39083</v>
      </c>
      <c r="P38" s="33">
        <v>0.65727116197917224</v>
      </c>
      <c r="Q38" s="33">
        <v>8.8297708515743381E-2</v>
      </c>
      <c r="R38" s="33">
        <v>0.1008566917883289</v>
      </c>
      <c r="S38" s="33">
        <v>6.3447294576529964E-2</v>
      </c>
      <c r="T38" s="33">
        <v>9.0127143140225657E-2</v>
      </c>
      <c r="U38" s="33">
        <v>1.0000000000000002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30">
        <v>104.4</v>
      </c>
      <c r="H39" s="30">
        <v>112.8</v>
      </c>
      <c r="I39" s="30">
        <v>97.6</v>
      </c>
      <c r="J39" s="30">
        <v>4.37</v>
      </c>
      <c r="K39" s="30">
        <v>123.1</v>
      </c>
      <c r="L39" s="30">
        <v>99.544557199973397</v>
      </c>
      <c r="M39" s="34">
        <f t="shared" si="0"/>
        <v>8.8115171523739377E-4</v>
      </c>
      <c r="N39" s="6"/>
      <c r="O39" s="25">
        <v>39114</v>
      </c>
      <c r="P39" s="33">
        <v>0.65669251624210179</v>
      </c>
      <c r="Q39" s="33">
        <v>8.829825192705501E-2</v>
      </c>
      <c r="R39" s="33">
        <v>0.10097481558612953</v>
      </c>
      <c r="S39" s="33">
        <v>6.4423390730253369E-2</v>
      </c>
      <c r="T39" s="33">
        <v>8.9611025514460235E-2</v>
      </c>
      <c r="U39" s="33">
        <v>0.99999999999999989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30">
        <v>104.4</v>
      </c>
      <c r="H40" s="30">
        <v>112.4</v>
      </c>
      <c r="I40" s="30">
        <v>97.9</v>
      </c>
      <c r="J40" s="30">
        <v>4.46</v>
      </c>
      <c r="K40" s="30">
        <v>118.5</v>
      </c>
      <c r="L40" s="30">
        <v>99.343026490691486</v>
      </c>
      <c r="M40" s="34">
        <f t="shared" si="0"/>
        <v>-2.0245276582732119E-3</v>
      </c>
      <c r="N40" s="6"/>
      <c r="O40" s="25">
        <v>39142</v>
      </c>
      <c r="P40" s="33">
        <v>0.65802470545812886</v>
      </c>
      <c r="Q40" s="33">
        <v>8.8163627260361657E-2</v>
      </c>
      <c r="R40" s="33">
        <v>0.1014906596421955</v>
      </c>
      <c r="S40" s="33">
        <v>6.5883571363464885E-2</v>
      </c>
      <c r="T40" s="33">
        <v>8.6437436275849044E-2</v>
      </c>
      <c r="U40" s="33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30">
        <v>105.3</v>
      </c>
      <c r="H41" s="30">
        <v>113.6</v>
      </c>
      <c r="I41" s="30">
        <v>98.3</v>
      </c>
      <c r="J41" s="30">
        <v>4.4400000000000004</v>
      </c>
      <c r="K41" s="30">
        <v>122.2</v>
      </c>
      <c r="L41" s="30">
        <v>100.28002937770356</v>
      </c>
      <c r="M41" s="34">
        <f t="shared" si="0"/>
        <v>9.4319945758836177E-3</v>
      </c>
      <c r="N41" s="6"/>
      <c r="O41" s="25">
        <v>39173</v>
      </c>
      <c r="P41" s="33">
        <v>0.65749583507918663</v>
      </c>
      <c r="Q41" s="33">
        <v>8.8272292169034886E-2</v>
      </c>
      <c r="R41" s="33">
        <v>0.10095314088868293</v>
      </c>
      <c r="S41" s="33">
        <v>6.4975282824248665E-2</v>
      </c>
      <c r="T41" s="33">
        <v>8.830344903884689E-2</v>
      </c>
      <c r="U41" s="33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30">
        <v>105.3</v>
      </c>
      <c r="H42" s="30">
        <v>114.1</v>
      </c>
      <c r="I42" s="30">
        <v>98</v>
      </c>
      <c r="J42" s="30">
        <v>4.4800000000000004</v>
      </c>
      <c r="K42" s="30">
        <v>123.2</v>
      </c>
      <c r="L42" s="30">
        <v>100.419258410902</v>
      </c>
      <c r="M42" s="34">
        <f t="shared" si="0"/>
        <v>1.3884023973911308E-3</v>
      </c>
      <c r="N42" s="6"/>
      <c r="O42" s="25">
        <v>39203</v>
      </c>
      <c r="P42" s="33">
        <v>0.65658423195744775</v>
      </c>
      <c r="Q42" s="33">
        <v>8.8537888365284423E-2</v>
      </c>
      <c r="R42" s="33">
        <v>0.10050550173621593</v>
      </c>
      <c r="S42" s="33">
        <v>6.5469747378358534E-2</v>
      </c>
      <c r="T42" s="33">
        <v>8.8902630562693347E-2</v>
      </c>
      <c r="U42" s="33">
        <v>1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30">
        <v>105.3</v>
      </c>
      <c r="H43" s="30">
        <v>114.3</v>
      </c>
      <c r="I43" s="30">
        <v>97.8</v>
      </c>
      <c r="J43" s="30">
        <v>4.59</v>
      </c>
      <c r="K43" s="30">
        <v>125.1</v>
      </c>
      <c r="L43" s="30">
        <v>100.71335224007852</v>
      </c>
      <c r="M43" s="34">
        <f t="shared" si="0"/>
        <v>2.9286596398983011E-3</v>
      </c>
      <c r="N43" s="6"/>
      <c r="O43" s="25">
        <v>39234</v>
      </c>
      <c r="P43" s="33">
        <v>0.65466693532638154</v>
      </c>
      <c r="Q43" s="33">
        <v>8.8434088513530754E-2</v>
      </c>
      <c r="R43" s="33">
        <v>0.10000750053685713</v>
      </c>
      <c r="S43" s="33">
        <v>6.6881390667515361E-2</v>
      </c>
      <c r="T43" s="33">
        <v>9.0010084955715289E-2</v>
      </c>
      <c r="U43" s="33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30">
        <v>106.3</v>
      </c>
      <c r="H44" s="30">
        <v>114.5</v>
      </c>
      <c r="I44" s="30">
        <v>97.6</v>
      </c>
      <c r="J44" s="30">
        <v>4.7699999999999996</v>
      </c>
      <c r="K44" s="30">
        <v>124.8</v>
      </c>
      <c r="L44" s="30">
        <v>101.57690215916763</v>
      </c>
      <c r="M44" s="34">
        <f t="shared" si="0"/>
        <v>8.5743339873207702E-3</v>
      </c>
      <c r="N44" s="6"/>
      <c r="O44" s="25">
        <v>39264</v>
      </c>
      <c r="P44" s="33">
        <v>0.65526562885381989</v>
      </c>
      <c r="Q44" s="33">
        <v>8.7835696230402091E-2</v>
      </c>
      <c r="R44" s="33">
        <v>9.8954517141307194E-2</v>
      </c>
      <c r="S44" s="33">
        <v>6.8913304611625509E-2</v>
      </c>
      <c r="T44" s="33">
        <v>8.9030853162845383E-2</v>
      </c>
      <c r="U44" s="33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30">
        <v>106.3</v>
      </c>
      <c r="H45" s="30">
        <v>114.4</v>
      </c>
      <c r="I45" s="30">
        <v>97.6</v>
      </c>
      <c r="J45" s="30">
        <v>4.91</v>
      </c>
      <c r="K45" s="30">
        <v>127.6</v>
      </c>
      <c r="L45" s="30">
        <v>101.97745923585269</v>
      </c>
      <c r="M45" s="34">
        <f t="shared" si="0"/>
        <v>3.9433874057057672E-3</v>
      </c>
      <c r="N45" s="6"/>
      <c r="O45" s="25">
        <v>39295</v>
      </c>
      <c r="P45" s="33">
        <v>0.65269181218185479</v>
      </c>
      <c r="Q45" s="33">
        <v>8.7414275478945022E-2</v>
      </c>
      <c r="R45" s="33">
        <v>9.8565833873378028E-2</v>
      </c>
      <c r="S45" s="33">
        <v>7.0657288264928328E-2</v>
      </c>
      <c r="T45" s="33">
        <v>9.0670790200893844E-2</v>
      </c>
      <c r="U45" s="33">
        <v>1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30">
        <v>106.3</v>
      </c>
      <c r="H46" s="30">
        <v>113.9</v>
      </c>
      <c r="I46" s="30">
        <v>97.6</v>
      </c>
      <c r="J46" s="30">
        <v>4.8099999999999996</v>
      </c>
      <c r="K46" s="30">
        <v>128.80000000000001</v>
      </c>
      <c r="L46" s="30">
        <v>101.87870419452176</v>
      </c>
      <c r="M46" s="34">
        <f t="shared" si="0"/>
        <v>-9.6840068453296624E-4</v>
      </c>
      <c r="N46" s="6"/>
      <c r="O46" s="25">
        <v>39326</v>
      </c>
      <c r="P46" s="33">
        <v>0.6533244920671949</v>
      </c>
      <c r="Q46" s="33">
        <v>8.7116583838547881E-2</v>
      </c>
      <c r="R46" s="33">
        <v>9.8661377619001248E-2</v>
      </c>
      <c r="S46" s="33">
        <v>6.9285335590508701E-2</v>
      </c>
      <c r="T46" s="33">
        <v>9.1612210884747483E-2</v>
      </c>
      <c r="U46" s="33">
        <v>1.0000000000000002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30">
        <v>107.5</v>
      </c>
      <c r="H47" s="30">
        <v>113.7</v>
      </c>
      <c r="I47" s="30">
        <v>97.4</v>
      </c>
      <c r="J47" s="30">
        <v>4.82</v>
      </c>
      <c r="K47" s="30">
        <v>128</v>
      </c>
      <c r="L47" s="30">
        <v>102.55060770997702</v>
      </c>
      <c r="M47" s="34">
        <f t="shared" si="0"/>
        <v>6.5951321305810495E-3</v>
      </c>
      <c r="N47" s="6"/>
      <c r="O47" s="25">
        <v>39356</v>
      </c>
      <c r="P47" s="33">
        <v>0.65637089227381451</v>
      </c>
      <c r="Q47" s="33">
        <v>8.6393834786395979E-2</v>
      </c>
      <c r="R47" s="33">
        <v>9.7814105713449145E-2</v>
      </c>
      <c r="S47" s="33">
        <v>6.8974484110895712E-2</v>
      </c>
      <c r="T47" s="33">
        <v>9.0446683115444779E-2</v>
      </c>
      <c r="U47" s="33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30">
        <v>107.5</v>
      </c>
      <c r="H48" s="30">
        <v>114.3</v>
      </c>
      <c r="I48" s="30">
        <v>97.4</v>
      </c>
      <c r="J48" s="30">
        <v>4.84</v>
      </c>
      <c r="K48" s="30">
        <v>130.69999999999999</v>
      </c>
      <c r="L48" s="30">
        <v>102.8223632354651</v>
      </c>
      <c r="M48" s="34">
        <f t="shared" si="0"/>
        <v>2.6499650422027177E-3</v>
      </c>
      <c r="N48" s="6"/>
      <c r="O48" s="25">
        <v>39387</v>
      </c>
      <c r="P48" s="33">
        <v>0.65463612941550053</v>
      </c>
      <c r="Q48" s="33">
        <v>8.6620198429960923E-2</v>
      </c>
      <c r="R48" s="33">
        <v>9.755558681870799E-2</v>
      </c>
      <c r="S48" s="33">
        <v>6.9077631979834381E-2</v>
      </c>
      <c r="T48" s="33">
        <v>9.2110453355996352E-2</v>
      </c>
      <c r="U48" s="33">
        <v>1.0000000000000002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30">
        <v>107.5</v>
      </c>
      <c r="H49" s="30">
        <v>114.7</v>
      </c>
      <c r="I49" s="30">
        <v>97.3</v>
      </c>
      <c r="J49" s="30">
        <v>4.8499999999999996</v>
      </c>
      <c r="K49" s="30">
        <v>131.30000000000001</v>
      </c>
      <c r="L49" s="30">
        <v>102.90138671874035</v>
      </c>
      <c r="M49" s="34">
        <f t="shared" si="0"/>
        <v>7.6854373687451627E-4</v>
      </c>
      <c r="N49" s="6"/>
      <c r="O49" s="25">
        <v>39417</v>
      </c>
      <c r="P49" s="33">
        <v>0.65413339928839698</v>
      </c>
      <c r="Q49" s="33">
        <v>8.6856578153719041E-2</v>
      </c>
      <c r="R49" s="33">
        <v>9.738058583930774E-2</v>
      </c>
      <c r="S49" s="33">
        <v>6.9167196344410334E-2</v>
      </c>
      <c r="T49" s="33">
        <v>9.246224037416606E-2</v>
      </c>
      <c r="U49" s="33">
        <v>1.0000000000000002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30">
        <v>108.6</v>
      </c>
      <c r="H50" s="30">
        <v>115.5</v>
      </c>
      <c r="I50" s="30">
        <v>97.1</v>
      </c>
      <c r="J50" s="30">
        <v>4.7699999999999996</v>
      </c>
      <c r="K50" s="30">
        <v>82.8</v>
      </c>
      <c r="L50" s="30">
        <v>100</v>
      </c>
      <c r="M50" s="34">
        <f t="shared" si="0"/>
        <v>-2.8195798047607412E-2</v>
      </c>
      <c r="N50" s="6"/>
      <c r="O50" s="25">
        <v>39448</v>
      </c>
      <c r="P50" s="33">
        <v>0.68</v>
      </c>
      <c r="Q50" s="33">
        <v>0.09</v>
      </c>
      <c r="R50" s="33">
        <v>0.1</v>
      </c>
      <c r="S50" s="33">
        <v>7.0000000000000007E-2</v>
      </c>
      <c r="T50" s="33">
        <v>6.0000000000000005E-2</v>
      </c>
      <c r="U50" s="33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30">
        <v>108.6</v>
      </c>
      <c r="H51" s="30">
        <v>115.4</v>
      </c>
      <c r="I51" s="30">
        <v>96.7</v>
      </c>
      <c r="J51" s="30">
        <v>4.93</v>
      </c>
      <c r="K51" s="30">
        <v>82.8</v>
      </c>
      <c r="L51" s="30">
        <v>100.18581398608603</v>
      </c>
      <c r="M51" s="34">
        <f t="shared" si="0"/>
        <v>1.8581398608603639E-3</v>
      </c>
      <c r="N51" s="6"/>
      <c r="O51" s="25">
        <v>39479</v>
      </c>
      <c r="P51" s="33">
        <v>0.67873880836506417</v>
      </c>
      <c r="Q51" s="33">
        <v>8.975530002138471E-2</v>
      </c>
      <c r="R51" s="33">
        <v>9.9403348229390107E-2</v>
      </c>
      <c r="S51" s="33">
        <v>7.22138249990084E-2</v>
      </c>
      <c r="T51" s="33">
        <v>5.9888718385152709E-2</v>
      </c>
      <c r="U51" s="33">
        <v>1.0000000000000002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30">
        <v>108.6</v>
      </c>
      <c r="H52" s="30">
        <v>115.7</v>
      </c>
      <c r="I52" s="30">
        <v>97.6</v>
      </c>
      <c r="J52" s="30">
        <v>4.59</v>
      </c>
      <c r="K52" s="30">
        <v>95.6</v>
      </c>
      <c r="L52" s="30">
        <v>100.73046300994248</v>
      </c>
      <c r="M52" s="34">
        <f t="shared" si="0"/>
        <v>5.4363886680812712E-3</v>
      </c>
      <c r="N52" s="6"/>
      <c r="O52" s="25">
        <v>39508</v>
      </c>
      <c r="P52" s="33">
        <v>0.67506887160131634</v>
      </c>
      <c r="Q52" s="33">
        <v>8.9502064680220358E-2</v>
      </c>
      <c r="R52" s="33">
        <v>9.9786032998558899E-2</v>
      </c>
      <c r="S52" s="33">
        <v>6.6870029734092659E-2</v>
      </c>
      <c r="T52" s="33">
        <v>6.8773000985811836E-2</v>
      </c>
      <c r="U52" s="33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30">
        <v>109.9</v>
      </c>
      <c r="H53" s="30">
        <v>117.1</v>
      </c>
      <c r="I53" s="30">
        <v>97.3</v>
      </c>
      <c r="J53" s="30">
        <v>4.55</v>
      </c>
      <c r="K53" s="30">
        <v>95.6</v>
      </c>
      <c r="L53" s="30">
        <v>101.56395404262641</v>
      </c>
      <c r="M53" s="34">
        <f t="shared" si="0"/>
        <v>8.2744683959374843E-3</v>
      </c>
      <c r="N53" s="6"/>
      <c r="O53" s="25">
        <v>39539</v>
      </c>
      <c r="P53" s="33">
        <v>0.67754349429796246</v>
      </c>
      <c r="Q53" s="33">
        <v>8.9841670804247112E-2</v>
      </c>
      <c r="R53" s="33">
        <v>9.8662930335918678E-2</v>
      </c>
      <c r="S53" s="33">
        <v>6.5743293572026226E-2</v>
      </c>
      <c r="T53" s="33">
        <v>6.8208610989845569E-2</v>
      </c>
      <c r="U53" s="33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30">
        <v>109.9</v>
      </c>
      <c r="H54" s="30">
        <v>117.6</v>
      </c>
      <c r="I54" s="30">
        <v>97.3</v>
      </c>
      <c r="J54" s="30">
        <v>4.72</v>
      </c>
      <c r="K54" s="30">
        <v>95.6</v>
      </c>
      <c r="L54" s="30">
        <v>101.85239097257276</v>
      </c>
      <c r="M54" s="34">
        <f t="shared" si="0"/>
        <v>2.8399537283207987E-3</v>
      </c>
      <c r="N54" s="6"/>
      <c r="O54" s="25">
        <v>39569</v>
      </c>
      <c r="P54" s="33">
        <v>0.67562475126665689</v>
      </c>
      <c r="Q54" s="33">
        <v>8.996977170721486E-2</v>
      </c>
      <c r="R54" s="33">
        <v>9.8383525675371564E-2</v>
      </c>
      <c r="S54" s="33">
        <v>6.8006501092455693E-2</v>
      </c>
      <c r="T54" s="33">
        <v>6.8015450258301094E-2</v>
      </c>
      <c r="U54" s="33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30">
        <v>109.9</v>
      </c>
      <c r="H55" s="30">
        <v>118</v>
      </c>
      <c r="I55" s="30">
        <v>97.1</v>
      </c>
      <c r="J55" s="30">
        <v>4.9400000000000004</v>
      </c>
      <c r="K55" s="30">
        <v>96.3</v>
      </c>
      <c r="L55" s="30">
        <v>102.23653827211449</v>
      </c>
      <c r="M55" s="34">
        <f t="shared" si="0"/>
        <v>3.7716080680438857E-3</v>
      </c>
      <c r="N55" s="6"/>
      <c r="O55" s="25">
        <v>39600</v>
      </c>
      <c r="P55" s="33">
        <v>0.67308613417252328</v>
      </c>
      <c r="Q55" s="33">
        <v>8.9936585786308074E-2</v>
      </c>
      <c r="R55" s="33">
        <v>9.7812388496408526E-2</v>
      </c>
      <c r="S55" s="33">
        <v>7.0908855224440404E-2</v>
      </c>
      <c r="T55" s="33">
        <v>6.8256036320319846E-2</v>
      </c>
      <c r="U55" s="33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30">
        <v>111</v>
      </c>
      <c r="H56" s="30">
        <v>118.4</v>
      </c>
      <c r="I56" s="30">
        <v>97</v>
      </c>
      <c r="J56" s="30">
        <v>5.22</v>
      </c>
      <c r="K56" s="30">
        <v>96.3</v>
      </c>
      <c r="L56" s="30">
        <v>103.35707602379499</v>
      </c>
      <c r="M56" s="34">
        <f t="shared" si="0"/>
        <v>1.0960247389226518E-2</v>
      </c>
      <c r="N56" s="6"/>
      <c r="O56" s="25">
        <v>39630</v>
      </c>
      <c r="P56" s="33">
        <v>0.67245287023152844</v>
      </c>
      <c r="Q56" s="33">
        <v>8.9263109802467822E-2</v>
      </c>
      <c r="R56" s="33">
        <v>9.6652321477497222E-2</v>
      </c>
      <c r="S56" s="33">
        <v>7.4115654710732962E-2</v>
      </c>
      <c r="T56" s="33">
        <v>6.7516043777773607E-2</v>
      </c>
      <c r="U56" s="33">
        <v>1.0000000000000002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30">
        <v>111</v>
      </c>
      <c r="H57" s="30">
        <v>118.8</v>
      </c>
      <c r="I57" s="30">
        <v>97.2</v>
      </c>
      <c r="J57" s="30">
        <v>5.48</v>
      </c>
      <c r="K57" s="30">
        <v>96.3</v>
      </c>
      <c r="L57" s="30">
        <v>103.79039353999536</v>
      </c>
      <c r="M57" s="34">
        <f t="shared" si="0"/>
        <v>4.1924320314616903E-3</v>
      </c>
      <c r="N57" s="6"/>
      <c r="O57" s="25">
        <v>39661</v>
      </c>
      <c r="P57" s="33">
        <v>0.66964542729242593</v>
      </c>
      <c r="Q57" s="33">
        <v>8.9190748212893523E-2</v>
      </c>
      <c r="R57" s="33">
        <v>9.6447256048957999E-2</v>
      </c>
      <c r="S57" s="33">
        <v>7.7482399352065939E-2</v>
      </c>
      <c r="T57" s="33">
        <v>6.7234169093656648E-2</v>
      </c>
      <c r="U57" s="33">
        <v>1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30">
        <v>111</v>
      </c>
      <c r="H58" s="30">
        <v>118.4</v>
      </c>
      <c r="I58" s="30">
        <v>97.6</v>
      </c>
      <c r="J58" s="30">
        <v>5.36</v>
      </c>
      <c r="K58" s="30">
        <v>98.5</v>
      </c>
      <c r="L58" s="30">
        <v>103.78373901444697</v>
      </c>
      <c r="M58" s="34">
        <f t="shared" si="0"/>
        <v>-6.4115043034607133E-5</v>
      </c>
      <c r="N58" s="6"/>
      <c r="O58" s="25">
        <v>39692</v>
      </c>
      <c r="P58" s="33">
        <v>0.66968836439072865</v>
      </c>
      <c r="Q58" s="33">
        <v>8.8896142243340706E-2</v>
      </c>
      <c r="R58" s="33">
        <v>9.6850367902731313E-2</v>
      </c>
      <c r="S58" s="33">
        <v>7.5790563791002408E-2</v>
      </c>
      <c r="T58" s="33">
        <v>6.8774561672197088E-2</v>
      </c>
      <c r="U58" s="33">
        <v>1.0000000000000002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30">
        <v>112.4</v>
      </c>
      <c r="H59" s="30">
        <v>118.6</v>
      </c>
      <c r="I59" s="30">
        <v>97.6</v>
      </c>
      <c r="J59" s="30">
        <v>5.15</v>
      </c>
      <c r="K59" s="30">
        <v>98.5</v>
      </c>
      <c r="L59" s="30">
        <v>104.36775874745034</v>
      </c>
      <c r="M59" s="34">
        <f t="shared" si="0"/>
        <v>5.6272758964877045E-3</v>
      </c>
      <c r="N59" s="6"/>
      <c r="O59" s="25">
        <v>39722</v>
      </c>
      <c r="P59" s="33">
        <v>0.67434018602709977</v>
      </c>
      <c r="Q59" s="33">
        <v>8.8548020504313152E-2</v>
      </c>
      <c r="R59" s="33">
        <v>9.630841388663805E-2</v>
      </c>
      <c r="S59" s="33">
        <v>7.2413665698257496E-2</v>
      </c>
      <c r="T59" s="33">
        <v>6.8389713883691694E-2</v>
      </c>
      <c r="U59" s="33">
        <v>1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30">
        <v>112.4</v>
      </c>
      <c r="H60" s="30">
        <v>119.1</v>
      </c>
      <c r="I60" s="30">
        <v>98</v>
      </c>
      <c r="J60" s="30">
        <v>5.15</v>
      </c>
      <c r="K60" s="30">
        <v>98.5</v>
      </c>
      <c r="L60" s="30">
        <v>104.44791443110756</v>
      </c>
      <c r="M60" s="34">
        <f t="shared" si="0"/>
        <v>7.6801192838860111E-4</v>
      </c>
      <c r="N60" s="6"/>
      <c r="O60" s="25">
        <v>39753</v>
      </c>
      <c r="P60" s="33">
        <v>0.67382268216957475</v>
      </c>
      <c r="Q60" s="33">
        <v>8.8853085588805947E-2</v>
      </c>
      <c r="R60" s="33">
        <v>9.6628908346690148E-2</v>
      </c>
      <c r="S60" s="33">
        <v>7.2358093819088962E-2</v>
      </c>
      <c r="T60" s="33">
        <v>6.8337230075840416E-2</v>
      </c>
      <c r="U60" s="33">
        <v>1.0000000000000002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30">
        <v>112.4</v>
      </c>
      <c r="H61" s="30">
        <v>118.9</v>
      </c>
      <c r="I61" s="30">
        <v>99.5</v>
      </c>
      <c r="J61" s="30">
        <v>5.45</v>
      </c>
      <c r="K61" s="30">
        <v>112.6</v>
      </c>
      <c r="L61" s="30">
        <v>106.04880063589569</v>
      </c>
      <c r="M61" s="34">
        <f t="shared" si="0"/>
        <v>1.5327124658329527E-2</v>
      </c>
      <c r="N61" s="6"/>
      <c r="O61" s="25">
        <v>39783</v>
      </c>
      <c r="P61" s="33">
        <v>0.66365082327168656</v>
      </c>
      <c r="Q61" s="33">
        <v>8.7364826470267928E-2</v>
      </c>
      <c r="R61" s="33">
        <v>9.6626909561753682E-2</v>
      </c>
      <c r="S61" s="33">
        <v>7.5417199590979145E-2</v>
      </c>
      <c r="T61" s="33">
        <v>7.6940241105312876E-2</v>
      </c>
      <c r="U61" s="33">
        <v>1.0000000000000002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30">
        <v>113.5</v>
      </c>
      <c r="H62" s="30">
        <v>118.6</v>
      </c>
      <c r="I62" s="30">
        <v>100.3</v>
      </c>
      <c r="J62" s="30">
        <v>4.97</v>
      </c>
      <c r="K62" s="30">
        <v>112.6</v>
      </c>
      <c r="L62" s="30">
        <v>106.09217690036866</v>
      </c>
      <c r="M62" s="34">
        <f t="shared" si="0"/>
        <v>4.0902173539802966E-4</v>
      </c>
      <c r="N62" s="6"/>
      <c r="O62" s="25">
        <v>39814</v>
      </c>
      <c r="P62" s="33">
        <v>0.66987163464378541</v>
      </c>
      <c r="Q62" s="33">
        <v>8.7108764393035359E-2</v>
      </c>
      <c r="R62" s="33">
        <v>9.7363985350871082E-2</v>
      </c>
      <c r="S62" s="33">
        <v>6.8746831871188477E-2</v>
      </c>
      <c r="T62" s="33">
        <v>7.6908783741119743E-2</v>
      </c>
      <c r="U62" s="33">
        <v>1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30">
        <v>113.5</v>
      </c>
      <c r="H63" s="30">
        <v>118.2</v>
      </c>
      <c r="I63" s="30">
        <v>100.3</v>
      </c>
      <c r="J63" s="30">
        <v>4.4400000000000004</v>
      </c>
      <c r="K63" s="30">
        <v>112.6</v>
      </c>
      <c r="L63" s="30">
        <v>105.28323029142204</v>
      </c>
      <c r="M63" s="34">
        <f t="shared" si="0"/>
        <v>-7.6249411839884873E-3</v>
      </c>
      <c r="N63" s="6"/>
      <c r="O63" s="25">
        <v>39845</v>
      </c>
      <c r="P63" s="33">
        <v>0.67501861185729484</v>
      </c>
      <c r="Q63" s="33">
        <v>8.7482019547609063E-2</v>
      </c>
      <c r="R63" s="33">
        <v>9.811208422250621E-2</v>
      </c>
      <c r="S63" s="33">
        <v>6.1887569866586084E-2</v>
      </c>
      <c r="T63" s="33">
        <v>7.7499714506003917E-2</v>
      </c>
      <c r="U63" s="33">
        <v>1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30">
        <v>113.5</v>
      </c>
      <c r="H64" s="30">
        <v>117.8</v>
      </c>
      <c r="I64" s="30">
        <v>98.7</v>
      </c>
      <c r="J64" s="30">
        <v>4.42</v>
      </c>
      <c r="K64" s="30">
        <v>105.1</v>
      </c>
      <c r="L64" s="30">
        <v>104.51445451577709</v>
      </c>
      <c r="M64" s="34">
        <f t="shared" si="0"/>
        <v>-7.3019774708374952E-3</v>
      </c>
      <c r="N64" s="6"/>
      <c r="O64" s="25">
        <v>39873</v>
      </c>
      <c r="P64" s="33">
        <v>0.67998383852675071</v>
      </c>
      <c r="Q64" s="33">
        <v>8.7827284960235993E-2</v>
      </c>
      <c r="R64" s="33">
        <v>9.7257155729118069E-2</v>
      </c>
      <c r="S64" s="33">
        <v>6.2061972151797352E-2</v>
      </c>
      <c r="T64" s="33">
        <v>7.28697486320979E-2</v>
      </c>
      <c r="U64" s="33">
        <v>1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30">
        <v>114.5</v>
      </c>
      <c r="H65" s="30">
        <v>119.3</v>
      </c>
      <c r="I65" s="30">
        <v>100.5</v>
      </c>
      <c r="J65" s="30">
        <v>4.1500000000000004</v>
      </c>
      <c r="K65" s="30">
        <v>105.1</v>
      </c>
      <c r="L65" s="30">
        <v>105.04663813159006</v>
      </c>
      <c r="M65" s="34">
        <f t="shared" si="0"/>
        <v>5.0919618561720004E-3</v>
      </c>
      <c r="N65" s="6"/>
      <c r="O65" s="25">
        <v>39904</v>
      </c>
      <c r="P65" s="33">
        <v>0.68249962351245141</v>
      </c>
      <c r="Q65" s="33">
        <v>8.8495015751563905E-2</v>
      </c>
      <c r="R65" s="33">
        <v>9.8529135858228589E-2</v>
      </c>
      <c r="S65" s="33">
        <v>5.7975646425686568E-2</v>
      </c>
      <c r="T65" s="33">
        <v>7.2500578452069558E-2</v>
      </c>
      <c r="U65" s="33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30">
        <v>114.5</v>
      </c>
      <c r="H66" s="30">
        <v>119.7</v>
      </c>
      <c r="I66" s="30">
        <v>100.9</v>
      </c>
      <c r="J66" s="30">
        <v>3.93</v>
      </c>
      <c r="K66" s="30">
        <v>105.1</v>
      </c>
      <c r="L66" s="30">
        <v>104.79615045441525</v>
      </c>
      <c r="M66" s="34">
        <f t="shared" si="0"/>
        <v>-2.3845377789342148E-3</v>
      </c>
      <c r="N66" s="6"/>
      <c r="O66" s="25">
        <v>39934</v>
      </c>
      <c r="P66" s="33">
        <v>0.68413095963143111</v>
      </c>
      <c r="Q66" s="33">
        <v>8.9003963283269177E-2</v>
      </c>
      <c r="R66" s="33">
        <v>9.9157736992771334E-2</v>
      </c>
      <c r="S66" s="33">
        <v>5.5033468047024914E-2</v>
      </c>
      <c r="T66" s="33">
        <v>7.267387204550349E-2</v>
      </c>
      <c r="U66" s="33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30">
        <v>114.5</v>
      </c>
      <c r="H67" s="30">
        <v>119.6</v>
      </c>
      <c r="I67" s="30">
        <v>99.7</v>
      </c>
      <c r="J67" s="30">
        <v>3.89</v>
      </c>
      <c r="K67" s="30">
        <v>94.4</v>
      </c>
      <c r="L67" s="30">
        <v>103.83071178405029</v>
      </c>
      <c r="M67" s="34">
        <f t="shared" si="0"/>
        <v>-9.2125394509114944E-3</v>
      </c>
      <c r="N67" s="6"/>
      <c r="O67" s="25">
        <v>39965</v>
      </c>
      <c r="P67" s="33">
        <v>0.6904921457648342</v>
      </c>
      <c r="Q67" s="33">
        <v>8.9756492653767089E-2</v>
      </c>
      <c r="R67" s="33">
        <v>9.8889480906963118E-2</v>
      </c>
      <c r="S67" s="33">
        <v>5.4979834865367685E-2</v>
      </c>
      <c r="T67" s="33">
        <v>6.5882045809067896E-2</v>
      </c>
      <c r="U67" s="33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30">
        <v>115.6</v>
      </c>
      <c r="H68" s="30">
        <v>119.9</v>
      </c>
      <c r="I68" s="30">
        <v>99.9</v>
      </c>
      <c r="J68" s="30">
        <v>3.81</v>
      </c>
      <c r="K68" s="30">
        <v>94.4</v>
      </c>
      <c r="L68" s="30">
        <v>104.44605142466827</v>
      </c>
      <c r="M68" s="34">
        <f t="shared" si="0"/>
        <v>5.9263740953425792E-3</v>
      </c>
      <c r="N68" s="6"/>
      <c r="O68" s="25">
        <v>39995</v>
      </c>
      <c r="P68" s="33">
        <v>0.69301860724189956</v>
      </c>
      <c r="Q68" s="33">
        <v>8.9451511238753528E-2</v>
      </c>
      <c r="R68" s="33">
        <v>9.8504082945575139E-2</v>
      </c>
      <c r="S68" s="33">
        <v>5.3531894143323461E-2</v>
      </c>
      <c r="T68" s="33">
        <v>6.5493904430448446E-2</v>
      </c>
      <c r="U68" s="33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30">
        <v>115.6</v>
      </c>
      <c r="H69" s="30">
        <v>120.2</v>
      </c>
      <c r="I69" s="30">
        <v>98.5</v>
      </c>
      <c r="J69" s="30">
        <v>3.69</v>
      </c>
      <c r="K69" s="30">
        <v>94.4</v>
      </c>
      <c r="L69" s="30">
        <v>104.14914616267741</v>
      </c>
      <c r="M69" s="34">
        <f t="shared" si="0"/>
        <v>-2.8426662180235374E-3</v>
      </c>
      <c r="N69" s="6"/>
      <c r="O69" s="25">
        <v>40026</v>
      </c>
      <c r="P69" s="33">
        <v>0.69499424390075704</v>
      </c>
      <c r="Q69" s="33">
        <v>8.9930970260706969E-2</v>
      </c>
      <c r="R69" s="33">
        <v>9.7400522521728608E-2</v>
      </c>
      <c r="S69" s="33">
        <v>5.1993650828058159E-2</v>
      </c>
      <c r="T69" s="33">
        <v>6.5680612488749304E-2</v>
      </c>
      <c r="U69" s="33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30">
        <v>115.6</v>
      </c>
      <c r="H70" s="30">
        <v>119.6</v>
      </c>
      <c r="I70" s="30">
        <v>98.3</v>
      </c>
      <c r="J70" s="30">
        <v>3.46</v>
      </c>
      <c r="K70" s="30">
        <v>90.3</v>
      </c>
      <c r="L70" s="30">
        <v>103.44716793884997</v>
      </c>
      <c r="M70" s="34">
        <f t="shared" si="0"/>
        <v>-6.7401246163936168E-3</v>
      </c>
      <c r="N70" s="6"/>
      <c r="O70" s="25">
        <v>40057</v>
      </c>
      <c r="P70" s="33">
        <v>0.69971037905094446</v>
      </c>
      <c r="Q70" s="33">
        <v>9.0089276537657179E-2</v>
      </c>
      <c r="R70" s="33">
        <v>9.7862359461332524E-2</v>
      </c>
      <c r="S70" s="33">
        <v>4.9083684312879183E-2</v>
      </c>
      <c r="T70" s="33">
        <v>6.3254300637186775E-2</v>
      </c>
      <c r="U70" s="33">
        <v>1.0000000000000002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30">
        <v>115.8</v>
      </c>
      <c r="H71" s="30">
        <v>119.9</v>
      </c>
      <c r="I71" s="30">
        <v>97.5</v>
      </c>
      <c r="J71" s="30">
        <v>3.36</v>
      </c>
      <c r="K71" s="30">
        <v>90.3</v>
      </c>
      <c r="L71" s="30">
        <v>103.36663495130347</v>
      </c>
      <c r="M71" s="34">
        <f t="shared" si="0"/>
        <v>-7.7849388389361618E-4</v>
      </c>
      <c r="N71" s="6"/>
      <c r="O71" s="25">
        <v>40087</v>
      </c>
      <c r="P71" s="33">
        <v>0.70146703844017655</v>
      </c>
      <c r="Q71" s="33">
        <v>9.0385617634342164E-2</v>
      </c>
      <c r="R71" s="33">
        <v>9.714154523291435E-2</v>
      </c>
      <c r="S71" s="33">
        <v>4.7702216603895703E-2</v>
      </c>
      <c r="T71" s="33">
        <v>6.3303582088671345E-2</v>
      </c>
      <c r="U71" s="33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30">
        <v>115.8</v>
      </c>
      <c r="H72" s="30">
        <v>120.1</v>
      </c>
      <c r="I72" s="30">
        <v>97.4</v>
      </c>
      <c r="J72" s="30">
        <v>3.23</v>
      </c>
      <c r="K72" s="30">
        <v>90.3</v>
      </c>
      <c r="L72" s="30">
        <v>103.18114502437213</v>
      </c>
      <c r="M72" s="34">
        <f t="shared" si="0"/>
        <v>-1.7944854934933696E-3</v>
      </c>
      <c r="N72" s="6"/>
      <c r="O72" s="25">
        <v>40118</v>
      </c>
      <c r="P72" s="33">
        <v>0.70272807377443525</v>
      </c>
      <c r="Q72" s="33">
        <v>9.0699144269343265E-2</v>
      </c>
      <c r="R72" s="33">
        <v>9.7216366237773147E-2</v>
      </c>
      <c r="S72" s="33">
        <v>4.5939032054757127E-2</v>
      </c>
      <c r="T72" s="33">
        <v>6.3417383663691151E-2</v>
      </c>
      <c r="U72" s="33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30">
        <v>115.8</v>
      </c>
      <c r="H73" s="30">
        <v>120.1</v>
      </c>
      <c r="I73" s="30">
        <v>97</v>
      </c>
      <c r="J73" s="30">
        <v>3.69</v>
      </c>
      <c r="K73" s="30">
        <v>93.6</v>
      </c>
      <c r="L73" s="30">
        <v>104.05413322536</v>
      </c>
      <c r="M73" s="34">
        <f t="shared" si="0"/>
        <v>8.4607337976494446E-3</v>
      </c>
      <c r="N73" s="6"/>
      <c r="O73" s="25">
        <v>40148</v>
      </c>
      <c r="P73" s="33">
        <v>0.69683236066922538</v>
      </c>
      <c r="Q73" s="33">
        <v>8.9938201091667197E-2</v>
      </c>
      <c r="R73" s="33">
        <v>9.600484891061753E-2</v>
      </c>
      <c r="S73" s="33">
        <v>5.2041126784408011E-2</v>
      </c>
      <c r="T73" s="33">
        <v>6.5183462544082013E-2</v>
      </c>
      <c r="U73" s="33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30">
        <v>116.7</v>
      </c>
      <c r="H74" s="30">
        <v>120.1</v>
      </c>
      <c r="I74" s="30">
        <v>96.9</v>
      </c>
      <c r="J74" s="30">
        <v>3.39</v>
      </c>
      <c r="K74" s="30">
        <v>93.6</v>
      </c>
      <c r="L74" s="30">
        <v>104.16711890346113</v>
      </c>
      <c r="M74" s="34">
        <f t="shared" si="0"/>
        <v>1.0858355607692438E-3</v>
      </c>
      <c r="N74" s="6"/>
      <c r="O74" s="25">
        <v>40179</v>
      </c>
      <c r="P74" s="33">
        <v>0.70148645727775771</v>
      </c>
      <c r="Q74" s="33">
        <v>8.9840648920266983E-2</v>
      </c>
      <c r="R74" s="33">
        <v>9.5801849784292389E-2</v>
      </c>
      <c r="S74" s="33">
        <v>4.7758283224729768E-2</v>
      </c>
      <c r="T74" s="33">
        <v>6.5112760792953153E-2</v>
      </c>
      <c r="U74" s="33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30">
        <v>116.7</v>
      </c>
      <c r="H75" s="30">
        <v>119.9</v>
      </c>
      <c r="I75" s="30">
        <v>96.8</v>
      </c>
      <c r="J75" s="30">
        <v>3.32</v>
      </c>
      <c r="K75" s="30">
        <v>93.6</v>
      </c>
      <c r="L75" s="30">
        <v>104.03851045982636</v>
      </c>
      <c r="M75" s="34">
        <f t="shared" si="0"/>
        <v>-1.234635698756037E-3</v>
      </c>
      <c r="N75" s="6"/>
      <c r="O75" s="25">
        <v>40210</v>
      </c>
      <c r="P75" s="33">
        <v>0.7023536081154873</v>
      </c>
      <c r="Q75" s="33">
        <v>8.9801911826340633E-2</v>
      </c>
      <c r="R75" s="33">
        <v>9.5821287448433323E-2</v>
      </c>
      <c r="S75" s="33">
        <v>4.6829941902144186E-2</v>
      </c>
      <c r="T75" s="33">
        <v>6.5193250707594713E-2</v>
      </c>
      <c r="U75" s="33">
        <v>1.0000000000000002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30">
        <v>116.7</v>
      </c>
      <c r="H76" s="30">
        <v>120.2</v>
      </c>
      <c r="I76" s="30">
        <v>97.8</v>
      </c>
      <c r="J76" s="30">
        <v>3.13</v>
      </c>
      <c r="K76" s="30">
        <v>92.1</v>
      </c>
      <c r="L76" s="30">
        <v>103.77735204696242</v>
      </c>
      <c r="M76" s="34">
        <f t="shared" si="0"/>
        <v>-2.5102090726758508E-3</v>
      </c>
      <c r="N76" s="6"/>
      <c r="O76" s="25">
        <v>40238</v>
      </c>
      <c r="P76" s="33">
        <v>0.70412109928718036</v>
      </c>
      <c r="Q76" s="33">
        <v>9.025315814567382E-2</v>
      </c>
      <c r="R76" s="33">
        <v>9.7054804632714126E-2</v>
      </c>
      <c r="S76" s="33">
        <v>4.426101951930278E-2</v>
      </c>
      <c r="T76" s="33">
        <v>6.4309918415128883E-2</v>
      </c>
      <c r="U76" s="33">
        <v>0.99999999999999989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30">
        <v>117.1</v>
      </c>
      <c r="H77" s="30">
        <v>121.6</v>
      </c>
      <c r="I77" s="30">
        <v>98.1</v>
      </c>
      <c r="J77" s="30">
        <v>3</v>
      </c>
      <c r="K77" s="30">
        <v>92.2</v>
      </c>
      <c r="L77" s="30">
        <v>103.98427004020188</v>
      </c>
      <c r="M77" s="34">
        <f t="shared" si="0"/>
        <v>1.9938646453980802E-3</v>
      </c>
      <c r="N77" s="6"/>
      <c r="O77" s="25">
        <v>40269</v>
      </c>
      <c r="P77" s="33">
        <v>0.70512860821380907</v>
      </c>
      <c r="Q77" s="33">
        <v>9.1122673378015467E-2</v>
      </c>
      <c r="R77" s="33">
        <v>9.7158797266495303E-2</v>
      </c>
      <c r="S77" s="33">
        <v>4.2338285603854921E-2</v>
      </c>
      <c r="T77" s="33">
        <v>6.4251635537825286E-2</v>
      </c>
      <c r="U77" s="33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30">
        <v>117.1</v>
      </c>
      <c r="H78" s="30">
        <v>122.3</v>
      </c>
      <c r="I78" s="30">
        <v>98.4</v>
      </c>
      <c r="J78" s="30">
        <v>2.9</v>
      </c>
      <c r="K78" s="30">
        <v>92.2</v>
      </c>
      <c r="L78" s="30">
        <v>103.92296095416046</v>
      </c>
      <c r="M78" s="34">
        <f t="shared" si="0"/>
        <v>-5.8959961942051109E-4</v>
      </c>
      <c r="N78" s="6"/>
      <c r="O78" s="25">
        <v>40299</v>
      </c>
      <c r="P78" s="33">
        <v>0.70554459703970784</v>
      </c>
      <c r="Q78" s="33">
        <v>9.1701295290014639E-2</v>
      </c>
      <c r="R78" s="33">
        <v>9.7513412841774103E-2</v>
      </c>
      <c r="S78" s="33">
        <v>4.0951154201992072E-2</v>
      </c>
      <c r="T78" s="33">
        <v>6.4289540626511391E-2</v>
      </c>
      <c r="U78" s="33">
        <v>1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30">
        <v>117.1</v>
      </c>
      <c r="H79" s="30">
        <v>122.5</v>
      </c>
      <c r="I79" s="30">
        <v>98.9</v>
      </c>
      <c r="J79" s="30">
        <v>2.75</v>
      </c>
      <c r="K79" s="30">
        <v>93.1</v>
      </c>
      <c r="L79" s="30">
        <v>103.83513028075593</v>
      </c>
      <c r="M79" s="34">
        <f t="shared" si="0"/>
        <v>-8.4515176047827989E-4</v>
      </c>
      <c r="N79" s="6"/>
      <c r="O79" s="25">
        <v>40330</v>
      </c>
      <c r="P79" s="33">
        <v>0.70614139368172457</v>
      </c>
      <c r="Q79" s="33">
        <v>9.1928950439460588E-2</v>
      </c>
      <c r="R79" s="33">
        <v>9.809181029188288E-2</v>
      </c>
      <c r="S79" s="33">
        <v>3.8865838585516184E-2</v>
      </c>
      <c r="T79" s="33">
        <v>6.4972007001415866E-2</v>
      </c>
      <c r="U79" s="33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30">
        <v>118.4</v>
      </c>
      <c r="H80" s="30">
        <v>122.5</v>
      </c>
      <c r="I80" s="30">
        <v>98.7</v>
      </c>
      <c r="J80" s="30">
        <v>2.42</v>
      </c>
      <c r="K80" s="30">
        <v>93.1</v>
      </c>
      <c r="L80" s="30">
        <v>104.14425254560685</v>
      </c>
      <c r="M80" s="34">
        <f t="shared" si="0"/>
        <v>2.977048943022309E-3</v>
      </c>
      <c r="N80" s="6"/>
      <c r="O80" s="25">
        <v>40360</v>
      </c>
      <c r="P80" s="33">
        <v>0.71186146248319782</v>
      </c>
      <c r="Q80" s="33">
        <v>9.1656085786149366E-2</v>
      </c>
      <c r="R80" s="33">
        <v>9.7602876110070499E-2</v>
      </c>
      <c r="S80" s="33">
        <v>3.4100419337907709E-2</v>
      </c>
      <c r="T80" s="33">
        <v>6.4779156282674638E-2</v>
      </c>
      <c r="U80" s="33">
        <v>1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30">
        <v>118.4</v>
      </c>
      <c r="H81" s="30">
        <v>122.3</v>
      </c>
      <c r="I81" s="30">
        <v>100.4</v>
      </c>
      <c r="J81" s="30">
        <v>2.4900000000000002</v>
      </c>
      <c r="K81" s="30">
        <v>93.1</v>
      </c>
      <c r="L81" s="30">
        <v>104.40647073685754</v>
      </c>
      <c r="M81" s="34">
        <f t="shared" si="0"/>
        <v>2.5178364128721764E-3</v>
      </c>
      <c r="N81" s="6"/>
      <c r="O81" s="25">
        <v>40391</v>
      </c>
      <c r="P81" s="33">
        <v>0.71007361328385199</v>
      </c>
      <c r="Q81" s="33">
        <v>9.1276623590590314E-2</v>
      </c>
      <c r="R81" s="33">
        <v>9.9034626357630454E-2</v>
      </c>
      <c r="S81" s="33">
        <v>3.4998674167658665E-2</v>
      </c>
      <c r="T81" s="33">
        <v>6.4616462600268681E-2</v>
      </c>
      <c r="U81" s="33">
        <v>1.0000000000000002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30">
        <v>118.4</v>
      </c>
      <c r="H82" s="30">
        <v>122.3</v>
      </c>
      <c r="I82" s="30">
        <v>100.4</v>
      </c>
      <c r="J82" s="30">
        <v>2.52</v>
      </c>
      <c r="K82" s="30">
        <v>94.4</v>
      </c>
      <c r="L82" s="30">
        <v>104.54469879264097</v>
      </c>
      <c r="M82" s="34">
        <f t="shared" si="0"/>
        <v>1.3239414646226688E-3</v>
      </c>
      <c r="N82" s="6"/>
      <c r="O82" s="25">
        <v>40422</v>
      </c>
      <c r="P82" s="33">
        <v>0.7091347603705922</v>
      </c>
      <c r="Q82" s="33">
        <v>9.1155938463911373E-2</v>
      </c>
      <c r="R82" s="33">
        <v>9.8903683669816084E-2</v>
      </c>
      <c r="S82" s="33">
        <v>3.5373512480840252E-2</v>
      </c>
      <c r="T82" s="33">
        <v>6.5432105014840258E-2</v>
      </c>
      <c r="U82" s="3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30">
        <v>118.5</v>
      </c>
      <c r="H83" s="30">
        <v>122.7</v>
      </c>
      <c r="I83" s="30">
        <v>99.5</v>
      </c>
      <c r="J83" s="30">
        <v>2.31</v>
      </c>
      <c r="K83" s="30">
        <v>94.4</v>
      </c>
      <c r="L83" s="30">
        <v>104.23761867390358</v>
      </c>
      <c r="M83" s="34">
        <f t="shared" si="0"/>
        <v>-2.9373093259034144E-3</v>
      </c>
      <c r="N83" s="6"/>
      <c r="O83" s="25">
        <v>40452</v>
      </c>
      <c r="P83" s="33">
        <v>0.71182454061760325</v>
      </c>
      <c r="Q83" s="33">
        <v>9.172349754985927E-2</v>
      </c>
      <c r="R83" s="33">
        <v>9.8305851558584845E-2</v>
      </c>
      <c r="S83" s="33">
        <v>3.2521244729537623E-2</v>
      </c>
      <c r="T83" s="33">
        <v>6.5624865544415018E-2</v>
      </c>
      <c r="U83" s="3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30">
        <v>118.5</v>
      </c>
      <c r="H84" s="30">
        <v>123.2</v>
      </c>
      <c r="I84" s="30">
        <v>99.4</v>
      </c>
      <c r="J84" s="30">
        <v>2.42</v>
      </c>
      <c r="K84" s="30">
        <v>94.5</v>
      </c>
      <c r="L84" s="30">
        <v>104.43495300502208</v>
      </c>
      <c r="M84" s="34">
        <f t="shared" si="0"/>
        <v>1.893120100295409E-3</v>
      </c>
      <c r="N84" s="6"/>
      <c r="O84" s="25">
        <v>40483</v>
      </c>
      <c r="P84" s="33">
        <v>0.71047951756205829</v>
      </c>
      <c r="Q84" s="33">
        <v>9.1923247186584678E-2</v>
      </c>
      <c r="R84" s="33">
        <v>9.8021485263758576E-2</v>
      </c>
      <c r="S84" s="33">
        <v>3.4005498937385241E-2</v>
      </c>
      <c r="T84" s="33">
        <v>6.557025105021326E-2</v>
      </c>
      <c r="U84" s="33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30">
        <v>118.5</v>
      </c>
      <c r="H85" s="30">
        <v>123.1</v>
      </c>
      <c r="I85" s="30">
        <v>98.7</v>
      </c>
      <c r="J85" s="30">
        <v>2.85</v>
      </c>
      <c r="K85" s="30">
        <v>93.8</v>
      </c>
      <c r="L85" s="30">
        <v>104.93537278499915</v>
      </c>
      <c r="M85" s="34">
        <f t="shared" si="0"/>
        <v>4.7916886595715802E-3</v>
      </c>
      <c r="N85" s="6"/>
      <c r="O85" s="25">
        <v>40513</v>
      </c>
      <c r="P85" s="33">
        <v>0.70709135593056482</v>
      </c>
      <c r="Q85" s="33">
        <v>9.1410622916079529E-2</v>
      </c>
      <c r="R85" s="33">
        <v>9.6867036434046455E-2</v>
      </c>
      <c r="S85" s="33">
        <v>3.9856816877909887E-2</v>
      </c>
      <c r="T85" s="33">
        <v>6.4774167841399513E-2</v>
      </c>
      <c r="U85" s="33">
        <v>1.0000000000000002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30">
        <v>119.4</v>
      </c>
      <c r="H86" s="30">
        <v>123.2</v>
      </c>
      <c r="I86" s="30">
        <v>97.8</v>
      </c>
      <c r="J86" s="30">
        <v>2.77</v>
      </c>
      <c r="K86" s="30">
        <v>93.8</v>
      </c>
      <c r="L86" s="30">
        <v>105.29661253453993</v>
      </c>
      <c r="M86" s="34">
        <f t="shared" ref="M86:M149" si="1">IF(L86="","",L86/L85-1)</f>
        <v>3.4424974148701271E-3</v>
      </c>
      <c r="N86" s="6"/>
      <c r="O86" s="25">
        <v>40544</v>
      </c>
      <c r="P86" s="33">
        <v>0.71001743683542129</v>
      </c>
      <c r="Q86" s="33">
        <v>9.1171024109165513E-2</v>
      </c>
      <c r="R86" s="33">
        <v>9.565446015572851E-2</v>
      </c>
      <c r="S86" s="33">
        <v>3.8605130972150584E-2</v>
      </c>
      <c r="T86" s="33">
        <v>6.4551947927534145E-2</v>
      </c>
      <c r="U86" s="3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30">
        <v>119.4</v>
      </c>
      <c r="H87" s="30">
        <v>123.3</v>
      </c>
      <c r="I87" s="30">
        <v>98.2</v>
      </c>
      <c r="J87" s="30">
        <v>2.68</v>
      </c>
      <c r="K87" s="30">
        <v>93.6</v>
      </c>
      <c r="L87" s="30">
        <v>105.19903116170703</v>
      </c>
      <c r="M87" s="34">
        <f t="shared" si="1"/>
        <v>-9.2672850991193378E-4</v>
      </c>
      <c r="N87" s="6"/>
      <c r="O87" s="25">
        <v>40575</v>
      </c>
      <c r="P87" s="33">
        <v>0.71067604058354128</v>
      </c>
      <c r="Q87" s="33">
        <v>9.1329664367569688E-2</v>
      </c>
      <c r="R87" s="33">
        <v>9.6134775779150028E-2</v>
      </c>
      <c r="S87" s="33">
        <v>3.7385458807848736E-2</v>
      </c>
      <c r="T87" s="33">
        <v>6.4474060461890234E-2</v>
      </c>
      <c r="U87" s="3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30">
        <v>119.4</v>
      </c>
      <c r="H88" s="30">
        <v>123.4</v>
      </c>
      <c r="I88" s="30">
        <v>99</v>
      </c>
      <c r="J88" s="30">
        <v>2.91</v>
      </c>
      <c r="K88" s="30">
        <v>100.7</v>
      </c>
      <c r="L88" s="30">
        <v>106.14123161796553</v>
      </c>
      <c r="M88" s="34">
        <f t="shared" si="1"/>
        <v>8.9563605848250738E-3</v>
      </c>
      <c r="N88" s="6"/>
      <c r="O88" s="25">
        <v>40603</v>
      </c>
      <c r="P88" s="33">
        <v>0.70436747152434775</v>
      </c>
      <c r="Q88" s="33">
        <v>9.0592357644706994E-2</v>
      </c>
      <c r="R88" s="33">
        <v>9.6057624420679652E-2</v>
      </c>
      <c r="S88" s="33">
        <v>4.0233566037211031E-2</v>
      </c>
      <c r="T88" s="33">
        <v>6.8748980373054672E-2</v>
      </c>
      <c r="U88" s="33">
        <v>1.0000000000000002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30">
        <v>119.8</v>
      </c>
      <c r="H89" s="30">
        <v>124.9</v>
      </c>
      <c r="I89" s="30">
        <v>98.5</v>
      </c>
      <c r="J89" s="30">
        <v>2.96</v>
      </c>
      <c r="K89" s="30">
        <v>100.7</v>
      </c>
      <c r="L89" s="30">
        <v>106.53045709618945</v>
      </c>
      <c r="M89" s="34">
        <f t="shared" si="1"/>
        <v>3.6670525891848715E-3</v>
      </c>
      <c r="N89" s="6"/>
      <c r="O89" s="25">
        <v>40634</v>
      </c>
      <c r="P89" s="33">
        <v>0.7041450247101797</v>
      </c>
      <c r="Q89" s="33">
        <v>9.1358544755701224E-2</v>
      </c>
      <c r="R89" s="33">
        <v>9.5223296069002955E-2</v>
      </c>
      <c r="S89" s="33">
        <v>4.0775339109872376E-2</v>
      </c>
      <c r="T89" s="33">
        <v>6.8497795355243779E-2</v>
      </c>
      <c r="U89" s="3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30">
        <f>G89</f>
        <v>119.8</v>
      </c>
      <c r="H90" s="30">
        <v>125.6</v>
      </c>
      <c r="I90" s="30">
        <v>98.5</v>
      </c>
      <c r="J90" s="30">
        <v>3.07</v>
      </c>
      <c r="K90" s="30">
        <v>100.3</v>
      </c>
      <c r="L90" s="30">
        <v>106.71744262000844</v>
      </c>
      <c r="M90" s="34">
        <f t="shared" si="1"/>
        <v>1.75523065342853E-3</v>
      </c>
      <c r="N90" s="6"/>
      <c r="O90" s="25">
        <v>40664</v>
      </c>
      <c r="P90" s="33">
        <v>0.70291125333169202</v>
      </c>
      <c r="Q90" s="33">
        <v>9.1709590735432597E-2</v>
      </c>
      <c r="R90" s="33">
        <v>9.505645007402691E-2</v>
      </c>
      <c r="S90" s="33">
        <v>4.2216539110562078E-2</v>
      </c>
      <c r="T90" s="33">
        <v>6.8106166748286442E-2</v>
      </c>
      <c r="U90" s="3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30">
        <f t="shared" ref="G91:G97" si="2">G89</f>
        <v>119.8</v>
      </c>
      <c r="H91" s="30">
        <v>126.1</v>
      </c>
      <c r="I91" s="30">
        <v>97.8</v>
      </c>
      <c r="J91" s="30">
        <v>3</v>
      </c>
      <c r="K91" s="30">
        <v>101.9</v>
      </c>
      <c r="L91" s="30">
        <v>106.69752969286034</v>
      </c>
      <c r="M91" s="34">
        <f t="shared" si="1"/>
        <v>-1.8659486827288241E-4</v>
      </c>
      <c r="N91" s="6"/>
      <c r="O91" s="25">
        <v>40695</v>
      </c>
      <c r="P91" s="33">
        <v>0.7030424374426969</v>
      </c>
      <c r="Q91" s="33">
        <v>9.2091860554401661E-2</v>
      </c>
      <c r="R91" s="33">
        <v>9.4398536284878085E-2</v>
      </c>
      <c r="S91" s="33">
        <v>4.1261646225020661E-2</v>
      </c>
      <c r="T91" s="33">
        <v>6.9205519493002812E-2</v>
      </c>
      <c r="U91" s="33">
        <v>1.0000000000000002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30">
        <v>120.4</v>
      </c>
      <c r="H92" s="30">
        <v>126.3</v>
      </c>
      <c r="I92" s="30">
        <v>97</v>
      </c>
      <c r="J92" s="30">
        <v>2.85</v>
      </c>
      <c r="K92" s="30">
        <v>101.9</v>
      </c>
      <c r="L92" s="30">
        <v>106.78628964062368</v>
      </c>
      <c r="M92" s="34">
        <f t="shared" si="1"/>
        <v>8.318838122947092E-4</v>
      </c>
      <c r="N92" s="6"/>
      <c r="O92" s="25">
        <v>40725</v>
      </c>
      <c r="P92" s="33">
        <v>0.70597622790181225</v>
      </c>
      <c r="Q92" s="33">
        <v>9.2161254732971931E-2</v>
      </c>
      <c r="R92" s="33">
        <v>9.3548538604020084E-2</v>
      </c>
      <c r="S92" s="33">
        <v>3.9165982367045868E-2</v>
      </c>
      <c r="T92" s="33">
        <v>6.9147996394149897E-2</v>
      </c>
      <c r="U92" s="33">
        <v>1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30">
        <f>G92</f>
        <v>120.4</v>
      </c>
      <c r="H93" s="30">
        <v>126</v>
      </c>
      <c r="I93" s="30">
        <v>96.9</v>
      </c>
      <c r="J93" s="30">
        <v>2.89</v>
      </c>
      <c r="K93" s="30">
        <v>101.9</v>
      </c>
      <c r="L93" s="30">
        <v>106.81131456571661</v>
      </c>
      <c r="M93" s="34">
        <f t="shared" si="1"/>
        <v>2.3434586197490503E-4</v>
      </c>
      <c r="N93" s="6"/>
      <c r="O93" s="25">
        <v>40756</v>
      </c>
      <c r="P93" s="33">
        <v>0.70581082405585782</v>
      </c>
      <c r="Q93" s="33">
        <v>9.1920803129345391E-2</v>
      </c>
      <c r="R93" s="33">
        <v>9.3430201830462356E-2</v>
      </c>
      <c r="S93" s="33">
        <v>3.9706375340424788E-2</v>
      </c>
      <c r="T93" s="33">
        <v>6.9131795643909852E-2</v>
      </c>
      <c r="U93" s="33">
        <v>1.0000000000000002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30">
        <f t="shared" si="2"/>
        <v>120.4</v>
      </c>
      <c r="H94" s="30">
        <v>125.9</v>
      </c>
      <c r="I94" s="30">
        <v>96.6</v>
      </c>
      <c r="J94" s="30">
        <v>2.7</v>
      </c>
      <c r="K94" s="30">
        <v>103.2</v>
      </c>
      <c r="L94" s="30">
        <v>106.58800327714586</v>
      </c>
      <c r="M94" s="34">
        <f t="shared" si="1"/>
        <v>-2.0907081752407075E-3</v>
      </c>
      <c r="N94" s="6"/>
      <c r="O94" s="25">
        <v>40787</v>
      </c>
      <c r="P94" s="33">
        <v>0.70728956012146604</v>
      </c>
      <c r="Q94" s="33">
        <v>9.204027947574013E-2</v>
      </c>
      <c r="R94" s="33">
        <v>9.3336082750908239E-2</v>
      </c>
      <c r="S94" s="33">
        <v>3.7173640833113988E-2</v>
      </c>
      <c r="T94" s="33">
        <v>7.0160436818771654E-2</v>
      </c>
      <c r="U94" s="3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30">
        <v>120.8</v>
      </c>
      <c r="H95" s="30">
        <v>125.9</v>
      </c>
      <c r="I95" s="30">
        <v>97.2</v>
      </c>
      <c r="J95" s="30">
        <v>2.39</v>
      </c>
      <c r="K95" s="30">
        <v>103.2</v>
      </c>
      <c r="L95" s="30">
        <v>106.44532902460872</v>
      </c>
      <c r="M95" s="34">
        <f t="shared" si="1"/>
        <v>-1.3385582631297854E-3</v>
      </c>
      <c r="N95" s="6"/>
      <c r="O95" s="25">
        <v>40817</v>
      </c>
      <c r="P95" s="33">
        <v>0.71059052614500051</v>
      </c>
      <c r="Q95" s="33">
        <v>9.2163645885500342E-2</v>
      </c>
      <c r="R95" s="33">
        <v>9.4041690254532476E-2</v>
      </c>
      <c r="S95" s="33">
        <v>3.2949661186115572E-2</v>
      </c>
      <c r="T95" s="33">
        <v>7.0254476528851209E-2</v>
      </c>
      <c r="U95" s="33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30">
        <f>G95</f>
        <v>120.8</v>
      </c>
      <c r="H96" s="30">
        <v>126.3</v>
      </c>
      <c r="I96" s="30">
        <v>96.9</v>
      </c>
      <c r="J96" s="30">
        <v>2.19</v>
      </c>
      <c r="K96" s="30">
        <v>103.2</v>
      </c>
      <c r="L96" s="30">
        <v>106.15210082403739</v>
      </c>
      <c r="M96" s="34">
        <f t="shared" si="1"/>
        <v>-2.7547305575384984E-3</v>
      </c>
      <c r="N96" s="6"/>
      <c r="O96" s="25">
        <v>40848</v>
      </c>
      <c r="P96" s="33">
        <v>0.71255341882170731</v>
      </c>
      <c r="Q96" s="33">
        <v>9.2711857468296938E-2</v>
      </c>
      <c r="R96" s="33">
        <v>9.4010411477340655E-2</v>
      </c>
      <c r="S96" s="33">
        <v>3.0275768948886138E-2</v>
      </c>
      <c r="T96" s="33">
        <v>7.044854328376908E-2</v>
      </c>
      <c r="U96" s="33">
        <v>1.0000000000000002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30">
        <f t="shared" si="2"/>
        <v>120.8</v>
      </c>
      <c r="H97" s="30">
        <v>126.5</v>
      </c>
      <c r="I97" s="30">
        <v>98.1</v>
      </c>
      <c r="J97" s="30">
        <v>2.54</v>
      </c>
      <c r="K97" s="30">
        <v>103.4</v>
      </c>
      <c r="L97" s="30">
        <v>106.81938876171512</v>
      </c>
      <c r="M97" s="34">
        <f t="shared" si="1"/>
        <v>6.2861491435186601E-3</v>
      </c>
      <c r="N97" s="6"/>
      <c r="O97" s="25">
        <v>40878</v>
      </c>
      <c r="P97" s="33">
        <v>0.70810218289120208</v>
      </c>
      <c r="Q97" s="33">
        <v>9.2278592598310505E-2</v>
      </c>
      <c r="R97" s="33">
        <v>9.4580082594157858E-2</v>
      </c>
      <c r="S97" s="33">
        <v>3.4895006941894471E-2</v>
      </c>
      <c r="T97" s="33">
        <v>7.0144134974435141E-2</v>
      </c>
      <c r="U97" s="33">
        <v>1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30">
        <v>121.3</v>
      </c>
      <c r="H98" s="30">
        <v>126.4</v>
      </c>
      <c r="I98" s="30">
        <v>97.6</v>
      </c>
      <c r="J98" s="30">
        <v>2.23</v>
      </c>
      <c r="K98" s="30">
        <v>103.4</v>
      </c>
      <c r="L98" s="30">
        <v>106.61825212976039</v>
      </c>
      <c r="M98" s="34">
        <f t="shared" si="1"/>
        <v>-1.8829599596699165E-3</v>
      </c>
      <c r="N98" s="6"/>
      <c r="O98" s="25">
        <v>40909</v>
      </c>
      <c r="P98" s="33">
        <v>0.71237444196029498</v>
      </c>
      <c r="Q98" s="33">
        <v>9.23795921674221E-2</v>
      </c>
      <c r="R98" s="33">
        <v>9.4275540117061823E-2</v>
      </c>
      <c r="S98" s="33">
        <v>3.0693963015339693E-2</v>
      </c>
      <c r="T98" s="33">
        <v>7.0276462739881571E-2</v>
      </c>
      <c r="U98" s="33">
        <v>1.0000000000000002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30">
        <f>G98</f>
        <v>121.3</v>
      </c>
      <c r="H99" s="30">
        <v>126.4</v>
      </c>
      <c r="I99" s="30">
        <v>98.3</v>
      </c>
      <c r="J99" s="30">
        <v>1.87</v>
      </c>
      <c r="K99" s="30">
        <v>103.4</v>
      </c>
      <c r="L99" s="30">
        <v>106.16204087118628</v>
      </c>
      <c r="M99" s="34">
        <f t="shared" si="1"/>
        <v>-4.2789226934509816E-3</v>
      </c>
      <c r="N99" s="6"/>
      <c r="O99" s="25">
        <v>40940</v>
      </c>
      <c r="P99" s="33">
        <v>0.7154357361674879</v>
      </c>
      <c r="Q99" s="33">
        <v>9.2776575963734009E-2</v>
      </c>
      <c r="R99" s="33">
        <v>9.5359733582855766E-2</v>
      </c>
      <c r="S99" s="33">
        <v>2.5849491761074414E-2</v>
      </c>
      <c r="T99" s="33">
        <v>7.0578462524848021E-2</v>
      </c>
      <c r="U99" s="33">
        <v>1.0000000000000002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30">
        <f>G98</f>
        <v>121.3</v>
      </c>
      <c r="H100" s="30">
        <v>126.8</v>
      </c>
      <c r="I100" s="30">
        <v>99.2</v>
      </c>
      <c r="J100" s="30">
        <v>1.97</v>
      </c>
      <c r="K100" s="30">
        <v>104.6</v>
      </c>
      <c r="L100" s="30">
        <v>106.51960469876968</v>
      </c>
      <c r="M100" s="34">
        <f t="shared" si="1"/>
        <v>3.3680948920080667E-3</v>
      </c>
      <c r="N100" s="6"/>
      <c r="O100" s="25">
        <v>40969</v>
      </c>
      <c r="P100" s="33">
        <v>0.71303416942362485</v>
      </c>
      <c r="Q100" s="33">
        <v>9.2757755799610112E-2</v>
      </c>
      <c r="R100" s="33">
        <v>9.5909780303315345E-2</v>
      </c>
      <c r="S100" s="33">
        <v>2.7140406060678714E-2</v>
      </c>
      <c r="T100" s="33">
        <v>7.1157888412771056E-2</v>
      </c>
      <c r="U100" s="3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30">
        <v>122.1</v>
      </c>
      <c r="H101" s="30">
        <v>128.4</v>
      </c>
      <c r="I101" s="30">
        <v>99.9</v>
      </c>
      <c r="J101" s="30">
        <v>2</v>
      </c>
      <c r="K101" s="30">
        <v>104.6</v>
      </c>
      <c r="L101" s="30">
        <v>107.26131661920911</v>
      </c>
      <c r="M101" s="34">
        <f t="shared" si="1"/>
        <v>6.9631493896071817E-3</v>
      </c>
      <c r="N101" s="6"/>
      <c r="O101" s="25">
        <v>41000</v>
      </c>
      <c r="P101" s="33">
        <v>0.71277363623505441</v>
      </c>
      <c r="Q101" s="33">
        <v>9.3278687233669527E-2</v>
      </c>
      <c r="R101" s="33">
        <v>9.5918667019520967E-2</v>
      </c>
      <c r="S101" s="33">
        <v>2.7363177841643906E-2</v>
      </c>
      <c r="T101" s="33">
        <v>7.0665831670111229E-2</v>
      </c>
      <c r="U101" s="3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30">
        <f>G101</f>
        <v>122.1</v>
      </c>
      <c r="H102" s="30">
        <v>129</v>
      </c>
      <c r="I102" s="30">
        <v>99.3</v>
      </c>
      <c r="J102" s="30">
        <v>1.94</v>
      </c>
      <c r="K102" s="30">
        <v>104.6</v>
      </c>
      <c r="L102" s="30">
        <v>107.15822758445266</v>
      </c>
      <c r="M102" s="34">
        <f t="shared" si="1"/>
        <v>-9.6110170941154927E-4</v>
      </c>
      <c r="N102" s="6"/>
      <c r="O102" s="25">
        <v>41030</v>
      </c>
      <c r="P102" s="33">
        <v>0.71345934322942794</v>
      </c>
      <c r="Q102" s="33">
        <v>9.380472483110075E-2</v>
      </c>
      <c r="R102" s="33">
        <v>9.5434300999140367E-2</v>
      </c>
      <c r="S102" s="33">
        <v>2.6567816880613875E-2</v>
      </c>
      <c r="T102" s="33">
        <v>7.0733814059717237E-2</v>
      </c>
      <c r="U102" s="33">
        <v>1.0000000000000002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30">
        <f t="shared" ref="G103:G109" si="3">G101</f>
        <v>122.1</v>
      </c>
      <c r="H103" s="30">
        <v>129</v>
      </c>
      <c r="I103" s="30">
        <v>99.8</v>
      </c>
      <c r="J103" s="30">
        <v>1.81</v>
      </c>
      <c r="K103" s="30">
        <v>100.4</v>
      </c>
      <c r="L103" s="30">
        <v>106.71459738289423</v>
      </c>
      <c r="M103" s="34">
        <f t="shared" si="1"/>
        <v>-4.1399546405226362E-3</v>
      </c>
      <c r="N103" s="6"/>
      <c r="O103" s="25">
        <v>41061</v>
      </c>
      <c r="P103" s="33">
        <v>0.71642531152245315</v>
      </c>
      <c r="Q103" s="33">
        <v>9.4194686560840873E-2</v>
      </c>
      <c r="R103" s="33">
        <v>9.6313570062222797E-2</v>
      </c>
      <c r="S103" s="33">
        <v>2.4890544981795881E-2</v>
      </c>
      <c r="T103" s="33">
        <v>6.81758868726874E-2</v>
      </c>
      <c r="U103" s="33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30">
        <v>122.6</v>
      </c>
      <c r="H104" s="30">
        <v>129</v>
      </c>
      <c r="I104" s="30">
        <v>99.6</v>
      </c>
      <c r="J104" s="30">
        <v>1.54</v>
      </c>
      <c r="K104" s="30">
        <v>100.4</v>
      </c>
      <c r="L104" s="30">
        <v>106.61084915189747</v>
      </c>
      <c r="M104" s="34">
        <f t="shared" si="1"/>
        <v>-9.7220280581211682E-4</v>
      </c>
      <c r="N104" s="6"/>
      <c r="O104" s="25">
        <v>41091</v>
      </c>
      <c r="P104" s="33">
        <v>0.72005911960333124</v>
      </c>
      <c r="Q104" s="33">
        <v>9.4286352016821423E-2</v>
      </c>
      <c r="R104" s="33">
        <v>9.6214096510351468E-2</v>
      </c>
      <c r="S104" s="33">
        <v>2.1198199707225609E-2</v>
      </c>
      <c r="T104" s="33">
        <v>6.8242232162270447E-2</v>
      </c>
      <c r="U104" s="33">
        <v>1.0000000000000002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30">
        <f>G104</f>
        <v>122.6</v>
      </c>
      <c r="H105" s="30">
        <v>128.80000000000001</v>
      </c>
      <c r="I105" s="30">
        <v>101</v>
      </c>
      <c r="J105" s="30">
        <v>1.64</v>
      </c>
      <c r="K105" s="30">
        <v>100.4</v>
      </c>
      <c r="L105" s="30">
        <v>106.88619651685873</v>
      </c>
      <c r="M105" s="34">
        <f t="shared" si="1"/>
        <v>2.5827330628325207E-3</v>
      </c>
      <c r="N105" s="6"/>
      <c r="O105" s="25">
        <v>41122</v>
      </c>
      <c r="P105" s="33">
        <v>0.71820418989622137</v>
      </c>
      <c r="Q105" s="33">
        <v>9.3897659037578726E-2</v>
      </c>
      <c r="R105" s="33">
        <v>9.7315164396810011E-2</v>
      </c>
      <c r="S105" s="33">
        <v>2.2516551938568049E-2</v>
      </c>
      <c r="T105" s="33">
        <v>6.8066434730822009E-2</v>
      </c>
      <c r="U105" s="33">
        <v>1.0000000000000002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30">
        <f t="shared" si="3"/>
        <v>122.6</v>
      </c>
      <c r="H106" s="30">
        <v>128.80000000000001</v>
      </c>
      <c r="I106" s="30">
        <v>101.1</v>
      </c>
      <c r="J106" s="30">
        <v>1.44</v>
      </c>
      <c r="K106" s="30">
        <v>102</v>
      </c>
      <c r="L106" s="30">
        <v>106.71893615880025</v>
      </c>
      <c r="M106" s="34">
        <f t="shared" si="1"/>
        <v>-1.5648452607451846E-3</v>
      </c>
      <c r="N106" s="6"/>
      <c r="O106" s="25">
        <v>41153</v>
      </c>
      <c r="P106" s="33">
        <v>0.71932982977125148</v>
      </c>
      <c r="Q106" s="33">
        <v>9.4044824635707541E-2</v>
      </c>
      <c r="R106" s="33">
        <v>9.7564188903351487E-2</v>
      </c>
      <c r="S106" s="33">
        <v>1.9801617437652394E-2</v>
      </c>
      <c r="T106" s="33">
        <v>6.9259539252037289E-2</v>
      </c>
      <c r="U106" s="33">
        <v>1.0000000000000002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30">
        <v>122.8</v>
      </c>
      <c r="H107" s="30">
        <v>129.19999999999999</v>
      </c>
      <c r="I107" s="30">
        <v>101.8</v>
      </c>
      <c r="J107" s="30">
        <v>1.46</v>
      </c>
      <c r="K107" s="30">
        <v>102</v>
      </c>
      <c r="L107" s="30">
        <v>106.97677592558749</v>
      </c>
      <c r="M107" s="34">
        <f t="shared" si="1"/>
        <v>2.4160638783314869E-3</v>
      </c>
      <c r="N107" s="6"/>
      <c r="O107" s="25">
        <v>41183</v>
      </c>
      <c r="P107" s="33">
        <v>0.71876670163010281</v>
      </c>
      <c r="Q107" s="33">
        <v>9.410951470939255E-2</v>
      </c>
      <c r="R107" s="33">
        <v>9.8002926190941392E-2</v>
      </c>
      <c r="S107" s="33">
        <v>2.0028250369799584E-2</v>
      </c>
      <c r="T107" s="33">
        <v>6.9092607099763795E-2</v>
      </c>
      <c r="U107" s="33">
        <v>1.0000000000000002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30">
        <f>G107</f>
        <v>122.8</v>
      </c>
      <c r="H108" s="30">
        <v>129.5</v>
      </c>
      <c r="I108" s="30">
        <v>101.4</v>
      </c>
      <c r="J108" s="30">
        <v>1.54</v>
      </c>
      <c r="K108" s="30">
        <v>102</v>
      </c>
      <c r="L108" s="30">
        <v>107.07635832355514</v>
      </c>
      <c r="M108" s="34">
        <f t="shared" si="1"/>
        <v>9.3087866133600983E-4</v>
      </c>
      <c r="N108" s="6"/>
      <c r="O108" s="25">
        <v>41214</v>
      </c>
      <c r="P108" s="33">
        <v>0.71809823930239325</v>
      </c>
      <c r="Q108" s="33">
        <v>9.4240308961733216E-2</v>
      </c>
      <c r="R108" s="33">
        <v>9.7527060071735491E-2</v>
      </c>
      <c r="S108" s="33">
        <v>2.1106041582492539E-2</v>
      </c>
      <c r="T108" s="33">
        <v>6.9028350081645568E-2</v>
      </c>
      <c r="U108" s="3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30">
        <f t="shared" si="3"/>
        <v>122.8</v>
      </c>
      <c r="H109" s="30">
        <v>129.4</v>
      </c>
      <c r="I109" s="30">
        <v>100.5</v>
      </c>
      <c r="J109" s="30">
        <v>1.67</v>
      </c>
      <c r="K109" s="30">
        <v>102</v>
      </c>
      <c r="L109" s="30">
        <v>107.16665384653822</v>
      </c>
      <c r="M109" s="34">
        <f t="shared" si="1"/>
        <v>8.4328160199698132E-4</v>
      </c>
      <c r="N109" s="6"/>
      <c r="O109" s="25">
        <v>41244</v>
      </c>
      <c r="P109" s="33">
        <v>0.71749319049529048</v>
      </c>
      <c r="Q109" s="33">
        <v>9.4088193679685336E-2</v>
      </c>
      <c r="R109" s="33">
        <v>9.6579991148542793E-2</v>
      </c>
      <c r="S109" s="33">
        <v>2.2868435886129058E-2</v>
      </c>
      <c r="T109" s="33">
        <v>6.8970188790352396E-2</v>
      </c>
      <c r="U109" s="3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30">
        <f>123.1*1.0101</f>
        <v>124.34330999999999</v>
      </c>
      <c r="H110" s="30">
        <v>129.30000000000001</v>
      </c>
      <c r="I110" s="30">
        <v>100.2</v>
      </c>
      <c r="J110" s="30">
        <v>1.47</v>
      </c>
      <c r="K110" s="30">
        <v>102</v>
      </c>
      <c r="L110" s="30">
        <v>107.80080972671118</v>
      </c>
      <c r="M110" s="34">
        <f t="shared" si="1"/>
        <v>5.917473928793715E-3</v>
      </c>
      <c r="N110" s="6"/>
      <c r="O110" s="25">
        <v>41275</v>
      </c>
      <c r="P110" s="33">
        <v>0.722236592657714</v>
      </c>
      <c r="Q110" s="33">
        <v>9.3462421116009331E-2</v>
      </c>
      <c r="R110" s="33">
        <v>9.5725241049265844E-2</v>
      </c>
      <c r="S110" s="33">
        <v>2.0011284793420164E-2</v>
      </c>
      <c r="T110" s="33">
        <v>6.8564460383590695E-2</v>
      </c>
      <c r="U110" s="3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30">
        <f>123.1*1.0101</f>
        <v>124.34330999999999</v>
      </c>
      <c r="H111" s="30">
        <v>128.9</v>
      </c>
      <c r="I111" s="30">
        <v>100.7</v>
      </c>
      <c r="J111" s="30">
        <v>1.44</v>
      </c>
      <c r="K111" s="30">
        <v>99.5</v>
      </c>
      <c r="L111" s="30">
        <v>107.59594962389002</v>
      </c>
      <c r="M111" s="34">
        <f t="shared" si="1"/>
        <v>-1.9003577370197977E-3</v>
      </c>
      <c r="N111" s="6"/>
      <c r="O111" s="25">
        <v>41306</v>
      </c>
      <c r="P111" s="33">
        <v>0.72361171377658751</v>
      </c>
      <c r="Q111" s="33">
        <v>9.3350687263470136E-2</v>
      </c>
      <c r="R111" s="33">
        <v>9.6386079945550665E-2</v>
      </c>
      <c r="S111" s="33">
        <v>1.9640214660093545E-2</v>
      </c>
      <c r="T111" s="33">
        <v>6.701130435429821E-2</v>
      </c>
      <c r="U111" s="33">
        <v>1.0000000000000002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30">
        <f>123.1*1.0101</f>
        <v>124.34330999999999</v>
      </c>
      <c r="H112" s="30">
        <v>128.4</v>
      </c>
      <c r="I112" s="30">
        <v>99.5</v>
      </c>
      <c r="J112" s="30">
        <v>1.69</v>
      </c>
      <c r="K112" s="30">
        <v>104.8</v>
      </c>
      <c r="L112" s="30">
        <v>108.18433893212745</v>
      </c>
      <c r="M112" s="34">
        <f t="shared" si="1"/>
        <v>5.4685079716678686E-3</v>
      </c>
      <c r="N112" s="6"/>
      <c r="O112" s="25">
        <v>41334</v>
      </c>
      <c r="P112" s="33">
        <v>0.71967615896427206</v>
      </c>
      <c r="Q112" s="33">
        <v>9.2482839050038956E-2</v>
      </c>
      <c r="R112" s="33">
        <v>9.4719512725460128E-2</v>
      </c>
      <c r="S112" s="33">
        <v>2.2924610733151496E-2</v>
      </c>
      <c r="T112" s="33">
        <v>7.0196878527077428E-2</v>
      </c>
      <c r="U112" s="3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30">
        <f>123.7 * 1.0101</f>
        <v>124.94937</v>
      </c>
      <c r="H113" s="30">
        <v>129.9</v>
      </c>
      <c r="I113" s="30">
        <f>I112*(1+(((SUM(I$87:I$98)-SUM(I$75:I$86))/SUM(I$75:I$86))/12))</f>
        <v>99.411828002363066</v>
      </c>
      <c r="J113" s="30">
        <v>1.54</v>
      </c>
      <c r="K113" s="30">
        <v>104.8</v>
      </c>
      <c r="L113" s="30">
        <v>108.48024542052032</v>
      </c>
      <c r="M113" s="34">
        <f t="shared" si="1"/>
        <v>2.7352063275860594E-3</v>
      </c>
      <c r="N113" s="6"/>
      <c r="O113" s="25">
        <v>41365</v>
      </c>
      <c r="P113" s="33">
        <v>0.72121126092913401</v>
      </c>
      <c r="Q113" s="33">
        <v>9.3308029336032577E-2</v>
      </c>
      <c r="R113" s="33">
        <v>9.4642410728132328E-2</v>
      </c>
      <c r="S113" s="33">
        <v>2.0832899690797789E-2</v>
      </c>
      <c r="T113" s="33">
        <v>7.0005399315903383E-2</v>
      </c>
      <c r="U113" s="3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30">
        <f>123.7 * 1.0101</f>
        <v>124.94937</v>
      </c>
      <c r="H114" s="30">
        <f>H113*(1+(((SUM(H$87:H$98)-SUM(H$75:H$86))/SUM(H$75:H$86))/12))</f>
        <v>130.2013098649202</v>
      </c>
      <c r="I114" s="30">
        <v>99.6</v>
      </c>
      <c r="J114" s="30">
        <v>1.45</v>
      </c>
      <c r="K114" s="30">
        <v>104.8</v>
      </c>
      <c r="L114" s="30">
        <v>108.35973229374838</v>
      </c>
      <c r="M114" s="34">
        <f t="shared" si="1"/>
        <v>-1.1109223278835678E-3</v>
      </c>
      <c r="N114" s="6"/>
      <c r="O114" s="25">
        <v>41395</v>
      </c>
      <c r="P114" s="33">
        <v>0.7220133616936697</v>
      </c>
      <c r="Q114" s="33">
        <v>9.3604934839946807E-2</v>
      </c>
      <c r="R114" s="33">
        <v>9.4661239117355883E-2</v>
      </c>
      <c r="S114" s="33">
        <v>1.9637207978811862E-2</v>
      </c>
      <c r="T114" s="33">
        <v>7.0083256370215841E-2</v>
      </c>
      <c r="U114" s="33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30">
        <f>123.7 * 1.0101</f>
        <v>124.94937</v>
      </c>
      <c r="H115" s="30">
        <v>130</v>
      </c>
      <c r="I115" s="30">
        <v>100.5</v>
      </c>
      <c r="J115" s="30">
        <v>1.33</v>
      </c>
      <c r="K115" s="30">
        <v>99.7</v>
      </c>
      <c r="L115" s="30">
        <v>107.89361884723242</v>
      </c>
      <c r="M115" s="34">
        <f t="shared" si="1"/>
        <v>-4.3015374498378556E-3</v>
      </c>
      <c r="N115" s="6"/>
      <c r="O115" s="25">
        <v>41426</v>
      </c>
      <c r="P115" s="33">
        <v>0.72513254649852932</v>
      </c>
      <c r="Q115" s="33">
        <v>9.3887574057675338E-2</v>
      </c>
      <c r="R115" s="33">
        <v>9.5929255043085471E-2</v>
      </c>
      <c r="S115" s="33">
        <v>1.8089874002775289E-2</v>
      </c>
      <c r="T115" s="33">
        <v>6.6960750397934587E-2</v>
      </c>
      <c r="U115" s="3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30">
        <f>124.1 * 1.0101</f>
        <v>125.35341</v>
      </c>
      <c r="H116" s="30">
        <v>130.1</v>
      </c>
      <c r="I116" s="30">
        <v>100.1</v>
      </c>
      <c r="J116" s="30">
        <v>1.38</v>
      </c>
      <c r="K116" s="30">
        <v>99.7</v>
      </c>
      <c r="L116" s="30">
        <v>108.18658172763156</v>
      </c>
      <c r="M116" s="34">
        <f t="shared" si="1"/>
        <v>2.7152938563859141E-3</v>
      </c>
      <c r="N116" s="6"/>
      <c r="O116" s="25">
        <v>41456</v>
      </c>
      <c r="P116" s="33">
        <v>0.72550739091183503</v>
      </c>
      <c r="Q116" s="33">
        <v>9.3705357686452467E-2</v>
      </c>
      <c r="R116" s="33">
        <v>9.5288710213389111E-2</v>
      </c>
      <c r="S116" s="33">
        <v>1.8719116551837264E-2</v>
      </c>
      <c r="T116" s="33">
        <v>6.6779424636486145E-2</v>
      </c>
      <c r="U116" s="3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30">
        <f>124.1 * 1.0101</f>
        <v>125.35341</v>
      </c>
      <c r="H117" s="30">
        <v>130</v>
      </c>
      <c r="I117" s="30">
        <v>100.2</v>
      </c>
      <c r="J117" s="30">
        <v>1.56</v>
      </c>
      <c r="K117" s="30">
        <v>99.7</v>
      </c>
      <c r="L117" s="30">
        <v>108.45323912440963</v>
      </c>
      <c r="M117" s="34">
        <f t="shared" si="1"/>
        <v>2.4647917747266934E-3</v>
      </c>
      <c r="N117" s="6"/>
      <c r="O117" s="25">
        <v>41487</v>
      </c>
      <c r="P117" s="33">
        <v>0.72372356302651131</v>
      </c>
      <c r="Q117" s="33">
        <v>9.3403112822198722E-2</v>
      </c>
      <c r="R117" s="33">
        <v>9.5149380320102492E-2</v>
      </c>
      <c r="S117" s="33">
        <v>2.1108711870509483E-2</v>
      </c>
      <c r="T117" s="33">
        <v>6.6615231960677951E-2</v>
      </c>
      <c r="U117" s="33">
        <v>0.99999999999999989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30">
        <f>124.1 * 1.0101</f>
        <v>125.35341</v>
      </c>
      <c r="H118" s="30">
        <v>129.6</v>
      </c>
      <c r="I118" s="30">
        <v>99.6</v>
      </c>
      <c r="J118" s="30">
        <v>1.57</v>
      </c>
      <c r="K118" s="30">
        <v>96.4</v>
      </c>
      <c r="L118" s="30">
        <v>108.13582294382481</v>
      </c>
      <c r="M118" s="34">
        <f t="shared" si="1"/>
        <v>-2.9267561130259523E-3</v>
      </c>
      <c r="N118" s="6"/>
      <c r="O118" s="25">
        <v>41518</v>
      </c>
      <c r="P118" s="33">
        <v>0.72584794293061083</v>
      </c>
      <c r="Q118" s="33">
        <v>9.338904558896681E-2</v>
      </c>
      <c r="R118" s="33">
        <v>9.4857247580940968E-2</v>
      </c>
      <c r="S118" s="33">
        <v>2.1306382711938309E-2</v>
      </c>
      <c r="T118" s="33">
        <v>6.4599381187543145E-2</v>
      </c>
      <c r="U118" s="3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30">
        <f>124.4*1.0101</f>
        <v>125.65644</v>
      </c>
      <c r="H119" s="30">
        <v>129.69999999999999</v>
      </c>
      <c r="I119" s="30">
        <v>99.6</v>
      </c>
      <c r="J119" s="30">
        <v>1.7</v>
      </c>
      <c r="K119" s="30">
        <v>96.4</v>
      </c>
      <c r="L119" s="30">
        <v>108.52413337439521</v>
      </c>
      <c r="M119" s="34">
        <f t="shared" si="1"/>
        <v>3.5909508985947358E-3</v>
      </c>
      <c r="N119" s="6"/>
      <c r="O119" s="25">
        <v>41548</v>
      </c>
      <c r="P119" s="33">
        <v>0.72499917516857049</v>
      </c>
      <c r="Q119" s="33">
        <v>9.312669166062186E-2</v>
      </c>
      <c r="R119" s="33">
        <v>9.4517838663259898E-2</v>
      </c>
      <c r="S119" s="33">
        <v>2.2988056502111207E-2</v>
      </c>
      <c r="T119" s="33">
        <v>6.4368238005436562E-2</v>
      </c>
      <c r="U119" s="33">
        <v>1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30">
        <f>G119</f>
        <v>125.65644</v>
      </c>
      <c r="H120" s="30">
        <v>130.1</v>
      </c>
      <c r="I120" s="30">
        <v>99.3</v>
      </c>
      <c r="J120" s="30">
        <v>1.63</v>
      </c>
      <c r="K120" s="30">
        <v>96.4</v>
      </c>
      <c r="L120" s="30">
        <v>108.42168085516558</v>
      </c>
      <c r="M120" s="34">
        <f t="shared" si="1"/>
        <v>-9.4405286680498968E-4</v>
      </c>
      <c r="N120" s="6"/>
      <c r="O120" s="25">
        <v>41579</v>
      </c>
      <c r="P120" s="33">
        <v>0.72568425947412241</v>
      </c>
      <c r="Q120" s="33">
        <v>9.3502169102180496E-2</v>
      </c>
      <c r="R120" s="33">
        <v>9.4322191513431172E-2</v>
      </c>
      <c r="S120" s="33">
        <v>2.2062317463721327E-2</v>
      </c>
      <c r="T120" s="33">
        <v>6.4429062446544783E-2</v>
      </c>
      <c r="U120" s="3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30">
        <f>G119</f>
        <v>125.65644</v>
      </c>
      <c r="H121" s="30">
        <v>130.30000000000001</v>
      </c>
      <c r="I121" s="30">
        <v>99.3</v>
      </c>
      <c r="J121" s="30">
        <v>1.69</v>
      </c>
      <c r="K121" s="30">
        <v>99.7</v>
      </c>
      <c r="L121" s="30">
        <v>108.76444601999802</v>
      </c>
      <c r="M121" s="34">
        <f t="shared" si="1"/>
        <v>3.1614079594497468E-3</v>
      </c>
      <c r="N121" s="6"/>
      <c r="O121" s="25">
        <v>41609</v>
      </c>
      <c r="P121" s="33">
        <v>0.7233973054747499</v>
      </c>
      <c r="Q121" s="33">
        <v>9.3350788100184157E-2</v>
      </c>
      <c r="R121" s="33">
        <v>9.4024940318720787E-2</v>
      </c>
      <c r="S121" s="33">
        <v>2.2802339810440872E-2</v>
      </c>
      <c r="T121" s="33">
        <v>6.6424626295904274E-2</v>
      </c>
      <c r="U121" s="3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30">
        <f>124.6*1.0101</f>
        <v>125.85845999999999</v>
      </c>
      <c r="H122" s="30">
        <v>130</v>
      </c>
      <c r="I122" s="30">
        <v>98.7</v>
      </c>
      <c r="J122" s="30">
        <v>1.49</v>
      </c>
      <c r="K122" s="30">
        <v>99.7</v>
      </c>
      <c r="L122" s="30">
        <v>108.51227140898338</v>
      </c>
      <c r="M122" s="34">
        <f t="shared" si="1"/>
        <v>-2.3185390101492231E-3</v>
      </c>
      <c r="N122" s="6"/>
      <c r="O122" s="25">
        <v>41640</v>
      </c>
      <c r="P122" s="33">
        <v>0.72624414904119894</v>
      </c>
      <c r="Q122" s="33">
        <v>9.3352300143921887E-2</v>
      </c>
      <c r="R122" s="33">
        <v>9.3674000615779671E-2</v>
      </c>
      <c r="S122" s="33">
        <v>2.0150557912321967E-2</v>
      </c>
      <c r="T122" s="33">
        <v>6.6578992286777591E-2</v>
      </c>
      <c r="U122" s="33">
        <v>1.0000000000000002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30">
        <f>G122</f>
        <v>125.85845999999999</v>
      </c>
      <c r="H123" s="30">
        <v>129.9</v>
      </c>
      <c r="I123" s="30">
        <v>99.1</v>
      </c>
      <c r="J123" s="30">
        <v>1.58</v>
      </c>
      <c r="K123" s="30">
        <v>99.7</v>
      </c>
      <c r="L123" s="30">
        <v>108.67774931758548</v>
      </c>
      <c r="M123" s="34">
        <f t="shared" si="1"/>
        <v>1.5249695398820151E-3</v>
      </c>
      <c r="N123" s="6"/>
      <c r="O123" s="25">
        <v>41671</v>
      </c>
      <c r="P123" s="33">
        <v>0.7251383351678673</v>
      </c>
      <c r="Q123" s="33">
        <v>9.3138457371789149E-2</v>
      </c>
      <c r="R123" s="33">
        <v>9.3910421292001209E-2</v>
      </c>
      <c r="S123" s="33">
        <v>2.1335170220968525E-2</v>
      </c>
      <c r="T123" s="33">
        <v>6.6477615947373864E-2</v>
      </c>
      <c r="U123" s="33">
        <v>1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30">
        <f>G122</f>
        <v>125.85845999999999</v>
      </c>
      <c r="H124" s="30">
        <v>129.69999999999999</v>
      </c>
      <c r="I124" s="30">
        <v>98.9</v>
      </c>
      <c r="J124" s="30">
        <v>1.52</v>
      </c>
      <c r="K124" s="30">
        <v>104.2</v>
      </c>
      <c r="L124" s="30">
        <v>108.8796042217093</v>
      </c>
      <c r="M124" s="34">
        <f t="shared" si="1"/>
        <v>1.8573710386102782E-3</v>
      </c>
      <c r="N124" s="6"/>
      <c r="O124" s="25">
        <v>41699</v>
      </c>
      <c r="P124" s="33">
        <v>0.72379398118928595</v>
      </c>
      <c r="Q124" s="33">
        <v>9.2822651025750047E-2</v>
      </c>
      <c r="R124" s="33">
        <v>9.3547142956109414E-2</v>
      </c>
      <c r="S124" s="33">
        <v>2.0486922067744499E-2</v>
      </c>
      <c r="T124" s="33">
        <v>6.9349302761110093E-2</v>
      </c>
      <c r="U124" s="3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30">
        <f>125.1*1.0101</f>
        <v>126.36350999999999</v>
      </c>
      <c r="H125" s="30">
        <v>130.6</v>
      </c>
      <c r="I125" s="30">
        <v>99.1</v>
      </c>
      <c r="J125" s="30">
        <v>1.46</v>
      </c>
      <c r="K125" s="30">
        <v>104.2</v>
      </c>
      <c r="L125" s="30">
        <v>109.19851866878263</v>
      </c>
      <c r="M125" s="34">
        <f t="shared" si="1"/>
        <v>2.9290558994310434E-3</v>
      </c>
      <c r="N125" s="6"/>
      <c r="O125" s="25">
        <v>41730</v>
      </c>
      <c r="P125" s="33">
        <v>0.72457612743811783</v>
      </c>
      <c r="Q125" s="33">
        <v>9.319378596600543E-2</v>
      </c>
      <c r="R125" s="33">
        <v>9.3462561103391628E-2</v>
      </c>
      <c r="S125" s="33">
        <v>1.9620757480148153E-2</v>
      </c>
      <c r="T125" s="33">
        <v>6.9146768012336962E-2</v>
      </c>
      <c r="U125" s="33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30">
        <f>G125</f>
        <v>126.36350999999999</v>
      </c>
      <c r="H126" s="30">
        <v>130.69999999999999</v>
      </c>
      <c r="I126" s="30">
        <v>98.8</v>
      </c>
      <c r="J126" s="30">
        <v>1.43</v>
      </c>
      <c r="K126" s="30">
        <v>104.2</v>
      </c>
      <c r="L126" s="30">
        <v>109.13138973581998</v>
      </c>
      <c r="M126" s="34">
        <f t="shared" si="1"/>
        <v>-6.147421575035672E-4</v>
      </c>
      <c r="N126" s="6"/>
      <c r="O126" s="25">
        <v>41760</v>
      </c>
      <c r="P126" s="33">
        <v>0.72502182892146627</v>
      </c>
      <c r="Q126" s="33">
        <v>9.3322513431465734E-2</v>
      </c>
      <c r="R126" s="33">
        <v>9.3236943693195365E-2</v>
      </c>
      <c r="S126" s="33">
        <v>1.9229412360998396E-2</v>
      </c>
      <c r="T126" s="33">
        <v>6.9189301592874342E-2</v>
      </c>
      <c r="U126" s="3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30">
        <f>G125</f>
        <v>126.36350999999999</v>
      </c>
      <c r="H127" s="30">
        <v>130.9</v>
      </c>
      <c r="I127" s="30">
        <v>98.7</v>
      </c>
      <c r="J127" s="30">
        <v>1.39</v>
      </c>
      <c r="K127" s="30">
        <v>102.6</v>
      </c>
      <c r="L127" s="30">
        <v>108.96203325160124</v>
      </c>
      <c r="M127" s="34">
        <f t="shared" si="1"/>
        <v>-1.5518585865048617E-3</v>
      </c>
      <c r="N127" s="6"/>
      <c r="O127" s="25">
        <v>41791</v>
      </c>
      <c r="P127" s="33">
        <v>0.72614870903065498</v>
      </c>
      <c r="Q127" s="33">
        <v>9.3610587978359944E-2</v>
      </c>
      <c r="R127" s="33">
        <v>9.3287343081360719E-2</v>
      </c>
      <c r="S127" s="33">
        <v>1.8720578390871098E-2</v>
      </c>
      <c r="T127" s="33">
        <v>6.8232781518753408E-2</v>
      </c>
      <c r="U127" s="33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30">
        <f>125.4*1.0101</f>
        <v>126.66654000000001</v>
      </c>
      <c r="H128" s="30">
        <v>130.80000000000001</v>
      </c>
      <c r="I128" s="30">
        <v>98.9</v>
      </c>
      <c r="J128" s="30">
        <v>1.3</v>
      </c>
      <c r="K128" s="30">
        <v>102.6</v>
      </c>
      <c r="L128" s="30">
        <v>109.03250543589549</v>
      </c>
      <c r="M128" s="34">
        <f t="shared" si="1"/>
        <v>6.4675907920630493E-4</v>
      </c>
      <c r="N128" s="6"/>
      <c r="O128" s="25">
        <v>41821</v>
      </c>
      <c r="P128" s="33">
        <v>0.72741960760566848</v>
      </c>
      <c r="Q128" s="33">
        <v>9.3478616780022492E-2</v>
      </c>
      <c r="R128" s="33">
        <v>9.3415957566170368E-2</v>
      </c>
      <c r="S128" s="33">
        <v>1.749713817719099E-2</v>
      </c>
      <c r="T128" s="33">
        <v>6.8188679870947788E-2</v>
      </c>
      <c r="U128" s="33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30">
        <f>G128</f>
        <v>126.66654000000001</v>
      </c>
      <c r="H129" s="30">
        <v>130.69999999999999</v>
      </c>
      <c r="I129" s="30">
        <v>99</v>
      </c>
      <c r="J129" s="30">
        <v>1.29</v>
      </c>
      <c r="K129" s="30">
        <v>102.6</v>
      </c>
      <c r="L129" s="30">
        <v>109.02033683686642</v>
      </c>
      <c r="M129" s="34">
        <f t="shared" si="1"/>
        <v>-1.1160524084463663E-4</v>
      </c>
      <c r="N129" s="6"/>
      <c r="O129" s="25">
        <v>41852</v>
      </c>
      <c r="P129" s="33">
        <v>0.72750080050772381</v>
      </c>
      <c r="Q129" s="33">
        <v>9.3417575838672426E-2</v>
      </c>
      <c r="R129" s="33">
        <v>9.352084994530234E-2</v>
      </c>
      <c r="S129" s="33">
        <v>1.7364482773879336E-2</v>
      </c>
      <c r="T129" s="33">
        <v>6.8196290934422227E-2</v>
      </c>
      <c r="U129" s="33">
        <v>1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30">
        <f>G128</f>
        <v>126.66654000000001</v>
      </c>
      <c r="H130" s="30">
        <v>130.6</v>
      </c>
      <c r="I130" s="30">
        <v>98.9</v>
      </c>
      <c r="J130" s="30">
        <v>1.3</v>
      </c>
      <c r="K130" s="30">
        <v>100.9</v>
      </c>
      <c r="L130" s="30">
        <v>108.89373261451397</v>
      </c>
      <c r="M130" s="34">
        <f t="shared" si="1"/>
        <v>-1.1612899576883828E-3</v>
      </c>
      <c r="N130" s="6"/>
      <c r="O130" s="25">
        <v>41883</v>
      </c>
      <c r="P130" s="33">
        <v>0.72834662212571466</v>
      </c>
      <c r="Q130" s="33">
        <v>9.3454628951409255E-2</v>
      </c>
      <c r="R130" s="33">
        <v>9.353500570312244E-2</v>
      </c>
      <c r="S130" s="33">
        <v>1.7519436312929865E-2</v>
      </c>
      <c r="T130" s="33">
        <v>6.714430690682395E-2</v>
      </c>
      <c r="U130" s="33">
        <v>1.0000000000000002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30">
        <f>125.9*1.0101</f>
        <v>127.17159000000001</v>
      </c>
      <c r="H131" s="30">
        <v>130.4</v>
      </c>
      <c r="I131" s="30">
        <v>98.9</v>
      </c>
      <c r="J131" s="30">
        <v>1.22</v>
      </c>
      <c r="K131" s="30">
        <v>100.9</v>
      </c>
      <c r="L131" s="30">
        <v>109.07698534870312</v>
      </c>
      <c r="M131" s="34">
        <f t="shared" si="1"/>
        <v>1.6828584142474234E-3</v>
      </c>
      <c r="N131" s="6"/>
      <c r="O131" s="25">
        <v>41913</v>
      </c>
      <c r="P131" s="33">
        <v>0.7300221915277707</v>
      </c>
      <c r="Q131" s="33">
        <v>9.3154746884098513E-2</v>
      </c>
      <c r="R131" s="33">
        <v>9.3377863979020884E-2</v>
      </c>
      <c r="S131" s="33">
        <v>1.6413695230084263E-2</v>
      </c>
      <c r="T131" s="33">
        <v>6.7031502379025762E-2</v>
      </c>
      <c r="U131" s="33">
        <v>1.0000000000000002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30">
        <f>G131</f>
        <v>127.17159000000001</v>
      </c>
      <c r="H132" s="30">
        <v>130.80000000000001</v>
      </c>
      <c r="I132" s="30">
        <f>+I$120*(103.5/103.3)</f>
        <v>99.492255566311712</v>
      </c>
      <c r="J132" s="30">
        <v>1.18</v>
      </c>
      <c r="K132" s="30">
        <v>100.9</v>
      </c>
      <c r="L132" s="30">
        <v>109.0691739622925</v>
      </c>
      <c r="M132" s="34">
        <f t="shared" si="1"/>
        <v>-7.1613515771895564E-5</v>
      </c>
      <c r="N132" s="6"/>
      <c r="O132" s="25">
        <v>41944</v>
      </c>
      <c r="P132" s="33">
        <v>0.73007447472768128</v>
      </c>
      <c r="Q132" s="33">
        <v>9.3447189723206786E-2</v>
      </c>
      <c r="R132" s="33">
        <v>9.3565354191873853E-2</v>
      </c>
      <c r="S132" s="33">
        <v>1.5876678272864188E-2</v>
      </c>
      <c r="T132" s="33">
        <v>6.7036303084373985E-2</v>
      </c>
      <c r="U132" s="3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30">
        <f>G131</f>
        <v>127.17159000000001</v>
      </c>
      <c r="H133" s="30">
        <v>130.9</v>
      </c>
      <c r="I133" s="30">
        <f>+I$120*(103.5/103.3)</f>
        <v>99.492255566311712</v>
      </c>
      <c r="J133" s="30">
        <v>1.23</v>
      </c>
      <c r="K133" s="30">
        <v>104.2</v>
      </c>
      <c r="L133" s="30">
        <v>109.38947186692181</v>
      </c>
      <c r="M133" s="34">
        <f t="shared" si="1"/>
        <v>2.9366492198799055E-3</v>
      </c>
      <c r="N133" s="6"/>
      <c r="O133" s="25">
        <v>41974</v>
      </c>
      <c r="P133" s="33">
        <v>0.72793677975130266</v>
      </c>
      <c r="Q133" s="33">
        <v>9.3244805244227263E-2</v>
      </c>
      <c r="R133" s="33">
        <v>9.3291390103903707E-2</v>
      </c>
      <c r="S133" s="33">
        <v>1.6500961342393157E-2</v>
      </c>
      <c r="T133" s="33">
        <v>6.9026063558173339E-2</v>
      </c>
      <c r="U133" s="33">
        <v>1.0000000000000002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30">
        <v>127.7</v>
      </c>
      <c r="H134" s="30">
        <v>130.6</v>
      </c>
      <c r="I134" s="30">
        <f>+I$120*(103.4/103.3)</f>
        <v>99.396127783155862</v>
      </c>
      <c r="J134" s="30">
        <v>1.17</v>
      </c>
      <c r="K134" s="30">
        <v>104.2</v>
      </c>
      <c r="L134" s="30">
        <v>109.59904938976962</v>
      </c>
      <c r="M134" s="34">
        <f t="shared" si="1"/>
        <v>1.915883853089273E-3</v>
      </c>
      <c r="N134" s="6"/>
      <c r="O134" s="25">
        <v>42005</v>
      </c>
      <c r="P134" s="33">
        <v>0.72956366676012807</v>
      </c>
      <c r="Q134" s="33">
        <v>9.2853208429135331E-2</v>
      </c>
      <c r="R134" s="33">
        <v>9.3023032169808145E-2</v>
      </c>
      <c r="S134" s="33">
        <v>1.5666022120039858E-2</v>
      </c>
      <c r="T134" s="33">
        <v>6.8894070520888778E-2</v>
      </c>
      <c r="U134" s="33">
        <v>1.0000000000000002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30">
        <f>G134</f>
        <v>127.7</v>
      </c>
      <c r="H135" s="30">
        <v>130.30000000000001</v>
      </c>
      <c r="I135" s="30">
        <f>+I$120*(103.8/103.3)</f>
        <v>99.780638915779292</v>
      </c>
      <c r="J135" s="30">
        <v>1.1000000000000001</v>
      </c>
      <c r="K135" s="30">
        <v>104.2</v>
      </c>
      <c r="L135" s="30">
        <v>109.51238738364499</v>
      </c>
      <c r="M135" s="34">
        <f t="shared" si="1"/>
        <v>-7.9071859297275005E-4</v>
      </c>
      <c r="N135" s="6"/>
      <c r="O135" s="25">
        <v>42036</v>
      </c>
      <c r="P135" s="33">
        <v>0.73014100282655481</v>
      </c>
      <c r="Q135" s="33">
        <v>9.2713226291723405E-2</v>
      </c>
      <c r="R135" s="33">
        <v>9.3456787180056608E-2</v>
      </c>
      <c r="S135" s="33">
        <v>1.4740394249137163E-2</v>
      </c>
      <c r="T135" s="33">
        <v>6.8948589452528131E-2</v>
      </c>
      <c r="U135" s="3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30">
        <f>G134</f>
        <v>127.7</v>
      </c>
      <c r="H136" s="30">
        <v>129.6</v>
      </c>
      <c r="I136" s="30">
        <v>99.8</v>
      </c>
      <c r="J136" s="30">
        <v>0.87</v>
      </c>
      <c r="K136" s="30">
        <v>101.2</v>
      </c>
      <c r="L136" s="30">
        <v>108.94631238970703</v>
      </c>
      <c r="M136" s="34">
        <f t="shared" si="1"/>
        <v>-5.1690498898072645E-3</v>
      </c>
      <c r="N136" s="6"/>
      <c r="O136" s="25">
        <v>42064</v>
      </c>
      <c r="P136" s="33">
        <v>0.73393474815563431</v>
      </c>
      <c r="Q136" s="33">
        <v>9.2694292052563299E-2</v>
      </c>
      <c r="R136" s="33">
        <v>9.4340630960817393E-2</v>
      </c>
      <c r="S136" s="33">
        <v>1.171888732848061E-2</v>
      </c>
      <c r="T136" s="33">
        <v>6.7311441502504385E-2</v>
      </c>
      <c r="U136" s="33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30">
        <f>126.9*1.0101</f>
        <v>128.18169</v>
      </c>
      <c r="H137" s="30">
        <v>130.9</v>
      </c>
      <c r="I137" s="30">
        <v>100</v>
      </c>
      <c r="J137" s="30">
        <v>0.82</v>
      </c>
      <c r="K137" s="30">
        <v>101.2</v>
      </c>
      <c r="L137" s="30">
        <v>109.29644383269894</v>
      </c>
      <c r="M137" s="34">
        <f t="shared" si="1"/>
        <v>3.2137980195188209E-3</v>
      </c>
      <c r="N137" s="6"/>
      <c r="O137" s="25">
        <v>42095</v>
      </c>
      <c r="P137" s="33">
        <v>0.7343431516443546</v>
      </c>
      <c r="Q137" s="33">
        <v>9.3324170872505538E-2</v>
      </c>
      <c r="R137" s="33">
        <v>9.4226864231846633E-2</v>
      </c>
      <c r="S137" s="33">
        <v>1.1010004127269738E-2</v>
      </c>
      <c r="T137" s="33">
        <v>6.7095809124023589E-2</v>
      </c>
      <c r="U137" s="33">
        <v>1.0000000000000002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30">
        <f>126.9*1.0101</f>
        <v>128.18169</v>
      </c>
      <c r="H138" s="30">
        <v>131.5</v>
      </c>
      <c r="I138" s="30">
        <v>100.3</v>
      </c>
      <c r="J138" s="30">
        <v>0.84</v>
      </c>
      <c r="K138" s="30">
        <v>101.2</v>
      </c>
      <c r="L138" s="30">
        <v>109.40344316779614</v>
      </c>
      <c r="M138" s="34">
        <f t="shared" si="1"/>
        <v>9.789827678290397E-4</v>
      </c>
      <c r="N138" s="6"/>
      <c r="O138" s="25">
        <v>42125</v>
      </c>
      <c r="P138" s="33">
        <v>0.73362494546469514</v>
      </c>
      <c r="Q138" s="33">
        <v>9.3660244596117673E-2</v>
      </c>
      <c r="R138" s="33">
        <v>9.4417112098809278E-2</v>
      </c>
      <c r="S138" s="33">
        <v>1.1267510115061724E-2</v>
      </c>
      <c r="T138" s="33">
        <v>6.7030187725316173E-2</v>
      </c>
      <c r="U138" s="33">
        <v>1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30">
        <f>126.9*1.0101</f>
        <v>128.18169</v>
      </c>
      <c r="H139" s="30">
        <f>H138*(1+(((SUM(H$111:H$122)-SUM(H$99:H$110))/SUM(H$99:H$110))/12))</f>
        <v>131.59655849136419</v>
      </c>
      <c r="I139" s="30">
        <f>+I$120*(106/103.3)</f>
        <v>101.89545014520814</v>
      </c>
      <c r="J139" s="30">
        <v>0.76</v>
      </c>
      <c r="K139" s="30">
        <v>99.5</v>
      </c>
      <c r="L139" s="30">
        <v>109.29012202687508</v>
      </c>
      <c r="M139" s="34">
        <f t="shared" si="1"/>
        <v>-1.0358096385253424E-3</v>
      </c>
      <c r="N139" s="6"/>
      <c r="O139" s="25">
        <v>42156</v>
      </c>
      <c r="P139" s="33">
        <v>0.73438562917779193</v>
      </c>
      <c r="Q139" s="33">
        <v>9.3805204938522638E-2</v>
      </c>
      <c r="R139" s="33">
        <v>9.5631660027140936E-2</v>
      </c>
      <c r="S139" s="33">
        <v>1.020498433476222E-2</v>
      </c>
      <c r="T139" s="33">
        <v>6.5972521521782318E-2</v>
      </c>
      <c r="U139" s="33">
        <v>1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30">
        <f>127.2*1.0101</f>
        <v>128.48472000000001</v>
      </c>
      <c r="H140" s="30">
        <f>H139*(1+(((SUM(H$111:H$122)-SUM(H$99:H$110))/SUM(H$99:H$110))/12))</f>
        <v>131.69318788419039</v>
      </c>
      <c r="I140" s="30">
        <f>+I$120*(106/103.3)</f>
        <v>101.89545014520814</v>
      </c>
      <c r="J140" s="30">
        <v>0.99</v>
      </c>
      <c r="K140" s="30">
        <v>99.5</v>
      </c>
      <c r="L140" s="30">
        <v>109.82262248994537</v>
      </c>
      <c r="M140" s="34">
        <f t="shared" si="1"/>
        <v>4.8723567436346205E-3</v>
      </c>
      <c r="N140" s="6"/>
      <c r="O140" s="25">
        <v>42186</v>
      </c>
      <c r="P140" s="33">
        <v>0.73255250826328011</v>
      </c>
      <c r="Q140" s="33">
        <v>9.3398006513724721E-2</v>
      </c>
      <c r="R140" s="33">
        <v>9.516796773775589E-2</v>
      </c>
      <c r="S140" s="33">
        <v>1.3228879039127452E-2</v>
      </c>
      <c r="T140" s="33">
        <v>6.5652638446111994E-2</v>
      </c>
      <c r="U140" s="33">
        <v>1.0000000000000002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30">
        <f>127.2*1.0101</f>
        <v>128.48472000000001</v>
      </c>
      <c r="H141" s="30">
        <v>131.6</v>
      </c>
      <c r="I141" s="30">
        <f>+I$120*(106.2/103.3)</f>
        <v>102.08770571151985</v>
      </c>
      <c r="J141" s="30">
        <v>1.1100000000000001</v>
      </c>
      <c r="K141" s="30">
        <v>99.5</v>
      </c>
      <c r="L141" s="30">
        <v>110.01577455481555</v>
      </c>
      <c r="M141" s="34">
        <f t="shared" si="1"/>
        <v>1.7587639093927798E-3</v>
      </c>
      <c r="N141" s="6"/>
      <c r="O141" s="25">
        <v>42217</v>
      </c>
      <c r="P141" s="33">
        <v>0.7312663833401094</v>
      </c>
      <c r="Q141" s="33">
        <v>9.3209773744183474E-2</v>
      </c>
      <c r="R141" s="33">
        <v>9.5180130562510012E-2</v>
      </c>
      <c r="S141" s="33">
        <v>1.4806338674627481E-2</v>
      </c>
      <c r="T141" s="33">
        <v>6.5537373678569738E-2</v>
      </c>
      <c r="U141" s="3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30">
        <f>127.2*1.0101</f>
        <v>128.48472000000001</v>
      </c>
      <c r="H142" s="30">
        <v>131.5</v>
      </c>
      <c r="I142" s="30">
        <f>+I$120*(106.3/103.3)</f>
        <v>102.18383349467568</v>
      </c>
      <c r="J142" s="30">
        <v>1</v>
      </c>
      <c r="K142" s="30">
        <v>99.5</v>
      </c>
      <c r="L142" s="30">
        <v>109.85641676653549</v>
      </c>
      <c r="M142" s="34">
        <f t="shared" si="1"/>
        <v>-1.4484994440562282E-3</v>
      </c>
      <c r="N142" s="6"/>
      <c r="O142" s="25">
        <v>42248</v>
      </c>
      <c r="P142" s="33">
        <v>0.73232715882253108</v>
      </c>
      <c r="Q142" s="33">
        <v>9.3274053062639264E-2</v>
      </c>
      <c r="R142" s="33">
        <v>9.540795240363116E-2</v>
      </c>
      <c r="S142" s="33">
        <v>1.3358393476539998E-2</v>
      </c>
      <c r="T142" s="33">
        <v>6.5632442234658694E-2</v>
      </c>
      <c r="U142" s="33">
        <v>1.0000000000000002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30">
        <f>127.8*1.0101</f>
        <v>129.09078</v>
      </c>
      <c r="H143" s="30">
        <v>131.1</v>
      </c>
      <c r="I143" s="30">
        <f>+I$120*(106.5/103.3)</f>
        <v>102.37608906098741</v>
      </c>
      <c r="J143" s="30">
        <v>1.07</v>
      </c>
      <c r="K143" s="30">
        <v>97</v>
      </c>
      <c r="L143" s="30">
        <v>110.14601895689019</v>
      </c>
      <c r="M143" s="34">
        <f t="shared" si="1"/>
        <v>2.6361882071044285E-3</v>
      </c>
      <c r="N143" s="6"/>
      <c r="O143" s="25">
        <v>42278</v>
      </c>
      <c r="P143" s="33">
        <v>0.73384697347590666</v>
      </c>
      <c r="Q143" s="33">
        <v>9.2745834232852944E-2</v>
      </c>
      <c r="R143" s="33">
        <v>9.5336135373800091E-2</v>
      </c>
      <c r="S143" s="33">
        <v>1.4255899785002911E-2</v>
      </c>
      <c r="T143" s="33">
        <v>6.3815157132437406E-2</v>
      </c>
      <c r="U143" s="3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30">
        <f>127.8*1.0101</f>
        <v>129.09078</v>
      </c>
      <c r="H144" s="30">
        <v>131.4</v>
      </c>
      <c r="I144" s="30">
        <f>+I$120*(106.5/103.3)</f>
        <v>102.37608906098741</v>
      </c>
      <c r="J144" s="30">
        <v>1.1200000000000001</v>
      </c>
      <c r="K144" s="30">
        <v>97</v>
      </c>
      <c r="L144" s="30">
        <v>110.24277084232132</v>
      </c>
      <c r="M144" s="34">
        <f t="shared" si="1"/>
        <v>8.7839657163635287E-4</v>
      </c>
      <c r="N144" s="6"/>
      <c r="O144" s="25">
        <v>42309</v>
      </c>
      <c r="P144" s="33">
        <v>0.73320293053541064</v>
      </c>
      <c r="Q144" s="33">
        <v>9.2876484877232282E-2</v>
      </c>
      <c r="R144" s="33">
        <v>9.5252465934283506E-2</v>
      </c>
      <c r="S144" s="33">
        <v>1.4908967340559598E-2</v>
      </c>
      <c r="T144" s="33">
        <v>6.3759151312514042E-2</v>
      </c>
      <c r="U144" s="33">
        <v>1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30">
        <f>127.8*1.0101</f>
        <v>129.09078</v>
      </c>
      <c r="H145" s="30">
        <v>131.4</v>
      </c>
      <c r="I145" s="30">
        <f>+I$120*(106.7/103.3)</f>
        <v>102.56834462729913</v>
      </c>
      <c r="J145" s="30">
        <v>1.08</v>
      </c>
      <c r="K145" s="30">
        <v>102</v>
      </c>
      <c r="L145" s="30">
        <v>110.56610946532157</v>
      </c>
      <c r="M145" s="34">
        <f t="shared" si="1"/>
        <v>2.9329689423600591E-3</v>
      </c>
      <c r="N145" s="6"/>
      <c r="O145" s="25">
        <v>42339</v>
      </c>
      <c r="P145" s="33">
        <v>0.73105875790343944</v>
      </c>
      <c r="Q145" s="33">
        <v>9.2604877647182032E-2</v>
      </c>
      <c r="R145" s="33">
        <v>9.5152265166055378E-2</v>
      </c>
      <c r="S145" s="33">
        <v>1.4334461690310767E-2</v>
      </c>
      <c r="T145" s="33">
        <v>6.684963759301242E-2</v>
      </c>
      <c r="U145" s="33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30">
        <f>128.2*1.0101</f>
        <v>129.49481999999998</v>
      </c>
      <c r="H146" s="30">
        <v>131</v>
      </c>
      <c r="I146" s="30">
        <f>+I$120*(106.8/103.3)</f>
        <v>102.66447241045498</v>
      </c>
      <c r="J146" s="30">
        <v>1.03</v>
      </c>
      <c r="K146" s="30">
        <v>101.2</v>
      </c>
      <c r="L146" s="30">
        <v>110.66644440888616</v>
      </c>
      <c r="M146" s="34">
        <f t="shared" si="1"/>
        <v>9.0746562441057499E-4</v>
      </c>
      <c r="N146" s="6"/>
      <c r="O146" s="25">
        <v>42370</v>
      </c>
      <c r="P146" s="33">
        <v>0.73268200799511363</v>
      </c>
      <c r="Q146" s="33">
        <v>9.2239271464047812E-2</v>
      </c>
      <c r="R146" s="33">
        <v>9.5155092571221123E-2</v>
      </c>
      <c r="S146" s="33">
        <v>1.3658434644724887E-2</v>
      </c>
      <c r="T146" s="33">
        <v>6.626519332489271E-2</v>
      </c>
      <c r="U146" s="33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30">
        <f>128.2*1.0101</f>
        <v>129.49481999999998</v>
      </c>
      <c r="H147" s="30">
        <f>H146*(1+(((SUM(H$123:H$134)-SUM(H$111:H$122))/SUM(H$111:H$122))/12))</f>
        <v>131.06588895517743</v>
      </c>
      <c r="I147" s="30">
        <f>+I$120*(106.8/103.3)</f>
        <v>102.66447241045498</v>
      </c>
      <c r="J147" s="30">
        <v>1.0900000000000001</v>
      </c>
      <c r="K147" s="30">
        <v>101.2</v>
      </c>
      <c r="L147" s="30">
        <v>110.75835216968831</v>
      </c>
      <c r="M147" s="34">
        <f t="shared" si="1"/>
        <v>8.3049348240171739E-4</v>
      </c>
      <c r="N147" s="6"/>
      <c r="O147" s="25">
        <v>42401</v>
      </c>
      <c r="P147" s="33">
        <v>0.73207402528847587</v>
      </c>
      <c r="Q147" s="33">
        <v>9.2197558505421773E-2</v>
      </c>
      <c r="R147" s="33">
        <v>9.5076132462878729E-2</v>
      </c>
      <c r="S147" s="33">
        <v>1.4442077563032073E-2</v>
      </c>
      <c r="T147" s="33">
        <v>6.6210206180191591E-2</v>
      </c>
      <c r="U147" s="33">
        <v>1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30">
        <f>128.2*1.0101</f>
        <v>129.49481999999998</v>
      </c>
      <c r="H148" s="30">
        <f>131/99.8*99.4</f>
        <v>130.47494989979961</v>
      </c>
      <c r="I148" s="30">
        <f>+I$120*(106.9/103.3)</f>
        <v>102.76060019361086</v>
      </c>
      <c r="J148" s="30">
        <f>+J147</f>
        <v>1.0900000000000001</v>
      </c>
      <c r="K148" s="30">
        <v>101.3</v>
      </c>
      <c r="L148" s="30">
        <v>110.73068810137443</v>
      </c>
      <c r="M148" s="34">
        <f t="shared" si="1"/>
        <v>-2.4976959093336859E-4</v>
      </c>
      <c r="N148" s="6"/>
      <c r="O148" s="25">
        <v>42430</v>
      </c>
      <c r="P148" s="33">
        <v>0.73225692080004234</v>
      </c>
      <c r="Q148" s="33">
        <v>9.1816274126857902E-2</v>
      </c>
      <c r="R148" s="33">
        <v>9.5188930359014934E-2</v>
      </c>
      <c r="S148" s="33">
        <v>1.4445685656029132E-2</v>
      </c>
      <c r="T148" s="33">
        <v>6.6292189058055825E-2</v>
      </c>
      <c r="U148" s="33">
        <v>1.0000000000000002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30">
        <f>128.7*1.0101</f>
        <v>129.99986999999999</v>
      </c>
      <c r="H149" s="30">
        <f>131/99.8*100.1</f>
        <v>131.3937875751503</v>
      </c>
      <c r="I149" s="30">
        <f>+I$120*(106.9/103.3)</f>
        <v>102.76060019361086</v>
      </c>
      <c r="J149" s="30">
        <v>0.96</v>
      </c>
      <c r="K149" s="30">
        <v>102.1</v>
      </c>
      <c r="L149" s="30">
        <v>110.98571874452266</v>
      </c>
      <c r="M149" s="34">
        <f t="shared" si="1"/>
        <v>2.3031613685515762E-3</v>
      </c>
      <c r="N149" s="6"/>
      <c r="O149" s="25">
        <v>42461</v>
      </c>
      <c r="P149" s="33">
        <v>0.73342364402411286</v>
      </c>
      <c r="Q149" s="33">
        <v>9.2250400048998218E-2</v>
      </c>
      <c r="R149" s="33">
        <v>9.4970198666283076E-2</v>
      </c>
      <c r="S149" s="33">
        <v>1.2693570374486296E-2</v>
      </c>
      <c r="T149" s="33">
        <v>6.6662186886119634E-2</v>
      </c>
      <c r="U149" s="33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30">
        <f>128.7*1.0101</f>
        <v>129.99986999999999</v>
      </c>
      <c r="H150" s="30">
        <f>131/99.8*100.2</f>
        <v>131.52505010020042</v>
      </c>
      <c r="I150" s="30">
        <f>+I$120*(107/103.3)</f>
        <v>102.85672797676669</v>
      </c>
      <c r="J150" s="30">
        <v>0.85</v>
      </c>
      <c r="K150" s="30">
        <v>99.6</v>
      </c>
      <c r="L150" s="30">
        <v>110.66322199245016</v>
      </c>
      <c r="M150" s="34">
        <f t="shared" ref="M150:M213" si="4">IF(L150="","",L150/L149-1)</f>
        <v>-2.9057499984737056E-3</v>
      </c>
      <c r="N150" s="6"/>
      <c r="O150" s="25">
        <v>42491</v>
      </c>
      <c r="P150" s="33">
        <v>0.73556100039990213</v>
      </c>
      <c r="Q150" s="33">
        <v>9.2611664635177726E-2</v>
      </c>
      <c r="R150" s="33">
        <v>9.5336061650539872E-2</v>
      </c>
      <c r="S150" s="33">
        <v>1.1271851952871257E-2</v>
      </c>
      <c r="T150" s="33">
        <v>6.5219421361509072E-2</v>
      </c>
      <c r="U150" s="33">
        <v>1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30">
        <f>128.7*1.0101</f>
        <v>129.99986999999999</v>
      </c>
      <c r="H151" s="30">
        <f>131/99.8*100.3</f>
        <v>131.65631262525051</v>
      </c>
      <c r="I151" s="30">
        <f>+I$120*(106.8/103.3)</f>
        <v>102.66447241045498</v>
      </c>
      <c r="J151" s="30">
        <v>0.87</v>
      </c>
      <c r="K151" s="30">
        <v>99.6</v>
      </c>
      <c r="L151" s="30">
        <v>110.68308035391303</v>
      </c>
      <c r="M151" s="34">
        <f t="shared" si="4"/>
        <v>1.7944861088747821E-4</v>
      </c>
      <c r="N151" s="6"/>
      <c r="O151" s="25">
        <v>42522</v>
      </c>
      <c r="P151" s="33">
        <v>0.73542902868229898</v>
      </c>
      <c r="Q151" s="33">
        <v>9.2687458810460657E-2</v>
      </c>
      <c r="R151" s="33">
        <v>9.514079052176623E-2</v>
      </c>
      <c r="S151" s="33">
        <v>1.1535002058725149E-2</v>
      </c>
      <c r="T151" s="33">
        <v>6.5207719926749091E-2</v>
      </c>
      <c r="U151" s="3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30">
        <f>129.4*1.0101</f>
        <v>130.70694</v>
      </c>
      <c r="H152" s="30">
        <f>131/99.8*100.5</f>
        <v>131.91883767535072</v>
      </c>
      <c r="I152" s="30">
        <f>+I$120*(106.7/103.3)</f>
        <v>102.56834462729913</v>
      </c>
      <c r="J152" s="30">
        <v>0.83</v>
      </c>
      <c r="K152" s="30">
        <v>99.6</v>
      </c>
      <c r="L152" s="30">
        <v>111.07770924233284</v>
      </c>
      <c r="M152" s="34">
        <f t="shared" si="4"/>
        <v>3.5653948838247906E-3</v>
      </c>
      <c r="N152" s="6"/>
      <c r="O152" s="25">
        <v>42552</v>
      </c>
      <c r="P152" s="33">
        <v>0.73680204094213775</v>
      </c>
      <c r="Q152" s="33">
        <v>9.2542329319220837E-2</v>
      </c>
      <c r="R152" s="33">
        <v>9.4714014521771125E-2</v>
      </c>
      <c r="S152" s="33">
        <v>1.0965560582884424E-2</v>
      </c>
      <c r="T152" s="33">
        <v>6.4976054633985952E-2</v>
      </c>
      <c r="U152" s="33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30">
        <f>129.4*1.0101</f>
        <v>130.70694</v>
      </c>
      <c r="H153" s="30">
        <f>131/99.8*100.6</f>
        <v>132.05010020040081</v>
      </c>
      <c r="I153" s="30">
        <f>+I$120*(107/103.3)</f>
        <v>102.85672797676669</v>
      </c>
      <c r="J153" s="30">
        <v>0.6</v>
      </c>
      <c r="K153" s="30">
        <v>100.5</v>
      </c>
      <c r="L153" s="30">
        <v>110.84520866498788</v>
      </c>
      <c r="M153" s="34">
        <f t="shared" si="4"/>
        <v>-2.0931344275180175E-3</v>
      </c>
      <c r="N153" s="6"/>
      <c r="O153" s="25">
        <v>42583</v>
      </c>
      <c r="P153" s="33">
        <v>0.73834750151703488</v>
      </c>
      <c r="Q153" s="33">
        <v>9.2828714216530314E-2</v>
      </c>
      <c r="R153" s="33">
        <v>9.5179538036740105E-2</v>
      </c>
      <c r="S153" s="33">
        <v>7.9435381579303944E-3</v>
      </c>
      <c r="T153" s="33">
        <v>6.5700708071764355E-2</v>
      </c>
      <c r="U153" s="33">
        <v>0.99999999999999989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30">
        <f>129.4*1.0101</f>
        <v>130.70694</v>
      </c>
      <c r="H154" s="30">
        <f>131/99.8*100.5</f>
        <v>131.91883767535072</v>
      </c>
      <c r="I154" s="30">
        <f>+I$120*(107.2/103.3)</f>
        <v>103.04898354307842</v>
      </c>
      <c r="J154" s="30">
        <v>0.63</v>
      </c>
      <c r="K154" s="30">
        <v>97.9</v>
      </c>
      <c r="L154" s="30">
        <v>110.71031976847809</v>
      </c>
      <c r="M154" s="34">
        <f t="shared" si="4"/>
        <v>-1.2169122881754424E-3</v>
      </c>
      <c r="N154" s="6"/>
      <c r="O154" s="25">
        <v>42614</v>
      </c>
      <c r="P154" s="33">
        <v>0.73924710039750674</v>
      </c>
      <c r="Q154" s="33">
        <v>9.284942876350917E-2</v>
      </c>
      <c r="R154" s="33">
        <v>9.5473626744895984E-2</v>
      </c>
      <c r="S154" s="33">
        <v>8.3508773510925071E-3</v>
      </c>
      <c r="T154" s="33">
        <v>6.4078966742995694E-2</v>
      </c>
      <c r="U154" s="33">
        <v>1.0000000000000002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30">
        <f>130*1.0101</f>
        <v>131.31299999999999</v>
      </c>
      <c r="H155" s="30">
        <f>131/99.8*100.2</f>
        <v>131.52505010020042</v>
      </c>
      <c r="I155" s="30">
        <f>+I$120*(107.1/103.3)</f>
        <v>102.95285575992254</v>
      </c>
      <c r="J155" s="30">
        <v>0.64</v>
      </c>
      <c r="K155" s="30">
        <v>97.1</v>
      </c>
      <c r="L155" s="30">
        <v>111.00596414712146</v>
      </c>
      <c r="M155" s="34">
        <f t="shared" si="4"/>
        <v>2.670431981965482E-3</v>
      </c>
      <c r="N155" s="6"/>
      <c r="O155" s="25">
        <v>42644</v>
      </c>
      <c r="P155" s="33">
        <v>0.74069684982717421</v>
      </c>
      <c r="Q155" s="33">
        <v>9.2325716742840278E-2</v>
      </c>
      <c r="R155" s="33">
        <v>9.5130525927020829E-2</v>
      </c>
      <c r="S155" s="33">
        <v>8.4608368704669184E-3</v>
      </c>
      <c r="T155" s="33">
        <v>6.3386070632497904E-2</v>
      </c>
      <c r="U155" s="33">
        <v>1.0000000000000002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30">
        <f>130*1.0101</f>
        <v>131.31299999999999</v>
      </c>
      <c r="H156" s="30">
        <f>131/99.8*100.2</f>
        <v>131.52505010020042</v>
      </c>
      <c r="I156" s="30">
        <f>+I$120*(107.2/103.3)</f>
        <v>103.04898354307842</v>
      </c>
      <c r="J156" s="30">
        <v>0.56000000000000005</v>
      </c>
      <c r="K156" s="30">
        <v>97.9</v>
      </c>
      <c r="L156" s="30">
        <v>110.95639473835908</v>
      </c>
      <c r="M156" s="34">
        <f t="shared" si="4"/>
        <v>-4.4654725665627115E-4</v>
      </c>
      <c r="N156" s="6"/>
      <c r="O156" s="25">
        <v>42675</v>
      </c>
      <c r="P156" s="33">
        <v>0.74102775373771201</v>
      </c>
      <c r="Q156" s="33">
        <v>9.236696295675427E-2</v>
      </c>
      <c r="R156" s="33">
        <v>9.5261888882638673E-2</v>
      </c>
      <c r="S156" s="33">
        <v>7.4065396316123659E-3</v>
      </c>
      <c r="T156" s="33">
        <v>6.393685479128286E-2</v>
      </c>
      <c r="U156" s="3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30">
        <f>130*1.0101</f>
        <v>131.31299999999999</v>
      </c>
      <c r="H157" s="30">
        <f>131/99.8*100.4</f>
        <v>131.78757515030063</v>
      </c>
      <c r="I157" s="30">
        <f>+I$120*(107.2/103.3)</f>
        <v>103.04898354307842</v>
      </c>
      <c r="J157" s="30">
        <v>0.77</v>
      </c>
      <c r="K157" s="30">
        <v>101.3</v>
      </c>
      <c r="L157" s="30">
        <v>111.53140414799263</v>
      </c>
      <c r="M157" s="34">
        <f t="shared" si="4"/>
        <v>5.1823007676976562E-3</v>
      </c>
      <c r="N157" s="6"/>
      <c r="O157" s="25">
        <v>42705</v>
      </c>
      <c r="P157" s="33">
        <v>0.73720732365836494</v>
      </c>
      <c r="Q157" s="33">
        <v>9.2074172099520291E-2</v>
      </c>
      <c r="R157" s="33">
        <v>9.4770758309098146E-2</v>
      </c>
      <c r="S157" s="33">
        <v>1.0131487577615606E-2</v>
      </c>
      <c r="T157" s="33">
        <v>6.5816258355401003E-2</v>
      </c>
      <c r="U157" s="3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30">
        <f>130.5*1.0101</f>
        <v>131.81805</v>
      </c>
      <c r="H158" s="30">
        <f>131/99.8*100.3</f>
        <v>131.65631262525051</v>
      </c>
      <c r="I158" s="30">
        <f>+I$120*(107.2/103.3)</f>
        <v>103.04898354307842</v>
      </c>
      <c r="J158" s="30">
        <v>0.78</v>
      </c>
      <c r="K158" s="30">
        <v>103</v>
      </c>
      <c r="L158" s="30">
        <v>111.97527692655621</v>
      </c>
      <c r="M158" s="34">
        <f t="shared" si="4"/>
        <v>3.9798008637512705E-3</v>
      </c>
      <c r="N158" s="6"/>
      <c r="O158" s="25">
        <v>42736</v>
      </c>
      <c r="P158" s="33">
        <v>0.7371091886559743</v>
      </c>
      <c r="Q158" s="33">
        <v>9.1617843982176386E-2</v>
      </c>
      <c r="R158" s="33">
        <v>9.439508466959623E-2</v>
      </c>
      <c r="S158" s="33">
        <v>1.0222382292486629E-2</v>
      </c>
      <c r="T158" s="33">
        <v>6.6655500399766476E-2</v>
      </c>
      <c r="U158" s="3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30">
        <f>G156*(1+(((SUM(G$135:G$146)-SUM(G$123:G$134))/SUM(G$123:G$134))/4))</f>
        <v>131.79126077521192</v>
      </c>
      <c r="H159" s="30">
        <f>131/99.8*100.3</f>
        <v>131.65631262525051</v>
      </c>
      <c r="I159" s="30">
        <f>+I$120*(107.1/103.3)</f>
        <v>102.95285575992254</v>
      </c>
      <c r="J159" s="30">
        <v>0.73</v>
      </c>
      <c r="K159" s="30">
        <v>103</v>
      </c>
      <c r="L159" s="30">
        <v>111.89837089509329</v>
      </c>
      <c r="M159" s="34">
        <f t="shared" si="4"/>
        <v>-6.8681260340486272E-4</v>
      </c>
      <c r="N159" s="6"/>
      <c r="O159" s="25">
        <v>42767</v>
      </c>
      <c r="P159" s="33">
        <v>0.73767235475548032</v>
      </c>
      <c r="Q159" s="33">
        <v>9.1680811519018038E-2</v>
      </c>
      <c r="R159" s="33">
        <v>9.4371845326076481E-2</v>
      </c>
      <c r="S159" s="33">
        <v>9.5736766981187795E-3</v>
      </c>
      <c r="T159" s="33">
        <v>6.6701311701306568E-2</v>
      </c>
      <c r="U159" s="33">
        <v>1.0000000000000002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30">
        <f>G157*(1+(((SUM(G$135:G$146)-SUM(G$123:G$134))/SUM(G$123:G$134))/4))</f>
        <v>131.79126077521192</v>
      </c>
      <c r="H160" s="30">
        <f>131/99.8*100.3</f>
        <v>131.65631262525051</v>
      </c>
      <c r="I160" s="30">
        <f>+I$120*(107.4/103.3)</f>
        <v>103.24123910939014</v>
      </c>
      <c r="J160" s="30">
        <v>0.84</v>
      </c>
      <c r="K160" s="30">
        <v>98.7</v>
      </c>
      <c r="L160" s="30">
        <v>111.77778225681088</v>
      </c>
      <c r="M160" s="34">
        <f t="shared" si="4"/>
        <v>-1.0776621439418932E-3</v>
      </c>
      <c r="N160" s="6"/>
      <c r="O160" s="25">
        <v>42795</v>
      </c>
      <c r="P160" s="33">
        <v>0.73846817395105324</v>
      </c>
      <c r="Q160" s="33">
        <v>9.1779719047817496E-2</v>
      </c>
      <c r="R160" s="33">
        <v>9.4738288098417306E-2</v>
      </c>
      <c r="S160" s="33">
        <v>1.1028170157138825E-2</v>
      </c>
      <c r="T160" s="33">
        <v>6.3985648745573317E-2</v>
      </c>
      <c r="U160" s="33">
        <v>1.0000000000000002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30">
        <f>131.1*1.0101</f>
        <v>132.42410999999998</v>
      </c>
      <c r="H161" s="30">
        <f>131/99.8*101.1</f>
        <v>132.70641282565131</v>
      </c>
      <c r="I161" s="30">
        <f>+I$120*(107.5/103.3)</f>
        <v>103.33736689254599</v>
      </c>
      <c r="J161" s="30">
        <v>0.78</v>
      </c>
      <c r="K161" s="30">
        <v>98.7</v>
      </c>
      <c r="L161" s="30">
        <v>112.15457378426842</v>
      </c>
      <c r="M161" s="34">
        <f t="shared" si="4"/>
        <v>3.3708982219011752E-3</v>
      </c>
      <c r="N161" s="6"/>
      <c r="O161" s="25">
        <v>42826</v>
      </c>
      <c r="P161" s="33">
        <v>0.73931439271686117</v>
      </c>
      <c r="Q161" s="33">
        <v>9.2200960621102265E-2</v>
      </c>
      <c r="R161" s="33">
        <v>9.4507922208044076E-2</v>
      </c>
      <c r="S161" s="33">
        <v>1.0206040194598571E-2</v>
      </c>
      <c r="T161" s="33">
        <v>6.3770684259393903E-2</v>
      </c>
      <c r="U161" s="33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30">
        <f>131.1*1.0101</f>
        <v>132.42410999999998</v>
      </c>
      <c r="H162" s="30">
        <f>131/99.8*101.2</f>
        <v>132.8376753507014</v>
      </c>
      <c r="I162" s="30">
        <f>+I$120*(107.9/103.3)</f>
        <v>103.7218780251694</v>
      </c>
      <c r="J162" s="30">
        <v>0.67</v>
      </c>
      <c r="K162" s="30">
        <v>98.7</v>
      </c>
      <c r="L162" s="30">
        <v>112.042816440582</v>
      </c>
      <c r="M162" s="34">
        <f t="shared" si="4"/>
        <v>-9.9645819083038489E-4</v>
      </c>
      <c r="N162" s="6"/>
      <c r="O162" s="25">
        <v>42856</v>
      </c>
      <c r="P162" s="33">
        <v>0.74005182341794495</v>
      </c>
      <c r="Q162" s="33">
        <v>9.238421541424148E-2</v>
      </c>
      <c r="R162" s="33">
        <v>9.4954197480837749E-2</v>
      </c>
      <c r="S162" s="33">
        <v>8.7754712240014007E-3</v>
      </c>
      <c r="T162" s="33">
        <v>6.3834292462974493E-2</v>
      </c>
      <c r="U162" s="3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30">
        <f>131.1*1.0101</f>
        <v>132.42410999999998</v>
      </c>
      <c r="H163" s="30">
        <f>131/99.8*101.4</f>
        <v>133.10020040080161</v>
      </c>
      <c r="I163" s="30">
        <f>+I$120*(107.7/103.3)</f>
        <v>103.5296224588577</v>
      </c>
      <c r="J163" s="30">
        <v>0.75</v>
      </c>
      <c r="K163" s="30">
        <v>92.8</v>
      </c>
      <c r="L163" s="30">
        <v>111.73341713333141</v>
      </c>
      <c r="M163" s="34">
        <f t="shared" si="4"/>
        <v>-2.761438145520656E-3</v>
      </c>
      <c r="N163" s="6"/>
      <c r="O163" s="25">
        <v>42887</v>
      </c>
      <c r="P163" s="33">
        <v>0.74210108967480537</v>
      </c>
      <c r="Q163" s="33">
        <v>9.2823118214483788E-2</v>
      </c>
      <c r="R163" s="33">
        <v>9.5040642262575997E-2</v>
      </c>
      <c r="S163" s="33">
        <v>9.8504902029822507E-3</v>
      </c>
      <c r="T163" s="33">
        <v>6.0184659645152662E-2</v>
      </c>
      <c r="U163" s="3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30">
        <f>131.4*1.0101</f>
        <v>132.72713999999999</v>
      </c>
      <c r="H164" s="30">
        <f>131/99.8*101.3</f>
        <v>132.96893787575152</v>
      </c>
      <c r="I164" s="30">
        <f>+I$120*(107.7/103.3)</f>
        <v>103.5296224588577</v>
      </c>
      <c r="J164" s="30">
        <f>+J163</f>
        <v>0.75</v>
      </c>
      <c r="K164" s="30">
        <v>90.3</v>
      </c>
      <c r="L164" s="30">
        <v>111.73177200577283</v>
      </c>
      <c r="M164" s="34">
        <f t="shared" si="4"/>
        <v>-1.4723684290673944E-5</v>
      </c>
      <c r="N164" s="6"/>
      <c r="O164" s="25">
        <v>42917</v>
      </c>
      <c r="P164" s="33">
        <v>0.74381021313147511</v>
      </c>
      <c r="Q164" s="33">
        <v>9.2732942048345188E-2</v>
      </c>
      <c r="R164" s="33">
        <v>9.5042041631591315E-2</v>
      </c>
      <c r="S164" s="33">
        <v>9.8506352406255958E-3</v>
      </c>
      <c r="T164" s="33">
        <v>5.8564167947962764E-2</v>
      </c>
      <c r="U164" s="33">
        <v>1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30">
        <f>131.4*1.0101</f>
        <v>132.72713999999999</v>
      </c>
      <c r="H165" s="30">
        <f>131/99.8*101.2</f>
        <v>132.8376753507014</v>
      </c>
      <c r="I165" s="30">
        <f>+I$120*(107.9/103.3)</f>
        <v>103.7218780251694</v>
      </c>
      <c r="J165" s="30">
        <v>0.66</v>
      </c>
      <c r="K165" s="30">
        <v>90.3</v>
      </c>
      <c r="L165" s="30">
        <v>111.60918827743366</v>
      </c>
      <c r="M165" s="34">
        <f t="shared" si="4"/>
        <v>-1.0971250713971425E-3</v>
      </c>
      <c r="N165" s="6"/>
      <c r="O165" s="25">
        <v>42948</v>
      </c>
      <c r="P165" s="33">
        <v>0.744627162260034</v>
      </c>
      <c r="Q165" s="33">
        <v>9.2743149998860061E-2</v>
      </c>
      <c r="R165" s="33">
        <v>9.5323117055223408E-2</v>
      </c>
      <c r="S165" s="33">
        <v>8.6780799508361772E-3</v>
      </c>
      <c r="T165" s="33">
        <v>5.8628490735046362E-2</v>
      </c>
      <c r="U165" s="3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30">
        <f>131.4*1.0101</f>
        <v>132.72713999999999</v>
      </c>
      <c r="H166" s="30">
        <f>131/99.8*102</f>
        <v>133.88777555110221</v>
      </c>
      <c r="I166" s="30">
        <f>+I$120*(108.4/103.3)</f>
        <v>104.2025169409487</v>
      </c>
      <c r="J166" s="30">
        <v>0.63</v>
      </c>
      <c r="K166" s="30">
        <v>90.3</v>
      </c>
      <c r="L166" s="30">
        <v>111.69628909000295</v>
      </c>
      <c r="M166" s="34">
        <f t="shared" si="4"/>
        <v>7.8040897809228404E-4</v>
      </c>
      <c r="N166" s="6"/>
      <c r="O166" s="25">
        <v>42979</v>
      </c>
      <c r="P166" s="33">
        <v>0.74404650168999698</v>
      </c>
      <c r="Q166" s="33">
        <v>9.3403404574167043E-2</v>
      </c>
      <c r="R166" s="33">
        <v>9.569015932262756E-2</v>
      </c>
      <c r="S166" s="33">
        <v>8.2771621995590527E-3</v>
      </c>
      <c r="T166" s="33">
        <v>5.8582772213649305E-2</v>
      </c>
      <c r="U166" s="33">
        <v>1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30">
        <f>132.2*1.0101</f>
        <v>133.53521999999998</v>
      </c>
      <c r="H167" s="30">
        <f>131/99.8*101.7</f>
        <v>133.49398797595191</v>
      </c>
      <c r="I167" s="30">
        <f>+I$120*(108.3/103.3)</f>
        <v>104.10638915779282</v>
      </c>
      <c r="J167" s="30">
        <v>0.56999999999999995</v>
      </c>
      <c r="K167" s="30">
        <v>90.3</v>
      </c>
      <c r="L167" s="30">
        <v>112.07367414388708</v>
      </c>
      <c r="M167" s="34">
        <f t="shared" si="4"/>
        <v>3.3786713682137925E-3</v>
      </c>
      <c r="N167" s="6"/>
      <c r="O167" s="25">
        <v>43009</v>
      </c>
      <c r="P167" s="33">
        <v>0.7460557878411368</v>
      </c>
      <c r="Q167" s="33">
        <v>9.2815096967697922E-2</v>
      </c>
      <c r="R167" s="33">
        <v>9.5279964579612325E-2</v>
      </c>
      <c r="S167" s="33">
        <v>7.463643837958429E-3</v>
      </c>
      <c r="T167" s="33">
        <v>5.8385506773594699E-2</v>
      </c>
      <c r="U167" s="33">
        <v>1.0000000000000002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30">
        <f>132.2*1.0101</f>
        <v>133.53521999999998</v>
      </c>
      <c r="H168" s="30">
        <f>131/99.8*101.8</f>
        <v>133.625250501002</v>
      </c>
      <c r="I168" s="30">
        <f>+I$120*(108.1/103.3)</f>
        <v>103.91413359148112</v>
      </c>
      <c r="J168" s="30">
        <v>0.52</v>
      </c>
      <c r="K168" s="30">
        <v>91.9</v>
      </c>
      <c r="L168" s="30">
        <v>112.10674916745913</v>
      </c>
      <c r="M168" s="34">
        <f t="shared" si="4"/>
        <v>2.9511858002972957E-4</v>
      </c>
      <c r="N168" s="6"/>
      <c r="O168" s="25">
        <v>43040</v>
      </c>
      <c r="P168" s="33">
        <v>0.74583567787494687</v>
      </c>
      <c r="Q168" s="33">
        <v>9.2878950279280961E-2</v>
      </c>
      <c r="R168" s="33">
        <v>9.5075950286909947E-2</v>
      </c>
      <c r="S168" s="33">
        <v>6.8069293868025195E-3</v>
      </c>
      <c r="T168" s="33">
        <v>5.9402492172059895E-2</v>
      </c>
      <c r="U168" s="3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30">
        <f>132.2*1.0101</f>
        <v>133.53521999999998</v>
      </c>
      <c r="H169" s="30">
        <f>131/99.8*101.9</f>
        <v>133.75651302605212</v>
      </c>
      <c r="I169" s="30">
        <f>+I$120*(108.5/103.3)</f>
        <v>104.29864472410455</v>
      </c>
      <c r="J169" s="30">
        <v>0.63</v>
      </c>
      <c r="K169" s="30">
        <v>97.8</v>
      </c>
      <c r="L169" s="30">
        <v>112.7453792086966</v>
      </c>
      <c r="M169" s="34">
        <f t="shared" si="4"/>
        <v>5.6966243868468158E-3</v>
      </c>
      <c r="N169" s="6"/>
      <c r="O169" s="25">
        <v>43070</v>
      </c>
      <c r="P169" s="33">
        <v>0.7416109985749112</v>
      </c>
      <c r="Q169" s="33">
        <v>9.2443570670056499E-2</v>
      </c>
      <c r="R169" s="33">
        <v>9.488722083233303E-2</v>
      </c>
      <c r="S169" s="33">
        <v>8.2001436189721843E-3</v>
      </c>
      <c r="T169" s="33">
        <v>6.2858066303727311E-2</v>
      </c>
      <c r="U169" s="3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30">
        <f>132.9*1.0101</f>
        <v>134.24229</v>
      </c>
      <c r="H170" s="30">
        <f>131/99.8*101.6</f>
        <v>133.36272545090179</v>
      </c>
      <c r="I170" s="30">
        <f>+I$120*(108.7/103.3)</f>
        <v>104.49090029041626</v>
      </c>
      <c r="J170" s="30">
        <v>0.67</v>
      </c>
      <c r="K170" s="30">
        <v>96.1</v>
      </c>
      <c r="L170" s="30">
        <v>113.11265885517675</v>
      </c>
      <c r="M170" s="34">
        <f t="shared" si="4"/>
        <v>3.25760265350028E-3</v>
      </c>
      <c r="N170" s="6"/>
      <c r="O170" s="25">
        <v>43101</v>
      </c>
      <c r="P170" s="33">
        <v>0.74311705433407094</v>
      </c>
      <c r="Q170" s="33">
        <v>9.1872128103637568E-2</v>
      </c>
      <c r="R170" s="33">
        <v>9.4753459032267784E-2</v>
      </c>
      <c r="S170" s="33">
        <v>8.6924710415416055E-3</v>
      </c>
      <c r="T170" s="33">
        <v>6.1564887488482219E-2</v>
      </c>
      <c r="U170" s="33">
        <v>1.0000000000000002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30">
        <f>132.9*1.0101</f>
        <v>134.24229</v>
      </c>
      <c r="H171" s="30">
        <f>131/99.8*101.3</f>
        <v>132.96893787575152</v>
      </c>
      <c r="I171" s="30">
        <f>+I$120*(108.3/103.3)</f>
        <v>104.10638915779282</v>
      </c>
      <c r="J171" s="30">
        <v>0.61</v>
      </c>
      <c r="K171" s="30">
        <v>89.4</v>
      </c>
      <c r="L171" s="30">
        <v>112.46897656409062</v>
      </c>
      <c r="M171" s="34">
        <f t="shared" si="4"/>
        <v>-5.6906300108306995E-3</v>
      </c>
      <c r="N171" s="6"/>
      <c r="O171" s="25">
        <v>43132</v>
      </c>
      <c r="P171" s="33">
        <v>0.74737006083143465</v>
      </c>
      <c r="Q171" s="33">
        <v>9.212510200504842E-2</v>
      </c>
      <c r="R171" s="33">
        <v>9.4945077557912025E-2</v>
      </c>
      <c r="S171" s="33">
        <v>7.9593344263684199E-3</v>
      </c>
      <c r="T171" s="33">
        <v>5.7600425179236608E-2</v>
      </c>
      <c r="U171" s="33">
        <v>1.0000000000000002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30">
        <f>132.9*1.0101</f>
        <v>134.24229</v>
      </c>
      <c r="H172" s="30">
        <f>131/99.8*101</f>
        <v>132.57515030060122</v>
      </c>
      <c r="I172" s="30">
        <f>+I$120*(108.9/103.3)</f>
        <v>104.68315585672798</v>
      </c>
      <c r="J172" s="30">
        <v>0.81</v>
      </c>
      <c r="K172" s="30">
        <v>93.2</v>
      </c>
      <c r="L172" s="30">
        <v>113.06631516122607</v>
      </c>
      <c r="M172" s="34">
        <f t="shared" si="4"/>
        <v>5.3111410398143377E-3</v>
      </c>
      <c r="N172" s="6"/>
      <c r="O172" s="25">
        <v>43160</v>
      </c>
      <c r="P172" s="33">
        <v>0.7434216436300648</v>
      </c>
      <c r="Q172" s="33">
        <v>9.1367010391414066E-2</v>
      </c>
      <c r="R172" s="33">
        <v>9.4966707490360083E-2</v>
      </c>
      <c r="S172" s="33">
        <v>1.0513115631194232E-2</v>
      </c>
      <c r="T172" s="33">
        <v>5.9731522856966889E-2</v>
      </c>
      <c r="U172" s="33">
        <v>1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30">
        <f>133.4*1.0101</f>
        <v>134.74734000000001</v>
      </c>
      <c r="H173" s="30">
        <f>131/99.8*101.7</f>
        <v>133.49398797595191</v>
      </c>
      <c r="I173" s="30">
        <f>+I$120*(109/103.3)</f>
        <v>104.77928363988383</v>
      </c>
      <c r="J173" s="30">
        <v>0.77</v>
      </c>
      <c r="K173" s="30">
        <v>93.2</v>
      </c>
      <c r="L173" s="30">
        <v>113.40531025761175</v>
      </c>
      <c r="M173" s="34">
        <f t="shared" si="4"/>
        <v>2.9981970837404948E-3</v>
      </c>
      <c r="N173" s="6"/>
      <c r="O173" s="25">
        <v>43191</v>
      </c>
      <c r="P173" s="33">
        <v>0.74398794230847176</v>
      </c>
      <c r="Q173" s="33">
        <v>9.1725236759738676E-2</v>
      </c>
      <c r="R173" s="33">
        <v>9.476977445365907E-2</v>
      </c>
      <c r="S173" s="33">
        <v>9.9640751660795279E-3</v>
      </c>
      <c r="T173" s="33">
        <v>5.955297131205102E-2</v>
      </c>
      <c r="U173" s="3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30">
        <f>133.4*1.0101</f>
        <v>134.74734000000001</v>
      </c>
      <c r="H174" s="30">
        <f>131/99.8*101.7</f>
        <v>133.49398797595191</v>
      </c>
      <c r="I174" s="30">
        <f>+I$120*(109/103.3)</f>
        <v>104.77928363988383</v>
      </c>
      <c r="J174" s="30">
        <v>0.62</v>
      </c>
      <c r="K174" s="30">
        <v>94</v>
      </c>
      <c r="L174" s="30">
        <v>113.24315548594097</v>
      </c>
      <c r="M174" s="34">
        <f t="shared" si="4"/>
        <v>-1.4298693006740137E-3</v>
      </c>
      <c r="N174" s="6"/>
      <c r="O174" s="25">
        <v>43221</v>
      </c>
      <c r="P174" s="33">
        <v>0.74505327110819619</v>
      </c>
      <c r="Q174" s="33">
        <v>9.1856579663063806E-2</v>
      </c>
      <c r="R174" s="33">
        <v>9.4905476881517778E-2</v>
      </c>
      <c r="S174" s="33">
        <v>8.0345098612944286E-3</v>
      </c>
      <c r="T174" s="33">
        <v>6.015016248592793E-2</v>
      </c>
      <c r="U174" s="3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30">
        <f>133.4*1.0101</f>
        <v>134.74734000000001</v>
      </c>
      <c r="H175" s="30">
        <f>131/99.8*102.2</f>
        <v>134.15030060120242</v>
      </c>
      <c r="I175" s="30">
        <f>+I$120*(109.1/103.3)</f>
        <v>104.87541142303968</v>
      </c>
      <c r="J175" s="30">
        <v>0.76</v>
      </c>
      <c r="K175" s="30">
        <v>94.9</v>
      </c>
      <c r="L175" s="30">
        <v>113.57482485055603</v>
      </c>
      <c r="M175" s="34">
        <f t="shared" si="4"/>
        <v>2.9288248211718493E-3</v>
      </c>
      <c r="N175" s="6"/>
      <c r="O175" s="25">
        <v>43252</v>
      </c>
      <c r="P175" s="33">
        <v>0.74287751300900484</v>
      </c>
      <c r="Q175" s="33">
        <v>9.2038620270572177E-2</v>
      </c>
      <c r="R175" s="33">
        <v>9.4715142067335584E-2</v>
      </c>
      <c r="S175" s="33">
        <v>9.8199929843259762E-3</v>
      </c>
      <c r="T175" s="33">
        <v>6.0548731668761471E-2</v>
      </c>
      <c r="U175" s="3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30">
        <f>134*1.0101</f>
        <v>135.35339999999999</v>
      </c>
      <c r="H176" s="30">
        <f>131/99.8*102.4</f>
        <v>134.41282565130263</v>
      </c>
      <c r="I176" s="30">
        <f>+I$120*(109.2/103.3)</f>
        <v>104.97153920619556</v>
      </c>
      <c r="J176" s="30">
        <v>0.6</v>
      </c>
      <c r="K176" s="30">
        <v>94.9</v>
      </c>
      <c r="L176" s="30">
        <v>113.749825588297</v>
      </c>
      <c r="M176" s="34">
        <f t="shared" si="4"/>
        <v>1.5408409211392637E-3</v>
      </c>
      <c r="N176" s="6"/>
      <c r="O176" s="25">
        <v>43282</v>
      </c>
      <c r="P176" s="33">
        <v>0.74507075566898151</v>
      </c>
      <c r="Q176" s="33">
        <v>9.2076859194807001E-2</v>
      </c>
      <c r="R176" s="33">
        <v>9.4656107043147891E-2</v>
      </c>
      <c r="S176" s="33">
        <v>7.740698854703805E-3</v>
      </c>
      <c r="T176" s="33">
        <v>6.045557923835982E-2</v>
      </c>
      <c r="U176" s="33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30">
        <f>134*1.0101</f>
        <v>135.35339999999999</v>
      </c>
      <c r="H177" s="30">
        <f>131/99.8*102.3</f>
        <v>134.28156312625251</v>
      </c>
      <c r="I177" s="30">
        <f>+I$120*(108.2/103.3)</f>
        <v>104.01026137463697</v>
      </c>
      <c r="J177" s="30">
        <v>0.53</v>
      </c>
      <c r="K177" s="30">
        <v>96.6</v>
      </c>
      <c r="L177" s="30">
        <v>113.66146041819185</v>
      </c>
      <c r="M177" s="34">
        <f t="shared" si="4"/>
        <v>-7.7683785138249473E-4</v>
      </c>
      <c r="N177" s="6"/>
      <c r="O177" s="25">
        <v>43313</v>
      </c>
      <c r="P177" s="33">
        <v>0.7456500048166067</v>
      </c>
      <c r="Q177" s="33">
        <v>9.205845487928957E-2</v>
      </c>
      <c r="R177" s="33">
        <v>9.3862208592535135E-2</v>
      </c>
      <c r="S177" s="33">
        <v>6.8429331711568646E-3</v>
      </c>
      <c r="T177" s="33">
        <v>6.1586398540411758E-2</v>
      </c>
      <c r="U177" s="3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30">
        <f>134*1.0101</f>
        <v>135.35339999999999</v>
      </c>
      <c r="H178" s="30">
        <f>131/99.8*103.1</f>
        <v>135.33166332665331</v>
      </c>
      <c r="I178" s="30">
        <f>+I$120*(108.8/103.3)</f>
        <v>104.58702807357211</v>
      </c>
      <c r="J178" s="30">
        <v>0.63</v>
      </c>
      <c r="K178" s="30">
        <v>97.4</v>
      </c>
      <c r="L178" s="30">
        <v>114.00716792262767</v>
      </c>
      <c r="M178" s="34">
        <f t="shared" si="4"/>
        <v>3.0415543066564243E-3</v>
      </c>
      <c r="N178" s="6"/>
      <c r="O178" s="25">
        <v>43344</v>
      </c>
      <c r="P178" s="33">
        <v>0.74338894696344915</v>
      </c>
      <c r="Q178" s="33">
        <v>9.2497029855356142E-2</v>
      </c>
      <c r="R178" s="33">
        <v>9.4096501810986222E-2</v>
      </c>
      <c r="S178" s="33">
        <v>8.1093874949532546E-3</v>
      </c>
      <c r="T178" s="33">
        <v>6.1908133875255372E-2</v>
      </c>
      <c r="U178" s="3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30">
        <f>135.2*1.0101</f>
        <v>136.56551999999999</v>
      </c>
      <c r="H179" s="30">
        <f>131/99.8*102.7</f>
        <v>134.80661322645292</v>
      </c>
      <c r="I179" s="30">
        <f>+I$120*(108.7/103.3)</f>
        <v>104.49090029041626</v>
      </c>
      <c r="J179" s="30">
        <v>0.69</v>
      </c>
      <c r="K179" s="30">
        <v>100.8</v>
      </c>
      <c r="L179" s="30">
        <v>115.04979222358027</v>
      </c>
      <c r="M179" s="34">
        <f t="shared" si="4"/>
        <v>9.1452521797592556E-3</v>
      </c>
      <c r="N179" s="6"/>
      <c r="O179" s="25">
        <v>43374</v>
      </c>
      <c r="P179" s="33">
        <v>0.74324896222200354</v>
      </c>
      <c r="Q179" s="33">
        <v>9.1303175931248051E-2</v>
      </c>
      <c r="R179" s="33">
        <v>9.3158062085297547E-2</v>
      </c>
      <c r="S179" s="33">
        <v>8.8012207304505354E-3</v>
      </c>
      <c r="T179" s="33">
        <v>6.3488579031000442E-2</v>
      </c>
      <c r="U179" s="33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30">
        <f>135.2*1.0101</f>
        <v>136.56551999999999</v>
      </c>
      <c r="H180" s="30">
        <f>131/99.8*102.4</f>
        <v>134.41282565130263</v>
      </c>
      <c r="I180" s="30">
        <f>+I$120*(109.4/103.3)</f>
        <v>105.16379477250727</v>
      </c>
      <c r="J180" s="30">
        <v>0.57999999999999996</v>
      </c>
      <c r="K180" s="30">
        <v>102.5</v>
      </c>
      <c r="L180" s="30">
        <v>115.04989027896636</v>
      </c>
      <c r="M180" s="34">
        <f t="shared" si="4"/>
        <v>8.5228651180990767E-7</v>
      </c>
      <c r="N180" s="6"/>
      <c r="O180" s="25">
        <v>43405</v>
      </c>
      <c r="P180" s="33">
        <v>0.74324832876147806</v>
      </c>
      <c r="Q180" s="33">
        <v>9.103638994119323E-2</v>
      </c>
      <c r="R180" s="33">
        <v>9.3757896099979726E-2</v>
      </c>
      <c r="S180" s="33">
        <v>7.3981212652046721E-3</v>
      </c>
      <c r="T180" s="33">
        <v>6.455926393214452E-2</v>
      </c>
      <c r="U180" s="33">
        <v>1.0000000000000002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30">
        <f>135.2*1.0101</f>
        <v>136.56551999999999</v>
      </c>
      <c r="H181" s="30">
        <f>131/99.8*102.7</f>
        <v>134.80661322645292</v>
      </c>
      <c r="I181" s="30">
        <f>+I$120*(109.9/103.3)</f>
        <v>105.64443368828654</v>
      </c>
      <c r="J181" s="30">
        <v>0.62</v>
      </c>
      <c r="K181" s="30">
        <v>104.1</v>
      </c>
      <c r="L181" s="30">
        <v>115.30451724387146</v>
      </c>
      <c r="M181" s="34">
        <f t="shared" si="4"/>
        <v>2.2131873771256139E-3</v>
      </c>
      <c r="N181" s="6"/>
      <c r="O181" s="25">
        <v>43435</v>
      </c>
      <c r="P181" s="33">
        <v>0.74160701348045532</v>
      </c>
      <c r="Q181" s="33">
        <v>9.110147348369739E-2</v>
      </c>
      <c r="R181" s="33">
        <v>9.3978413840726735E-2</v>
      </c>
      <c r="S181" s="33">
        <v>7.890872545362056E-3</v>
      </c>
      <c r="T181" s="33">
        <v>6.5422226649758664E-2</v>
      </c>
      <c r="U181" s="33">
        <v>1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30">
        <f>135.8*1.0101</f>
        <v>137.17158000000001</v>
      </c>
      <c r="H182" s="30">
        <f>131/99.8*102.4</f>
        <v>134.41282565130263</v>
      </c>
      <c r="I182" s="30">
        <f>+I$120*(109.9/103.3)</f>
        <v>105.64443368828654</v>
      </c>
      <c r="J182" s="30">
        <v>0.63</v>
      </c>
      <c r="K182" s="30">
        <v>104.1</v>
      </c>
      <c r="L182" s="30">
        <v>115.66799263303969</v>
      </c>
      <c r="M182" s="34">
        <f t="shared" si="4"/>
        <v>3.1523083210995839E-3</v>
      </c>
      <c r="N182" s="6"/>
      <c r="O182" s="25">
        <v>43466</v>
      </c>
      <c r="P182" s="33">
        <v>0.74255739899796813</v>
      </c>
      <c r="Q182" s="33">
        <v>9.0549913037357724E-2</v>
      </c>
      <c r="R182" s="33">
        <v>9.3683095838169708E-2</v>
      </c>
      <c r="S182" s="33">
        <v>7.992948445296251E-3</v>
      </c>
      <c r="T182" s="33">
        <v>6.5216643681208206E-2</v>
      </c>
      <c r="U182" s="3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30">
        <f>135.8*1.0101</f>
        <v>137.17158000000001</v>
      </c>
      <c r="H183" s="30">
        <f>131/99.8*102.1</f>
        <v>134.0190380761523</v>
      </c>
      <c r="I183" s="30">
        <f>+I$120*(109.7/103.3)</f>
        <v>105.45217812197484</v>
      </c>
      <c r="J183" s="30">
        <v>0.63</v>
      </c>
      <c r="K183" s="30">
        <v>104.1</v>
      </c>
      <c r="L183" s="30">
        <v>115.61758789485992</v>
      </c>
      <c r="M183" s="34">
        <f t="shared" si="4"/>
        <v>-4.3577083886703338E-4</v>
      </c>
      <c r="N183" s="6"/>
      <c r="O183" s="25">
        <v>43497</v>
      </c>
      <c r="P183" s="33">
        <v>0.74288112492895686</v>
      </c>
      <c r="Q183" s="33">
        <v>9.0323990650181513E-2</v>
      </c>
      <c r="R183" s="33">
        <v>9.3553375780697196E-2</v>
      </c>
      <c r="S183" s="33">
        <v>7.9964330576377217E-3</v>
      </c>
      <c r="T183" s="33">
        <v>6.5245075582526749E-2</v>
      </c>
      <c r="U183" s="33">
        <v>1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30">
        <f>135.8*1.0101</f>
        <v>137.17158000000001</v>
      </c>
      <c r="H184" s="30">
        <f>131/99.8*102.3</f>
        <v>134.28156312625251</v>
      </c>
      <c r="I184" s="30">
        <f>+I$172*(103.3/103.6)</f>
        <v>104.38001930501932</v>
      </c>
      <c r="J184" s="30">
        <v>0.68</v>
      </c>
      <c r="K184" s="30">
        <v>98.9</v>
      </c>
      <c r="L184" s="30">
        <v>115.30328639318994</v>
      </c>
      <c r="M184" s="34">
        <f t="shared" si="4"/>
        <v>-2.7184575235716935E-3</v>
      </c>
      <c r="N184" s="6"/>
      <c r="O184" s="25">
        <v>43525</v>
      </c>
      <c r="P184" s="33">
        <v>0.7449061205767934</v>
      </c>
      <c r="Q184" s="33">
        <v>9.0747616592134442E-2</v>
      </c>
      <c r="R184" s="33">
        <v>9.3536743987295431E-2</v>
      </c>
      <c r="S184" s="33">
        <v>8.6545977582841768E-3</v>
      </c>
      <c r="T184" s="33">
        <v>6.2154921085492545E-2</v>
      </c>
      <c r="U184" s="3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30">
        <f>136.4*1.0101</f>
        <v>137.77764000000002</v>
      </c>
      <c r="H185" s="30">
        <f>131/99.8*102.8</f>
        <v>134.93787575150301</v>
      </c>
      <c r="I185" s="30">
        <f>+I$172*(103.6/103.6)</f>
        <v>104.68315585672798</v>
      </c>
      <c r="J185" s="30">
        <v>0.55000000000000004</v>
      </c>
      <c r="K185" s="30">
        <v>99.7</v>
      </c>
      <c r="L185" s="30">
        <v>115.63242971967193</v>
      </c>
      <c r="M185" s="34">
        <f t="shared" si="4"/>
        <v>2.8545875558099176E-3</v>
      </c>
      <c r="N185" s="6"/>
      <c r="O185" s="25">
        <v>43556</v>
      </c>
      <c r="P185" s="33">
        <v>0.74606759581998505</v>
      </c>
      <c r="Q185" s="33">
        <v>9.0931581170083167E-2</v>
      </c>
      <c r="R185" s="33">
        <v>9.3541367879304171E-2</v>
      </c>
      <c r="S185" s="33">
        <v>6.9801169495123782E-3</v>
      </c>
      <c r="T185" s="33">
        <v>6.2479338181115222E-2</v>
      </c>
      <c r="U185" s="3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30">
        <f>136.4*1.0101</f>
        <v>137.77764000000002</v>
      </c>
      <c r="H186" s="30">
        <f>131/99.8*102.9</f>
        <v>135.06913827655313</v>
      </c>
      <c r="I186" s="30">
        <f>+I$172*(103.7/103.6)</f>
        <v>104.78420137396422</v>
      </c>
      <c r="J186" s="30">
        <f>+J185</f>
        <v>0.55000000000000004</v>
      </c>
      <c r="K186" s="30">
        <v>93.8</v>
      </c>
      <c r="L186" s="30">
        <v>115.22556229213708</v>
      </c>
      <c r="M186" s="34">
        <f t="shared" si="4"/>
        <v>-3.5186273307689087E-3</v>
      </c>
      <c r="N186" s="6"/>
      <c r="O186" s="25">
        <v>43586</v>
      </c>
      <c r="P186" s="33">
        <v>0.74870199913674895</v>
      </c>
      <c r="Q186" s="33">
        <v>9.1341432476322149E-2</v>
      </c>
      <c r="R186" s="33">
        <v>9.3962277010892381E-2</v>
      </c>
      <c r="S186" s="33">
        <v>7.0047641039340689E-3</v>
      </c>
      <c r="T186" s="33">
        <v>5.8989527272102465E-2</v>
      </c>
      <c r="U186" s="3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30">
        <f>136.4*1.0101</f>
        <v>137.77764000000002</v>
      </c>
      <c r="H187" s="30">
        <f>131/99.8*103.2</f>
        <v>135.46292585170343</v>
      </c>
      <c r="I187" s="30">
        <f>+I$172*(104.5/103.6)</f>
        <v>105.592565511854</v>
      </c>
      <c r="J187" s="30">
        <v>0.59</v>
      </c>
      <c r="K187" s="30">
        <v>98</v>
      </c>
      <c r="L187" s="30">
        <v>115.70281951913526</v>
      </c>
      <c r="M187" s="34">
        <f t="shared" si="4"/>
        <v>4.1419387981649347E-3</v>
      </c>
      <c r="N187" s="6"/>
      <c r="O187" s="25">
        <v>43617</v>
      </c>
      <c r="P187" s="33">
        <v>0.74561371277137733</v>
      </c>
      <c r="Q187" s="33">
        <v>9.1229865509227209E-2</v>
      </c>
      <c r="R187" s="33">
        <v>9.4296584070513875E-2</v>
      </c>
      <c r="S187" s="33">
        <v>7.4832065099329197E-3</v>
      </c>
      <c r="T187" s="33">
        <v>6.1376631138948701E-2</v>
      </c>
      <c r="U187" s="33">
        <v>1</v>
      </c>
      <c r="V187" s="6"/>
      <c r="W187" s="6"/>
    </row>
    <row r="188" spans="1:23" ht="13.5" hidden="1" customHeight="1">
      <c r="E188" s="6"/>
      <c r="F188" s="25">
        <v>43647</v>
      </c>
      <c r="G188" s="30">
        <f>136.6*1.0101</f>
        <v>137.97966</v>
      </c>
      <c r="H188" s="30">
        <f>131/99.8*103.1</f>
        <v>135.33166332665331</v>
      </c>
      <c r="I188" s="30">
        <f>+I$172*(104.6/103.6)</f>
        <v>105.69361102909022</v>
      </c>
      <c r="J188" s="30">
        <v>0.56999999999999995</v>
      </c>
      <c r="K188" s="30">
        <v>90.5</v>
      </c>
      <c r="L188" s="30">
        <v>115.25669848800699</v>
      </c>
      <c r="M188" s="34">
        <f t="shared" si="4"/>
        <v>-3.8557490040637132E-3</v>
      </c>
      <c r="N188" s="6"/>
      <c r="O188" s="25">
        <v>43647</v>
      </c>
      <c r="P188" s="33">
        <v>0.74959724684802809</v>
      </c>
      <c r="Q188" s="33">
        <v>9.1494243314293663E-2</v>
      </c>
      <c r="R188" s="33">
        <v>9.4752160584939862E-2</v>
      </c>
      <c r="S188" s="33">
        <v>7.2575216746159294E-3</v>
      </c>
      <c r="T188" s="33">
        <v>5.6898827578122424E-2</v>
      </c>
      <c r="U188" s="33">
        <v>1</v>
      </c>
      <c r="V188" s="6"/>
      <c r="W188" s="6"/>
    </row>
    <row r="189" spans="1:23" ht="13.5" hidden="1" customHeight="1">
      <c r="E189" s="6"/>
      <c r="F189" s="25">
        <v>43678</v>
      </c>
      <c r="G189" s="30">
        <f>136.6*1.0101</f>
        <v>137.97966</v>
      </c>
      <c r="H189" s="30">
        <f>131/99.8*102.9</f>
        <v>135.06913827655313</v>
      </c>
      <c r="I189" s="30">
        <f>+I$172*(105/103.6)</f>
        <v>106.09779309803513</v>
      </c>
      <c r="J189" s="30">
        <v>0.39</v>
      </c>
      <c r="K189" s="30">
        <v>89.6</v>
      </c>
      <c r="L189" s="30">
        <v>114.948635878472</v>
      </c>
      <c r="M189" s="34">
        <f t="shared" si="4"/>
        <v>-2.6728390937472701E-3</v>
      </c>
      <c r="N189" s="6"/>
      <c r="O189" s="25">
        <v>43678</v>
      </c>
      <c r="P189" s="33">
        <v>0.75160616920016798</v>
      </c>
      <c r="Q189" s="33">
        <v>9.1561486025643443E-2</v>
      </c>
      <c r="R189" s="33">
        <v>9.5369408626925264E-2</v>
      </c>
      <c r="S189" s="33">
        <v>4.9789807391037062E-3</v>
      </c>
      <c r="T189" s="33">
        <v>5.6483955408159758E-2</v>
      </c>
      <c r="U189" s="33">
        <v>1</v>
      </c>
      <c r="V189" s="6"/>
      <c r="W189" s="6"/>
    </row>
    <row r="190" spans="1:23" ht="13.5" hidden="1" customHeight="1">
      <c r="E190" s="6"/>
      <c r="F190" s="25">
        <v>43709</v>
      </c>
      <c r="G190" s="30">
        <f>136.6*1.0101</f>
        <v>137.97966</v>
      </c>
      <c r="H190" s="30">
        <f>131/99.8*103.5</f>
        <v>135.85671342685373</v>
      </c>
      <c r="I190" s="30">
        <f>+I$172*(104.4/103.6)</f>
        <v>105.49151999461779</v>
      </c>
      <c r="J190" s="30">
        <v>0.3</v>
      </c>
      <c r="K190" s="30">
        <v>86.3</v>
      </c>
      <c r="L190" s="30">
        <v>114.5761561303585</v>
      </c>
      <c r="M190" s="34">
        <f t="shared" si="4"/>
        <v>-3.2404016391052171E-3</v>
      </c>
      <c r="N190" s="6"/>
      <c r="O190" s="25">
        <v>43709</v>
      </c>
      <c r="P190" s="33">
        <v>0.75404959273643768</v>
      </c>
      <c r="Q190" s="33">
        <v>9.2394768400506144E-2</v>
      </c>
      <c r="R190" s="33">
        <v>9.5132708763036825E-2</v>
      </c>
      <c r="S190" s="33">
        <v>3.8424362205531654E-3</v>
      </c>
      <c r="T190" s="33">
        <v>5.4580493879466209E-2</v>
      </c>
      <c r="U190" s="33">
        <v>1</v>
      </c>
      <c r="V190" s="6"/>
      <c r="W190" s="6"/>
    </row>
    <row r="191" spans="1:23" ht="13.5" hidden="1" customHeight="1">
      <c r="E191" s="6"/>
      <c r="F191" s="25">
        <v>43739</v>
      </c>
      <c r="G191" s="30">
        <f>137.8*1.0101</f>
        <v>139.19178000000002</v>
      </c>
      <c r="H191" s="30">
        <f>131/99.8*103.1</f>
        <v>135.33166332665331</v>
      </c>
      <c r="I191" s="30">
        <f>+I$172*(104.1/103.6)</f>
        <v>105.18838344290909</v>
      </c>
      <c r="J191" s="30">
        <v>0.21</v>
      </c>
      <c r="K191" s="30">
        <v>87.1</v>
      </c>
      <c r="L191" s="30">
        <v>115.1887871771462</v>
      </c>
      <c r="M191" s="34">
        <f t="shared" si="4"/>
        <v>5.3469331445425983E-3</v>
      </c>
      <c r="N191" s="6"/>
      <c r="O191" s="25">
        <v>43739</v>
      </c>
      <c r="P191" s="33">
        <v>0.75662810737919672</v>
      </c>
      <c r="Q191" s="33">
        <v>9.1548185144500915E-2</v>
      </c>
      <c r="R191" s="33">
        <v>9.4354829942701154E-2</v>
      </c>
      <c r="S191" s="33">
        <v>2.6754001685510751E-3</v>
      </c>
      <c r="T191" s="33">
        <v>5.479347736505024E-2</v>
      </c>
      <c r="U191" s="33">
        <v>1</v>
      </c>
      <c r="V191" s="6"/>
      <c r="W191" s="6"/>
    </row>
    <row r="192" spans="1:23" ht="13.5" hidden="1" customHeight="1">
      <c r="E192" s="6"/>
      <c r="F192" s="25">
        <v>43770</v>
      </c>
      <c r="G192" s="30">
        <f>137.8*1.0101</f>
        <v>139.19178000000002</v>
      </c>
      <c r="H192" s="30">
        <f>131/99.8*102.9</f>
        <v>135.06913827655313</v>
      </c>
      <c r="I192" s="30">
        <f>+I$172*(103.9/103.6)</f>
        <v>104.98629240843665</v>
      </c>
      <c r="J192" s="30">
        <v>0.26</v>
      </c>
      <c r="K192" s="30">
        <v>84.6</v>
      </c>
      <c r="L192" s="30">
        <v>115.03966541021244</v>
      </c>
      <c r="M192" s="34">
        <f t="shared" si="4"/>
        <v>-1.2945857890180879E-3</v>
      </c>
      <c r="N192" s="6"/>
      <c r="O192" s="25">
        <v>43770</v>
      </c>
      <c r="P192" s="33">
        <v>0.75760889709100432</v>
      </c>
      <c r="Q192" s="33">
        <v>9.1489034500609426E-2</v>
      </c>
      <c r="R192" s="33">
        <v>9.429562642968739E-2</v>
      </c>
      <c r="S192" s="33">
        <v>3.3166939535410598E-3</v>
      </c>
      <c r="T192" s="33">
        <v>5.3289748025157915E-2</v>
      </c>
      <c r="U192" s="33">
        <v>1</v>
      </c>
      <c r="V192" s="6"/>
      <c r="W192" s="6"/>
    </row>
    <row r="193" spans="5:23" ht="13.5" hidden="1" customHeight="1">
      <c r="E193" s="6"/>
      <c r="F193" s="25">
        <v>43800</v>
      </c>
      <c r="G193" s="30">
        <f>137.8*1.0101</f>
        <v>139.19178000000002</v>
      </c>
      <c r="H193" s="30">
        <f>131/99.8*103.3</f>
        <v>135.59418837675352</v>
      </c>
      <c r="I193" s="30">
        <f>+I$172*(103.7/103.6)</f>
        <v>104.78420137396422</v>
      </c>
      <c r="J193" s="30">
        <v>0.34</v>
      </c>
      <c r="K193" s="30">
        <v>93.8</v>
      </c>
      <c r="L193" s="30">
        <v>115.84376437969912</v>
      </c>
      <c r="M193" s="34">
        <f t="shared" si="4"/>
        <v>6.9897540697758664E-3</v>
      </c>
      <c r="N193" s="6"/>
      <c r="O193" s="25">
        <v>43800</v>
      </c>
      <c r="P193" s="33">
        <v>0.75235015453643672</v>
      </c>
      <c r="Q193" s="33">
        <v>9.1207161378518586E-2</v>
      </c>
      <c r="R193" s="33">
        <v>9.3460845828029382E-2</v>
      </c>
      <c r="S193" s="33">
        <v>4.3071095336236166E-3</v>
      </c>
      <c r="T193" s="33">
        <v>5.8674728723391779E-2</v>
      </c>
      <c r="U193" s="33">
        <v>1</v>
      </c>
      <c r="V193" s="6"/>
      <c r="W193" s="6"/>
    </row>
    <row r="194" spans="5:23" ht="13.5" hidden="1" customHeight="1">
      <c r="E194" s="6"/>
      <c r="F194" s="25">
        <v>43831</v>
      </c>
      <c r="G194" s="30">
        <f>138.6*1.0101</f>
        <v>139.99985999999998</v>
      </c>
      <c r="H194" s="30">
        <f>131/99.8*103.1</f>
        <v>135.33166332665331</v>
      </c>
      <c r="I194" s="30">
        <f>+I$172*(103.9/103.6)</f>
        <v>104.98629240843665</v>
      </c>
      <c r="J194" s="30">
        <v>0.23</v>
      </c>
      <c r="K194" s="30">
        <v>95.5</v>
      </c>
      <c r="L194" s="30">
        <v>116.31193193335112</v>
      </c>
      <c r="M194" s="34">
        <f t="shared" si="4"/>
        <v>4.0413703418467062E-3</v>
      </c>
      <c r="N194" s="6"/>
      <c r="O194" s="25">
        <v>43831</v>
      </c>
      <c r="P194" s="33">
        <v>0.75367206688543198</v>
      </c>
      <c r="Q194" s="33">
        <v>9.0664166949841044E-2</v>
      </c>
      <c r="R194" s="33">
        <v>9.3264183079115007E-2</v>
      </c>
      <c r="S194" s="33">
        <v>2.9019052460081446E-3</v>
      </c>
      <c r="T194" s="33">
        <v>5.9497677839603913E-2</v>
      </c>
      <c r="U194" s="33">
        <v>1</v>
      </c>
      <c r="V194" s="6"/>
      <c r="W194" s="6"/>
    </row>
    <row r="195" spans="5:23" ht="13.5" hidden="1" customHeight="1">
      <c r="E195" s="6"/>
      <c r="F195" s="25">
        <v>43862</v>
      </c>
      <c r="G195" s="30">
        <f>138.6*1.0101</f>
        <v>139.99985999999998</v>
      </c>
      <c r="H195" s="30">
        <f>131/99.8*102.9</f>
        <v>135.06913827655313</v>
      </c>
      <c r="I195" s="30">
        <f>+I$172*(104/103.6)</f>
        <v>105.08733792567287</v>
      </c>
      <c r="J195" s="30">
        <v>0.36</v>
      </c>
      <c r="K195" s="30">
        <v>96.4</v>
      </c>
      <c r="L195" s="30">
        <v>116.55790906423078</v>
      </c>
      <c r="M195" s="34">
        <f t="shared" si="4"/>
        <v>2.1148056505553292E-3</v>
      </c>
      <c r="N195" s="6"/>
      <c r="O195" s="25">
        <v>43862</v>
      </c>
      <c r="P195" s="33">
        <v>0.75208156055149922</v>
      </c>
      <c r="Q195" s="33">
        <v>9.0297329474687313E-2</v>
      </c>
      <c r="R195" s="33">
        <v>9.3156937671025661E-2</v>
      </c>
      <c r="S195" s="33">
        <v>4.5325271449518289E-3</v>
      </c>
      <c r="T195" s="33">
        <v>5.9931645157836132E-2</v>
      </c>
      <c r="U195" s="33">
        <v>1</v>
      </c>
      <c r="V195" s="6"/>
      <c r="W195" s="6"/>
    </row>
    <row r="196" spans="5:23" ht="13.5" hidden="1" customHeight="1">
      <c r="E196" s="6"/>
      <c r="F196" s="25">
        <v>43891</v>
      </c>
      <c r="G196" s="30">
        <f>138.6*1.0101</f>
        <v>139.99985999999998</v>
      </c>
      <c r="H196" s="30">
        <f>131/99.8*103</f>
        <v>135.20040080160322</v>
      </c>
      <c r="I196" s="30">
        <f>+I$172*(104.9/103.6)</f>
        <v>105.99674758079891</v>
      </c>
      <c r="J196" s="30">
        <v>0.28999999999999998</v>
      </c>
      <c r="K196" s="30">
        <v>90.5</v>
      </c>
      <c r="L196" s="30">
        <v>116.13184071497163</v>
      </c>
      <c r="M196" s="34">
        <f t="shared" si="4"/>
        <v>-3.6554220359629186E-3</v>
      </c>
      <c r="N196" s="6"/>
      <c r="O196" s="25">
        <v>43891</v>
      </c>
      <c r="P196" s="33">
        <v>0.75484082232707794</v>
      </c>
      <c r="Q196" s="33">
        <v>9.0716689768273989E-2</v>
      </c>
      <c r="R196" s="33">
        <v>9.4307838428549923E-2</v>
      </c>
      <c r="S196" s="33">
        <v>3.6645980748781638E-3</v>
      </c>
      <c r="T196" s="33">
        <v>5.6470051401220106E-2</v>
      </c>
      <c r="U196" s="33">
        <v>1.0000000000000002</v>
      </c>
      <c r="V196" s="6"/>
      <c r="W196" s="6"/>
    </row>
    <row r="197" spans="5:23" ht="13.5" hidden="1" customHeight="1">
      <c r="E197" s="6"/>
      <c r="F197" s="25">
        <v>43922</v>
      </c>
      <c r="G197" s="30">
        <f>139.2*1.0101</f>
        <v>140.60592</v>
      </c>
      <c r="H197" s="30">
        <f>131/99.8*103.6</f>
        <v>135.98797595190382</v>
      </c>
      <c r="I197" s="30">
        <f>+I$172*(105/103.6)</f>
        <v>106.09779309803513</v>
      </c>
      <c r="J197" s="30">
        <v>0.1</v>
      </c>
      <c r="K197" s="30">
        <v>86.3</v>
      </c>
      <c r="L197" s="30">
        <v>115.9999620238257</v>
      </c>
      <c r="M197" s="34">
        <f t="shared" si="4"/>
        <v>-1.1355945995000782E-3</v>
      </c>
      <c r="N197" s="6"/>
      <c r="O197" s="25">
        <v>43922</v>
      </c>
      <c r="P197" s="33">
        <v>0.75897041421820766</v>
      </c>
      <c r="Q197" s="33">
        <v>9.1348871790263644E-2</v>
      </c>
      <c r="R197" s="33">
        <v>9.4505060475364541E-2</v>
      </c>
      <c r="S197" s="33">
        <v>1.2650911392442785E-3</v>
      </c>
      <c r="T197" s="33">
        <v>5.3910562376919921E-2</v>
      </c>
      <c r="U197" s="33">
        <v>1</v>
      </c>
      <c r="V197" s="6"/>
      <c r="W197" s="6"/>
    </row>
    <row r="198" spans="5:23" ht="13.5" hidden="1" customHeight="1">
      <c r="E198" s="6"/>
      <c r="F198" s="25">
        <v>43952</v>
      </c>
      <c r="G198" s="30">
        <f>139.2*1.0101</f>
        <v>140.60592</v>
      </c>
      <c r="H198" s="30">
        <f>131/99.8*103.3</f>
        <v>135.59418837675352</v>
      </c>
      <c r="I198" s="30">
        <f>+I$172*(105.2/103.6)</f>
        <v>106.29988413250759</v>
      </c>
      <c r="J198" s="30">
        <v>0.45</v>
      </c>
      <c r="K198" s="30">
        <v>85.4</v>
      </c>
      <c r="L198" s="30">
        <v>116.43856783207531</v>
      </c>
      <c r="M198" s="34">
        <f t="shared" si="4"/>
        <v>3.7810857917308649E-3</v>
      </c>
      <c r="N198" s="6"/>
      <c r="O198" s="25">
        <v>43952</v>
      </c>
      <c r="P198" s="33">
        <v>0.7561114917995998</v>
      </c>
      <c r="Q198" s="33">
        <v>9.0741247588273302E-2</v>
      </c>
      <c r="R198" s="33">
        <v>9.4328406317481628E-2</v>
      </c>
      <c r="S198" s="33">
        <v>5.6714658277397002E-3</v>
      </c>
      <c r="T198" s="33">
        <v>5.3147388466905643E-2</v>
      </c>
      <c r="U198" s="33">
        <v>1</v>
      </c>
      <c r="V198" s="6"/>
      <c r="W198" s="6"/>
    </row>
    <row r="199" spans="5:23" ht="13.5" hidden="1" customHeight="1">
      <c r="E199" s="6"/>
      <c r="F199" s="25">
        <v>43983</v>
      </c>
      <c r="G199" s="30">
        <f>139.2*1.0101</f>
        <v>140.60592</v>
      </c>
      <c r="H199" s="30">
        <f>131/99.8*103.2</f>
        <v>135.46292585170343</v>
      </c>
      <c r="I199" s="30">
        <f>+I$172*(105.2/103.6)</f>
        <v>106.29988413250759</v>
      </c>
      <c r="J199" s="30">
        <v>0.35</v>
      </c>
      <c r="K199" s="30">
        <v>81.2</v>
      </c>
      <c r="L199" s="30">
        <v>115.97724123317413</v>
      </c>
      <c r="M199" s="34">
        <f t="shared" si="4"/>
        <v>-3.9619741765158922E-3</v>
      </c>
      <c r="N199" s="6"/>
      <c r="O199" s="25">
        <v>43983</v>
      </c>
      <c r="P199" s="33">
        <v>0.75911910207893651</v>
      </c>
      <c r="Q199" s="33">
        <v>9.1014000260163014E-2</v>
      </c>
      <c r="R199" s="33">
        <v>9.4703619612810166E-2</v>
      </c>
      <c r="S199" s="33">
        <v>4.4286864295116002E-3</v>
      </c>
      <c r="T199" s="33">
        <v>5.0734591618578843E-2</v>
      </c>
      <c r="U199" s="33">
        <v>1</v>
      </c>
      <c r="V199" s="6"/>
      <c r="W199" s="6"/>
    </row>
    <row r="200" spans="5:23" ht="13.5" hidden="1" customHeight="1">
      <c r="E200" s="6"/>
      <c r="F200" s="25">
        <v>44013</v>
      </c>
      <c r="G200" s="30">
        <f>139.8*1.0101</f>
        <v>141.21198000000001</v>
      </c>
      <c r="H200" s="30">
        <f>131/99.8*103.1</f>
        <v>135.33166332665331</v>
      </c>
      <c r="I200" s="30">
        <f>+I$172*(105.3/103.6)</f>
        <v>106.4009296497438</v>
      </c>
      <c r="J200" s="30">
        <v>0.23</v>
      </c>
      <c r="K200" s="30">
        <v>81.2</v>
      </c>
      <c r="L200" s="30">
        <v>116.18083799405505</v>
      </c>
      <c r="M200" s="34">
        <f t="shared" si="4"/>
        <v>1.7554889107216365E-3</v>
      </c>
      <c r="N200" s="6"/>
      <c r="O200" s="25">
        <v>44013</v>
      </c>
      <c r="P200" s="33">
        <v>0.7610551433095768</v>
      </c>
      <c r="Q200" s="33">
        <v>9.0766468869879352E-2</v>
      </c>
      <c r="R200" s="33">
        <v>9.4627524495013562E-2</v>
      </c>
      <c r="S200" s="33">
        <v>2.905179643032055E-3</v>
      </c>
      <c r="T200" s="33">
        <v>5.0645683682498298E-2</v>
      </c>
      <c r="U200" s="33">
        <v>1</v>
      </c>
      <c r="V200" s="6"/>
      <c r="W200" s="6"/>
    </row>
    <row r="201" spans="5:23" ht="13.5" hidden="1" customHeight="1">
      <c r="E201" s="6"/>
      <c r="F201" s="25">
        <v>44044</v>
      </c>
      <c r="G201" s="30">
        <f>139.8*1.0101</f>
        <v>141.21198000000001</v>
      </c>
      <c r="H201" s="30">
        <f>131/99.8*103.2</f>
        <v>135.46292585170343</v>
      </c>
      <c r="I201" s="30">
        <f>+I$172*(105.5/103.6)</f>
        <v>106.60302068421623</v>
      </c>
      <c r="J201" s="30">
        <v>0.22</v>
      </c>
      <c r="K201" s="30">
        <v>81.2</v>
      </c>
      <c r="L201" s="30">
        <v>116.19727230163735</v>
      </c>
      <c r="M201" s="34">
        <f t="shared" si="4"/>
        <v>1.4145454505287702E-4</v>
      </c>
      <c r="N201" s="6"/>
      <c r="O201" s="25">
        <v>44044</v>
      </c>
      <c r="P201" s="33">
        <v>0.76094750382661402</v>
      </c>
      <c r="Q201" s="33">
        <v>9.0841656216919295E-2</v>
      </c>
      <c r="R201" s="33">
        <v>9.4793844866067803E-2</v>
      </c>
      <c r="S201" s="33">
        <v>2.7784744567991289E-3</v>
      </c>
      <c r="T201" s="33">
        <v>5.0638520633599936E-2</v>
      </c>
      <c r="U201" s="33">
        <v>1.0000000000000002</v>
      </c>
      <c r="V201" s="6"/>
      <c r="W201" s="6"/>
    </row>
    <row r="202" spans="5:23" ht="13.5" hidden="1" customHeight="1">
      <c r="E202" s="6"/>
      <c r="F202" s="25">
        <v>44075</v>
      </c>
      <c r="G202" s="30">
        <f>139.8*1.0101</f>
        <v>141.21198000000001</v>
      </c>
      <c r="H202" s="30">
        <f>131/99.8*104</f>
        <v>136.51302605210421</v>
      </c>
      <c r="I202" s="30">
        <f>+I$172*(105.7/103.6)</f>
        <v>106.80511171868869</v>
      </c>
      <c r="J202" s="30">
        <v>0.17</v>
      </c>
      <c r="K202" s="30">
        <v>82.9</v>
      </c>
      <c r="L202" s="30">
        <v>116.34979254630957</v>
      </c>
      <c r="M202" s="34">
        <f t="shared" si="4"/>
        <v>1.3125974616365887E-3</v>
      </c>
      <c r="N202" s="6"/>
      <c r="O202" s="25">
        <v>44075</v>
      </c>
      <c r="P202" s="33">
        <v>0.75994999539169206</v>
      </c>
      <c r="Q202" s="33">
        <v>9.1425849763993566E-2</v>
      </c>
      <c r="R202" s="33">
        <v>9.4849050214827257E-2</v>
      </c>
      <c r="S202" s="33">
        <v>2.1441885329192018E-3</v>
      </c>
      <c r="T202" s="33">
        <v>5.1630916096567933E-2</v>
      </c>
      <c r="U202" s="33">
        <v>1</v>
      </c>
      <c r="V202" s="6"/>
      <c r="W202" s="6"/>
    </row>
    <row r="203" spans="5:23" ht="13.5" hidden="1" customHeight="1">
      <c r="E203" s="6"/>
      <c r="F203" s="25">
        <v>44105</v>
      </c>
      <c r="G203" s="30">
        <f>140.2*1.0101</f>
        <v>141.61601999999999</v>
      </c>
      <c r="H203" s="30">
        <f>131/99.8*103.6</f>
        <v>135.98797595190382</v>
      </c>
      <c r="I203" s="30">
        <f>+I$172*(106/103.6)</f>
        <v>107.10824827039735</v>
      </c>
      <c r="J203" s="30">
        <v>0.22</v>
      </c>
      <c r="K203" s="30">
        <v>83.7</v>
      </c>
      <c r="L203" s="30">
        <v>116.72453755021662</v>
      </c>
      <c r="M203" s="34">
        <f t="shared" si="4"/>
        <v>3.2208480626030322E-3</v>
      </c>
      <c r="N203" s="6"/>
      <c r="O203" s="25">
        <v>44105</v>
      </c>
      <c r="P203" s="33">
        <v>0.75967758130112495</v>
      </c>
      <c r="Q203" s="33">
        <v>9.0781817439466408E-2</v>
      </c>
      <c r="R203" s="33">
        <v>9.4812874952539192E-2</v>
      </c>
      <c r="S203" s="33">
        <v>2.765923599405455E-3</v>
      </c>
      <c r="T203" s="33">
        <v>5.1961802707464158E-2</v>
      </c>
      <c r="U203" s="33">
        <v>1.0000000000000002</v>
      </c>
      <c r="V203" s="6"/>
      <c r="W203" s="6"/>
    </row>
    <row r="204" spans="5:23" ht="13.5" hidden="1" customHeight="1">
      <c r="E204" s="6"/>
      <c r="F204" s="25">
        <v>44136</v>
      </c>
      <c r="G204" s="30">
        <f>140.2*1.0101</f>
        <v>141.61601999999999</v>
      </c>
      <c r="H204" s="30">
        <f>131/99.8*103.5</f>
        <v>135.85671342685373</v>
      </c>
      <c r="I204" s="30">
        <f>+I$172*(105.9/103.6)</f>
        <v>107.00720275316112</v>
      </c>
      <c r="J204" s="30">
        <v>0.15</v>
      </c>
      <c r="K204" s="30">
        <v>82.9</v>
      </c>
      <c r="L204" s="30">
        <v>116.54317236449836</v>
      </c>
      <c r="M204" s="34">
        <f t="shared" si="4"/>
        <v>-1.5537879997188364E-3</v>
      </c>
      <c r="N204" s="6"/>
      <c r="O204" s="25">
        <v>44136</v>
      </c>
      <c r="P204" s="33">
        <v>0.76085979612180743</v>
      </c>
      <c r="Q204" s="33">
        <v>9.0835329046779142E-2</v>
      </c>
      <c r="R204" s="33">
        <v>9.4870838013722397E-2</v>
      </c>
      <c r="S204" s="33">
        <v>1.8887917815988439E-3</v>
      </c>
      <c r="T204" s="33">
        <v>5.1545245036092181E-2</v>
      </c>
      <c r="U204" s="33">
        <v>1</v>
      </c>
      <c r="V204" s="6"/>
      <c r="W204" s="6"/>
    </row>
    <row r="205" spans="5:23" ht="13.5" hidden="1" customHeight="1">
      <c r="E205" s="6"/>
      <c r="F205" s="25">
        <v>44166</v>
      </c>
      <c r="G205" s="30">
        <f>140.2*1.0101</f>
        <v>141.61601999999999</v>
      </c>
      <c r="H205" s="30">
        <f>131/99.8*103.7</f>
        <v>136.11923847695391</v>
      </c>
      <c r="I205" s="30">
        <f>+I$172*(105.7/103.6)</f>
        <v>106.80511171868869</v>
      </c>
      <c r="J205" s="30">
        <v>0.08</v>
      </c>
      <c r="K205" s="30">
        <v>86.3</v>
      </c>
      <c r="L205" s="30">
        <v>116.68639919533865</v>
      </c>
      <c r="M205" s="34">
        <f t="shared" si="4"/>
        <v>1.2289594313799057E-3</v>
      </c>
      <c r="N205" s="6"/>
      <c r="O205" s="25">
        <v>44166</v>
      </c>
      <c r="P205" s="33">
        <v>0.75992587804683209</v>
      </c>
      <c r="Q205" s="33">
        <v>9.089914489124816E-2</v>
      </c>
      <c r="R205" s="33">
        <v>9.4575438027146699E-2</v>
      </c>
      <c r="S205" s="33">
        <v>1.006119137249902E-3</v>
      </c>
      <c r="T205" s="33">
        <v>5.3593419897523198E-2</v>
      </c>
      <c r="U205" s="33">
        <v>1</v>
      </c>
      <c r="V205" s="6"/>
      <c r="W205" s="6"/>
    </row>
    <row r="206" spans="5:23" ht="13.5" hidden="1" customHeight="1">
      <c r="E206" s="6"/>
      <c r="F206" s="25">
        <v>44197</v>
      </c>
      <c r="G206" s="30">
        <f>141*1.0101</f>
        <v>142.42410000000001</v>
      </c>
      <c r="H206" s="30">
        <f>131/99.8*103.6</f>
        <v>135.98797595190382</v>
      </c>
      <c r="I206" s="30">
        <f>+I$172*(106.1/103.6)</f>
        <v>107.20929378763357</v>
      </c>
      <c r="J206" s="30">
        <v>0.15</v>
      </c>
      <c r="K206" s="30">
        <v>78.7</v>
      </c>
      <c r="L206" s="30">
        <v>116.77591400890185</v>
      </c>
      <c r="M206" s="34">
        <f t="shared" si="4"/>
        <v>7.6714007956790731E-4</v>
      </c>
      <c r="N206" s="6"/>
      <c r="O206" s="25">
        <v>44197</v>
      </c>
      <c r="P206" s="33">
        <v>0.76367627033379515</v>
      </c>
      <c r="Q206" s="33">
        <v>9.0741877282862773E-2</v>
      </c>
      <c r="R206" s="33">
        <v>9.4860568057221289E-2</v>
      </c>
      <c r="S206" s="33">
        <v>1.8850273023488543E-3</v>
      </c>
      <c r="T206" s="33">
        <v>4.8836257023772082E-2</v>
      </c>
      <c r="U206" s="33">
        <v>1.0000000000000002</v>
      </c>
      <c r="V206" s="6"/>
      <c r="W206" s="6"/>
    </row>
    <row r="207" spans="5:23" ht="13.5" hidden="1" customHeight="1">
      <c r="E207" s="6"/>
      <c r="F207" s="25">
        <v>44228</v>
      </c>
      <c r="G207" s="30">
        <f>141*1.0101</f>
        <v>142.42410000000001</v>
      </c>
      <c r="H207" s="30">
        <f>131/99.8*103.4</f>
        <v>135.72545090180361</v>
      </c>
      <c r="I207" s="30">
        <f>+I$172*(105.8/103.6)</f>
        <v>106.90615723592491</v>
      </c>
      <c r="J207" s="30">
        <v>-0.01</v>
      </c>
      <c r="K207" s="30">
        <v>82</v>
      </c>
      <c r="L207" s="30">
        <v>116.72846544076764</v>
      </c>
      <c r="M207" s="34">
        <f t="shared" si="4"/>
        <v>-4.0632153074471322E-4</v>
      </c>
      <c r="N207" s="6"/>
      <c r="O207" s="25">
        <v>44228</v>
      </c>
      <c r="P207" s="33">
        <v>0.76398669457700419</v>
      </c>
      <c r="Q207" s="33">
        <v>9.0603514072119473E-2</v>
      </c>
      <c r="R207" s="33">
        <v>9.4630798320216578E-2</v>
      </c>
      <c r="S207" s="33">
        <v>-1.2571956939113656E-4</v>
      </c>
      <c r="T207" s="33">
        <v>5.0904712600050868E-2</v>
      </c>
      <c r="U207" s="33">
        <v>1</v>
      </c>
      <c r="V207" s="6"/>
      <c r="W207" s="6"/>
    </row>
    <row r="208" spans="5:23" ht="13.5" hidden="1" customHeight="1">
      <c r="E208" s="6"/>
      <c r="F208" s="25">
        <v>44256</v>
      </c>
      <c r="G208" s="30">
        <f>141*1.0101</f>
        <v>142.42410000000001</v>
      </c>
      <c r="H208" s="30">
        <f>131/99.8*103.6</f>
        <v>135.98797595190382</v>
      </c>
      <c r="I208" s="30">
        <f>+I$172*(106.9/103.6)</f>
        <v>108.01765792552338</v>
      </c>
      <c r="J208" s="30">
        <v>0.14000000000000001</v>
      </c>
      <c r="K208" s="30">
        <v>81.2</v>
      </c>
      <c r="L208" s="30">
        <v>117.02592282193282</v>
      </c>
      <c r="M208" s="34">
        <f t="shared" si="4"/>
        <v>2.5482848595841379E-3</v>
      </c>
      <c r="N208" s="6"/>
      <c r="O208" s="25">
        <v>44256</v>
      </c>
      <c r="P208" s="33">
        <v>0.76204478738299131</v>
      </c>
      <c r="Q208" s="33">
        <v>9.0548020498958479E-2</v>
      </c>
      <c r="R208" s="33">
        <v>9.5371638302910275E-2</v>
      </c>
      <c r="S208" s="33">
        <v>1.7556002020615155E-3</v>
      </c>
      <c r="T208" s="33">
        <v>5.0279953613078555E-2</v>
      </c>
      <c r="U208" s="33">
        <v>1.0000000000000002</v>
      </c>
      <c r="V208" s="6"/>
      <c r="W208" s="6"/>
    </row>
    <row r="209" spans="5:23" ht="13.5" hidden="1" customHeight="1">
      <c r="E209" s="6"/>
      <c r="F209" s="25">
        <v>44287</v>
      </c>
      <c r="G209" s="30">
        <f>141.6*1.0101</f>
        <v>143.03016</v>
      </c>
      <c r="H209" s="30">
        <f>131/99.8*104.2</f>
        <v>136.77555110220442</v>
      </c>
      <c r="I209" s="30">
        <f>+I$172*(107.1/103.6)</f>
        <v>108.21974895999581</v>
      </c>
      <c r="J209" s="30">
        <v>0.33</v>
      </c>
      <c r="K209" s="30">
        <v>87.9</v>
      </c>
      <c r="L209" s="30">
        <v>118.25199175050889</v>
      </c>
      <c r="M209" s="34">
        <f t="shared" si="4"/>
        <v>1.0476900322688776E-2</v>
      </c>
      <c r="N209" s="6"/>
      <c r="O209" s="25">
        <v>44287</v>
      </c>
      <c r="P209" s="33">
        <v>0.75735282114286795</v>
      </c>
      <c r="Q209" s="33">
        <v>9.0128166071885701E-2</v>
      </c>
      <c r="R209" s="33">
        <v>9.4559380600687026E-2</v>
      </c>
      <c r="S209" s="33">
        <v>4.0952944841849944E-3</v>
      </c>
      <c r="T209" s="33">
        <v>5.3864337700374451E-2</v>
      </c>
      <c r="U209" s="33">
        <v>1</v>
      </c>
      <c r="V209" s="6"/>
      <c r="W209" s="6"/>
    </row>
    <row r="210" spans="5:23" ht="13.5" hidden="1" customHeight="1">
      <c r="E210" s="6"/>
      <c r="F210" s="25">
        <v>44317</v>
      </c>
      <c r="G210" s="30">
        <f>141.6*1.0101</f>
        <v>143.03016</v>
      </c>
      <c r="H210" s="30">
        <f>131/99.8*104.3</f>
        <v>136.90681362725451</v>
      </c>
      <c r="I210" s="30">
        <f>+I$172*(107.7/103.6)</f>
        <v>108.82602206341316</v>
      </c>
      <c r="J210" s="30">
        <v>0.44</v>
      </c>
      <c r="K210" s="30">
        <v>86.3</v>
      </c>
      <c r="L210" s="30">
        <v>118.37034688061252</v>
      </c>
      <c r="M210" s="34">
        <f t="shared" si="4"/>
        <v>1.0008721912551088E-3</v>
      </c>
      <c r="N210" s="6"/>
      <c r="O210" s="25">
        <v>44317</v>
      </c>
      <c r="P210" s="33">
        <v>0.75659556568115061</v>
      </c>
      <c r="Q210" s="33">
        <v>9.0124458368666074E-2</v>
      </c>
      <c r="R210" s="33">
        <v>9.4994048128715744E-2</v>
      </c>
      <c r="S210" s="33">
        <v>5.4549329548802912E-3</v>
      </c>
      <c r="T210" s="33">
        <v>5.2830994866587301E-2</v>
      </c>
      <c r="U210" s="33">
        <v>1</v>
      </c>
      <c r="V210" s="6"/>
      <c r="W210" s="6"/>
    </row>
    <row r="211" spans="5:23" ht="13.5" hidden="1" customHeight="1">
      <c r="E211" s="6"/>
      <c r="F211" s="25">
        <v>44348</v>
      </c>
      <c r="G211" s="30">
        <f>141.6*1.0101</f>
        <v>143.03016</v>
      </c>
      <c r="H211" s="30">
        <f>131/99.8*104.7</f>
        <v>137.43186372745492</v>
      </c>
      <c r="I211" s="30">
        <f>+I$172*(108/103.6)</f>
        <v>109.12915861512184</v>
      </c>
      <c r="J211" s="30">
        <v>0.39</v>
      </c>
      <c r="K211" s="30">
        <v>87.1</v>
      </c>
      <c r="L211" s="30">
        <v>118.42717729480358</v>
      </c>
      <c r="M211" s="34">
        <f t="shared" si="4"/>
        <v>4.8010684845234408E-4</v>
      </c>
      <c r="N211" s="6"/>
      <c r="O211" s="25">
        <v>44348</v>
      </c>
      <c r="P211" s="33">
        <v>0.75623249328210373</v>
      </c>
      <c r="Q211" s="33">
        <v>9.042667940728695E-2</v>
      </c>
      <c r="R211" s="33">
        <v>9.5212943119066071E-2</v>
      </c>
      <c r="S211" s="33">
        <v>4.8327339813263471E-3</v>
      </c>
      <c r="T211" s="33">
        <v>5.3295150210216941E-2</v>
      </c>
      <c r="U211" s="33">
        <v>1</v>
      </c>
      <c r="V211" s="6"/>
      <c r="W211" s="6"/>
    </row>
    <row r="212" spans="5:23" ht="13.5" hidden="1" customHeight="1">
      <c r="E212" s="6"/>
      <c r="F212" s="25">
        <v>44378</v>
      </c>
      <c r="G212" s="30">
        <f>142.6*1.0101</f>
        <v>144.04025999999999</v>
      </c>
      <c r="H212" s="30">
        <f>131/99.8*104.9</f>
        <v>137.69438877755513</v>
      </c>
      <c r="I212" s="30">
        <f>+I$172*(108.2/103.6)</f>
        <v>109.33124964959428</v>
      </c>
      <c r="J212" s="30">
        <v>0.48</v>
      </c>
      <c r="K212" s="30">
        <v>88.8</v>
      </c>
      <c r="L212" s="30">
        <v>119.35625391911876</v>
      </c>
      <c r="M212" s="34">
        <f t="shared" si="4"/>
        <v>7.8451301934048256E-3</v>
      </c>
      <c r="N212" s="6"/>
      <c r="O212" s="25">
        <v>44378</v>
      </c>
      <c r="P212" s="33">
        <v>0.75564498494775245</v>
      </c>
      <c r="Q212" s="33">
        <v>8.9894182662839744E-2</v>
      </c>
      <c r="R212" s="33">
        <v>9.4646747328923669E-2</v>
      </c>
      <c r="S212" s="33">
        <v>5.9016808302362264E-3</v>
      </c>
      <c r="T212" s="33">
        <v>5.3912404230247991E-2</v>
      </c>
      <c r="U212" s="33">
        <v>1</v>
      </c>
      <c r="V212" s="6"/>
      <c r="W212" s="6"/>
    </row>
    <row r="213" spans="5:23" ht="13.5" hidden="1" customHeight="1">
      <c r="E213" s="6"/>
      <c r="F213" s="25">
        <v>44409</v>
      </c>
      <c r="G213" s="30">
        <f>142.6*1.0101</f>
        <v>144.04025999999999</v>
      </c>
      <c r="H213" s="30">
        <f>131/99.8*105</f>
        <v>137.82565130260522</v>
      </c>
      <c r="I213" s="30">
        <f>+I$172*(108.4/103.6)</f>
        <v>109.53334068406674</v>
      </c>
      <c r="J213" s="30">
        <v>0.42</v>
      </c>
      <c r="K213" s="30">
        <v>90.5</v>
      </c>
      <c r="L213" s="30">
        <v>119.42250137044365</v>
      </c>
      <c r="M213" s="34">
        <f t="shared" si="4"/>
        <v>5.5503963260927769E-4</v>
      </c>
      <c r="N213" s="6"/>
      <c r="O213" s="25">
        <v>44409</v>
      </c>
      <c r="P213" s="33">
        <v>0.75522580469457756</v>
      </c>
      <c r="Q213" s="33">
        <v>8.9929963090864776E-2</v>
      </c>
      <c r="R213" s="33">
        <v>9.476909450247642E-2</v>
      </c>
      <c r="S213" s="33">
        <v>5.1611061080186448E-3</v>
      </c>
      <c r="T213" s="33">
        <v>5.4914031604062608E-2</v>
      </c>
      <c r="U213" s="33">
        <v>1</v>
      </c>
      <c r="V213" s="6"/>
      <c r="W213" s="6"/>
    </row>
    <row r="214" spans="5:23" ht="13.5" hidden="1" customHeight="1">
      <c r="E214" s="6"/>
      <c r="F214" s="25">
        <v>44440</v>
      </c>
      <c r="G214" s="30">
        <f>142.6*1.0101</f>
        <v>144.04025999999999</v>
      </c>
      <c r="H214" s="30">
        <f>131/99.8*105.7</f>
        <v>138.74448897795594</v>
      </c>
      <c r="I214" s="30">
        <f>+I$172*(108.5/103.6)</f>
        <v>109.63438620130296</v>
      </c>
      <c r="J214" s="30">
        <v>0.37</v>
      </c>
      <c r="K214" s="30">
        <v>104.8</v>
      </c>
      <c r="L214" s="30">
        <v>120.46739628902753</v>
      </c>
      <c r="M214" s="34">
        <f t="shared" ref="M214:M277" si="5">IF(L214="","",L214/L213-1)</f>
        <v>8.7495648357143185E-3</v>
      </c>
      <c r="N214" s="6"/>
      <c r="O214" s="25">
        <v>44440</v>
      </c>
      <c r="P214" s="33">
        <v>0.7486752222962042</v>
      </c>
      <c r="Q214" s="33">
        <v>8.9744272844252376E-2</v>
      </c>
      <c r="R214" s="33">
        <v>9.4033765339821482E-2</v>
      </c>
      <c r="S214" s="33">
        <v>4.5072522186885688E-3</v>
      </c>
      <c r="T214" s="33">
        <v>6.3039487301033523E-2</v>
      </c>
      <c r="U214" s="33">
        <v>1</v>
      </c>
      <c r="V214" s="6"/>
      <c r="W214" s="6"/>
    </row>
    <row r="215" spans="5:23" ht="13.5" hidden="1" customHeight="1">
      <c r="E215" s="6"/>
      <c r="F215" s="25">
        <v>44470</v>
      </c>
      <c r="G215" s="30">
        <f>144.1*1.0101</f>
        <v>145.55540999999999</v>
      </c>
      <c r="H215" s="30">
        <f>131/99.8*105.5</f>
        <v>138.48196392785573</v>
      </c>
      <c r="I215" s="30">
        <f>+I$172*(108.7/103.6)</f>
        <v>109.83647723577542</v>
      </c>
      <c r="J215" s="30">
        <v>0.4</v>
      </c>
      <c r="K215" s="30">
        <v>108.1</v>
      </c>
      <c r="L215" s="30">
        <v>121.69968920210277</v>
      </c>
      <c r="M215" s="34">
        <f t="shared" si="5"/>
        <v>1.022926493836307E-2</v>
      </c>
      <c r="N215" s="6"/>
      <c r="O215" s="25">
        <v>44470</v>
      </c>
      <c r="P215" s="33">
        <v>0.74888989446770238</v>
      </c>
      <c r="Q215" s="33">
        <v>8.8667460490131716E-2</v>
      </c>
      <c r="R215" s="33">
        <v>9.3253187904062507E-2</v>
      </c>
      <c r="S215" s="33">
        <v>4.8233656164991786E-3</v>
      </c>
      <c r="T215" s="33">
        <v>6.4366091521604191E-2</v>
      </c>
      <c r="U215" s="33">
        <v>1</v>
      </c>
      <c r="V215" s="6"/>
      <c r="W215" s="6"/>
    </row>
    <row r="216" spans="5:23" ht="13.5" hidden="1" customHeight="1">
      <c r="E216" s="6"/>
      <c r="F216" s="25">
        <v>44501</v>
      </c>
      <c r="G216" s="30">
        <f>144.1*1.0101</f>
        <v>145.55540999999999</v>
      </c>
      <c r="H216" s="30">
        <f>131/99.8*105.8</f>
        <v>138.87575150300603</v>
      </c>
      <c r="I216" s="30">
        <f>+I$172*(109.3/103.6)</f>
        <v>110.44275033919274</v>
      </c>
      <c r="J216" s="30">
        <v>0.45</v>
      </c>
      <c r="K216" s="30">
        <v>109</v>
      </c>
      <c r="L216" s="30">
        <v>121.93160993544123</v>
      </c>
      <c r="M216" s="34">
        <f t="shared" si="5"/>
        <v>1.9056805720623071E-3</v>
      </c>
      <c r="N216" s="6"/>
      <c r="O216" s="25">
        <v>44501</v>
      </c>
      <c r="P216" s="33">
        <v>0.74746546405456626</v>
      </c>
      <c r="Q216" s="33">
        <v>8.8750465411175872E-2</v>
      </c>
      <c r="R216" s="33">
        <v>9.3589573080645236E-2</v>
      </c>
      <c r="S216" s="33">
        <v>5.4159652188650207E-3</v>
      </c>
      <c r="T216" s="33">
        <v>6.4778532234747846E-2</v>
      </c>
      <c r="U216" s="33">
        <v>1.0000000000000002</v>
      </c>
      <c r="V216" s="6"/>
      <c r="W216" s="6"/>
    </row>
    <row r="217" spans="5:23" ht="13.5" hidden="1" customHeight="1">
      <c r="E217" s="6"/>
      <c r="F217" s="25">
        <v>44531</v>
      </c>
      <c r="G217" s="30">
        <f>144.1*1.0101</f>
        <v>145.55540999999999</v>
      </c>
      <c r="H217" s="30">
        <f>131/99.8*106.8</f>
        <v>140.18837675350701</v>
      </c>
      <c r="I217" s="30">
        <f>+I$172*(109.8/103.6)</f>
        <v>110.94797792537386</v>
      </c>
      <c r="J217" s="30">
        <v>0.49</v>
      </c>
      <c r="K217" s="30">
        <v>133.4</v>
      </c>
      <c r="L217" s="30">
        <v>123.91291135238586</v>
      </c>
      <c r="M217" s="34">
        <f t="shared" si="5"/>
        <v>1.6249284479993964E-2</v>
      </c>
      <c r="N217" s="6"/>
      <c r="O217" s="25">
        <v>44531</v>
      </c>
      <c r="P217" s="33">
        <v>0.73551388962309372</v>
      </c>
      <c r="Q217" s="33">
        <v>8.8156831261039209E-2</v>
      </c>
      <c r="R217" s="33">
        <v>9.2514411710600084E-2</v>
      </c>
      <c r="S217" s="33">
        <v>5.8030883165132458E-3</v>
      </c>
      <c r="T217" s="33">
        <v>7.8011779088753855E-2</v>
      </c>
      <c r="U217" s="33">
        <v>1</v>
      </c>
      <c r="V217" s="6"/>
      <c r="W217" s="6"/>
    </row>
    <row r="218" spans="5:23" ht="13.5" hidden="1" customHeight="1">
      <c r="E218" s="6"/>
      <c r="F218" s="25">
        <v>44562</v>
      </c>
      <c r="G218" s="30">
        <f>144.9*1.0101</f>
        <v>146.36349000000001</v>
      </c>
      <c r="H218" s="30">
        <f>131/99.8*107.1</f>
        <v>140.58216432865731</v>
      </c>
      <c r="I218" s="30">
        <f>+I$172*(109.7/103.6)</f>
        <v>110.84693240813765</v>
      </c>
      <c r="J218" s="30">
        <v>0.42</v>
      </c>
      <c r="K218" s="30">
        <v>133.4</v>
      </c>
      <c r="L218" s="30">
        <v>124.33641028647841</v>
      </c>
      <c r="M218" s="34">
        <f t="shared" si="5"/>
        <v>3.4177143404225951E-3</v>
      </c>
      <c r="N218" s="6"/>
      <c r="O218" s="25">
        <v>44562</v>
      </c>
      <c r="P218" s="33">
        <v>0.73707811977726567</v>
      </c>
      <c r="Q218" s="33">
        <v>8.8103350724315507E-2</v>
      </c>
      <c r="R218" s="33">
        <v>9.2115330618606897E-2</v>
      </c>
      <c r="S218" s="33">
        <v>4.9571336331630444E-3</v>
      </c>
      <c r="T218" s="33">
        <v>7.7746065246648968E-2</v>
      </c>
      <c r="U218" s="33">
        <v>1.0000000000000002</v>
      </c>
      <c r="V218" s="6"/>
      <c r="W218" s="6"/>
    </row>
    <row r="219" spans="5:23" ht="13.5" hidden="1" customHeight="1">
      <c r="E219" s="6"/>
      <c r="F219" s="25">
        <v>44593</v>
      </c>
      <c r="G219" s="30">
        <f>144.9*1.0101</f>
        <v>146.36349000000001</v>
      </c>
      <c r="H219" s="30">
        <f>131/99.8*106.6</f>
        <v>139.92585170340681</v>
      </c>
      <c r="I219" s="30">
        <f>+I$172*(110.3/103.6)</f>
        <v>111.45320551155497</v>
      </c>
      <c r="J219" s="30">
        <v>0.54</v>
      </c>
      <c r="K219" s="30">
        <v>137.6</v>
      </c>
      <c r="L219" s="30">
        <v>124.82836083183417</v>
      </c>
      <c r="M219" s="34">
        <f t="shared" si="5"/>
        <v>3.9566088824849466E-3</v>
      </c>
      <c r="N219" s="6"/>
      <c r="O219" s="25">
        <v>44593</v>
      </c>
      <c r="P219" s="33">
        <v>0.7341732832435014</v>
      </c>
      <c r="Q219" s="33">
        <v>8.7346441522489188E-2</v>
      </c>
      <c r="R219" s="33">
        <v>9.2254138391256429E-2</v>
      </c>
      <c r="S219" s="33">
        <v>6.3483396313779462E-3</v>
      </c>
      <c r="T219" s="33">
        <v>7.9877797211375223E-2</v>
      </c>
      <c r="U219" s="33">
        <v>1</v>
      </c>
      <c r="V219" s="6"/>
      <c r="W219" s="6"/>
    </row>
    <row r="220" spans="5:23" ht="13.5" hidden="1" customHeight="1">
      <c r="E220" s="6"/>
      <c r="F220" s="25">
        <v>44621</v>
      </c>
      <c r="G220" s="30">
        <f>144.9*1.0101</f>
        <v>146.36349000000001</v>
      </c>
      <c r="H220" s="30">
        <f>131/99.8*108.1</f>
        <v>141.89478957915833</v>
      </c>
      <c r="I220" s="30">
        <f>+I$172*(113.2/103.6)</f>
        <v>114.38352551140548</v>
      </c>
      <c r="J220" s="30">
        <v>0.7</v>
      </c>
      <c r="K220" s="30">
        <v>189.1</v>
      </c>
      <c r="L220" s="30">
        <v>129.25124557263371</v>
      </c>
      <c r="M220" s="34">
        <f t="shared" si="5"/>
        <v>3.5431729707305459E-2</v>
      </c>
      <c r="N220" s="6"/>
      <c r="O220" s="25">
        <v>44621</v>
      </c>
      <c r="P220" s="33">
        <v>0.70905040108345585</v>
      </c>
      <c r="Q220" s="33">
        <v>8.5544528420893315E-2</v>
      </c>
      <c r="R220" s="33">
        <v>9.1439807304357121E-2</v>
      </c>
      <c r="S220" s="33">
        <v>7.9477274219831792E-3</v>
      </c>
      <c r="T220" s="33">
        <v>0.10601753576931057</v>
      </c>
      <c r="U220" s="33">
        <v>1</v>
      </c>
      <c r="V220" s="6"/>
      <c r="W220" s="6"/>
    </row>
    <row r="221" spans="5:23" ht="13.5" hidden="1" customHeight="1">
      <c r="E221" s="6"/>
      <c r="F221" s="25">
        <v>44652</v>
      </c>
      <c r="G221" s="30">
        <f>145.2*1.0101</f>
        <v>146.66651999999999</v>
      </c>
      <c r="H221" s="30">
        <f>131/99.8*109.2</f>
        <v>143.33867735470943</v>
      </c>
      <c r="I221" s="30">
        <f>+I$172*(113.6/103.6)</f>
        <v>114.78770758035037</v>
      </c>
      <c r="J221" s="30">
        <v>1.04</v>
      </c>
      <c r="K221" s="30">
        <v>165.6</v>
      </c>
      <c r="L221" s="30">
        <v>128.39131430364941</v>
      </c>
      <c r="M221" s="34">
        <f t="shared" si="5"/>
        <v>-6.653175875980688E-3</v>
      </c>
      <c r="N221" s="6"/>
      <c r="O221" s="25">
        <v>44652</v>
      </c>
      <c r="P221" s="33">
        <v>0.71527727987934697</v>
      </c>
      <c r="Q221" s="33">
        <v>8.6993794297218888E-2</v>
      </c>
      <c r="R221" s="33">
        <v>9.237752005198259E-2</v>
      </c>
      <c r="S221" s="33">
        <v>1.1887139398886672E-2</v>
      </c>
      <c r="T221" s="33">
        <v>9.3464266372564969E-2</v>
      </c>
      <c r="U221" s="33">
        <v>1</v>
      </c>
      <c r="V221" s="6"/>
      <c r="W221" s="6"/>
    </row>
    <row r="222" spans="5:23" ht="13.5" hidden="1" customHeight="1">
      <c r="E222" s="6"/>
      <c r="F222" s="25">
        <v>44682</v>
      </c>
      <c r="G222" s="30">
        <f>145.2*1.0101</f>
        <v>146.66651999999999</v>
      </c>
      <c r="H222" s="30">
        <f>131/99.8*109.9</f>
        <v>144.25751503006015</v>
      </c>
      <c r="I222" s="30">
        <f>+I$172*(113.8/103.6)</f>
        <v>114.98979861482283</v>
      </c>
      <c r="J222" s="30">
        <v>1.24</v>
      </c>
      <c r="K222" s="30">
        <v>163.9</v>
      </c>
      <c r="L222" s="30">
        <v>128.65410579829475</v>
      </c>
      <c r="M222" s="34">
        <f t="shared" si="5"/>
        <v>2.0468011879981596E-3</v>
      </c>
      <c r="N222" s="6"/>
      <c r="O222" s="25">
        <v>44682</v>
      </c>
      <c r="P222" s="33">
        <v>0.71381623995140209</v>
      </c>
      <c r="Q222" s="33">
        <v>8.7372612457788087E-2</v>
      </c>
      <c r="R222" s="33">
        <v>9.2351132124002991E-2</v>
      </c>
      <c r="S222" s="33">
        <v>1.4144177425668304E-2</v>
      </c>
      <c r="T222" s="33">
        <v>9.2315838041138673E-2</v>
      </c>
      <c r="U222" s="33">
        <v>1.0000000000000002</v>
      </c>
      <c r="V222" s="6"/>
      <c r="W222" s="6"/>
    </row>
    <row r="223" spans="5:23" ht="13.5" hidden="1" customHeight="1">
      <c r="E223" s="6"/>
      <c r="F223" s="25">
        <v>44713</v>
      </c>
      <c r="G223" s="30">
        <f>145.2*1.0101</f>
        <v>146.66651999999999</v>
      </c>
      <c r="H223" s="30">
        <f>131/99.8*111.7</f>
        <v>146.62024048096194</v>
      </c>
      <c r="I223" s="30">
        <f>+I$172*(115.9/103.6)</f>
        <v>117.11175447678353</v>
      </c>
      <c r="J223" s="30">
        <v>1.58</v>
      </c>
      <c r="K223" s="30">
        <v>210.2</v>
      </c>
      <c r="L223" s="30">
        <v>132.9114901892512</v>
      </c>
      <c r="M223" s="34">
        <f t="shared" si="5"/>
        <v>3.3091710245386263E-2</v>
      </c>
      <c r="N223" s="6"/>
      <c r="O223" s="25">
        <v>44713</v>
      </c>
      <c r="P223" s="33">
        <v>0.69095147398080659</v>
      </c>
      <c r="Q223" s="33">
        <v>8.5959112996502066E-2</v>
      </c>
      <c r="R223" s="33">
        <v>9.1042572573431346E-2</v>
      </c>
      <c r="S223" s="33">
        <v>1.7445130421914017E-2</v>
      </c>
      <c r="T223" s="33">
        <v>0.11460171002734604</v>
      </c>
      <c r="U223" s="33">
        <v>1</v>
      </c>
      <c r="V223" s="6"/>
      <c r="W223" s="6"/>
    </row>
    <row r="224" spans="5:23" ht="13.5" hidden="1" customHeight="1">
      <c r="E224" s="6"/>
      <c r="F224" s="25">
        <v>44743</v>
      </c>
      <c r="G224" s="30">
        <f>145.9*1.0101</f>
        <v>147.37359000000001</v>
      </c>
      <c r="H224" s="30">
        <f>131/99.8*112.7</f>
        <v>147.93286573146295</v>
      </c>
      <c r="I224" s="30">
        <f>+I$172*(116.1/103.6)</f>
        <v>117.31384551125596</v>
      </c>
      <c r="J224" s="30">
        <v>1.84</v>
      </c>
      <c r="K224" s="30">
        <v>196.7</v>
      </c>
      <c r="L224" s="30">
        <v>132.88067687739454</v>
      </c>
      <c r="M224" s="34">
        <f t="shared" si="5"/>
        <v>-2.3183331864529144E-4</v>
      </c>
      <c r="N224" s="6"/>
      <c r="O224" s="25">
        <v>44743</v>
      </c>
      <c r="P224" s="33">
        <v>0.69444350239934649</v>
      </c>
      <c r="Q224" s="33">
        <v>8.6748777637543351E-2</v>
      </c>
      <c r="R224" s="33">
        <v>9.1220825988642312E-2</v>
      </c>
      <c r="S224" s="33">
        <v>2.0320559068925291E-2</v>
      </c>
      <c r="T224" s="33">
        <v>0.10726633490554263</v>
      </c>
      <c r="U224" s="33">
        <v>1</v>
      </c>
      <c r="V224" s="6"/>
      <c r="W224" s="6"/>
    </row>
    <row r="225" spans="5:23" ht="13.5" hidden="1" customHeight="1">
      <c r="E225" s="6"/>
      <c r="F225" s="25">
        <v>44774</v>
      </c>
      <c r="G225" s="30">
        <f>145.9*1.0101</f>
        <v>147.37359000000001</v>
      </c>
      <c r="H225" s="30">
        <f>131/99.8*113.6</f>
        <v>149.11422845691382</v>
      </c>
      <c r="I225" s="30">
        <f>+I$172*(116.6/103.6)</f>
        <v>117.8190730974371</v>
      </c>
      <c r="J225" s="30">
        <v>2.0699999999999998</v>
      </c>
      <c r="K225" s="30">
        <v>199.2</v>
      </c>
      <c r="L225" s="30">
        <v>133.54361951970196</v>
      </c>
      <c r="M225" s="34">
        <f t="shared" si="5"/>
        <v>4.9890071143985359E-3</v>
      </c>
      <c r="N225" s="6"/>
      <c r="O225" s="25">
        <v>44774</v>
      </c>
      <c r="P225" s="33">
        <v>0.69099611785136417</v>
      </c>
      <c r="Q225" s="33">
        <v>8.7007455473347789E-2</v>
      </c>
      <c r="R225" s="33">
        <v>9.1158888194653231E-2</v>
      </c>
      <c r="S225" s="33">
        <v>2.2747143292820821E-2</v>
      </c>
      <c r="T225" s="33">
        <v>0.10809039518781395</v>
      </c>
      <c r="U225" s="33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30">
        <f>145.9*1.0101</f>
        <v>147.37359000000001</v>
      </c>
      <c r="H226" s="30">
        <f>131/99.8*114.9</f>
        <v>150.82064128256513</v>
      </c>
      <c r="I226" s="30">
        <f>+I$172*(117.7/103.6)</f>
        <v>118.93057378703557</v>
      </c>
      <c r="J226" s="30">
        <v>1.9</v>
      </c>
      <c r="K226" s="30">
        <v>240</v>
      </c>
      <c r="L226" s="30">
        <v>136.49847871309873</v>
      </c>
      <c r="M226" s="34">
        <f t="shared" si="5"/>
        <v>2.2126547146348985E-2</v>
      </c>
      <c r="N226" s="6"/>
      <c r="O226" s="25">
        <v>44805</v>
      </c>
      <c r="P226" s="33">
        <v>0.67603773699111924</v>
      </c>
      <c r="Q226" s="33">
        <v>8.6098086023210951E-2</v>
      </c>
      <c r="R226" s="33">
        <v>9.0026893404568029E-2</v>
      </c>
      <c r="S226" s="33">
        <v>2.0427040538172025E-2</v>
      </c>
      <c r="T226" s="33">
        <v>0.12741024304292978</v>
      </c>
      <c r="U226" s="33">
        <v>1</v>
      </c>
      <c r="V226" s="6"/>
      <c r="W226" s="6"/>
    </row>
    <row r="227" spans="5:23" ht="13.5" hidden="1" customHeight="1">
      <c r="E227" s="6"/>
      <c r="F227" s="25">
        <v>44835</v>
      </c>
      <c r="G227" s="30">
        <f>147.2*1.0101</f>
        <v>148.68671999999998</v>
      </c>
      <c r="H227" s="30">
        <f>131/99.8*114.9</f>
        <v>150.82064128256513</v>
      </c>
      <c r="I227" s="30">
        <f>+I$172*(118.4/103.6)</f>
        <v>119.63789240768914</v>
      </c>
      <c r="J227" s="30">
        <v>2.52</v>
      </c>
      <c r="K227" s="30">
        <v>235.8</v>
      </c>
      <c r="L227" s="30">
        <v>137.99928570555366</v>
      </c>
      <c r="M227" s="34">
        <f t="shared" si="5"/>
        <v>1.0995045560979522E-2</v>
      </c>
      <c r="N227" s="6"/>
      <c r="O227" s="25">
        <v>44835</v>
      </c>
      <c r="P227" s="33">
        <v>0.67464363931664162</v>
      </c>
      <c r="Q227" s="33">
        <v>8.5161728933534922E-2</v>
      </c>
      <c r="R227" s="33">
        <v>8.9577404834352475E-2</v>
      </c>
      <c r="S227" s="33">
        <v>2.6798060501833039E-2</v>
      </c>
      <c r="T227" s="33">
        <v>0.12381916641363805</v>
      </c>
      <c r="U227" s="33">
        <v>1.0000000000000002</v>
      </c>
      <c r="V227" s="6"/>
      <c r="W227" s="6"/>
    </row>
    <row r="228" spans="5:23" ht="13.5" hidden="1" customHeight="1">
      <c r="E228" s="6"/>
      <c r="F228" s="25">
        <v>44866</v>
      </c>
      <c r="G228" s="30">
        <f>147.2*1.0101</f>
        <v>148.68671999999998</v>
      </c>
      <c r="H228" s="30">
        <f>131/99.8*116.4</f>
        <v>152.78957915831666</v>
      </c>
      <c r="I228" s="30">
        <f>+I$172*(118.5/103.6)</f>
        <v>119.73893792492535</v>
      </c>
      <c r="J228" s="30">
        <v>3.22</v>
      </c>
      <c r="K228" s="30">
        <v>320.8</v>
      </c>
      <c r="L228" s="30">
        <v>145.34982395039387</v>
      </c>
      <c r="M228" s="34">
        <f t="shared" si="5"/>
        <v>5.3265045592510551E-2</v>
      </c>
      <c r="N228" s="6"/>
      <c r="O228" s="25">
        <v>44866</v>
      </c>
      <c r="P228" s="33">
        <v>0.64052599309143798</v>
      </c>
      <c r="Q228" s="33">
        <v>8.1910532598368391E-2</v>
      </c>
      <c r="R228" s="33">
        <v>8.5119184199110465E-2</v>
      </c>
      <c r="S228" s="33">
        <v>3.2510303403759086E-2</v>
      </c>
      <c r="T228" s="33">
        <v>0.1599339867073242</v>
      </c>
      <c r="U228" s="33">
        <v>1.0000000000000002</v>
      </c>
      <c r="V228" s="6"/>
      <c r="W228" s="6"/>
    </row>
    <row r="229" spans="5:23" ht="13.5" hidden="1" customHeight="1">
      <c r="E229" s="6"/>
      <c r="F229" s="25">
        <v>44896</v>
      </c>
      <c r="G229" s="30">
        <f>147.2*1.0101</f>
        <v>148.68671999999998</v>
      </c>
      <c r="H229" s="30">
        <f>131/99.8*117.6</f>
        <v>154.36472945891785</v>
      </c>
      <c r="I229" s="30">
        <f>+I$172*(120.6/103.6)</f>
        <v>121.86089378688604</v>
      </c>
      <c r="J229" s="30">
        <v>3.06</v>
      </c>
      <c r="K229" s="30">
        <v>344.1</v>
      </c>
      <c r="L229" s="30">
        <v>147.14541956190737</v>
      </c>
      <c r="M229" s="34">
        <f t="shared" si="5"/>
        <v>1.2353613941261665E-2</v>
      </c>
      <c r="N229" s="6"/>
      <c r="O229" s="25">
        <v>44896</v>
      </c>
      <c r="P229" s="33">
        <v>0.63270974121163392</v>
      </c>
      <c r="Q229" s="33">
        <v>8.1745123382910651E-2</v>
      </c>
      <c r="R229" s="33">
        <v>8.5570520265963387E-2</v>
      </c>
      <c r="S229" s="33">
        <v>3.0517878511648597E-2</v>
      </c>
      <c r="T229" s="33">
        <v>0.16945673662784339</v>
      </c>
      <c r="U229" s="33">
        <v>0.99999999999999978</v>
      </c>
      <c r="V229" s="6"/>
      <c r="W229" s="6"/>
    </row>
    <row r="230" spans="5:23" ht="13.5" customHeight="1">
      <c r="E230" s="6"/>
      <c r="F230" s="25">
        <v>44927</v>
      </c>
      <c r="G230" s="30">
        <f>148.2*1.0101</f>
        <v>149.69681999999997</v>
      </c>
      <c r="H230" s="30">
        <f>131/99.8*116.6</f>
        <v>153.05210420841684</v>
      </c>
      <c r="I230" s="30">
        <f>+I$172*(120.9/103.6)</f>
        <v>122.16403033859473</v>
      </c>
      <c r="J230" s="30">
        <v>2.86</v>
      </c>
      <c r="K230" s="30">
        <v>315.8</v>
      </c>
      <c r="L230" s="30">
        <v>145.36270819400971</v>
      </c>
      <c r="M230" s="34">
        <f t="shared" si="5"/>
        <v>-1.2115303168833136E-2</v>
      </c>
      <c r="N230" s="6"/>
      <c r="O230" s="25">
        <v>44927</v>
      </c>
      <c r="P230" s="33">
        <v>0.64482023370472619</v>
      </c>
      <c r="Q230" s="33">
        <v>8.2043999719301555E-2</v>
      </c>
      <c r="R230" s="33">
        <v>8.6835419692036661E-2</v>
      </c>
      <c r="S230" s="33">
        <v>2.887305170399115E-2</v>
      </c>
      <c r="T230" s="33">
        <v>0.15742729517994444</v>
      </c>
      <c r="U230" s="33">
        <v>1</v>
      </c>
      <c r="V230" s="6"/>
      <c r="W230" s="6"/>
    </row>
    <row r="231" spans="5:23" ht="13.5" customHeight="1">
      <c r="E231" s="6"/>
      <c r="F231" s="25">
        <v>44958</v>
      </c>
      <c r="G231" s="30">
        <f>148.2*1.0101</f>
        <v>149.69681999999997</v>
      </c>
      <c r="H231" s="30">
        <f>131/99.8*115.9</f>
        <v>152.13326653306615</v>
      </c>
      <c r="I231" s="30">
        <f>+I$172*(121/103.6)</f>
        <v>122.26507585583094</v>
      </c>
      <c r="J231" s="30">
        <v>3.33</v>
      </c>
      <c r="K231" s="30">
        <v>282.60000000000002</v>
      </c>
      <c r="L231" s="30">
        <v>143.58548137058037</v>
      </c>
      <c r="M231" s="34">
        <f t="shared" si="5"/>
        <v>-1.2226153774304693E-2</v>
      </c>
      <c r="N231" s="6"/>
      <c r="O231" s="25">
        <v>44958</v>
      </c>
      <c r="P231" s="33">
        <v>0.65280148504498059</v>
      </c>
      <c r="Q231" s="33">
        <v>8.2560855987482445E-2</v>
      </c>
      <c r="R231" s="33">
        <v>8.7982936775043014E-2</v>
      </c>
      <c r="S231" s="33">
        <v>3.4034029110630248E-2</v>
      </c>
      <c r="T231" s="33">
        <v>0.14262069308186381</v>
      </c>
      <c r="U231" s="33">
        <v>1</v>
      </c>
      <c r="V231" s="6"/>
      <c r="W231" s="6"/>
    </row>
    <row r="232" spans="5:23" ht="13.5" customHeight="1">
      <c r="E232" s="6"/>
      <c r="F232" s="25">
        <v>44986</v>
      </c>
      <c r="G232" s="30">
        <f>148.2*1.0101</f>
        <v>149.69681999999997</v>
      </c>
      <c r="H232" s="30">
        <f>131/99.8*116.4</f>
        <v>152.78957915831666</v>
      </c>
      <c r="I232" s="30">
        <f>+I$172*(122.7/103.6)</f>
        <v>123.98284964884677</v>
      </c>
      <c r="J232" s="30">
        <v>3.26</v>
      </c>
      <c r="K232" s="30">
        <v>310</v>
      </c>
      <c r="L232" s="30">
        <v>145.69689393955491</v>
      </c>
      <c r="M232" s="34">
        <f t="shared" si="5"/>
        <v>1.4704916881708829E-2</v>
      </c>
      <c r="N232" s="6"/>
      <c r="O232" s="25">
        <v>44986</v>
      </c>
      <c r="P232" s="33">
        <v>0.64334120608295242</v>
      </c>
      <c r="Q232" s="33">
        <v>8.1715410472615421E-2</v>
      </c>
      <c r="R232" s="33">
        <v>8.7926114475059575E-2</v>
      </c>
      <c r="S232" s="33">
        <v>3.2835752064410091E-2</v>
      </c>
      <c r="T232" s="33">
        <v>0.1541815169049626</v>
      </c>
      <c r="U232" s="33">
        <v>1.0000000000000002</v>
      </c>
      <c r="V232" s="6"/>
      <c r="W232" s="6"/>
    </row>
    <row r="233" spans="5:23" ht="13.5" customHeight="1">
      <c r="E233" s="6"/>
      <c r="F233" s="25">
        <v>45017</v>
      </c>
      <c r="G233" s="30">
        <f>149.4*1.0101</f>
        <v>150.90894</v>
      </c>
      <c r="H233" s="30">
        <f>131/99.8*117.5</f>
        <v>154.23346693386776</v>
      </c>
      <c r="I233" s="30">
        <f>+I$172*(122.3/103.6)</f>
        <v>123.57866757990186</v>
      </c>
      <c r="J233" s="30">
        <v>3.58</v>
      </c>
      <c r="K233" s="30">
        <v>300.89999999999998</v>
      </c>
      <c r="L233" s="30">
        <v>146.3367940057758</v>
      </c>
      <c r="M233" s="34">
        <f t="shared" si="5"/>
        <v>4.3919952506767945E-3</v>
      </c>
      <c r="N233" s="6"/>
      <c r="O233" s="25">
        <v>45017</v>
      </c>
      <c r="P233" s="33">
        <v>0.64571447172492813</v>
      </c>
      <c r="Q233" s="33">
        <v>8.212693403778358E-2</v>
      </c>
      <c r="R233" s="33">
        <v>8.7256247749352325E-2</v>
      </c>
      <c r="S233" s="33">
        <v>3.590121540379905E-2</v>
      </c>
      <c r="T233" s="33">
        <v>0.14900113108413701</v>
      </c>
      <c r="U233" s="33">
        <v>1.0000000000000002</v>
      </c>
      <c r="V233" s="6"/>
      <c r="W233" s="6"/>
    </row>
    <row r="234" spans="5:23" ht="13.5" customHeight="1">
      <c r="E234" s="6"/>
      <c r="F234" s="25">
        <v>45047</v>
      </c>
      <c r="G234" s="30">
        <f>149.4*1.0101</f>
        <v>150.90894</v>
      </c>
      <c r="H234" s="30">
        <f>131/99.8*117.3</f>
        <v>153.97094188376755</v>
      </c>
      <c r="I234" s="30">
        <f>+I$172*(122.9/103.6)</f>
        <v>124.1849406833192</v>
      </c>
      <c r="J234" s="30">
        <v>3.32</v>
      </c>
      <c r="K234" s="30">
        <v>294.2</v>
      </c>
      <c r="L234" s="30">
        <v>145.51192223316914</v>
      </c>
      <c r="M234" s="34">
        <f t="shared" si="5"/>
        <v>-5.63680363650787E-3</v>
      </c>
      <c r="N234" s="6"/>
      <c r="O234" s="25">
        <v>45047</v>
      </c>
      <c r="P234" s="33">
        <v>0.64937487035560526</v>
      </c>
      <c r="Q234" s="33">
        <v>8.2451908730732215E-2</v>
      </c>
      <c r="R234" s="33">
        <v>8.8181385343234914E-2</v>
      </c>
      <c r="S234" s="33">
        <v>3.3482599402488676E-2</v>
      </c>
      <c r="T234" s="33">
        <v>0.14650923616793893</v>
      </c>
      <c r="U234" s="33">
        <v>1</v>
      </c>
      <c r="V234" s="6"/>
      <c r="W234" s="6"/>
    </row>
    <row r="235" spans="5:23" ht="13.5" customHeight="1">
      <c r="E235" s="6"/>
      <c r="F235" s="25">
        <v>45078</v>
      </c>
      <c r="G235" s="30">
        <f>149.4*1.0101</f>
        <v>150.90894</v>
      </c>
      <c r="H235" s="30">
        <f>131/99.8*117.6</f>
        <v>154.36472945891785</v>
      </c>
      <c r="I235" s="30">
        <f>+I$172*(123/103.6)</f>
        <v>124.28598620055541</v>
      </c>
      <c r="J235" s="30">
        <v>3.35</v>
      </c>
      <c r="K235" s="30">
        <v>276.8</v>
      </c>
      <c r="L235" s="30">
        <v>144.33620312694404</v>
      </c>
      <c r="M235" s="34">
        <f t="shared" si="5"/>
        <v>-8.0798816219410652E-3</v>
      </c>
      <c r="N235" s="6"/>
      <c r="O235" s="25">
        <v>45078</v>
      </c>
      <c r="P235" s="33">
        <v>0.65466448187121407</v>
      </c>
      <c r="Q235" s="33">
        <v>8.333612923667702E-2</v>
      </c>
      <c r="R235" s="33">
        <v>8.8972019243345704E-2</v>
      </c>
      <c r="S235" s="33">
        <v>3.406035666137229E-2</v>
      </c>
      <c r="T235" s="33">
        <v>0.13896701298739111</v>
      </c>
      <c r="U235" s="33">
        <v>1.0000000000000002</v>
      </c>
      <c r="V235" s="6"/>
      <c r="W235" s="6"/>
    </row>
    <row r="236" spans="5:23" ht="13.5" customHeight="1">
      <c r="E236" s="6"/>
      <c r="F236" s="25">
        <v>45108</v>
      </c>
      <c r="G236" s="30">
        <f>150.8*1.0101</f>
        <v>152.32308</v>
      </c>
      <c r="H236" s="30">
        <f>131/99.8*116</f>
        <v>152.26452905811624</v>
      </c>
      <c r="I236" s="30">
        <f>+I$172*(122.7/103.6)</f>
        <v>123.98284964884677</v>
      </c>
      <c r="J236" s="30">
        <v>3.45</v>
      </c>
      <c r="K236" s="30">
        <v>162.9</v>
      </c>
      <c r="L236" s="30">
        <v>136.9198220098022</v>
      </c>
      <c r="M236" s="34">
        <f t="shared" si="5"/>
        <v>-5.1382681243313022E-2</v>
      </c>
      <c r="N236" s="6"/>
      <c r="O236" s="25">
        <v>45108</v>
      </c>
      <c r="P236" s="33">
        <v>0.69659198667305577</v>
      </c>
      <c r="Q236" s="33">
        <v>8.665486358275884E-2</v>
      </c>
      <c r="R236" s="33">
        <v>9.3562506780594551E-2</v>
      </c>
      <c r="S236" s="33">
        <v>3.6977064441396597E-2</v>
      </c>
      <c r="T236" s="33">
        <v>8.6213578522194342E-2</v>
      </c>
      <c r="U236" s="33">
        <v>1</v>
      </c>
      <c r="V236" s="6"/>
      <c r="W236" s="6"/>
    </row>
    <row r="237" spans="5:23" ht="13.5" customHeight="1">
      <c r="E237" s="6"/>
      <c r="F237" s="25">
        <v>45139</v>
      </c>
      <c r="G237" s="30">
        <f>150.8*1.0101</f>
        <v>152.32308</v>
      </c>
      <c r="H237" s="30">
        <f>131/99.8*116.4</f>
        <v>152.78957915831666</v>
      </c>
      <c r="I237" s="30">
        <f>+I$172*(123.3/103.6)</f>
        <v>124.58912275226409</v>
      </c>
      <c r="J237" s="30">
        <v>3.69</v>
      </c>
      <c r="K237" s="30">
        <v>161.19999999999999</v>
      </c>
      <c r="L237" s="30">
        <v>137.25239119055155</v>
      </c>
      <c r="M237" s="34">
        <f t="shared" si="5"/>
        <v>2.4289337794021204E-3</v>
      </c>
      <c r="N237" s="6"/>
      <c r="O237" s="25">
        <v>45139</v>
      </c>
      <c r="P237" s="33">
        <v>0.69490411060536095</v>
      </c>
      <c r="Q237" s="33">
        <v>8.6742980501715514E-2</v>
      </c>
      <c r="R237" s="33">
        <v>9.3792210083842364E-2</v>
      </c>
      <c r="S237" s="33">
        <v>3.9453551902820454E-2</v>
      </c>
      <c r="T237" s="33">
        <v>8.5107146906260853E-2</v>
      </c>
      <c r="U237" s="33">
        <v>1</v>
      </c>
      <c r="V237" s="6"/>
      <c r="W237" s="6"/>
    </row>
    <row r="238" spans="5:23" ht="13.5" customHeight="1">
      <c r="E238" s="6"/>
      <c r="F238" s="25">
        <v>45170</v>
      </c>
      <c r="G238" s="30">
        <f>150.8*1.0101</f>
        <v>152.32308</v>
      </c>
      <c r="H238" s="30">
        <f>131/99.8*118.5</f>
        <v>155.54609218436875</v>
      </c>
      <c r="I238" s="30">
        <f>+I$172*(124.6/103.6)</f>
        <v>125.90271447633499</v>
      </c>
      <c r="J238" s="30">
        <v>3.67</v>
      </c>
      <c r="K238" s="30">
        <v>144.5</v>
      </c>
      <c r="L238" s="30">
        <v>136.36341660437478</v>
      </c>
      <c r="M238" s="34">
        <f t="shared" si="5"/>
        <v>-6.4769333230966231E-3</v>
      </c>
      <c r="N238" s="6"/>
      <c r="O238" s="25">
        <v>45170</v>
      </c>
      <c r="P238" s="33">
        <v>0.69943429992989359</v>
      </c>
      <c r="Q238" s="33">
        <v>8.888362449020841E-2</v>
      </c>
      <c r="R238" s="33">
        <v>9.5398990846410014E-2</v>
      </c>
      <c r="S238" s="33">
        <v>3.9495521371587981E-2</v>
      </c>
      <c r="T238" s="33">
        <v>7.6787563361900221E-2</v>
      </c>
      <c r="U238" s="33">
        <v>1.0000000000000002</v>
      </c>
      <c r="V238" s="6"/>
      <c r="W238" s="6"/>
    </row>
    <row r="239" spans="5:23" ht="13.5" customHeight="1">
      <c r="E239" s="6"/>
      <c r="F239" s="25">
        <v>45200</v>
      </c>
      <c r="G239" s="30">
        <f>151.6*1.0101</f>
        <v>153.13115999999999</v>
      </c>
      <c r="H239" s="30">
        <f>131/99.8*117.7</f>
        <v>154.49599198396794</v>
      </c>
      <c r="I239" s="30">
        <f>+I$172*(124.3/103.6)</f>
        <v>125.59957792462635</v>
      </c>
      <c r="J239" s="30">
        <v>3.67</v>
      </c>
      <c r="K239" s="30">
        <v>134.5</v>
      </c>
      <c r="L239" s="30">
        <v>136.03161137713897</v>
      </c>
      <c r="M239" s="34">
        <f t="shared" si="5"/>
        <v>-2.4332422543976717E-3</v>
      </c>
      <c r="N239" s="6"/>
      <c r="O239" s="25">
        <v>45200</v>
      </c>
      <c r="P239" s="33">
        <v>0.70485992166479883</v>
      </c>
      <c r="Q239" s="33">
        <v>8.8498905542235259E-2</v>
      </c>
      <c r="R239" s="33">
        <v>9.5401433050104387E-2</v>
      </c>
      <c r="S239" s="33">
        <v>3.9591857953290038E-2</v>
      </c>
      <c r="T239" s="33">
        <v>7.1647881789571655E-2</v>
      </c>
      <c r="U239" s="33">
        <v>1.0000000000000002</v>
      </c>
      <c r="V239" s="6"/>
      <c r="W239" s="6"/>
    </row>
    <row r="240" spans="5:23" ht="13.5" customHeight="1">
      <c r="E240" s="6"/>
      <c r="F240" s="25">
        <v>45231</v>
      </c>
      <c r="G240" s="30">
        <f>151.6*1.0101</f>
        <v>153.13115999999999</v>
      </c>
      <c r="H240" s="30">
        <f>131/99.8*117.4</f>
        <v>154.10220440881764</v>
      </c>
      <c r="I240" s="30">
        <f>+I$172*(124/103.6)</f>
        <v>125.29644137291767</v>
      </c>
      <c r="J240" s="30">
        <v>3.81</v>
      </c>
      <c r="K240" s="30">
        <v>137</v>
      </c>
      <c r="L240" s="30">
        <v>136.35621511813383</v>
      </c>
      <c r="M240" s="34">
        <f t="shared" si="5"/>
        <v>2.3862375642593747E-3</v>
      </c>
      <c r="N240" s="6"/>
      <c r="O240" s="25">
        <v>45231</v>
      </c>
      <c r="P240" s="33">
        <v>0.70318196245148756</v>
      </c>
      <c r="Q240" s="33">
        <v>8.8063195135657191E-2</v>
      </c>
      <c r="R240" s="33">
        <v>9.4944619776559228E-2</v>
      </c>
      <c r="S240" s="33">
        <v>4.100432799274651E-2</v>
      </c>
      <c r="T240" s="33">
        <v>7.2805894643549751E-2</v>
      </c>
      <c r="U240" s="33">
        <v>1.0000000000000002</v>
      </c>
      <c r="V240" s="6"/>
      <c r="W240" s="6"/>
    </row>
    <row r="241" spans="5:23" ht="13.5" customHeight="1">
      <c r="E241" s="6"/>
      <c r="F241" s="25">
        <v>45261</v>
      </c>
      <c r="G241" s="36">
        <f>151.6*1.0101</f>
        <v>153.13115999999999</v>
      </c>
      <c r="H241" s="36">
        <f>131/99.8*117.7</f>
        <v>154.49599198396794</v>
      </c>
      <c r="I241" s="36">
        <f>+I$172*(123.9/103.6)</f>
        <v>125.19539585568144</v>
      </c>
      <c r="J241" s="36">
        <v>3.78</v>
      </c>
      <c r="K241" s="36">
        <v>143.69999999999999</v>
      </c>
      <c r="L241" s="36">
        <v>136.81794139774956</v>
      </c>
      <c r="M241" s="34">
        <f t="shared" si="5"/>
        <v>3.386177001288182E-3</v>
      </c>
      <c r="N241" s="6"/>
      <c r="O241" s="25">
        <v>45261</v>
      </c>
      <c r="P241" s="37">
        <v>0.70080889947379132</v>
      </c>
      <c r="Q241" s="37">
        <v>8.7990278197691785E-2</v>
      </c>
      <c r="R241" s="37">
        <v>9.4547895625117978E-2</v>
      </c>
      <c r="S241" s="37">
        <v>4.0544169533981871E-2</v>
      </c>
      <c r="T241" s="37">
        <v>7.610875716941716E-2</v>
      </c>
      <c r="U241" s="37">
        <v>1.0000000000000002</v>
      </c>
      <c r="V241" s="6"/>
      <c r="W241" s="6"/>
    </row>
    <row r="242" spans="5:23" ht="13.5" customHeight="1">
      <c r="E242" s="6"/>
      <c r="F242" s="25">
        <v>45292</v>
      </c>
      <c r="G242" s="38" cm="1">
        <f t="array" ref="G242">IF(G483="","",
G483*LOOKUP($F242,_xlfn._xlws.FILTER($F$454:$F$463,G$454:G$463&lt;&gt;""),_xlfn._xlws.FILTER(G$454:G$463,G$454:G$463&lt;&gt;"")))</f>
        <v>155.05035000000001</v>
      </c>
      <c r="H242" s="38" cm="1">
        <f t="array" ref="H242">IF(H483="","",
H483*LOOKUP($F242,_xlfn._xlws.FILTER($F$454:$F$463,H$454:H$463&lt;&gt;""),_xlfn._xlws.FILTER(H$454:H$463,H$454:H$463&lt;&gt;"")))</f>
        <v>153.97094188376755</v>
      </c>
      <c r="I242" s="38" cm="1">
        <f t="array" ref="I242">IF(I483="","",
I483*LOOKUP($F242,_xlfn._xlws.FILTER($F$454:$F$463,I$454:I$463&lt;&gt;""),_xlfn._xlws.FILTER(I$454:I$463,I$454:I$463&lt;&gt;"")))</f>
        <v>125.2015771995201</v>
      </c>
      <c r="J242" s="39">
        <f>IF(J483="","",J483)</f>
        <v>3.51</v>
      </c>
      <c r="K242" s="40" cm="1">
        <f t="array" ref="K242">IF(M483="","",
M483*LOOKUP($F242,_xlfn._xlws.FILTER($F$468:$F$477,G$468:G$477&lt;&gt;""),_xlfn._xlws.FILTER(G$468:G$477,G$468:G$477&lt;&gt;"")))</f>
        <v>147.80000000000001</v>
      </c>
      <c r="L242" s="41">
        <f>IF(V483="","",V483)</f>
        <v>137.83784397696471</v>
      </c>
      <c r="M242" s="34">
        <f t="shared" si="5"/>
        <v>7.4544505552098794E-3</v>
      </c>
      <c r="N242" s="6"/>
      <c r="O242" s="25">
        <v>45292</v>
      </c>
      <c r="P242" s="42">
        <f t="shared" ref="P242:P305" si="6">IFERROR((G242*Q$480)/$L242*(100/Q$481),"")</f>
        <v>0.70434164450426395</v>
      </c>
      <c r="Q242" s="42">
        <f t="shared" ref="Q242:Q305" si="7">IFERROR((H242*R$480)/$L242*(100/R$481),"")</f>
        <v>8.7042392604513699E-2</v>
      </c>
      <c r="R242" s="42">
        <f t="shared" ref="R242:R305" si="8">IFERROR((I242*S$480)/$L242*(100/S$481),"")</f>
        <v>9.3545327236087439E-2</v>
      </c>
      <c r="S242" s="42">
        <f t="shared" ref="S242:S305" si="9">IFERROR((J242*T$480)/$L242*(100/T$481),"")</f>
        <v>3.7369587680776806E-2</v>
      </c>
      <c r="T242" s="43">
        <f t="shared" ref="T242:T305" si="10">IFERROR((K242*U$480)/$L242*(100/U$481),"")</f>
        <v>7.7701047974358187E-2</v>
      </c>
      <c r="U242" s="32">
        <f>IF(P242="","",SUM(P242:T242))</f>
        <v>1.0000000000000002</v>
      </c>
      <c r="V242" s="6"/>
      <c r="W242" s="6"/>
    </row>
    <row r="243" spans="5:23" ht="13.5" customHeight="1">
      <c r="E243" s="6"/>
      <c r="F243" s="25">
        <v>45323</v>
      </c>
      <c r="G243" s="38" cm="1">
        <f t="array" ref="G243">IF(G484="","",
G484*LOOKUP($F243,_xlfn._xlws.FILTER($F$454:$F$463,G$454:G$463&lt;&gt;""),_xlfn._xlws.FILTER(G$454:G$463,G$454:G$463&lt;&gt;"")))</f>
        <v>155.05035000000001</v>
      </c>
      <c r="H243" s="38" cm="1">
        <f t="array" ref="H243">IF(H484="","",
H484*LOOKUP($F243,_xlfn._xlws.FILTER($F$454:$F$463,H$454:H$463&lt;&gt;""),_xlfn._xlws.FILTER(H$454:H$463,H$454:H$463&lt;&gt;"")))</f>
        <v>153.18336673346695</v>
      </c>
      <c r="I243" s="38" cm="1">
        <f t="array" ref="I243">IF(I484="","",
I484*LOOKUP($F243,_xlfn._xlws.FILTER($F$454:$F$463,I$454:I$463&lt;&gt;""),_xlfn._xlws.FILTER(I$454:I$463,I$454:I$463&lt;&gt;"")))</f>
        <v>124.99882160891359</v>
      </c>
      <c r="J243" s="44">
        <f t="shared" ref="J243:J306" si="11">IF(J484="","",J484)</f>
        <v>3.18</v>
      </c>
      <c r="K243" s="45" cm="1">
        <f t="array" ref="K243">IF(M484="","",
M484*LOOKUP($F243,_xlfn._xlws.FILTER($F$468:$F$477,G$468:G$477&lt;&gt;""),_xlfn._xlws.FILTER(G$468:G$477,G$468:G$477&lt;&gt;"")))</f>
        <v>150.30000000000001</v>
      </c>
      <c r="L243" s="41">
        <f t="shared" ref="L243:L306" si="12">IF(V484="","",V484)</f>
        <v>137.45247606417558</v>
      </c>
      <c r="M243" s="34">
        <f t="shared" si="5"/>
        <v>-2.7958063015953716E-3</v>
      </c>
      <c r="N243" s="6"/>
      <c r="O243" s="25">
        <v>45323</v>
      </c>
      <c r="P243" s="32">
        <f t="shared" si="6"/>
        <v>0.70631636825755839</v>
      </c>
      <c r="Q243" s="32">
        <f t="shared" si="7"/>
        <v>8.6839950656097648E-2</v>
      </c>
      <c r="R243" s="32">
        <f t="shared" si="8"/>
        <v>9.3655679967842242E-2</v>
      </c>
      <c r="S243" s="32">
        <f t="shared" si="9"/>
        <v>3.395112842119944E-2</v>
      </c>
      <c r="T243" s="46">
        <f t="shared" si="10"/>
        <v>7.923687269730241E-2</v>
      </c>
      <c r="U243" s="32">
        <f t="shared" ref="U243:U306" si="13">IF(P243="","",SUM(P243:T243))</f>
        <v>1</v>
      </c>
      <c r="V243" s="6"/>
      <c r="W243" s="6"/>
    </row>
    <row r="244" spans="5:23" ht="13.5" customHeight="1">
      <c r="E244" s="6"/>
      <c r="F244" s="25">
        <v>45352</v>
      </c>
      <c r="G244" s="38" cm="1">
        <f t="array" ref="G244">IF(G485="","",
G485*LOOKUP($F244,_xlfn._xlws.FILTER($F$454:$F$463,G$454:G$463&lt;&gt;""),_xlfn._xlws.FILTER(G$454:G$463,G$454:G$463&lt;&gt;"")))</f>
        <v>155.05035000000001</v>
      </c>
      <c r="H244" s="38" cm="1">
        <f t="array" ref="H244">IF(H485="","",
H485*LOOKUP($F244,_xlfn._xlws.FILTER($F$454:$F$463,H$454:H$463&lt;&gt;""),_xlfn._xlws.FILTER(H$454:H$463,H$454:H$463&lt;&gt;"")))</f>
        <v>154.62725450901803</v>
      </c>
      <c r="I244" s="38" cm="1">
        <f t="array" ref="I244">IF(I485="","",
I485*LOOKUP($F244,_xlfn._xlws.FILTER($F$454:$F$463,I$454:I$463&lt;&gt;""),_xlfn._xlws.FILTER(I$454:I$463,I$454:I$463&lt;&gt;"")))</f>
        <v>123.98504365588104</v>
      </c>
      <c r="J244" s="44">
        <f t="shared" si="11"/>
        <v>3.23</v>
      </c>
      <c r="K244" s="45" cm="1">
        <f t="array" ref="K244">IF(M485="","",
M485*LOOKUP($F244,_xlfn._xlws.FILTER($F$468:$F$477,G$468:G$477&lt;&gt;""),_xlfn._xlws.FILTER(G$468:G$477,G$468:G$477&lt;&gt;"")))</f>
        <v>166.1</v>
      </c>
      <c r="L244" s="41">
        <f t="shared" si="12"/>
        <v>138.67888404177921</v>
      </c>
      <c r="M244" s="34">
        <f t="shared" si="5"/>
        <v>8.9224145880866246E-3</v>
      </c>
      <c r="N244" s="6"/>
      <c r="O244" s="25">
        <v>45352</v>
      </c>
      <c r="P244" s="32">
        <f t="shared" si="6"/>
        <v>0.70007005300395342</v>
      </c>
      <c r="Q244" s="32">
        <f t="shared" si="7"/>
        <v>8.6883284776785211E-2</v>
      </c>
      <c r="R244" s="32">
        <f t="shared" si="8"/>
        <v>9.2074576752197573E-2</v>
      </c>
      <c r="S244" s="32">
        <f t="shared" si="9"/>
        <v>3.4179983214266144E-2</v>
      </c>
      <c r="T244" s="46">
        <f t="shared" si="10"/>
        <v>8.6792102252797654E-2</v>
      </c>
      <c r="U244" s="32">
        <f t="shared" si="13"/>
        <v>1</v>
      </c>
      <c r="V244" s="6"/>
      <c r="W244" s="6"/>
    </row>
    <row r="245" spans="5:23" ht="13.5" customHeight="1">
      <c r="E245" s="6"/>
      <c r="F245" s="25">
        <v>45383</v>
      </c>
      <c r="G245" s="38" cm="1">
        <f t="array" ref="G245">IF(G486="","",
G486*LOOKUP($F245,_xlfn._xlws.FILTER($F$454:$F$463,G$454:G$463&lt;&gt;""),_xlfn._xlws.FILTER(G$454:G$463,G$454:G$463&lt;&gt;"")))</f>
        <v>156.36348000000001</v>
      </c>
      <c r="H245" s="38" cm="1">
        <f t="array" ref="H245">IF(H486="","",
H486*LOOKUP($F245,_xlfn._xlws.FILTER($F$454:$F$463,H$454:H$463&lt;&gt;""),_xlfn._xlws.FILTER(H$454:H$463,H$454:H$463&lt;&gt;"")))</f>
        <v>155.41482965931866</v>
      </c>
      <c r="I245" s="38" cm="1">
        <f t="array" ref="I245">IF(I486="","",
I486*LOOKUP($F245,_xlfn._xlws.FILTER($F$454:$F$463,I$454:I$463&lt;&gt;""),_xlfn._xlws.FILTER(I$454:I$463,I$454:I$463&lt;&gt;"")))</f>
        <v>124.28917704179081</v>
      </c>
      <c r="J245" s="44">
        <f t="shared" si="11"/>
        <v>3.38</v>
      </c>
      <c r="K245" s="45" cm="1">
        <f t="array" ref="K245">IF(M486="","",
M486*LOOKUP($F245,_xlfn._xlws.FILTER($F$468:$F$477,G$468:G$477&lt;&gt;""),_xlfn._xlws.FILTER(G$468:G$477,G$468:G$477&lt;&gt;"")))</f>
        <v>162</v>
      </c>
      <c r="L245" s="41">
        <f t="shared" si="12"/>
        <v>139.51681721738859</v>
      </c>
      <c r="M245" s="34">
        <f t="shared" si="5"/>
        <v>6.0422549647640711E-3</v>
      </c>
      <c r="N245" s="6"/>
      <c r="O245" s="25">
        <v>45383</v>
      </c>
      <c r="P245" s="32">
        <f t="shared" si="6"/>
        <v>0.70175877957896027</v>
      </c>
      <c r="Q245" s="32">
        <f t="shared" si="7"/>
        <v>8.6801338422810168E-2</v>
      </c>
      <c r="R245" s="32">
        <f t="shared" si="8"/>
        <v>9.1746081044848979E-2</v>
      </c>
      <c r="S245" s="32">
        <f t="shared" si="9"/>
        <v>3.5552471836825195E-2</v>
      </c>
      <c r="T245" s="46">
        <f t="shared" si="10"/>
        <v>8.4141329116555488E-2</v>
      </c>
      <c r="U245" s="32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8" cm="1">
        <f t="array" ref="G246">IF(G487="","",
G487*LOOKUP($F246,_xlfn._xlws.FILTER($F$454:$F$463,G$454:G$463&lt;&gt;""),_xlfn._xlws.FILTER(G$454:G$463,G$454:G$463&lt;&gt;"")))</f>
        <v>156.36348000000001</v>
      </c>
      <c r="H246" s="38" cm="1">
        <f t="array" ref="H246">IF(H487="","",
H487*LOOKUP($F246,_xlfn._xlws.FILTER($F$454:$F$463,H$454:H$463&lt;&gt;""),_xlfn._xlws.FILTER(H$454:H$463,H$454:H$463&lt;&gt;"")))</f>
        <v>155.41482965931866</v>
      </c>
      <c r="I246" s="38" cm="1">
        <f t="array" ref="I246">IF(I487="","",
I487*LOOKUP($F246,_xlfn._xlws.FILTER($F$454:$F$463,I$454:I$463&lt;&gt;""),_xlfn._xlws.FILTER(I$454:I$463,I$454:I$463&lt;&gt;"")))</f>
        <v>123.88366586057779</v>
      </c>
      <c r="J246" s="44">
        <f t="shared" si="11"/>
        <v>3.39</v>
      </c>
      <c r="K246" s="45" cm="1">
        <f t="array" ref="K246">IF(M487="","",
M487*LOOKUP($F246,_xlfn._xlws.FILTER($F$468:$F$477,G$468:G$477&lt;&gt;""),_xlfn._xlws.FILTER(G$468:G$477,G$468:G$477&lt;&gt;"")))</f>
        <v>161.1</v>
      </c>
      <c r="L246" s="41">
        <f t="shared" si="12"/>
        <v>139.42451265591916</v>
      </c>
      <c r="M246" s="34">
        <f t="shared" si="5"/>
        <v>-6.616016858068674E-4</v>
      </c>
      <c r="N246" s="6"/>
      <c r="O246" s="25">
        <v>45413</v>
      </c>
      <c r="P246" s="32">
        <f t="shared" si="6"/>
        <v>0.70222337174552008</v>
      </c>
      <c r="Q246" s="32">
        <f t="shared" si="7"/>
        <v>8.6858804354198071E-2</v>
      </c>
      <c r="R246" s="32">
        <f t="shared" si="8"/>
        <v>9.1507287735377002E-2</v>
      </c>
      <c r="S246" s="32">
        <f t="shared" si="9"/>
        <v>3.5681263448794243E-2</v>
      </c>
      <c r="T246" s="46">
        <f t="shared" si="10"/>
        <v>8.3729272716110525E-2</v>
      </c>
      <c r="U246" s="32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8" cm="1">
        <f t="array" ref="G247">IF(G488="","",
G488*LOOKUP($F247,_xlfn._xlws.FILTER($F$454:$F$463,G$454:G$463&lt;&gt;""),_xlfn._xlws.FILTER(G$454:G$463,G$454:G$463&lt;&gt;"")))</f>
        <v>156.36348000000001</v>
      </c>
      <c r="H247" s="38" cm="1">
        <f t="array" ref="H247">IF(H488="","",
H488*LOOKUP($F247,_xlfn._xlws.FILTER($F$454:$F$463,H$454:H$463&lt;&gt;""),_xlfn._xlws.FILTER(H$454:H$463,H$454:H$463&lt;&gt;"")))</f>
        <v>155.54609218436875</v>
      </c>
      <c r="I247" s="38" cm="1">
        <f t="array" ref="I247">IF(I488="","",
I488*LOOKUP($F247,_xlfn._xlws.FILTER($F$454:$F$463,I$454:I$463&lt;&gt;""),_xlfn._xlws.FILTER(I$454:I$463,I$454:I$463&lt;&gt;"")))</f>
        <v>124.39055483709407</v>
      </c>
      <c r="J247" s="44">
        <f t="shared" si="11"/>
        <v>3.43</v>
      </c>
      <c r="K247" s="45" cm="1">
        <f t="array" ref="K247">IF(M488="","",
M488*LOOKUP($F247,_xlfn._xlws.FILTER($F$468:$F$477,G$468:G$477&lt;&gt;""),_xlfn._xlws.FILTER(G$468:G$477,G$468:G$477&lt;&gt;"")))</f>
        <v>127.9</v>
      </c>
      <c r="L247" s="41">
        <f t="shared" si="12"/>
        <v>137.13984679103868</v>
      </c>
      <c r="M247" s="34">
        <f t="shared" si="5"/>
        <v>-1.6386400220158803E-2</v>
      </c>
      <c r="N247" s="6"/>
      <c r="O247" s="25">
        <v>45444</v>
      </c>
      <c r="P247" s="32">
        <f t="shared" si="6"/>
        <v>0.71392198308634236</v>
      </c>
      <c r="Q247" s="32">
        <f t="shared" si="7"/>
        <v>8.8380401460803601E-2</v>
      </c>
      <c r="R247" s="32">
        <f t="shared" si="8"/>
        <v>9.3412396724560254E-2</v>
      </c>
      <c r="S247" s="32">
        <f t="shared" si="9"/>
        <v>3.6703723204597589E-2</v>
      </c>
      <c r="T247" s="46">
        <f t="shared" si="10"/>
        <v>6.7581495523696369E-2</v>
      </c>
      <c r="U247" s="32">
        <f t="shared" si="13"/>
        <v>1.0000000000000002</v>
      </c>
      <c r="V247" s="6"/>
      <c r="W247" s="6"/>
    </row>
    <row r="248" spans="5:23" ht="13.5" customHeight="1">
      <c r="E248" s="6"/>
      <c r="F248" s="25">
        <v>45474</v>
      </c>
      <c r="G248" s="38" cm="1">
        <f t="array" ref="G248">IF(G489="","",
G489*LOOKUP($F248,_xlfn._xlws.FILTER($F$454:$F$463,G$454:G$463&lt;&gt;""),_xlfn._xlws.FILTER(G$454:G$463,G$454:G$463&lt;&gt;"")))</f>
        <v>157.67660999999998</v>
      </c>
      <c r="H248" s="38" cm="1">
        <f t="array" ref="H248">IF(H489="","",
H489*LOOKUP($F248,_xlfn._xlws.FILTER($F$454:$F$463,H$454:H$463&lt;&gt;""),_xlfn._xlws.FILTER(H$454:H$463,H$454:H$463&lt;&gt;"")))</f>
        <v>155.54609218436875</v>
      </c>
      <c r="I248" s="38" cm="1">
        <f t="array" ref="I248">IF(I489="","",
I489*LOOKUP($F248,_xlfn._xlws.FILTER($F$454:$F$463,I$454:I$463&lt;&gt;""),_xlfn._xlws.FILTER(I$454:I$463,I$454:I$463&lt;&gt;"")))</f>
        <v>124.89744381361034</v>
      </c>
      <c r="J248" s="44">
        <f t="shared" si="11"/>
        <v>3.49</v>
      </c>
      <c r="K248" s="45" cm="1">
        <f t="array" ref="K248">IF(M489="","",
M489*LOOKUP($F248,_xlfn._xlws.FILTER($F$468:$F$477,G$468:G$477&lt;&gt;""),_xlfn._xlws.FILTER(G$468:G$477,G$468:G$477&lt;&gt;"")))</f>
        <v>127.9</v>
      </c>
      <c r="L248" s="41">
        <f t="shared" si="12"/>
        <v>138.1023175632821</v>
      </c>
      <c r="M248" s="34">
        <f t="shared" si="5"/>
        <v>7.0181700998248608E-3</v>
      </c>
      <c r="N248" s="6"/>
      <c r="O248" s="25">
        <v>45474</v>
      </c>
      <c r="P248" s="32">
        <f t="shared" si="6"/>
        <v>0.71490016100224463</v>
      </c>
      <c r="Q248" s="32">
        <f t="shared" si="7"/>
        <v>8.7764455582804962E-2</v>
      </c>
      <c r="R248" s="32">
        <f t="shared" si="8"/>
        <v>9.3139382309901264E-2</v>
      </c>
      <c r="S248" s="32">
        <f t="shared" si="9"/>
        <v>3.7085498504091104E-2</v>
      </c>
      <c r="T248" s="46">
        <f t="shared" si="10"/>
        <v>6.7110502600958105E-2</v>
      </c>
      <c r="U248" s="32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8" cm="1">
        <f t="array" ref="G249">IF(G490="","",
G490*LOOKUP($F249,_xlfn._xlws.FILTER($F$454:$F$463,G$454:G$463&lt;&gt;""),_xlfn._xlws.FILTER(G$454:G$463,G$454:G$463&lt;&gt;"")))</f>
        <v>157.67660999999998</v>
      </c>
      <c r="H249" s="38" cm="1">
        <f t="array" ref="H249">IF(H490="","",
H490*LOOKUP($F249,_xlfn._xlws.FILTER($F$454:$F$463,H$454:H$463&lt;&gt;""),_xlfn._xlws.FILTER(H$454:H$463,H$454:H$463&lt;&gt;"")))</f>
        <v>155.54609218436875</v>
      </c>
      <c r="I249" s="38" cm="1">
        <f t="array" ref="I249">IF(I490="","",
I490*LOOKUP($F249,_xlfn._xlws.FILTER($F$454:$F$463,I$454:I$463&lt;&gt;""),_xlfn._xlws.FILTER(I$454:I$463,I$454:I$463&lt;&gt;"")))</f>
        <v>124.89744381361034</v>
      </c>
      <c r="J249" s="44">
        <f t="shared" si="11"/>
        <v>3.4</v>
      </c>
      <c r="K249" s="45" cm="1">
        <f t="array" ref="K249">IF(M490="","",
M490*LOOKUP($F249,_xlfn._xlws.FILTER($F$468:$F$477,G$468:G$477&lt;&gt;""),_xlfn._xlws.FILTER(G$468:G$477,G$468:G$477&lt;&gt;"")))</f>
        <v>129.6</v>
      </c>
      <c r="L249" s="41">
        <f t="shared" si="12"/>
        <v>138.09343049738109</v>
      </c>
      <c r="M249" s="34">
        <f t="shared" si="5"/>
        <v>-6.4351316167665651E-5</v>
      </c>
      <c r="N249" s="6"/>
      <c r="O249" s="25">
        <v>45505</v>
      </c>
      <c r="P249" s="32">
        <f t="shared" si="6"/>
        <v>0.71494616872919148</v>
      </c>
      <c r="Q249" s="32">
        <f t="shared" si="7"/>
        <v>8.7770103704498531E-2</v>
      </c>
      <c r="R249" s="32">
        <f t="shared" si="8"/>
        <v>9.3145376337463517E-2</v>
      </c>
      <c r="S249" s="32">
        <f t="shared" si="9"/>
        <v>3.6131464051080434E-2</v>
      </c>
      <c r="T249" s="46">
        <f t="shared" si="10"/>
        <v>6.8006887177766151E-2</v>
      </c>
      <c r="U249" s="32">
        <f t="shared" si="13"/>
        <v>1.0000000000000002</v>
      </c>
      <c r="V249" s="6"/>
      <c r="W249" s="6"/>
    </row>
    <row r="250" spans="5:23" ht="13.5" customHeight="1">
      <c r="E250" s="6"/>
      <c r="F250" s="25">
        <v>45536</v>
      </c>
      <c r="G250" s="38" cm="1">
        <f t="array" ref="G250">IF(G491="","",
G491*LOOKUP($F250,_xlfn._xlws.FILTER($F$454:$F$463,G$454:G$463&lt;&gt;""),_xlfn._xlws.FILTER(G$454:G$463,G$454:G$463&lt;&gt;"")))</f>
        <v>157.67660999999998</v>
      </c>
      <c r="H250" s="38" cm="1">
        <f t="array" ref="H250">IF(H491="","",
H491*LOOKUP($F250,_xlfn._xlws.FILTER($F$454:$F$463,H$454:H$463&lt;&gt;""),_xlfn._xlws.FILTER(H$454:H$463,H$454:H$463&lt;&gt;"")))</f>
        <v>157.25250501002006</v>
      </c>
      <c r="I250" s="38" cm="1">
        <f t="array" ref="I250">IF(I491="","",
I491*LOOKUP($F250,_xlfn._xlws.FILTER($F$454:$F$463,I$454:I$463&lt;&gt;""),_xlfn._xlws.FILTER(I$454:I$463,I$454:I$463&lt;&gt;"")))</f>
        <v>125.10019940421685</v>
      </c>
      <c r="J250" s="44">
        <f t="shared" si="11"/>
        <v>3.12</v>
      </c>
      <c r="K250" s="45" cm="1">
        <f t="array" ref="K250">IF(M491="","",
M491*LOOKUP($F250,_xlfn._xlws.FILTER($F$468:$F$477,G$468:G$477&lt;&gt;""),_xlfn._xlws.FILTER(G$468:G$477,G$468:G$477&lt;&gt;"")))</f>
        <v>130.4</v>
      </c>
      <c r="L250" s="41">
        <f t="shared" si="12"/>
        <v>137.89434838882423</v>
      </c>
      <c r="M250" s="34">
        <f t="shared" si="5"/>
        <v>-1.4416479324166342E-3</v>
      </c>
      <c r="N250" s="6"/>
      <c r="O250" s="25">
        <v>45536</v>
      </c>
      <c r="P250" s="32">
        <f t="shared" si="6"/>
        <v>0.7159783574478612</v>
      </c>
      <c r="Q250" s="32">
        <f t="shared" si="7"/>
        <v>8.8861088884378256E-2</v>
      </c>
      <c r="R250" s="32">
        <f t="shared" si="8"/>
        <v>9.3431281377606423E-2</v>
      </c>
      <c r="S250" s="32">
        <f t="shared" si="9"/>
        <v>3.3203799906946274E-2</v>
      </c>
      <c r="T250" s="46">
        <f t="shared" si="10"/>
        <v>6.8525472383208025E-2</v>
      </c>
      <c r="U250" s="32">
        <f t="shared" si="13"/>
        <v>1.0000000000000002</v>
      </c>
      <c r="V250" s="6"/>
      <c r="W250" s="6"/>
    </row>
    <row r="251" spans="5:23" ht="13.5" customHeight="1">
      <c r="E251" s="6"/>
      <c r="F251" s="25">
        <v>45566</v>
      </c>
      <c r="G251" s="38" cm="1">
        <f t="array" ref="G251">IF(G492="","",
G492*LOOKUP($F251,_xlfn._xlws.FILTER($F$454:$F$463,G$454:G$463&lt;&gt;""),_xlfn._xlws.FILTER(G$454:G$463,G$454:G$463&lt;&gt;"")))</f>
        <v>162.86760950617284</v>
      </c>
      <c r="H251" s="38" cm="1">
        <f t="array" ref="H251">IF(H492="","",
H492*LOOKUP($F251,_xlfn._xlws.FILTER($F$454:$F$463,H$454:H$463&lt;&gt;""),_xlfn._xlws.FILTER(H$454:H$463,H$454:H$463&lt;&gt;"")))</f>
        <v>156.59619238476955</v>
      </c>
      <c r="I251" s="38" cm="1">
        <f t="array" ref="I251">IF(I492="","",
I492*LOOKUP($F251,_xlfn._xlws.FILTER($F$454:$F$463,I$454:I$463&lt;&gt;""),_xlfn._xlws.FILTER(I$454:I$463,I$454:I$463&lt;&gt;"")))</f>
        <v>125.30295499482335</v>
      </c>
      <c r="J251" s="44">
        <f t="shared" si="11"/>
        <v>3.05</v>
      </c>
      <c r="K251" s="45" cm="1">
        <f t="array" ref="K251">IF(M492="","",
M492*LOOKUP($F251,_xlfn._xlws.FILTER($F$468:$F$477,G$468:G$477&lt;&gt;""),_xlfn._xlws.FILTER(G$468:G$477,G$468:G$477&lt;&gt;"")))</f>
        <v>153.4</v>
      </c>
      <c r="L251" s="41">
        <f t="shared" si="12"/>
        <v>142.67837915508517</v>
      </c>
      <c r="M251" s="34">
        <f t="shared" si="5"/>
        <v>3.4693450617506727E-2</v>
      </c>
      <c r="N251" s="6"/>
      <c r="O251" s="25">
        <v>45566</v>
      </c>
      <c r="P251" s="32">
        <f t="shared" si="6"/>
        <v>0.7147524331534113</v>
      </c>
      <c r="Q251" s="32">
        <f t="shared" si="7"/>
        <v>8.5523123948887517E-2</v>
      </c>
      <c r="R251" s="32">
        <f t="shared" si="8"/>
        <v>9.0444865244504014E-2</v>
      </c>
      <c r="S251" s="32">
        <f t="shared" si="9"/>
        <v>3.1370492234565193E-2</v>
      </c>
      <c r="T251" s="46">
        <f t="shared" si="10"/>
        <v>7.790908541863209E-2</v>
      </c>
      <c r="U251" s="32">
        <f t="shared" si="13"/>
        <v>1.0000000000000002</v>
      </c>
      <c r="V251" s="6"/>
      <c r="W251" s="6"/>
    </row>
    <row r="252" spans="5:23" ht="13.5" customHeight="1">
      <c r="E252" s="6"/>
      <c r="F252" s="25">
        <v>45597</v>
      </c>
      <c r="G252" s="38" cm="1">
        <f t="array" ref="G252">IF(G493="","",
G493*LOOKUP($F252,_xlfn._xlws.FILTER($F$454:$F$463,G$454:G$463&lt;&gt;""),_xlfn._xlws.FILTER(G$454:G$463,G$454:G$463&lt;&gt;"")))</f>
        <v>162.86760950617284</v>
      </c>
      <c r="H252" s="38" cm="1">
        <f t="array" ref="H252">IF(H493="","",
H493*LOOKUP($F252,_xlfn._xlws.FILTER($F$454:$F$463,H$454:H$463&lt;&gt;""),_xlfn._xlws.FILTER(H$454:H$463,H$454:H$463&lt;&gt;"")))</f>
        <v>156.07114228456916</v>
      </c>
      <c r="I252" s="38" cm="1">
        <f t="array" ref="I252">IF(I493="","",
I493*LOOKUP($F252,_xlfn._xlws.FILTER($F$454:$F$463,I$454:I$463&lt;&gt;""),_xlfn._xlws.FILTER(I$454:I$463,I$454:I$463&lt;&gt;"")))</f>
        <v>125.2015771995201</v>
      </c>
      <c r="J252" s="44">
        <f t="shared" si="11"/>
        <v>2.82</v>
      </c>
      <c r="K252" s="45" cm="1">
        <f t="array" ref="K252">IF(M493="","",
M493*LOOKUP($F252,_xlfn._xlws.FILTER($F$468:$F$477,G$468:G$477&lt;&gt;""),_xlfn._xlws.FILTER(G$468:G$477,G$468:G$477&lt;&gt;"")))</f>
        <v>136.4</v>
      </c>
      <c r="L252" s="41">
        <f t="shared" si="12"/>
        <v>141.05761534119864</v>
      </c>
      <c r="M252" s="34">
        <f t="shared" si="5"/>
        <v>-1.1359561438000543E-2</v>
      </c>
      <c r="N252" s="6"/>
      <c r="O252" s="25">
        <v>45597</v>
      </c>
      <c r="P252" s="32">
        <f t="shared" si="6"/>
        <v>0.72296499847106743</v>
      </c>
      <c r="Q252" s="32">
        <f t="shared" si="7"/>
        <v>8.6215747239659579E-2</v>
      </c>
      <c r="R252" s="32">
        <f t="shared" si="8"/>
        <v>9.1410068071496417E-2</v>
      </c>
      <c r="S252" s="32">
        <f t="shared" si="9"/>
        <v>2.9338116696954564E-2</v>
      </c>
      <c r="T252" s="46">
        <f t="shared" si="10"/>
        <v>7.0071069520821955E-2</v>
      </c>
      <c r="U252" s="32">
        <f t="shared" si="13"/>
        <v>0.99999999999999989</v>
      </c>
      <c r="V252" s="6"/>
      <c r="W252" s="6"/>
    </row>
    <row r="253" spans="5:23" ht="13.5" customHeight="1">
      <c r="E253" s="6"/>
      <c r="F253" s="25">
        <v>45627</v>
      </c>
      <c r="G253" s="38" cm="1">
        <f t="array" ref="G253">IF(G494="","",
G494*LOOKUP($F253,_xlfn._xlws.FILTER($F$454:$F$463,G$454:G$463&lt;&gt;""),_xlfn._xlws.FILTER(G$454:G$463,G$454:G$463&lt;&gt;"")))</f>
        <v>162.86760950617284</v>
      </c>
      <c r="H253" s="38" cm="1">
        <f t="array" ref="H253">IF(H494="","",
H494*LOOKUP($F253,_xlfn._xlws.FILTER($F$454:$F$463,H$454:H$463&lt;&gt;""),_xlfn._xlws.FILTER(H$454:H$463,H$454:H$463&lt;&gt;"")))</f>
        <v>156.98997995991985</v>
      </c>
      <c r="I253" s="38" cm="1">
        <f t="array" ref="I253">IF(I494="","",
I494*LOOKUP($F253,_xlfn._xlws.FILTER($F$454:$F$463,I$454:I$463&lt;&gt;""),_xlfn._xlws.FILTER(I$454:I$463,I$454:I$463&lt;&gt;"")))</f>
        <v>124.59331042770059</v>
      </c>
      <c r="J253" s="44">
        <f t="shared" si="11"/>
        <v>2.9</v>
      </c>
      <c r="K253" s="45" cm="1">
        <f t="array" ref="K253">IF(M494="","",
M494*LOOKUP($F253,_xlfn._xlws.FILTER($F$468:$F$477,G$468:G$477&lt;&gt;""),_xlfn._xlws.FILTER(G$468:G$477,G$468:G$477&lt;&gt;"")))</f>
        <v>162.80000000000001</v>
      </c>
      <c r="L253" s="41">
        <f t="shared" si="12"/>
        <v>143.09701364581912</v>
      </c>
      <c r="M253" s="34">
        <f t="shared" si="5"/>
        <v>1.4457909980169825E-2</v>
      </c>
      <c r="N253" s="6"/>
      <c r="O253" s="25">
        <v>45627</v>
      </c>
      <c r="P253" s="32">
        <f t="shared" si="6"/>
        <v>0.71266140404504263</v>
      </c>
      <c r="Q253" s="32">
        <f t="shared" si="7"/>
        <v>8.5487356722204644E-2</v>
      </c>
      <c r="R253" s="32">
        <f t="shared" si="8"/>
        <v>8.9669536488281701E-2</v>
      </c>
      <c r="S253" s="32">
        <f t="shared" si="9"/>
        <v>2.9740419389148915E-2</v>
      </c>
      <c r="T253" s="46">
        <f t="shared" si="10"/>
        <v>8.2441283355322081E-2</v>
      </c>
      <c r="U253" s="32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8" cm="1">
        <f t="array" ref="G254">IF(G495="","",
G495*LOOKUP($F254,_xlfn._xlws.FILTER($F$454:$F$463,G$454:G$463&lt;&gt;""),_xlfn._xlws.FILTER(G$454:G$463,G$454:G$463&lt;&gt;"")))</f>
        <v>161.82940960493826</v>
      </c>
      <c r="H254" s="38" cm="1">
        <f t="array" ref="H254">IF(H495="","",
H495*LOOKUP($F254,_xlfn._xlws.FILTER($F$454:$F$463,H$454:H$463&lt;&gt;""),_xlfn._xlws.FILTER(H$454:H$463,H$454:H$463&lt;&gt;"")))</f>
        <v>156.46492985971946</v>
      </c>
      <c r="I254" s="38" cm="1">
        <f t="array" ref="I254">IF(I495="","",
I495*LOOKUP($F254,_xlfn._xlws.FILTER($F$454:$F$463,I$454:I$463&lt;&gt;""),_xlfn._xlws.FILTER(I$454:I$463,I$454:I$463&lt;&gt;"")))</f>
        <v>124.89744381361034</v>
      </c>
      <c r="J254" s="44">
        <f t="shared" si="11"/>
        <v>2.67</v>
      </c>
      <c r="K254" s="45" cm="1">
        <f t="array" ref="K254">IF(M495="","",
M495*LOOKUP($F254,_xlfn._xlws.FILTER($F$468:$F$477,G$468:G$477&lt;&gt;""),_xlfn._xlws.FILTER(G$468:G$477,G$468:G$477&lt;&gt;"")))</f>
        <v>172.2</v>
      </c>
      <c r="L254" s="41">
        <f t="shared" si="12"/>
        <v>142.78098561302772</v>
      </c>
      <c r="M254" s="34">
        <f t="shared" si="5"/>
        <v>-2.2084879672863433E-3</v>
      </c>
      <c r="N254" s="6"/>
      <c r="O254" s="25">
        <v>45658</v>
      </c>
      <c r="P254" s="32">
        <f t="shared" si="6"/>
        <v>0.70968587522129256</v>
      </c>
      <c r="Q254" s="32">
        <f t="shared" si="7"/>
        <v>8.5390028681025423E-2</v>
      </c>
      <c r="R254" s="32">
        <f t="shared" si="8"/>
        <v>9.0087377518679138E-2</v>
      </c>
      <c r="S254" s="32">
        <f t="shared" si="9"/>
        <v>2.74423024668712E-2</v>
      </c>
      <c r="T254" s="46">
        <f t="shared" si="10"/>
        <v>8.739441611213157E-2</v>
      </c>
      <c r="U254" s="32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8" cm="1">
        <f t="array" ref="G255">IF(G496="","",
G496*LOOKUP($F255,_xlfn._xlws.FILTER($F$454:$F$463,G$454:G$463&lt;&gt;""),_xlfn._xlws.FILTER(G$454:G$463,G$454:G$463&lt;&gt;"")))</f>
        <v>161.82940960493826</v>
      </c>
      <c r="H255" s="38" cm="1">
        <f t="array" ref="H255">IF(H496="","",
H496*LOOKUP($F255,_xlfn._xlws.FILTER($F$454:$F$463,H$454:H$463&lt;&gt;""),_xlfn._xlws.FILTER(H$454:H$463,H$454:H$463&lt;&gt;"")))</f>
        <v>156.07114228456916</v>
      </c>
      <c r="I255" s="38" cm="1">
        <f t="array" ref="I255">IF(I496="","",
I496*LOOKUP($F255,_xlfn._xlws.FILTER($F$454:$F$463,I$454:I$463&lt;&gt;""),_xlfn._xlws.FILTER(I$454:I$463,I$454:I$463&lt;&gt;"")))</f>
        <v>125.20157719952012</v>
      </c>
      <c r="J255" s="44">
        <f t="shared" si="11"/>
        <v>2.82</v>
      </c>
      <c r="K255" s="45" cm="1">
        <f t="array" ref="K255">IF(M496="","",
M496*LOOKUP($F255,_xlfn._xlws.FILTER($F$468:$F$477,G$468:G$477&lt;&gt;""),_xlfn._xlws.FILTER(G$468:G$477,G$468:G$477&lt;&gt;"")))</f>
        <v>163.69999999999999</v>
      </c>
      <c r="L255" s="41">
        <f t="shared" si="12"/>
        <v>142.38580629102211</v>
      </c>
      <c r="M255" s="34">
        <f t="shared" si="5"/>
        <v>-2.7677307332549805E-3</v>
      </c>
      <c r="N255" s="6"/>
      <c r="O255" s="25">
        <v>45689</v>
      </c>
      <c r="P255" s="32">
        <f t="shared" si="6"/>
        <v>0.71165554614785742</v>
      </c>
      <c r="Q255" s="32">
        <f t="shared" si="7"/>
        <v>8.5411516971215989E-2</v>
      </c>
      <c r="R255" s="32">
        <f t="shared" si="8"/>
        <v>9.055738458921761E-2</v>
      </c>
      <c r="S255" s="32">
        <f t="shared" si="9"/>
        <v>2.9064447417011623E-2</v>
      </c>
      <c r="T255" s="46">
        <f t="shared" si="10"/>
        <v>8.331110487469752E-2</v>
      </c>
      <c r="U255" s="32">
        <f t="shared" si="13"/>
        <v>1.0000000000000002</v>
      </c>
      <c r="V255" s="6"/>
      <c r="W255" s="6"/>
    </row>
    <row r="256" spans="5:23" ht="13.5" customHeight="1">
      <c r="E256" s="6"/>
      <c r="F256" s="25">
        <v>45717</v>
      </c>
      <c r="G256" s="38" cm="1">
        <f t="array" ref="G256">IF(G497="","",
G497*LOOKUP($F256,_xlfn._xlws.FILTER($F$454:$F$463,G$454:G$463&lt;&gt;""),_xlfn._xlws.FILTER(G$454:G$463,G$454:G$463&lt;&gt;"")))</f>
        <v>161.82940960493826</v>
      </c>
      <c r="H256" s="38" cm="1">
        <f t="array" ref="H256">IF(H497="","",
H497*LOOKUP($F256,_xlfn._xlws.FILTER($F$454:$F$463,H$454:H$463&lt;&gt;""),_xlfn._xlws.FILTER(H$454:H$463,H$454:H$463&lt;&gt;"")))</f>
        <v>156.98997995991985</v>
      </c>
      <c r="I256" s="38" cm="1">
        <f t="array" ref="I256">IF(I497="","",
I497*LOOKUP($F256,_xlfn._xlws.FILTER($F$454:$F$463,I$454:I$463&lt;&gt;""),_xlfn._xlws.FILTER(I$454:I$463,I$454:I$463&lt;&gt;"")))</f>
        <v>124.43144447509424</v>
      </c>
      <c r="J256" s="44">
        <f t="shared" si="11"/>
        <v>2.73</v>
      </c>
      <c r="K256" s="45" cm="1">
        <f t="array" ref="K256">IF(M497="","",
M497*LOOKUP($F256,_xlfn._xlws.FILTER($F$468:$F$477,G$468:G$477&lt;&gt;""),_xlfn._xlws.FILTER(G$468:G$477,G$468:G$477&lt;&gt;"")))</f>
        <v>167.2</v>
      </c>
      <c r="L256" s="41">
        <f t="shared" si="12"/>
        <v>142.49963838878713</v>
      </c>
      <c r="M256" s="34">
        <f t="shared" si="5"/>
        <v>7.9946239537642683E-4</v>
      </c>
      <c r="N256" s="6"/>
      <c r="O256" s="25">
        <v>45717</v>
      </c>
      <c r="P256" s="32">
        <f t="shared" si="6"/>
        <v>0.71108705878452039</v>
      </c>
      <c r="Q256" s="32">
        <f t="shared" si="7"/>
        <v>8.5845729783865204E-2</v>
      </c>
      <c r="R256" s="32">
        <f t="shared" si="8"/>
        <v>8.9928458804223912E-2</v>
      </c>
      <c r="S256" s="32">
        <f t="shared" si="9"/>
        <v>2.8114382278259482E-2</v>
      </c>
      <c r="T256" s="46">
        <f t="shared" si="10"/>
        <v>8.502437034913117E-2</v>
      </c>
      <c r="U256" s="32">
        <f t="shared" si="13"/>
        <v>1.0000000000000002</v>
      </c>
      <c r="V256" s="6"/>
      <c r="W256" s="6"/>
    </row>
    <row r="257" spans="5:23" ht="13.5" customHeight="1">
      <c r="E257" s="6"/>
      <c r="F257" s="25">
        <v>45748</v>
      </c>
      <c r="G257" s="38" cm="1">
        <f t="array" ref="G257">IF(G498="","",
G498*LOOKUP($F257,_xlfn._xlws.FILTER($F$454:$F$463,G$454:G$463&lt;&gt;""),_xlfn._xlws.FILTER(G$454:G$463,G$454:G$463&lt;&gt;"")))</f>
        <v>163.25693446913579</v>
      </c>
      <c r="H257" s="38" cm="1">
        <f t="array" ref="H257">IF(H498="","",
H498*LOOKUP($F257,_xlfn._xlws.FILTER($F$454:$F$463,H$454:H$463&lt;&gt;""),_xlfn._xlws.FILTER(H$454:H$463,H$454:H$463&lt;&gt;"")))</f>
        <v>158.56513026052104</v>
      </c>
      <c r="I257" s="38" cm="1">
        <f t="array" ref="I257">IF(I498="","",
I498*LOOKUP($F257,_xlfn._xlws.FILTER($F$454:$F$463,I$454:I$463&lt;&gt;""),_xlfn._xlws.FILTER(I$454:I$463,I$454:I$463&lt;&gt;"")))</f>
        <v>124.21140655382972</v>
      </c>
      <c r="J257" s="44">
        <f t="shared" si="11"/>
        <v>2.69</v>
      </c>
      <c r="K257" s="45" cm="1">
        <f t="array" ref="K257">IF(M498="","",
M498*LOOKUP($F257,_xlfn._xlws.FILTER($F$468:$F$477,G$468:G$477&lt;&gt;""),_xlfn._xlws.FILTER(G$468:G$477,G$468:G$477&lt;&gt;"")))</f>
        <v>182.6</v>
      </c>
      <c r="L257" s="41">
        <f t="shared" si="12"/>
        <v>144.55080437227087</v>
      </c>
      <c r="M257" s="34">
        <f t="shared" si="5"/>
        <v>1.4394183779522729E-2</v>
      </c>
      <c r="N257" s="6"/>
      <c r="O257" s="25">
        <v>45748</v>
      </c>
      <c r="P257" s="32">
        <f t="shared" si="6"/>
        <v>0.70718039462528726</v>
      </c>
      <c r="Q257" s="32">
        <f t="shared" si="7"/>
        <v>8.5476690977549147E-2</v>
      </c>
      <c r="R257" s="32">
        <f t="shared" si="8"/>
        <v>8.8495612017163591E-2</v>
      </c>
      <c r="S257" s="32">
        <f t="shared" si="9"/>
        <v>2.7309354075720105E-2</v>
      </c>
      <c r="T257" s="46">
        <f t="shared" si="10"/>
        <v>9.1537948304279942E-2</v>
      </c>
      <c r="U257" s="32">
        <f t="shared" si="13"/>
        <v>1</v>
      </c>
      <c r="V257" s="6"/>
      <c r="W257" s="6"/>
    </row>
    <row r="258" spans="5:23" ht="13.5" customHeight="1">
      <c r="E258" s="6"/>
      <c r="F258" s="25">
        <v>45778</v>
      </c>
      <c r="G258" s="38" cm="1">
        <f t="array" ref="G258">IF(G499="","",
G499*LOOKUP($F258,_xlfn._xlws.FILTER($F$454:$F$463,G$454:G$463&lt;&gt;""),_xlfn._xlws.FILTER(G$454:G$463,G$454:G$463&lt;&gt;"")))</f>
        <v>163.25693446913579</v>
      </c>
      <c r="H258" s="38" cm="1">
        <f t="array" ref="H258">IF(H499="","",
H499*LOOKUP($F258,_xlfn._xlws.FILTER($F$454:$F$463,H$454:H$463&lt;&gt;""),_xlfn._xlws.FILTER(H$454:H$463,H$454:H$463&lt;&gt;"")))</f>
        <v>157.77755511022045</v>
      </c>
      <c r="I258" s="38" cm="1">
        <f t="array" ref="I258">IF(I499="","",
I499*LOOKUP($F258,_xlfn._xlws.FILTER($F$454:$F$463,I$454:I$463&lt;&gt;""),_xlfn._xlws.FILTER(I$454:I$463,I$454:I$463&lt;&gt;"")))</f>
        <v>124.10138759319744</v>
      </c>
      <c r="J258" s="44">
        <f t="shared" si="11"/>
        <v>2.75</v>
      </c>
      <c r="K258" s="45" cm="1">
        <f t="array" ref="K258">IF(M499="","",
M499*LOOKUP($F258,_xlfn._xlws.FILTER($F$468:$F$477,G$468:G$477&lt;&gt;""),_xlfn._xlws.FILTER(G$468:G$477,G$468:G$477&lt;&gt;"")))</f>
        <v>154.4</v>
      </c>
      <c r="L258" s="41">
        <f t="shared" si="12"/>
        <v>142.52267645365276</v>
      </c>
      <c r="M258" s="34">
        <f t="shared" si="5"/>
        <v>-1.4030554360631164E-2</v>
      </c>
      <c r="N258" s="6"/>
      <c r="O258" s="25">
        <v>45778</v>
      </c>
      <c r="P258" s="32">
        <f t="shared" si="6"/>
        <v>0.71724372165174355</v>
      </c>
      <c r="Q258" s="32">
        <f t="shared" si="7"/>
        <v>8.6262447840372736E-2</v>
      </c>
      <c r="R258" s="32">
        <f t="shared" si="8"/>
        <v>8.9675423859099906E-2</v>
      </c>
      <c r="S258" s="32">
        <f t="shared" si="9"/>
        <v>2.8315770608688094E-2</v>
      </c>
      <c r="T258" s="46">
        <f t="shared" si="10"/>
        <v>7.8502636040095899E-2</v>
      </c>
      <c r="U258" s="32">
        <f t="shared" si="13"/>
        <v>1.0000000000000002</v>
      </c>
      <c r="V258" s="6"/>
      <c r="W258" s="6"/>
    </row>
    <row r="259" spans="5:23" ht="13.5" customHeight="1">
      <c r="E259" s="6"/>
      <c r="F259" s="25">
        <v>45809</v>
      </c>
      <c r="G259" s="38" cm="1">
        <f t="array" ref="G259">IF(G500="","",
G500*LOOKUP($F259,_xlfn._xlws.FILTER($F$454:$F$463,G$454:G$463&lt;&gt;""),_xlfn._xlws.FILTER(G$454:G$463,G$454:G$463&lt;&gt;"")))</f>
        <v>163.25693446913579</v>
      </c>
      <c r="H259" s="38" cm="1">
        <f t="array" ref="H259">IF(H500="","",
H500*LOOKUP($F259,_xlfn._xlws.FILTER($F$454:$F$463,H$454:H$463&lt;&gt;""),_xlfn._xlws.FILTER(H$454:H$463,H$454:H$463&lt;&gt;"")))</f>
        <v>157.90881763527054</v>
      </c>
      <c r="I259" s="38" cm="1">
        <f t="array" ref="I259">IF(I500="","",
I500*LOOKUP($F259,_xlfn._xlws.FILTER($F$454:$F$463,I$454:I$463&lt;&gt;""),_xlfn._xlws.FILTER(I$454:I$463,I$454:I$463&lt;&gt;"")))</f>
        <v>126.08172888457825</v>
      </c>
      <c r="J259" s="44">
        <f t="shared" si="11"/>
        <v>2.61</v>
      </c>
      <c r="K259" s="45" cm="1">
        <f t="array" ref="K259">IF(M500="","",
M500*LOOKUP($F259,_xlfn._xlws.FILTER($F$468:$F$477,G$468:G$477&lt;&gt;""),_xlfn._xlws.FILTER(G$468:G$477,G$468:G$477&lt;&gt;"")))</f>
        <v>124.5</v>
      </c>
      <c r="L259" s="41">
        <f t="shared" si="12"/>
        <v>140.36473594162777</v>
      </c>
      <c r="M259" s="34">
        <f t="shared" si="5"/>
        <v>-1.5141032751561756E-2</v>
      </c>
      <c r="N259" s="6"/>
      <c r="O259" s="25">
        <v>45809</v>
      </c>
      <c r="P259" s="32">
        <f t="shared" si="6"/>
        <v>0.72827048897734548</v>
      </c>
      <c r="Q259" s="32">
        <f t="shared" si="7"/>
        <v>8.7661499234934187E-2</v>
      </c>
      <c r="R259" s="32">
        <f t="shared" si="8"/>
        <v>9.2507067199581933E-2</v>
      </c>
      <c r="S259" s="32">
        <f t="shared" si="9"/>
        <v>2.728739988395739E-2</v>
      </c>
      <c r="T259" s="46">
        <f t="shared" si="10"/>
        <v>6.4273544704181063E-2</v>
      </c>
      <c r="U259" s="32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8" cm="1">
        <f t="array" ref="G260">IF(G501="","",
G501*LOOKUP($F260,_xlfn._xlws.FILTER($F$454:$F$463,G$454:G$463&lt;&gt;""),_xlfn._xlws.FILTER(G$454:G$463,G$454:G$463&lt;&gt;"")))</f>
        <v>163.90580940740739</v>
      </c>
      <c r="H260" s="38" cm="1">
        <f t="array" ref="H260">IF(H501="","",
H501*LOOKUP($F260,_xlfn._xlws.FILTER($F$454:$F$463,H$454:H$463&lt;&gt;""),_xlfn._xlws.FILTER(H$454:H$463,H$454:H$463&lt;&gt;"")))</f>
        <v>158.04008016032066</v>
      </c>
      <c r="I260" s="38" cm="1">
        <f t="array" ref="I260">IF(I501="","",
I501*LOOKUP($F260,_xlfn._xlws.FILTER($F$454:$F$463,I$454:I$463&lt;&gt;""),_xlfn._xlws.FILTER(I$454:I$463,I$454:I$463&lt;&gt;"")))</f>
        <v>126.41178576647506</v>
      </c>
      <c r="J260" s="44">
        <f t="shared" si="11"/>
        <v>2.67</v>
      </c>
      <c r="K260" s="45" cm="1">
        <f t="array" ref="K260">IF(M501="","",
M501*LOOKUP($F260,_xlfn._xlws.FILTER($F$468:$F$477,G$468:G$477&lt;&gt;""),_xlfn._xlws.FILTER(G$468:G$477,G$468:G$477&lt;&gt;"")))</f>
        <v>123.7</v>
      </c>
      <c r="L260" s="41">
        <f t="shared" si="12"/>
        <v>140.84532863009235</v>
      </c>
      <c r="M260" s="34">
        <f t="shared" si="5"/>
        <v>3.4238848186516346E-3</v>
      </c>
      <c r="N260" s="6"/>
      <c r="O260" s="25">
        <v>45839</v>
      </c>
      <c r="P260" s="32">
        <f t="shared" si="6"/>
        <v>0.72867016306067522</v>
      </c>
      <c r="Q260" s="32">
        <f t="shared" si="7"/>
        <v>8.7435000939270216E-2</v>
      </c>
      <c r="R260" s="32">
        <f t="shared" si="8"/>
        <v>9.2432753196547215E-2</v>
      </c>
      <c r="S260" s="32">
        <f t="shared" si="9"/>
        <v>2.7819445854688714E-2</v>
      </c>
      <c r="T260" s="46">
        <f t="shared" si="10"/>
        <v>6.3642636948818707E-2</v>
      </c>
      <c r="U260" s="32">
        <f t="shared" si="13"/>
        <v>1.0000000000000002</v>
      </c>
      <c r="V260" s="6"/>
      <c r="W260" s="6"/>
    </row>
    <row r="261" spans="5:23" ht="13.5" customHeight="1">
      <c r="E261" s="6"/>
      <c r="F261" s="25">
        <v>45870</v>
      </c>
      <c r="G261" s="38" cm="1">
        <f t="array" ref="G261">IF(G502="","",
G502*LOOKUP($F261,_xlfn._xlws.FILTER($F$454:$F$463,G$454:G$463&lt;&gt;""),_xlfn._xlws.FILTER(G$454:G$463,G$454:G$463&lt;&gt;"")))</f>
        <v>163.90580940740739</v>
      </c>
      <c r="H261" s="38" cm="1">
        <f t="array" ref="H261">IF(H502="","",
H502*LOOKUP($F261,_xlfn._xlws.FILTER($F$454:$F$463,H$454:H$463&lt;&gt;""),_xlfn._xlws.FILTER(H$454:H$463,H$454:H$463&lt;&gt;"")))</f>
        <v>158.43386773547095</v>
      </c>
      <c r="I261" s="38" cm="1">
        <f t="array" ref="I261">IF(I502="","",
I502*LOOKUP($F261,_xlfn._xlws.FILTER($F$454:$F$463,I$454:I$463&lt;&gt;""),_xlfn._xlws.FILTER(I$454:I$463,I$454:I$463&lt;&gt;"")))</f>
        <v>125.86169096331372</v>
      </c>
      <c r="J261" s="44">
        <f t="shared" si="11"/>
        <v>2.75</v>
      </c>
      <c r="K261" s="45" cm="1">
        <f t="array" ref="K261">IF(M502="","",
M502*LOOKUP($F261,_xlfn._xlws.FILTER($F$468:$F$477,G$468:G$477&lt;&gt;""),_xlfn._xlws.FILTER(G$468:G$477,G$468:G$477&lt;&gt;"")))</f>
        <v>116</v>
      </c>
      <c r="L261" s="41">
        <f t="shared" si="12"/>
        <v>140.37879038108881</v>
      </c>
      <c r="M261" s="34">
        <f t="shared" si="5"/>
        <v>-3.3124154953610985E-3</v>
      </c>
      <c r="N261" s="6"/>
      <c r="O261" s="25">
        <v>45870</v>
      </c>
      <c r="P261" s="32">
        <f t="shared" si="6"/>
        <v>0.73109184300999375</v>
      </c>
      <c r="Q261" s="32">
        <f t="shared" si="7"/>
        <v>8.794416986829004E-2</v>
      </c>
      <c r="R261" s="32">
        <f t="shared" si="8"/>
        <v>9.233637834497592E-2</v>
      </c>
      <c r="S261" s="32">
        <f t="shared" si="9"/>
        <v>2.8748213330819287E-2</v>
      </c>
      <c r="T261" s="46">
        <f t="shared" si="10"/>
        <v>5.9879395445921052E-2</v>
      </c>
      <c r="U261" s="32">
        <f t="shared" si="13"/>
        <v>1</v>
      </c>
      <c r="V261" s="6"/>
      <c r="W261" s="6"/>
    </row>
    <row r="262" spans="5:23" ht="13.5" customHeight="1">
      <c r="E262" s="6"/>
      <c r="F262" s="25">
        <v>45901</v>
      </c>
      <c r="G262" s="38" cm="1">
        <f t="array" ref="G262">IF(G503="","",
G503*LOOKUP($F262,_xlfn._xlws.FILTER($F$454:$F$463,G$454:G$463&lt;&gt;""),_xlfn._xlws.FILTER(G$454:G$463,G$454:G$463&lt;&gt;"")))</f>
        <v>163.90580940740739</v>
      </c>
      <c r="H262" s="38" cm="1">
        <f t="array" ref="H262">IF(H503="","",
H503*LOOKUP($F262,_xlfn._xlws.FILTER($F$454:$F$463,H$454:H$463&lt;&gt;""),_xlfn._xlws.FILTER(H$454:H$463,H$454:H$463&lt;&gt;"")))</f>
        <v>160.79659318637275</v>
      </c>
      <c r="I262" s="38" cm="1">
        <f t="array" ref="I262">IF(I503="","",
I503*LOOKUP($F262,_xlfn._xlws.FILTER($F$454:$F$463,I$454:I$463&lt;&gt;""),_xlfn._xlws.FILTER(I$454:I$463,I$454:I$463&lt;&gt;"")))</f>
        <v>126.30176680584279</v>
      </c>
      <c r="J262" s="44">
        <f t="shared" si="11"/>
        <v>2.69</v>
      </c>
      <c r="K262" s="45" cm="1">
        <f t="array" ref="K262">IF(M503="","",
M503*LOOKUP($F262,_xlfn._xlws.FILTER($F$468:$F$477,G$468:G$477&lt;&gt;""),_xlfn._xlws.FILTER(G$468:G$477,G$468:G$477&lt;&gt;"")))</f>
        <v>132.19999999999999</v>
      </c>
      <c r="L262" s="41">
        <f t="shared" si="12"/>
        <v>141.6940835067262</v>
      </c>
      <c r="M262" s="34">
        <f t="shared" si="5"/>
        <v>9.3696000803735746E-3</v>
      </c>
      <c r="N262" s="6"/>
      <c r="O262" s="25">
        <v>45901</v>
      </c>
      <c r="P262" s="32">
        <f t="shared" si="6"/>
        <v>0.72430539115877746</v>
      </c>
      <c r="Q262" s="32">
        <f t="shared" si="7"/>
        <v>8.8427154852082607E-2</v>
      </c>
      <c r="R262" s="32">
        <f t="shared" si="8"/>
        <v>9.1799111848955409E-2</v>
      </c>
      <c r="S262" s="32">
        <f t="shared" si="9"/>
        <v>2.7859943060679057E-2</v>
      </c>
      <c r="T262" s="46">
        <f t="shared" si="10"/>
        <v>6.7608399079505582E-2</v>
      </c>
      <c r="U262" s="32">
        <f t="shared" si="13"/>
        <v>1.0000000000000002</v>
      </c>
      <c r="V262" s="6"/>
      <c r="W262" s="6"/>
    </row>
    <row r="263" spans="5:23" ht="13.5" customHeight="1">
      <c r="E263" s="6"/>
      <c r="F263" s="25">
        <v>45931</v>
      </c>
      <c r="G263" s="38" cm="1">
        <f t="array" ref="G263">IF(G504="","",
G504*LOOKUP($F263,_xlfn._xlws.FILTER($F$454:$F$463,G$454:G$463&lt;&gt;""),_xlfn._xlws.FILTER(G$454:G$463,G$454:G$463&lt;&gt;"")))</f>
        <v>167.53950906172838</v>
      </c>
      <c r="H263" s="38" cm="1">
        <f t="array" ref="H263">IF(H504="","",
H504*LOOKUP($F263,_xlfn._xlws.FILTER($F$454:$F$463,H$454:H$463&lt;&gt;""),_xlfn._xlws.FILTER(H$454:H$463,H$454:H$463&lt;&gt;"")))</f>
        <v>159.74649298597197</v>
      </c>
      <c r="I263" s="38" cm="1">
        <f t="array" ref="I263">IF(I504="","",
I504*LOOKUP($F263,_xlfn._xlws.FILTER($F$454:$F$463,I$454:I$463&lt;&gt;""),_xlfn._xlws.FILTER(I$454:I$463,I$454:I$463&lt;&gt;"")))</f>
        <v>124.65148239635877</v>
      </c>
      <c r="J263" s="44">
        <f t="shared" si="11"/>
        <v>2.73</v>
      </c>
      <c r="K263" s="45" cm="1">
        <f t="array" ref="K263">IF(M504="","",
M504*LOOKUP($F263,_xlfn._xlws.FILTER($F$468:$F$477,G$468:G$477&lt;&gt;""),_xlfn._xlws.FILTER(G$468:G$477,G$468:G$477&lt;&gt;"")))</f>
        <v>123.7</v>
      </c>
      <c r="L263" s="41">
        <f t="shared" si="12"/>
        <v>143.16030321709783</v>
      </c>
      <c r="M263" s="34">
        <f t="shared" si="5"/>
        <v>1.034778357772459E-2</v>
      </c>
      <c r="N263" s="6"/>
      <c r="O263" s="25">
        <v>45931</v>
      </c>
      <c r="P263" s="32">
        <f t="shared" si="6"/>
        <v>0.73278018375830645</v>
      </c>
      <c r="Q263" s="32">
        <f t="shared" si="7"/>
        <v>8.6949932310180555E-2</v>
      </c>
      <c r="R263" s="32">
        <f t="shared" si="8"/>
        <v>8.9671742319243061E-2</v>
      </c>
      <c r="S263" s="32">
        <f t="shared" si="9"/>
        <v>2.7984638326035791E-2</v>
      </c>
      <c r="T263" s="46">
        <f t="shared" si="10"/>
        <v>6.2613503286234121E-2</v>
      </c>
      <c r="U263" s="32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8" cm="1">
        <f t="array" ref="G264">IF(G505="","",
G505*LOOKUP($F264,_xlfn._xlws.FILTER($F$454:$F$463,G$454:G$463&lt;&gt;""),_xlfn._xlws.FILTER(G$454:G$463,G$454:G$463&lt;&gt;"")))</f>
        <v>167.53950906172838</v>
      </c>
      <c r="H264" s="38" cm="1">
        <f t="array" ref="H264">IF(H505="","",
H505*LOOKUP($F264,_xlfn._xlws.FILTER($F$454:$F$463,H$454:H$463&lt;&gt;""),_xlfn._xlws.FILTER(H$454:H$463,H$454:H$463&lt;&gt;"")))</f>
        <v>159.61523046092185</v>
      </c>
      <c r="I264" s="38" cm="1">
        <f t="array" ref="I264">IF(I505="","",
I505*LOOKUP($F264,_xlfn._xlws.FILTER($F$454:$F$463,I$454:I$463&lt;&gt;""),_xlfn._xlws.FILTER(I$454:I$463,I$454:I$463&lt;&gt;"")))</f>
        <v>124.65148239635877</v>
      </c>
      <c r="J264" s="44">
        <f t="shared" si="11"/>
        <v>2.76</v>
      </c>
      <c r="K264" s="45" cm="1">
        <f t="array" ref="K264">IF(M505="","",
M505*LOOKUP($F264,_xlfn._xlws.FILTER($F$468:$F$477,G$468:G$477&lt;&gt;""),_xlfn._xlws.FILTER(G$468:G$477,G$468:G$477&lt;&gt;"")))</f>
        <v>116</v>
      </c>
      <c r="L264" s="41">
        <f t="shared" si="12"/>
        <v>142.63612911113256</v>
      </c>
      <c r="M264" s="34">
        <f t="shared" si="5"/>
        <v>-3.6614486990180772E-3</v>
      </c>
      <c r="N264" s="6"/>
      <c r="O264" s="25">
        <v>45962</v>
      </c>
      <c r="P264" s="32">
        <f t="shared" si="6"/>
        <v>0.73547308071284534</v>
      </c>
      <c r="Q264" s="32">
        <f t="shared" si="7"/>
        <v>8.719775629802648E-2</v>
      </c>
      <c r="R264" s="32">
        <f t="shared" si="8"/>
        <v>9.0001277379213138E-2</v>
      </c>
      <c r="S264" s="32">
        <f t="shared" si="9"/>
        <v>2.8396132807649809E-2</v>
      </c>
      <c r="T264" s="46">
        <f t="shared" si="10"/>
        <v>5.8931752802265397E-2</v>
      </c>
      <c r="U264" s="32">
        <f t="shared" si="13"/>
        <v>1.0000000000000002</v>
      </c>
      <c r="V264" s="6"/>
      <c r="W264" s="6"/>
    </row>
    <row r="265" spans="5:23" ht="13.5" customHeight="1">
      <c r="E265" s="6"/>
      <c r="F265" s="25">
        <v>45992</v>
      </c>
      <c r="G265" s="38" cm="1">
        <f t="array" ref="G265">IF(G506="","",
G506*LOOKUP($F265,_xlfn._xlws.FILTER($F$454:$F$463,G$454:G$463&lt;&gt;""),_xlfn._xlws.FILTER(G$454:G$463,G$454:G$463&lt;&gt;"")))</f>
        <v>167.53950906172838</v>
      </c>
      <c r="H265" s="38" cm="1">
        <f t="array" ref="H265">IF(H506="","",
H506*LOOKUP($F265,_xlfn._xlws.FILTER($F$454:$F$463,H$454:H$463&lt;&gt;""),_xlfn._xlws.FILTER(H$454:H$463,H$454:H$463&lt;&gt;"")))</f>
        <v>160.27154308617236</v>
      </c>
      <c r="I265" s="38" cm="1">
        <f t="array" ref="I265">IF(I506="","",
I506*LOOKUP($F265,_xlfn._xlws.FILTER($F$454:$F$463,I$454:I$463&lt;&gt;""),_xlfn._xlws.FILTER(I$454:I$463,I$454:I$463&lt;&gt;"")))</f>
        <v>126.30176680584279</v>
      </c>
      <c r="J265" s="44">
        <f t="shared" si="11"/>
        <v>2.68</v>
      </c>
      <c r="K265" s="45" cm="1">
        <f t="array" ref="K265">IF(M506="","",
M506*LOOKUP($F265,_xlfn._xlws.FILTER($F$468:$F$477,G$468:G$477&lt;&gt;""),_xlfn._xlws.FILTER(G$468:G$477,G$468:G$477&lt;&gt;"")))</f>
        <v>146.69999999999999</v>
      </c>
      <c r="L265" s="41">
        <f t="shared" si="12"/>
        <v>144.96446481627169</v>
      </c>
      <c r="M265" s="34">
        <f t="shared" si="5"/>
        <v>1.6323604122242097E-2</v>
      </c>
      <c r="N265" s="6"/>
      <c r="O265" s="25">
        <v>45992</v>
      </c>
      <c r="P265" s="32">
        <f t="shared" si="6"/>
        <v>0.72366033587111644</v>
      </c>
      <c r="Q265" s="32">
        <f t="shared" si="7"/>
        <v>8.6150020868083696E-2</v>
      </c>
      <c r="R265" s="32">
        <f t="shared" si="8"/>
        <v>8.972813466151712E-2</v>
      </c>
      <c r="S265" s="32">
        <f t="shared" si="9"/>
        <v>2.713019394860788E-2</v>
      </c>
      <c r="T265" s="46">
        <f t="shared" si="10"/>
        <v>7.33313146506748E-2</v>
      </c>
      <c r="U265" s="32">
        <f t="shared" si="13"/>
        <v>0.99999999999999978</v>
      </c>
      <c r="V265" s="6"/>
      <c r="W265" s="6"/>
    </row>
    <row r="266" spans="5:23" ht="13.5" customHeight="1">
      <c r="E266" s="6"/>
      <c r="F266" s="25">
        <v>46023</v>
      </c>
      <c r="G266" s="38" cm="1">
        <f t="array" ref="G266">IF(G507="","",
G507*LOOKUP($F266,_xlfn._xlws.FILTER($F$454:$F$463,G$454:G$463&lt;&gt;""),_xlfn._xlws.FILTER(G$454:G$463,G$454:G$463&lt;&gt;"")))</f>
        <v>167.02040911111109</v>
      </c>
      <c r="H266" s="38" cm="1">
        <f t="array" ref="H266">IF(H507="","",
H507*LOOKUP($F266,_xlfn._xlws.FILTER($F$454:$F$463,H$454:H$463&lt;&gt;""),_xlfn._xlws.FILTER(H$454:H$463,H$454:H$463&lt;&gt;"")))</f>
        <v>159.74649298597197</v>
      </c>
      <c r="I266" s="38" cm="1">
        <f t="array" ref="I266">IF(I507="","",
I507*LOOKUP($F266,_xlfn._xlws.FILTER($F$454:$F$463,I$454:I$463&lt;&gt;""),_xlfn._xlws.FILTER(I$454:I$463,I$454:I$463&lt;&gt;"")))</f>
        <v>125.42161512078465</v>
      </c>
      <c r="J266" s="44">
        <f t="shared" si="11"/>
        <v>2.69</v>
      </c>
      <c r="K266" s="45" cm="1">
        <f t="array" ref="K266">IF(M507="","",
M507*LOOKUP($F266,_xlfn._xlws.FILTER($F$468:$F$477,G$468:G$477&lt;&gt;""),_xlfn._xlws.FILTER(G$468:G$477,G$468:G$477&lt;&gt;"")))</f>
        <v>145.9</v>
      </c>
      <c r="L266" s="41">
        <f t="shared" si="12"/>
        <v>144.46457705963633</v>
      </c>
      <c r="M266" s="34">
        <f t="shared" si="5"/>
        <v>-3.4483468570654097E-3</v>
      </c>
      <c r="N266" s="6"/>
      <c r="O266" s="25">
        <v>46023</v>
      </c>
      <c r="P266" s="32">
        <f t="shared" si="6"/>
        <v>0.72391447417090593</v>
      </c>
      <c r="Q266" s="32">
        <f t="shared" si="7"/>
        <v>8.6164919647347335E-2</v>
      </c>
      <c r="R266" s="32">
        <f t="shared" si="8"/>
        <v>8.9411172227882724E-2</v>
      </c>
      <c r="S266" s="32">
        <f t="shared" si="9"/>
        <v>2.7325654349874943E-2</v>
      </c>
      <c r="T266" s="46">
        <f t="shared" si="10"/>
        <v>7.3183779603989224E-2</v>
      </c>
      <c r="U266" s="32">
        <f t="shared" si="13"/>
        <v>1.0000000000000002</v>
      </c>
      <c r="V266" s="6"/>
      <c r="W266" s="6"/>
    </row>
    <row r="267" spans="5:23" ht="13.5" customHeight="1">
      <c r="E267" s="6"/>
      <c r="F267" s="25">
        <v>46054</v>
      </c>
      <c r="G267" s="38" cm="1">
        <f t="array" ref="G267">IF(G508="","",
G508*LOOKUP($F267,_xlfn._xlws.FILTER($F$454:$F$463,G$454:G$463&lt;&gt;""),_xlfn._xlws.FILTER(G$454:G$463,G$454:G$463&lt;&gt;"")))</f>
        <v>167.02040911111109</v>
      </c>
      <c r="H267" s="38" cm="1">
        <f t="array" ref="H267">IF(H508="","",
H508*LOOKUP($F267,_xlfn._xlws.FILTER($F$454:$F$463,H$454:H$463&lt;&gt;""),_xlfn._xlws.FILTER(H$454:H$463,H$454:H$463&lt;&gt;"")))</f>
        <v>159.09018036072146</v>
      </c>
      <c r="I267" s="38" cm="1">
        <f t="array" ref="I267">IF(I508="","",
I508*LOOKUP($F267,_xlfn._xlws.FILTER($F$454:$F$463,I$454:I$463&lt;&gt;""),_xlfn._xlws.FILTER(I$454:I$463,I$454:I$463&lt;&gt;"")))</f>
        <v>124.32142551446198</v>
      </c>
      <c r="J267" s="44">
        <f t="shared" si="11"/>
        <v>2.79</v>
      </c>
      <c r="K267" s="45" cm="1">
        <f t="array" ref="K267">IF(M508="","",
M508*LOOKUP($F267,_xlfn._xlws.FILTER($F$468:$F$477,G$468:G$477&lt;&gt;""),_xlfn._xlws.FILTER(G$468:G$477,G$468:G$477&lt;&gt;"")))</f>
        <v>140.80000000000001</v>
      </c>
      <c r="L267" s="41">
        <f t="shared" si="12"/>
        <v>144.07731632300079</v>
      </c>
      <c r="M267" s="34">
        <f t="shared" si="5"/>
        <v>-2.6806622392676616E-3</v>
      </c>
      <c r="N267" s="6"/>
      <c r="O267" s="25">
        <v>46054</v>
      </c>
      <c r="P267" s="32">
        <f t="shared" si="6"/>
        <v>0.72586026036184292</v>
      </c>
      <c r="Q267" s="32">
        <f t="shared" si="7"/>
        <v>8.6041562593476381E-2</v>
      </c>
      <c r="R267" s="32">
        <f t="shared" si="8"/>
        <v>8.8865080966504334E-2</v>
      </c>
      <c r="S267" s="32">
        <f t="shared" si="9"/>
        <v>2.8417656069207903E-2</v>
      </c>
      <c r="T267" s="46">
        <f t="shared" si="10"/>
        <v>7.0815440008968486E-2</v>
      </c>
      <c r="U267" s="32">
        <f t="shared" si="13"/>
        <v>1</v>
      </c>
      <c r="V267" s="6"/>
      <c r="W267" s="6"/>
    </row>
    <row r="268" spans="5:23" ht="13.5" customHeight="1">
      <c r="E268" s="6"/>
      <c r="F268" s="25">
        <v>46082</v>
      </c>
      <c r="G268" s="38" cm="1">
        <f t="array" ref="G268">IF(G509="","",
G509*LOOKUP($F268,_xlfn._xlws.FILTER($F$454:$F$463,G$454:G$463&lt;&gt;""),_xlfn._xlws.FILTER(G$454:G$463,G$454:G$463&lt;&gt;"")))</f>
        <v>167.02040911111109</v>
      </c>
      <c r="H268" s="38" cm="1">
        <f t="array" ref="H268">IF(H509="","",
H509*LOOKUP($F268,_xlfn._xlws.FILTER($F$454:$F$463,H$454:H$463&lt;&gt;""),_xlfn._xlws.FILTER(H$454:H$463,H$454:H$463&lt;&gt;"")))</f>
        <v>158.18427224078528</v>
      </c>
      <c r="I268" s="38" cm="1">
        <f t="array" ref="I268">IF(I509="","",
I509*LOOKUP($F268,_xlfn._xlws.FILTER($F$454:$F$463,I$454:I$463&lt;&gt;""),_xlfn._xlws.FILTER(I$454:I$463,I$454:I$463&lt;&gt;"")))</f>
        <v>123.11121694750705</v>
      </c>
      <c r="J268" s="44">
        <f t="shared" si="11"/>
        <v>2.76</v>
      </c>
      <c r="K268" s="45" cm="1">
        <f t="array" ref="K268">IF(M509="","",
M509*LOOKUP($F268,_xlfn._xlws.FILTER($F$468:$F$477,G$468:G$477&lt;&gt;""),_xlfn._xlws.FILTER(G$468:G$477,G$468:G$477&lt;&gt;"")))</f>
        <v>154.4447086801427</v>
      </c>
      <c r="L268" s="41">
        <f t="shared" si="12"/>
        <v>144.82681264865363</v>
      </c>
      <c r="M268" s="34">
        <f t="shared" si="5"/>
        <v>5.2020425198133768E-3</v>
      </c>
      <c r="N268" s="6"/>
      <c r="O268" s="25">
        <v>46082</v>
      </c>
      <c r="P268" s="32">
        <f t="shared" si="6"/>
        <v>0.72210384545407014</v>
      </c>
      <c r="Q268" s="32">
        <f t="shared" si="7"/>
        <v>8.510887564374113E-2</v>
      </c>
      <c r="R268" s="32">
        <f t="shared" si="8"/>
        <v>8.754461186291948E-2</v>
      </c>
      <c r="S268" s="32">
        <f t="shared" si="9"/>
        <v>2.7966606399291348E-2</v>
      </c>
      <c r="T268" s="46">
        <f t="shared" si="10"/>
        <v>7.7276060639977925E-2</v>
      </c>
      <c r="U268" s="32">
        <f t="shared" si="13"/>
        <v>1</v>
      </c>
      <c r="V268" s="6"/>
      <c r="W268" s="6"/>
    </row>
    <row r="269" spans="5:23" ht="13.5" customHeight="1">
      <c r="E269" s="6"/>
      <c r="F269" s="25">
        <v>46113</v>
      </c>
      <c r="G269" s="38" t="str" cm="1">
        <f t="array" ref="G269">IF(G510="","",
G510*LOOKUP($F269,_xlfn._xlws.FILTER($F$454:$F$463,G$454:G$463&lt;&gt;""),_xlfn._xlws.FILTER(G$454:G$463,G$454:G$463&lt;&gt;"")))</f>
        <v/>
      </c>
      <c r="H269" s="38" t="str" cm="1">
        <f t="array" ref="H269">IF(H510="","",
H510*LOOKUP($F269,_xlfn._xlws.FILTER($F$454:$F$463,H$454:H$463&lt;&gt;""),_xlfn._xlws.FILTER(H$454:H$463,H$454:H$463&lt;&gt;"")))</f>
        <v/>
      </c>
      <c r="I269" s="38" t="str" cm="1">
        <f t="array" ref="I269">IF(I510="","",
I510*LOOKUP($F269,_xlfn._xlws.FILTER($F$454:$F$463,I$454:I$463&lt;&gt;""),_xlfn._xlws.FILTER(I$454:I$463,I$454:I$463&lt;&gt;"")))</f>
        <v/>
      </c>
      <c r="J269" s="44" t="str">
        <f t="shared" si="11"/>
        <v/>
      </c>
      <c r="K269" s="45" t="str" cm="1">
        <f t="array" ref="K269">IF(M510="","",
M510*LOOKUP($F269,_xlfn._xlws.FILTER($F$468:$F$477,G$468:G$477&lt;&gt;""),_xlfn._xlws.FILTER(G$468:G$477,G$468:G$477&lt;&gt;"")))</f>
        <v/>
      </c>
      <c r="L269" s="41" t="str">
        <f t="shared" si="12"/>
        <v/>
      </c>
      <c r="M269" s="34" t="str">
        <f t="shared" si="5"/>
        <v/>
      </c>
      <c r="N269" s="6"/>
      <c r="O269" s="25">
        <v>46113</v>
      </c>
      <c r="P269" s="32" t="str">
        <f t="shared" si="6"/>
        <v/>
      </c>
      <c r="Q269" s="32" t="str">
        <f t="shared" si="7"/>
        <v/>
      </c>
      <c r="R269" s="32" t="str">
        <f t="shared" si="8"/>
        <v/>
      </c>
      <c r="S269" s="32" t="str">
        <f t="shared" si="9"/>
        <v/>
      </c>
      <c r="T269" s="46" t="str">
        <f t="shared" si="10"/>
        <v/>
      </c>
      <c r="U269" s="32" t="str">
        <f t="shared" si="13"/>
        <v/>
      </c>
      <c r="V269" s="6"/>
      <c r="W269" s="6"/>
    </row>
    <row r="270" spans="5:23" ht="13.5" customHeight="1">
      <c r="E270" s="6"/>
      <c r="F270" s="25">
        <v>46143</v>
      </c>
      <c r="G270" s="38" t="str" cm="1">
        <f t="array" ref="G270">IF(G511="","",
G511*LOOKUP($F270,_xlfn._xlws.FILTER($F$454:$F$463,G$454:G$463&lt;&gt;""),_xlfn._xlws.FILTER(G$454:G$463,G$454:G$463&lt;&gt;"")))</f>
        <v/>
      </c>
      <c r="H270" s="38" t="str" cm="1">
        <f t="array" ref="H270">IF(H511="","",
H511*LOOKUP($F270,_xlfn._xlws.FILTER($F$454:$F$463,H$454:H$463&lt;&gt;""),_xlfn._xlws.FILTER(H$454:H$463,H$454:H$463&lt;&gt;"")))</f>
        <v/>
      </c>
      <c r="I270" s="38" t="str" cm="1">
        <f t="array" ref="I270">IF(I511="","",
I511*LOOKUP($F270,_xlfn._xlws.FILTER($F$454:$F$463,I$454:I$463&lt;&gt;""),_xlfn._xlws.FILTER(I$454:I$463,I$454:I$463&lt;&gt;"")))</f>
        <v/>
      </c>
      <c r="J270" s="44" t="str">
        <f t="shared" si="11"/>
        <v/>
      </c>
      <c r="K270" s="45" t="str" cm="1">
        <f t="array" ref="K270">IF(M511="","",
M511*LOOKUP($F270,_xlfn._xlws.FILTER($F$468:$F$477,G$468:G$477&lt;&gt;""),_xlfn._xlws.FILTER(G$468:G$477,G$468:G$477&lt;&gt;"")))</f>
        <v/>
      </c>
      <c r="L270" s="41" t="str">
        <f t="shared" si="12"/>
        <v/>
      </c>
      <c r="M270" s="34" t="str">
        <f t="shared" si="5"/>
        <v/>
      </c>
      <c r="N270" s="6"/>
      <c r="O270" s="25">
        <v>46143</v>
      </c>
      <c r="P270" s="32" t="str">
        <f t="shared" si="6"/>
        <v/>
      </c>
      <c r="Q270" s="32" t="str">
        <f t="shared" si="7"/>
        <v/>
      </c>
      <c r="R270" s="32" t="str">
        <f t="shared" si="8"/>
        <v/>
      </c>
      <c r="S270" s="32" t="str">
        <f t="shared" si="9"/>
        <v/>
      </c>
      <c r="T270" s="46" t="str">
        <f t="shared" si="10"/>
        <v/>
      </c>
      <c r="U270" s="32" t="str">
        <f t="shared" si="13"/>
        <v/>
      </c>
      <c r="V270" s="6"/>
      <c r="W270" s="6"/>
    </row>
    <row r="271" spans="5:23" ht="13.5" customHeight="1">
      <c r="E271" s="6"/>
      <c r="F271" s="25">
        <v>46174</v>
      </c>
      <c r="G271" s="38" t="str" cm="1">
        <f t="array" ref="G271">IF(G512="","",
G512*LOOKUP($F271,_xlfn._xlws.FILTER($F$454:$F$463,G$454:G$463&lt;&gt;""),_xlfn._xlws.FILTER(G$454:G$463,G$454:G$463&lt;&gt;"")))</f>
        <v/>
      </c>
      <c r="H271" s="38" t="str" cm="1">
        <f t="array" ref="H271">IF(H512="","",
H512*LOOKUP($F271,_xlfn._xlws.FILTER($F$454:$F$463,H$454:H$463&lt;&gt;""),_xlfn._xlws.FILTER(H$454:H$463,H$454:H$463&lt;&gt;"")))</f>
        <v/>
      </c>
      <c r="I271" s="38" t="str" cm="1">
        <f t="array" ref="I271">IF(I512="","",
I512*LOOKUP($F271,_xlfn._xlws.FILTER($F$454:$F$463,I$454:I$463&lt;&gt;""),_xlfn._xlws.FILTER(I$454:I$463,I$454:I$463&lt;&gt;"")))</f>
        <v/>
      </c>
      <c r="J271" s="44" t="str">
        <f t="shared" si="11"/>
        <v/>
      </c>
      <c r="K271" s="45" t="str" cm="1">
        <f t="array" ref="K271">IF(M512="","",
M512*LOOKUP($F271,_xlfn._xlws.FILTER($F$468:$F$477,G$468:G$477&lt;&gt;""),_xlfn._xlws.FILTER(G$468:G$477,G$468:G$477&lt;&gt;"")))</f>
        <v/>
      </c>
      <c r="L271" s="41" t="str">
        <f t="shared" si="12"/>
        <v/>
      </c>
      <c r="M271" s="34" t="str">
        <f t="shared" si="5"/>
        <v/>
      </c>
      <c r="N271" s="6"/>
      <c r="O271" s="25">
        <v>46174</v>
      </c>
      <c r="P271" s="32" t="str">
        <f t="shared" si="6"/>
        <v/>
      </c>
      <c r="Q271" s="32" t="str">
        <f t="shared" si="7"/>
        <v/>
      </c>
      <c r="R271" s="32" t="str">
        <f t="shared" si="8"/>
        <v/>
      </c>
      <c r="S271" s="32" t="str">
        <f t="shared" si="9"/>
        <v/>
      </c>
      <c r="T271" s="46" t="str">
        <f t="shared" si="10"/>
        <v/>
      </c>
      <c r="U271" s="32" t="str">
        <f t="shared" si="13"/>
        <v/>
      </c>
      <c r="V271" s="6"/>
      <c r="W271" s="6"/>
    </row>
    <row r="272" spans="5:23" ht="13.5" customHeight="1">
      <c r="E272" s="6"/>
      <c r="F272" s="25">
        <v>46204</v>
      </c>
      <c r="G272" s="38" t="str" cm="1">
        <f t="array" ref="G272">IF(G513="","",
G513*LOOKUP($F272,_xlfn._xlws.FILTER($F$454:$F$463,G$454:G$463&lt;&gt;""),_xlfn._xlws.FILTER(G$454:G$463,G$454:G$463&lt;&gt;"")))</f>
        <v/>
      </c>
      <c r="H272" s="38" t="str" cm="1">
        <f t="array" ref="H272">IF(H513="","",
H513*LOOKUP($F272,_xlfn._xlws.FILTER($F$454:$F$463,H$454:H$463&lt;&gt;""),_xlfn._xlws.FILTER(H$454:H$463,H$454:H$463&lt;&gt;"")))</f>
        <v/>
      </c>
      <c r="I272" s="38" t="str" cm="1">
        <f t="array" ref="I272">IF(I513="","",
I513*LOOKUP($F272,_xlfn._xlws.FILTER($F$454:$F$463,I$454:I$463&lt;&gt;""),_xlfn._xlws.FILTER(I$454:I$463,I$454:I$463&lt;&gt;"")))</f>
        <v/>
      </c>
      <c r="J272" s="44" t="str">
        <f t="shared" si="11"/>
        <v/>
      </c>
      <c r="K272" s="45" t="str" cm="1">
        <f t="array" ref="K272">IF(M513="","",
M513*LOOKUP($F272,_xlfn._xlws.FILTER($F$468:$F$477,G$468:G$477&lt;&gt;""),_xlfn._xlws.FILTER(G$468:G$477,G$468:G$477&lt;&gt;"")))</f>
        <v/>
      </c>
      <c r="L272" s="41" t="str">
        <f t="shared" si="12"/>
        <v/>
      </c>
      <c r="M272" s="34" t="str">
        <f t="shared" si="5"/>
        <v/>
      </c>
      <c r="N272" s="6"/>
      <c r="O272" s="25">
        <v>46204</v>
      </c>
      <c r="P272" s="32" t="str">
        <f t="shared" si="6"/>
        <v/>
      </c>
      <c r="Q272" s="32" t="str">
        <f t="shared" si="7"/>
        <v/>
      </c>
      <c r="R272" s="32" t="str">
        <f t="shared" si="8"/>
        <v/>
      </c>
      <c r="S272" s="32" t="str">
        <f t="shared" si="9"/>
        <v/>
      </c>
      <c r="T272" s="46" t="str">
        <f t="shared" si="10"/>
        <v/>
      </c>
      <c r="U272" s="32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8" t="str" cm="1">
        <f t="array" ref="G273">IF(G514="","",
G514*LOOKUP($F273,_xlfn._xlws.FILTER($F$454:$F$463,G$454:G$463&lt;&gt;""),_xlfn._xlws.FILTER(G$454:G$463,G$454:G$463&lt;&gt;"")))</f>
        <v/>
      </c>
      <c r="H273" s="38" t="str" cm="1">
        <f t="array" ref="H273">IF(H514="","",
H514*LOOKUP($F273,_xlfn._xlws.FILTER($F$454:$F$463,H$454:H$463&lt;&gt;""),_xlfn._xlws.FILTER(H$454:H$463,H$454:H$463&lt;&gt;"")))</f>
        <v/>
      </c>
      <c r="I273" s="38" t="str" cm="1">
        <f t="array" ref="I273">IF(I514="","",
I514*LOOKUP($F273,_xlfn._xlws.FILTER($F$454:$F$463,I$454:I$463&lt;&gt;""),_xlfn._xlws.FILTER(I$454:I$463,I$454:I$463&lt;&gt;"")))</f>
        <v/>
      </c>
      <c r="J273" s="44" t="str">
        <f t="shared" si="11"/>
        <v/>
      </c>
      <c r="K273" s="45" t="str" cm="1">
        <f t="array" ref="K273">IF(M514="","",
M514*LOOKUP($F273,_xlfn._xlws.FILTER($F$468:$F$477,G$468:G$477&lt;&gt;""),_xlfn._xlws.FILTER(G$468:G$477,G$468:G$477&lt;&gt;"")))</f>
        <v/>
      </c>
      <c r="L273" s="41" t="str">
        <f t="shared" si="12"/>
        <v/>
      </c>
      <c r="M273" s="34" t="str">
        <f t="shared" si="5"/>
        <v/>
      </c>
      <c r="N273" s="6"/>
      <c r="O273" s="25">
        <v>46235</v>
      </c>
      <c r="P273" s="32" t="str">
        <f t="shared" si="6"/>
        <v/>
      </c>
      <c r="Q273" s="32" t="str">
        <f t="shared" si="7"/>
        <v/>
      </c>
      <c r="R273" s="32" t="str">
        <f t="shared" si="8"/>
        <v/>
      </c>
      <c r="S273" s="32" t="str">
        <f t="shared" si="9"/>
        <v/>
      </c>
      <c r="T273" s="46" t="str">
        <f t="shared" si="10"/>
        <v/>
      </c>
      <c r="U273" s="32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8" t="str" cm="1">
        <f t="array" ref="G274">IF(G515="","",
G515*LOOKUP($F274,_xlfn._xlws.FILTER($F$454:$F$463,G$454:G$463&lt;&gt;""),_xlfn._xlws.FILTER(G$454:G$463,G$454:G$463&lt;&gt;"")))</f>
        <v/>
      </c>
      <c r="H274" s="38" t="str" cm="1">
        <f t="array" ref="H274">IF(H515="","",
H515*LOOKUP($F274,_xlfn._xlws.FILTER($F$454:$F$463,H$454:H$463&lt;&gt;""),_xlfn._xlws.FILTER(H$454:H$463,H$454:H$463&lt;&gt;"")))</f>
        <v/>
      </c>
      <c r="I274" s="38" t="str" cm="1">
        <f t="array" ref="I274">IF(I515="","",
I515*LOOKUP($F274,_xlfn._xlws.FILTER($F$454:$F$463,I$454:I$463&lt;&gt;""),_xlfn._xlws.FILTER(I$454:I$463,I$454:I$463&lt;&gt;"")))</f>
        <v/>
      </c>
      <c r="J274" s="44" t="str">
        <f t="shared" si="11"/>
        <v/>
      </c>
      <c r="K274" s="45" t="str" cm="1">
        <f t="array" ref="K274">IF(M515="","",
M515*LOOKUP($F274,_xlfn._xlws.FILTER($F$468:$F$477,G$468:G$477&lt;&gt;""),_xlfn._xlws.FILTER(G$468:G$477,G$468:G$477&lt;&gt;"")))</f>
        <v/>
      </c>
      <c r="L274" s="41" t="str">
        <f t="shared" si="12"/>
        <v/>
      </c>
      <c r="M274" s="34" t="str">
        <f t="shared" si="5"/>
        <v/>
      </c>
      <c r="N274" s="6"/>
      <c r="O274" s="25">
        <v>46266</v>
      </c>
      <c r="P274" s="32" t="str">
        <f t="shared" si="6"/>
        <v/>
      </c>
      <c r="Q274" s="32" t="str">
        <f t="shared" si="7"/>
        <v/>
      </c>
      <c r="R274" s="32" t="str">
        <f t="shared" si="8"/>
        <v/>
      </c>
      <c r="S274" s="32" t="str">
        <f t="shared" si="9"/>
        <v/>
      </c>
      <c r="T274" s="46" t="str">
        <f t="shared" si="10"/>
        <v/>
      </c>
      <c r="U274" s="32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8" t="str" cm="1">
        <f t="array" ref="G275">IF(G516="","",
G516*LOOKUP($F275,_xlfn._xlws.FILTER($F$454:$F$463,G$454:G$463&lt;&gt;""),_xlfn._xlws.FILTER(G$454:G$463,G$454:G$463&lt;&gt;"")))</f>
        <v/>
      </c>
      <c r="H275" s="38" t="str" cm="1">
        <f t="array" ref="H275">IF(H516="","",
H516*LOOKUP($F275,_xlfn._xlws.FILTER($F$454:$F$463,H$454:H$463&lt;&gt;""),_xlfn._xlws.FILTER(H$454:H$463,H$454:H$463&lt;&gt;"")))</f>
        <v/>
      </c>
      <c r="I275" s="38" t="str" cm="1">
        <f t="array" ref="I275">IF(I516="","",
I516*LOOKUP($F275,_xlfn._xlws.FILTER($F$454:$F$463,I$454:I$463&lt;&gt;""),_xlfn._xlws.FILTER(I$454:I$463,I$454:I$463&lt;&gt;"")))</f>
        <v/>
      </c>
      <c r="J275" s="44" t="str">
        <f t="shared" si="11"/>
        <v/>
      </c>
      <c r="K275" s="45" t="str" cm="1">
        <f t="array" ref="K275">IF(M516="","",
M516*LOOKUP($F275,_xlfn._xlws.FILTER($F$468:$F$477,G$468:G$477&lt;&gt;""),_xlfn._xlws.FILTER(G$468:G$477,G$468:G$477&lt;&gt;"")))</f>
        <v/>
      </c>
      <c r="L275" s="41" t="str">
        <f t="shared" si="12"/>
        <v/>
      </c>
      <c r="M275" s="34" t="str">
        <f t="shared" si="5"/>
        <v/>
      </c>
      <c r="N275" s="6"/>
      <c r="O275" s="25">
        <v>46296</v>
      </c>
      <c r="P275" s="32" t="str">
        <f t="shared" si="6"/>
        <v/>
      </c>
      <c r="Q275" s="32" t="str">
        <f t="shared" si="7"/>
        <v/>
      </c>
      <c r="R275" s="32" t="str">
        <f t="shared" si="8"/>
        <v/>
      </c>
      <c r="S275" s="32" t="str">
        <f t="shared" si="9"/>
        <v/>
      </c>
      <c r="T275" s="46" t="str">
        <f t="shared" si="10"/>
        <v/>
      </c>
      <c r="U275" s="32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8" t="str" cm="1">
        <f t="array" ref="G276">IF(G517="","",
G517*LOOKUP($F276,_xlfn._xlws.FILTER($F$454:$F$463,G$454:G$463&lt;&gt;""),_xlfn._xlws.FILTER(G$454:G$463,G$454:G$463&lt;&gt;"")))</f>
        <v/>
      </c>
      <c r="H276" s="38" t="str" cm="1">
        <f t="array" ref="H276">IF(H517="","",
H517*LOOKUP($F276,_xlfn._xlws.FILTER($F$454:$F$463,H$454:H$463&lt;&gt;""),_xlfn._xlws.FILTER(H$454:H$463,H$454:H$463&lt;&gt;"")))</f>
        <v/>
      </c>
      <c r="I276" s="38" t="str" cm="1">
        <f t="array" ref="I276">IF(I517="","",
I517*LOOKUP($F276,_xlfn._xlws.FILTER($F$454:$F$463,I$454:I$463&lt;&gt;""),_xlfn._xlws.FILTER(I$454:I$463,I$454:I$463&lt;&gt;"")))</f>
        <v/>
      </c>
      <c r="J276" s="44" t="str">
        <f t="shared" si="11"/>
        <v/>
      </c>
      <c r="K276" s="45" t="str" cm="1">
        <f t="array" ref="K276">IF(M517="","",
M517*LOOKUP($F276,_xlfn._xlws.FILTER($F$468:$F$477,G$468:G$477&lt;&gt;""),_xlfn._xlws.FILTER(G$468:G$477,G$468:G$477&lt;&gt;"")))</f>
        <v/>
      </c>
      <c r="L276" s="41" t="str">
        <f t="shared" si="12"/>
        <v/>
      </c>
      <c r="M276" s="34" t="str">
        <f t="shared" si="5"/>
        <v/>
      </c>
      <c r="N276" s="6"/>
      <c r="O276" s="25">
        <v>46327</v>
      </c>
      <c r="P276" s="32" t="str">
        <f t="shared" si="6"/>
        <v/>
      </c>
      <c r="Q276" s="32" t="str">
        <f t="shared" si="7"/>
        <v/>
      </c>
      <c r="R276" s="32" t="str">
        <f t="shared" si="8"/>
        <v/>
      </c>
      <c r="S276" s="32" t="str">
        <f t="shared" si="9"/>
        <v/>
      </c>
      <c r="T276" s="46" t="str">
        <f t="shared" si="10"/>
        <v/>
      </c>
      <c r="U276" s="32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8" t="str" cm="1">
        <f t="array" ref="G277">IF(G518="","",
G518*LOOKUP($F277,_xlfn._xlws.FILTER($F$454:$F$463,G$454:G$463&lt;&gt;""),_xlfn._xlws.FILTER(G$454:G$463,G$454:G$463&lt;&gt;"")))</f>
        <v/>
      </c>
      <c r="H277" s="38" t="str" cm="1">
        <f t="array" ref="H277">IF(H518="","",
H518*LOOKUP($F277,_xlfn._xlws.FILTER($F$454:$F$463,H$454:H$463&lt;&gt;""),_xlfn._xlws.FILTER(H$454:H$463,H$454:H$463&lt;&gt;"")))</f>
        <v/>
      </c>
      <c r="I277" s="38" t="str" cm="1">
        <f t="array" ref="I277">IF(I518="","",
I518*LOOKUP($F277,_xlfn._xlws.FILTER($F$454:$F$463,I$454:I$463&lt;&gt;""),_xlfn._xlws.FILTER(I$454:I$463,I$454:I$463&lt;&gt;"")))</f>
        <v/>
      </c>
      <c r="J277" s="44" t="str">
        <f t="shared" si="11"/>
        <v/>
      </c>
      <c r="K277" s="45" t="str" cm="1">
        <f t="array" ref="K277">IF(M518="","",
M518*LOOKUP($F277,_xlfn._xlws.FILTER($F$468:$F$477,G$468:G$477&lt;&gt;""),_xlfn._xlws.FILTER(G$468:G$477,G$468:G$477&lt;&gt;"")))</f>
        <v/>
      </c>
      <c r="L277" s="41" t="str">
        <f t="shared" si="12"/>
        <v/>
      </c>
      <c r="M277" s="34" t="str">
        <f t="shared" si="5"/>
        <v/>
      </c>
      <c r="N277" s="6"/>
      <c r="O277" s="25">
        <v>46357</v>
      </c>
      <c r="P277" s="32" t="str">
        <f t="shared" si="6"/>
        <v/>
      </c>
      <c r="Q277" s="32" t="str">
        <f t="shared" si="7"/>
        <v/>
      </c>
      <c r="R277" s="32" t="str">
        <f t="shared" si="8"/>
        <v/>
      </c>
      <c r="S277" s="32" t="str">
        <f t="shared" si="9"/>
        <v/>
      </c>
      <c r="T277" s="46" t="str">
        <f t="shared" si="10"/>
        <v/>
      </c>
      <c r="U277" s="32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8" t="str" cm="1">
        <f t="array" ref="G278">IF(G519="","",
G519*LOOKUP($F278,_xlfn._xlws.FILTER($F$454:$F$463,G$454:G$463&lt;&gt;""),_xlfn._xlws.FILTER(G$454:G$463,G$454:G$463&lt;&gt;"")))</f>
        <v/>
      </c>
      <c r="H278" s="38" t="str" cm="1">
        <f t="array" ref="H278">IF(H519="","",
H519*LOOKUP($F278,_xlfn._xlws.FILTER($F$454:$F$463,H$454:H$463&lt;&gt;""),_xlfn._xlws.FILTER(H$454:H$463,H$454:H$463&lt;&gt;"")))</f>
        <v/>
      </c>
      <c r="I278" s="38" t="str" cm="1">
        <f t="array" ref="I278">IF(I519="","",
I519*LOOKUP($F278,_xlfn._xlws.FILTER($F$454:$F$463,I$454:I$463&lt;&gt;""),_xlfn._xlws.FILTER(I$454:I$463,I$454:I$463&lt;&gt;"")))</f>
        <v/>
      </c>
      <c r="J278" s="44" t="str">
        <f t="shared" si="11"/>
        <v/>
      </c>
      <c r="K278" s="45" t="str" cm="1">
        <f t="array" ref="K278">IF(M519="","",
M519*LOOKUP($F278,_xlfn._xlws.FILTER($F$468:$F$477,G$468:G$477&lt;&gt;""),_xlfn._xlws.FILTER(G$468:G$477,G$468:G$477&lt;&gt;"")))</f>
        <v/>
      </c>
      <c r="L278" s="41" t="str">
        <f t="shared" si="12"/>
        <v/>
      </c>
      <c r="M278" s="34" t="str">
        <f t="shared" ref="M278:M341" si="14">IF(L278="","",L278/L277-1)</f>
        <v/>
      </c>
      <c r="N278" s="6"/>
      <c r="O278" s="25">
        <v>46388</v>
      </c>
      <c r="P278" s="32" t="str">
        <f t="shared" si="6"/>
        <v/>
      </c>
      <c r="Q278" s="32" t="str">
        <f t="shared" si="7"/>
        <v/>
      </c>
      <c r="R278" s="32" t="str">
        <f t="shared" si="8"/>
        <v/>
      </c>
      <c r="S278" s="32" t="str">
        <f t="shared" si="9"/>
        <v/>
      </c>
      <c r="T278" s="46" t="str">
        <f t="shared" si="10"/>
        <v/>
      </c>
      <c r="U278" s="32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8" t="str" cm="1">
        <f t="array" ref="G279">IF(G520="","",
G520*LOOKUP($F279,_xlfn._xlws.FILTER($F$454:$F$463,G$454:G$463&lt;&gt;""),_xlfn._xlws.FILTER(G$454:G$463,G$454:G$463&lt;&gt;"")))</f>
        <v/>
      </c>
      <c r="H279" s="38" t="str" cm="1">
        <f t="array" ref="H279">IF(H520="","",
H520*LOOKUP($F279,_xlfn._xlws.FILTER($F$454:$F$463,H$454:H$463&lt;&gt;""),_xlfn._xlws.FILTER(H$454:H$463,H$454:H$463&lt;&gt;"")))</f>
        <v/>
      </c>
      <c r="I279" s="38" t="str" cm="1">
        <f t="array" ref="I279">IF(I520="","",
I520*LOOKUP($F279,_xlfn._xlws.FILTER($F$454:$F$463,I$454:I$463&lt;&gt;""),_xlfn._xlws.FILTER(I$454:I$463,I$454:I$463&lt;&gt;"")))</f>
        <v/>
      </c>
      <c r="J279" s="44" t="str">
        <f t="shared" si="11"/>
        <v/>
      </c>
      <c r="K279" s="45" t="str" cm="1">
        <f t="array" ref="K279">IF(M520="","",
M520*LOOKUP($F279,_xlfn._xlws.FILTER($F$468:$F$477,G$468:G$477&lt;&gt;""),_xlfn._xlws.FILTER(G$468:G$477,G$468:G$477&lt;&gt;"")))</f>
        <v/>
      </c>
      <c r="L279" s="41" t="str">
        <f t="shared" si="12"/>
        <v/>
      </c>
      <c r="M279" s="34" t="str">
        <f t="shared" si="14"/>
        <v/>
      </c>
      <c r="N279" s="6"/>
      <c r="O279" s="25">
        <v>46419</v>
      </c>
      <c r="P279" s="32" t="str">
        <f t="shared" si="6"/>
        <v/>
      </c>
      <c r="Q279" s="32" t="str">
        <f t="shared" si="7"/>
        <v/>
      </c>
      <c r="R279" s="32" t="str">
        <f t="shared" si="8"/>
        <v/>
      </c>
      <c r="S279" s="32" t="str">
        <f t="shared" si="9"/>
        <v/>
      </c>
      <c r="T279" s="46" t="str">
        <f t="shared" si="10"/>
        <v/>
      </c>
      <c r="U279" s="32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8" t="str" cm="1">
        <f t="array" ref="G280">IF(G521="","",
G521*LOOKUP($F280,_xlfn._xlws.FILTER($F$454:$F$463,G$454:G$463&lt;&gt;""),_xlfn._xlws.FILTER(G$454:G$463,G$454:G$463&lt;&gt;"")))</f>
        <v/>
      </c>
      <c r="H280" s="38" t="str" cm="1">
        <f t="array" ref="H280">IF(H521="","",
H521*LOOKUP($F280,_xlfn._xlws.FILTER($F$454:$F$463,H$454:H$463&lt;&gt;""),_xlfn._xlws.FILTER(H$454:H$463,H$454:H$463&lt;&gt;"")))</f>
        <v/>
      </c>
      <c r="I280" s="38" t="str" cm="1">
        <f t="array" ref="I280">IF(I521="","",
I521*LOOKUP($F280,_xlfn._xlws.FILTER($F$454:$F$463,I$454:I$463&lt;&gt;""),_xlfn._xlws.FILTER(I$454:I$463,I$454:I$463&lt;&gt;"")))</f>
        <v/>
      </c>
      <c r="J280" s="44" t="str">
        <f t="shared" si="11"/>
        <v/>
      </c>
      <c r="K280" s="45" t="str" cm="1">
        <f t="array" ref="K280">IF(M521="","",
M521*LOOKUP($F280,_xlfn._xlws.FILTER($F$468:$F$477,G$468:G$477&lt;&gt;""),_xlfn._xlws.FILTER(G$468:G$477,G$468:G$477&lt;&gt;"")))</f>
        <v/>
      </c>
      <c r="L280" s="41" t="str">
        <f t="shared" si="12"/>
        <v/>
      </c>
      <c r="M280" s="34" t="str">
        <f t="shared" si="14"/>
        <v/>
      </c>
      <c r="N280" s="6"/>
      <c r="O280" s="25">
        <v>46447</v>
      </c>
      <c r="P280" s="32" t="str">
        <f t="shared" si="6"/>
        <v/>
      </c>
      <c r="Q280" s="32" t="str">
        <f t="shared" si="7"/>
        <v/>
      </c>
      <c r="R280" s="32" t="str">
        <f t="shared" si="8"/>
        <v/>
      </c>
      <c r="S280" s="32" t="str">
        <f t="shared" si="9"/>
        <v/>
      </c>
      <c r="T280" s="46" t="str">
        <f t="shared" si="10"/>
        <v/>
      </c>
      <c r="U280" s="32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8" t="str" cm="1">
        <f t="array" ref="G281">IF(G522="","",
G522*LOOKUP($F281,_xlfn._xlws.FILTER($F$454:$F$463,G$454:G$463&lt;&gt;""),_xlfn._xlws.FILTER(G$454:G$463,G$454:G$463&lt;&gt;"")))</f>
        <v/>
      </c>
      <c r="H281" s="38" t="str" cm="1">
        <f t="array" ref="H281">IF(H522="","",
H522*LOOKUP($F281,_xlfn._xlws.FILTER($F$454:$F$463,H$454:H$463&lt;&gt;""),_xlfn._xlws.FILTER(H$454:H$463,H$454:H$463&lt;&gt;"")))</f>
        <v/>
      </c>
      <c r="I281" s="38" t="str" cm="1">
        <f t="array" ref="I281">IF(I522="","",
I522*LOOKUP($F281,_xlfn._xlws.FILTER($F$454:$F$463,I$454:I$463&lt;&gt;""),_xlfn._xlws.FILTER(I$454:I$463,I$454:I$463&lt;&gt;"")))</f>
        <v/>
      </c>
      <c r="J281" s="44" t="str">
        <f t="shared" si="11"/>
        <v/>
      </c>
      <c r="K281" s="45" t="str" cm="1">
        <f t="array" ref="K281">IF(M522="","",
M522*LOOKUP($F281,_xlfn._xlws.FILTER($F$468:$F$477,G$468:G$477&lt;&gt;""),_xlfn._xlws.FILTER(G$468:G$477,G$468:G$477&lt;&gt;"")))</f>
        <v/>
      </c>
      <c r="L281" s="41" t="str">
        <f t="shared" si="12"/>
        <v/>
      </c>
      <c r="M281" s="34" t="str">
        <f t="shared" si="14"/>
        <v/>
      </c>
      <c r="N281" s="6"/>
      <c r="O281" s="25">
        <v>46478</v>
      </c>
      <c r="P281" s="32" t="str">
        <f t="shared" si="6"/>
        <v/>
      </c>
      <c r="Q281" s="32" t="str">
        <f t="shared" si="7"/>
        <v/>
      </c>
      <c r="R281" s="32" t="str">
        <f t="shared" si="8"/>
        <v/>
      </c>
      <c r="S281" s="32" t="str">
        <f t="shared" si="9"/>
        <v/>
      </c>
      <c r="T281" s="46" t="str">
        <f t="shared" si="10"/>
        <v/>
      </c>
      <c r="U281" s="32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8" t="str" cm="1">
        <f t="array" ref="G282">IF(G523="","",
G523*LOOKUP($F282,_xlfn._xlws.FILTER($F$454:$F$463,G$454:G$463&lt;&gt;""),_xlfn._xlws.FILTER(G$454:G$463,G$454:G$463&lt;&gt;"")))</f>
        <v/>
      </c>
      <c r="H282" s="38" t="str" cm="1">
        <f t="array" ref="H282">IF(H523="","",
H523*LOOKUP($F282,_xlfn._xlws.FILTER($F$454:$F$463,H$454:H$463&lt;&gt;""),_xlfn._xlws.FILTER(H$454:H$463,H$454:H$463&lt;&gt;"")))</f>
        <v/>
      </c>
      <c r="I282" s="38" t="str" cm="1">
        <f t="array" ref="I282">IF(I523="","",
I523*LOOKUP($F282,_xlfn._xlws.FILTER($F$454:$F$463,I$454:I$463&lt;&gt;""),_xlfn._xlws.FILTER(I$454:I$463,I$454:I$463&lt;&gt;"")))</f>
        <v/>
      </c>
      <c r="J282" s="44" t="str">
        <f t="shared" si="11"/>
        <v/>
      </c>
      <c r="K282" s="45" t="str" cm="1">
        <f t="array" ref="K282">IF(M523="","",
M523*LOOKUP($F282,_xlfn._xlws.FILTER($F$468:$F$477,G$468:G$477&lt;&gt;""),_xlfn._xlws.FILTER(G$468:G$477,G$468:G$477&lt;&gt;"")))</f>
        <v/>
      </c>
      <c r="L282" s="41" t="str">
        <f t="shared" si="12"/>
        <v/>
      </c>
      <c r="M282" s="34" t="str">
        <f t="shared" si="14"/>
        <v/>
      </c>
      <c r="N282" s="6"/>
      <c r="O282" s="25">
        <v>46508</v>
      </c>
      <c r="P282" s="32" t="str">
        <f t="shared" si="6"/>
        <v/>
      </c>
      <c r="Q282" s="32" t="str">
        <f t="shared" si="7"/>
        <v/>
      </c>
      <c r="R282" s="32" t="str">
        <f t="shared" si="8"/>
        <v/>
      </c>
      <c r="S282" s="32" t="str">
        <f t="shared" si="9"/>
        <v/>
      </c>
      <c r="T282" s="46" t="str">
        <f t="shared" si="10"/>
        <v/>
      </c>
      <c r="U282" s="32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8" t="str" cm="1">
        <f t="array" ref="G283">IF(G524="","",
G524*LOOKUP($F283,_xlfn._xlws.FILTER($F$454:$F$463,G$454:G$463&lt;&gt;""),_xlfn._xlws.FILTER(G$454:G$463,G$454:G$463&lt;&gt;"")))</f>
        <v/>
      </c>
      <c r="H283" s="38" t="str" cm="1">
        <f t="array" ref="H283">IF(H524="","",
H524*LOOKUP($F283,_xlfn._xlws.FILTER($F$454:$F$463,H$454:H$463&lt;&gt;""),_xlfn._xlws.FILTER(H$454:H$463,H$454:H$463&lt;&gt;"")))</f>
        <v/>
      </c>
      <c r="I283" s="38" t="str" cm="1">
        <f t="array" ref="I283">IF(I524="","",
I524*LOOKUP($F283,_xlfn._xlws.FILTER($F$454:$F$463,I$454:I$463&lt;&gt;""),_xlfn._xlws.FILTER(I$454:I$463,I$454:I$463&lt;&gt;"")))</f>
        <v/>
      </c>
      <c r="J283" s="44" t="str">
        <f t="shared" si="11"/>
        <v/>
      </c>
      <c r="K283" s="45" t="str" cm="1">
        <f t="array" ref="K283">IF(M524="","",
M524*LOOKUP($F283,_xlfn._xlws.FILTER($F$468:$F$477,G$468:G$477&lt;&gt;""),_xlfn._xlws.FILTER(G$468:G$477,G$468:G$477&lt;&gt;"")))</f>
        <v/>
      </c>
      <c r="L283" s="41" t="str">
        <f t="shared" si="12"/>
        <v/>
      </c>
      <c r="M283" s="34" t="str">
        <f t="shared" si="14"/>
        <v/>
      </c>
      <c r="N283" s="6"/>
      <c r="O283" s="25">
        <v>46539</v>
      </c>
      <c r="P283" s="32" t="str">
        <f t="shared" si="6"/>
        <v/>
      </c>
      <c r="Q283" s="32" t="str">
        <f t="shared" si="7"/>
        <v/>
      </c>
      <c r="R283" s="32" t="str">
        <f t="shared" si="8"/>
        <v/>
      </c>
      <c r="S283" s="32" t="str">
        <f t="shared" si="9"/>
        <v/>
      </c>
      <c r="T283" s="46" t="str">
        <f t="shared" si="10"/>
        <v/>
      </c>
      <c r="U283" s="32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8" t="str" cm="1">
        <f t="array" ref="G284">IF(G525="","",
G525*LOOKUP($F284,_xlfn._xlws.FILTER($F$454:$F$463,G$454:G$463&lt;&gt;""),_xlfn._xlws.FILTER(G$454:G$463,G$454:G$463&lt;&gt;"")))</f>
        <v/>
      </c>
      <c r="H284" s="38" t="str" cm="1">
        <f t="array" ref="H284">IF(H525="","",
H525*LOOKUP($F284,_xlfn._xlws.FILTER($F$454:$F$463,H$454:H$463&lt;&gt;""),_xlfn._xlws.FILTER(H$454:H$463,H$454:H$463&lt;&gt;"")))</f>
        <v/>
      </c>
      <c r="I284" s="38" t="str" cm="1">
        <f t="array" ref="I284">IF(I525="","",
I525*LOOKUP($F284,_xlfn._xlws.FILTER($F$454:$F$463,I$454:I$463&lt;&gt;""),_xlfn._xlws.FILTER(I$454:I$463,I$454:I$463&lt;&gt;"")))</f>
        <v/>
      </c>
      <c r="J284" s="44" t="str">
        <f t="shared" si="11"/>
        <v/>
      </c>
      <c r="K284" s="45" t="str" cm="1">
        <f t="array" ref="K284">IF(M525="","",
M525*LOOKUP($F284,_xlfn._xlws.FILTER($F$468:$F$477,G$468:G$477&lt;&gt;""),_xlfn._xlws.FILTER(G$468:G$477,G$468:G$477&lt;&gt;"")))</f>
        <v/>
      </c>
      <c r="L284" s="41" t="str">
        <f t="shared" si="12"/>
        <v/>
      </c>
      <c r="M284" s="34" t="str">
        <f t="shared" si="14"/>
        <v/>
      </c>
      <c r="N284" s="6"/>
      <c r="O284" s="25">
        <v>46569</v>
      </c>
      <c r="P284" s="32" t="str">
        <f t="shared" si="6"/>
        <v/>
      </c>
      <c r="Q284" s="32" t="str">
        <f t="shared" si="7"/>
        <v/>
      </c>
      <c r="R284" s="32" t="str">
        <f t="shared" si="8"/>
        <v/>
      </c>
      <c r="S284" s="32" t="str">
        <f t="shared" si="9"/>
        <v/>
      </c>
      <c r="T284" s="46" t="str">
        <f t="shared" si="10"/>
        <v/>
      </c>
      <c r="U284" s="32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8" t="str" cm="1">
        <f t="array" ref="G285">IF(G526="","",
G526*LOOKUP($F285,_xlfn._xlws.FILTER($F$454:$F$463,G$454:G$463&lt;&gt;""),_xlfn._xlws.FILTER(G$454:G$463,G$454:G$463&lt;&gt;"")))</f>
        <v/>
      </c>
      <c r="H285" s="38" t="str" cm="1">
        <f t="array" ref="H285">IF(H526="","",
H526*LOOKUP($F285,_xlfn._xlws.FILTER($F$454:$F$463,H$454:H$463&lt;&gt;""),_xlfn._xlws.FILTER(H$454:H$463,H$454:H$463&lt;&gt;"")))</f>
        <v/>
      </c>
      <c r="I285" s="38" t="str" cm="1">
        <f t="array" ref="I285">IF(I526="","",
I526*LOOKUP($F285,_xlfn._xlws.FILTER($F$454:$F$463,I$454:I$463&lt;&gt;""),_xlfn._xlws.FILTER(I$454:I$463,I$454:I$463&lt;&gt;"")))</f>
        <v/>
      </c>
      <c r="J285" s="44" t="str">
        <f t="shared" si="11"/>
        <v/>
      </c>
      <c r="K285" s="45" t="str" cm="1">
        <f t="array" ref="K285">IF(M526="","",
M526*LOOKUP($F285,_xlfn._xlws.FILTER($F$468:$F$477,G$468:G$477&lt;&gt;""),_xlfn._xlws.FILTER(G$468:G$477,G$468:G$477&lt;&gt;"")))</f>
        <v/>
      </c>
      <c r="L285" s="41" t="str">
        <f t="shared" si="12"/>
        <v/>
      </c>
      <c r="M285" s="34" t="str">
        <f t="shared" si="14"/>
        <v/>
      </c>
      <c r="N285" s="6"/>
      <c r="O285" s="25">
        <v>46600</v>
      </c>
      <c r="P285" s="32" t="str">
        <f t="shared" si="6"/>
        <v/>
      </c>
      <c r="Q285" s="32" t="str">
        <f t="shared" si="7"/>
        <v/>
      </c>
      <c r="R285" s="32" t="str">
        <f t="shared" si="8"/>
        <v/>
      </c>
      <c r="S285" s="32" t="str">
        <f t="shared" si="9"/>
        <v/>
      </c>
      <c r="T285" s="46" t="str">
        <f t="shared" si="10"/>
        <v/>
      </c>
      <c r="U285" s="32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8" t="str" cm="1">
        <f t="array" ref="G286">IF(G527="","",
G527*LOOKUP($F286,_xlfn._xlws.FILTER($F$454:$F$463,G$454:G$463&lt;&gt;""),_xlfn._xlws.FILTER(G$454:G$463,G$454:G$463&lt;&gt;"")))</f>
        <v/>
      </c>
      <c r="H286" s="38" t="str" cm="1">
        <f t="array" ref="H286">IF(H527="","",
H527*LOOKUP($F286,_xlfn._xlws.FILTER($F$454:$F$463,H$454:H$463&lt;&gt;""),_xlfn._xlws.FILTER(H$454:H$463,H$454:H$463&lt;&gt;"")))</f>
        <v/>
      </c>
      <c r="I286" s="38" t="str" cm="1">
        <f t="array" ref="I286">IF(I527="","",
I527*LOOKUP($F286,_xlfn._xlws.FILTER($F$454:$F$463,I$454:I$463&lt;&gt;""),_xlfn._xlws.FILTER(I$454:I$463,I$454:I$463&lt;&gt;"")))</f>
        <v/>
      </c>
      <c r="J286" s="44" t="str">
        <f t="shared" si="11"/>
        <v/>
      </c>
      <c r="K286" s="45" t="str" cm="1">
        <f t="array" ref="K286">IF(M527="","",
M527*LOOKUP($F286,_xlfn._xlws.FILTER($F$468:$F$477,G$468:G$477&lt;&gt;""),_xlfn._xlws.FILTER(G$468:G$477,G$468:G$477&lt;&gt;"")))</f>
        <v/>
      </c>
      <c r="L286" s="41" t="str">
        <f t="shared" si="12"/>
        <v/>
      </c>
      <c r="M286" s="34" t="str">
        <f t="shared" si="14"/>
        <v/>
      </c>
      <c r="N286" s="6"/>
      <c r="O286" s="25">
        <v>46631</v>
      </c>
      <c r="P286" s="32" t="str">
        <f t="shared" si="6"/>
        <v/>
      </c>
      <c r="Q286" s="32" t="str">
        <f t="shared" si="7"/>
        <v/>
      </c>
      <c r="R286" s="32" t="str">
        <f t="shared" si="8"/>
        <v/>
      </c>
      <c r="S286" s="32" t="str">
        <f t="shared" si="9"/>
        <v/>
      </c>
      <c r="T286" s="46" t="str">
        <f t="shared" si="10"/>
        <v/>
      </c>
      <c r="U286" s="32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8" t="str" cm="1">
        <f t="array" ref="G287">IF(G528="","",
G528*LOOKUP($F287,_xlfn._xlws.FILTER($F$454:$F$463,G$454:G$463&lt;&gt;""),_xlfn._xlws.FILTER(G$454:G$463,G$454:G$463&lt;&gt;"")))</f>
        <v/>
      </c>
      <c r="H287" s="38" t="str" cm="1">
        <f t="array" ref="H287">IF(H528="","",
H528*LOOKUP($F287,_xlfn._xlws.FILTER($F$454:$F$463,H$454:H$463&lt;&gt;""),_xlfn._xlws.FILTER(H$454:H$463,H$454:H$463&lt;&gt;"")))</f>
        <v/>
      </c>
      <c r="I287" s="38" t="str" cm="1">
        <f t="array" ref="I287">IF(I528="","",
I528*LOOKUP($F287,_xlfn._xlws.FILTER($F$454:$F$463,I$454:I$463&lt;&gt;""),_xlfn._xlws.FILTER(I$454:I$463,I$454:I$463&lt;&gt;"")))</f>
        <v/>
      </c>
      <c r="J287" s="44" t="str">
        <f t="shared" si="11"/>
        <v/>
      </c>
      <c r="K287" s="45" t="str" cm="1">
        <f t="array" ref="K287">IF(M528="","",
M528*LOOKUP($F287,_xlfn._xlws.FILTER($F$468:$F$477,G$468:G$477&lt;&gt;""),_xlfn._xlws.FILTER(G$468:G$477,G$468:G$477&lt;&gt;"")))</f>
        <v/>
      </c>
      <c r="L287" s="41" t="str">
        <f t="shared" si="12"/>
        <v/>
      </c>
      <c r="M287" s="34" t="str">
        <f t="shared" si="14"/>
        <v/>
      </c>
      <c r="N287" s="6"/>
      <c r="O287" s="25">
        <v>46661</v>
      </c>
      <c r="P287" s="32" t="str">
        <f t="shared" si="6"/>
        <v/>
      </c>
      <c r="Q287" s="32" t="str">
        <f t="shared" si="7"/>
        <v/>
      </c>
      <c r="R287" s="32" t="str">
        <f t="shared" si="8"/>
        <v/>
      </c>
      <c r="S287" s="32" t="str">
        <f t="shared" si="9"/>
        <v/>
      </c>
      <c r="T287" s="46" t="str">
        <f t="shared" si="10"/>
        <v/>
      </c>
      <c r="U287" s="32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8" t="str" cm="1">
        <f t="array" ref="G288">IF(G529="","",
G529*LOOKUP($F288,_xlfn._xlws.FILTER($F$454:$F$463,G$454:G$463&lt;&gt;""),_xlfn._xlws.FILTER(G$454:G$463,G$454:G$463&lt;&gt;"")))</f>
        <v/>
      </c>
      <c r="H288" s="38" t="str" cm="1">
        <f t="array" ref="H288">IF(H529="","",
H529*LOOKUP($F288,_xlfn._xlws.FILTER($F$454:$F$463,H$454:H$463&lt;&gt;""),_xlfn._xlws.FILTER(H$454:H$463,H$454:H$463&lt;&gt;"")))</f>
        <v/>
      </c>
      <c r="I288" s="38" t="str" cm="1">
        <f t="array" ref="I288">IF(I529="","",
I529*LOOKUP($F288,_xlfn._xlws.FILTER($F$454:$F$463,I$454:I$463&lt;&gt;""),_xlfn._xlws.FILTER(I$454:I$463,I$454:I$463&lt;&gt;"")))</f>
        <v/>
      </c>
      <c r="J288" s="44" t="str">
        <f t="shared" si="11"/>
        <v/>
      </c>
      <c r="K288" s="45" t="str" cm="1">
        <f t="array" ref="K288">IF(M529="","",
M529*LOOKUP($F288,_xlfn._xlws.FILTER($F$468:$F$477,G$468:G$477&lt;&gt;""),_xlfn._xlws.FILTER(G$468:G$477,G$468:G$477&lt;&gt;"")))</f>
        <v/>
      </c>
      <c r="L288" s="41" t="str">
        <f t="shared" si="12"/>
        <v/>
      </c>
      <c r="M288" s="34" t="str">
        <f t="shared" si="14"/>
        <v/>
      </c>
      <c r="N288" s="6"/>
      <c r="O288" s="25">
        <v>46692</v>
      </c>
      <c r="P288" s="32" t="str">
        <f t="shared" si="6"/>
        <v/>
      </c>
      <c r="Q288" s="32" t="str">
        <f t="shared" si="7"/>
        <v/>
      </c>
      <c r="R288" s="32" t="str">
        <f t="shared" si="8"/>
        <v/>
      </c>
      <c r="S288" s="32" t="str">
        <f t="shared" si="9"/>
        <v/>
      </c>
      <c r="T288" s="46" t="str">
        <f t="shared" si="10"/>
        <v/>
      </c>
      <c r="U288" s="32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8" t="str" cm="1">
        <f t="array" ref="G289">IF(G530="","",
G530*LOOKUP($F289,_xlfn._xlws.FILTER($F$454:$F$463,G$454:G$463&lt;&gt;""),_xlfn._xlws.FILTER(G$454:G$463,G$454:G$463&lt;&gt;"")))</f>
        <v/>
      </c>
      <c r="H289" s="38" t="str" cm="1">
        <f t="array" ref="H289">IF(H530="","",
H530*LOOKUP($F289,_xlfn._xlws.FILTER($F$454:$F$463,H$454:H$463&lt;&gt;""),_xlfn._xlws.FILTER(H$454:H$463,H$454:H$463&lt;&gt;"")))</f>
        <v/>
      </c>
      <c r="I289" s="38" t="str" cm="1">
        <f t="array" ref="I289">IF(I530="","",
I530*LOOKUP($F289,_xlfn._xlws.FILTER($F$454:$F$463,I$454:I$463&lt;&gt;""),_xlfn._xlws.FILTER(I$454:I$463,I$454:I$463&lt;&gt;"")))</f>
        <v/>
      </c>
      <c r="J289" s="44" t="str">
        <f t="shared" si="11"/>
        <v/>
      </c>
      <c r="K289" s="45" t="str" cm="1">
        <f t="array" ref="K289">IF(M530="","",
M530*LOOKUP($F289,_xlfn._xlws.FILTER($F$468:$F$477,G$468:G$477&lt;&gt;""),_xlfn._xlws.FILTER(G$468:G$477,G$468:G$477&lt;&gt;"")))</f>
        <v/>
      </c>
      <c r="L289" s="41" t="str">
        <f t="shared" si="12"/>
        <v/>
      </c>
      <c r="M289" s="34" t="str">
        <f t="shared" si="14"/>
        <v/>
      </c>
      <c r="N289" s="6"/>
      <c r="O289" s="25">
        <v>46722</v>
      </c>
      <c r="P289" s="32" t="str">
        <f t="shared" si="6"/>
        <v/>
      </c>
      <c r="Q289" s="32" t="str">
        <f t="shared" si="7"/>
        <v/>
      </c>
      <c r="R289" s="32" t="str">
        <f t="shared" si="8"/>
        <v/>
      </c>
      <c r="S289" s="32" t="str">
        <f t="shared" si="9"/>
        <v/>
      </c>
      <c r="T289" s="46" t="str">
        <f t="shared" si="10"/>
        <v/>
      </c>
      <c r="U289" s="32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8" t="str" cm="1">
        <f t="array" ref="G290">IF(G531="","",
G531*LOOKUP($F290,_xlfn._xlws.FILTER($F$454:$F$463,G$454:G$463&lt;&gt;""),_xlfn._xlws.FILTER(G$454:G$463,G$454:G$463&lt;&gt;"")))</f>
        <v/>
      </c>
      <c r="H290" s="38" t="str" cm="1">
        <f t="array" ref="H290">IF(H531="","",
H531*LOOKUP($F290,_xlfn._xlws.FILTER($F$454:$F$463,H$454:H$463&lt;&gt;""),_xlfn._xlws.FILTER(H$454:H$463,H$454:H$463&lt;&gt;"")))</f>
        <v/>
      </c>
      <c r="I290" s="38" t="str" cm="1">
        <f t="array" ref="I290">IF(I531="","",
I531*LOOKUP($F290,_xlfn._xlws.FILTER($F$454:$F$463,I$454:I$463&lt;&gt;""),_xlfn._xlws.FILTER(I$454:I$463,I$454:I$463&lt;&gt;"")))</f>
        <v/>
      </c>
      <c r="J290" s="44" t="str">
        <f t="shared" si="11"/>
        <v/>
      </c>
      <c r="K290" s="45" t="str" cm="1">
        <f t="array" ref="K290">IF(M531="","",
M531*LOOKUP($F290,_xlfn._xlws.FILTER($F$468:$F$477,G$468:G$477&lt;&gt;""),_xlfn._xlws.FILTER(G$468:G$477,G$468:G$477&lt;&gt;"")))</f>
        <v/>
      </c>
      <c r="L290" s="41" t="str">
        <f t="shared" si="12"/>
        <v/>
      </c>
      <c r="M290" s="34" t="str">
        <f t="shared" si="14"/>
        <v/>
      </c>
      <c r="N290" s="6"/>
      <c r="O290" s="25">
        <v>46753</v>
      </c>
      <c r="P290" s="32" t="str">
        <f t="shared" si="6"/>
        <v/>
      </c>
      <c r="Q290" s="32" t="str">
        <f t="shared" si="7"/>
        <v/>
      </c>
      <c r="R290" s="32" t="str">
        <f t="shared" si="8"/>
        <v/>
      </c>
      <c r="S290" s="32" t="str">
        <f t="shared" si="9"/>
        <v/>
      </c>
      <c r="T290" s="46" t="str">
        <f t="shared" si="10"/>
        <v/>
      </c>
      <c r="U290" s="32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8" t="str" cm="1">
        <f t="array" ref="G291">IF(G532="","",
G532*LOOKUP($F291,_xlfn._xlws.FILTER($F$454:$F$463,G$454:G$463&lt;&gt;""),_xlfn._xlws.FILTER(G$454:G$463,G$454:G$463&lt;&gt;"")))</f>
        <v/>
      </c>
      <c r="H291" s="38" t="str" cm="1">
        <f t="array" ref="H291">IF(H532="","",
H532*LOOKUP($F291,_xlfn._xlws.FILTER($F$454:$F$463,H$454:H$463&lt;&gt;""),_xlfn._xlws.FILTER(H$454:H$463,H$454:H$463&lt;&gt;"")))</f>
        <v/>
      </c>
      <c r="I291" s="38" t="str" cm="1">
        <f t="array" ref="I291">IF(I532="","",
I532*LOOKUP($F291,_xlfn._xlws.FILTER($F$454:$F$463,I$454:I$463&lt;&gt;""),_xlfn._xlws.FILTER(I$454:I$463,I$454:I$463&lt;&gt;"")))</f>
        <v/>
      </c>
      <c r="J291" s="44" t="str">
        <f t="shared" si="11"/>
        <v/>
      </c>
      <c r="K291" s="45" t="str" cm="1">
        <f t="array" ref="K291">IF(M532="","",
M532*LOOKUP($F291,_xlfn._xlws.FILTER($F$468:$F$477,G$468:G$477&lt;&gt;""),_xlfn._xlws.FILTER(G$468:G$477,G$468:G$477&lt;&gt;"")))</f>
        <v/>
      </c>
      <c r="L291" s="41" t="str">
        <f t="shared" si="12"/>
        <v/>
      </c>
      <c r="M291" s="34" t="str">
        <f t="shared" si="14"/>
        <v/>
      </c>
      <c r="N291" s="6"/>
      <c r="O291" s="25">
        <v>46784</v>
      </c>
      <c r="P291" s="32" t="str">
        <f t="shared" si="6"/>
        <v/>
      </c>
      <c r="Q291" s="32" t="str">
        <f t="shared" si="7"/>
        <v/>
      </c>
      <c r="R291" s="32" t="str">
        <f t="shared" si="8"/>
        <v/>
      </c>
      <c r="S291" s="32" t="str">
        <f t="shared" si="9"/>
        <v/>
      </c>
      <c r="T291" s="46" t="str">
        <f t="shared" si="10"/>
        <v/>
      </c>
      <c r="U291" s="32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8" t="str" cm="1">
        <f t="array" ref="G292">IF(G533="","",
G533*LOOKUP($F292,_xlfn._xlws.FILTER($F$454:$F$463,G$454:G$463&lt;&gt;""),_xlfn._xlws.FILTER(G$454:G$463,G$454:G$463&lt;&gt;"")))</f>
        <v/>
      </c>
      <c r="H292" s="38" t="str" cm="1">
        <f t="array" ref="H292">IF(H533="","",
H533*LOOKUP($F292,_xlfn._xlws.FILTER($F$454:$F$463,H$454:H$463&lt;&gt;""),_xlfn._xlws.FILTER(H$454:H$463,H$454:H$463&lt;&gt;"")))</f>
        <v/>
      </c>
      <c r="I292" s="38" t="str" cm="1">
        <f t="array" ref="I292">IF(I533="","",
I533*LOOKUP($F292,_xlfn._xlws.FILTER($F$454:$F$463,I$454:I$463&lt;&gt;""),_xlfn._xlws.FILTER(I$454:I$463,I$454:I$463&lt;&gt;"")))</f>
        <v/>
      </c>
      <c r="J292" s="44" t="str">
        <f t="shared" si="11"/>
        <v/>
      </c>
      <c r="K292" s="45" t="str" cm="1">
        <f t="array" ref="K292">IF(M533="","",
M533*LOOKUP($F292,_xlfn._xlws.FILTER($F$468:$F$477,G$468:G$477&lt;&gt;""),_xlfn._xlws.FILTER(G$468:G$477,G$468:G$477&lt;&gt;"")))</f>
        <v/>
      </c>
      <c r="L292" s="41" t="str">
        <f t="shared" si="12"/>
        <v/>
      </c>
      <c r="M292" s="34" t="str">
        <f t="shared" si="14"/>
        <v/>
      </c>
      <c r="N292" s="6"/>
      <c r="O292" s="25">
        <v>46813</v>
      </c>
      <c r="P292" s="32" t="str">
        <f t="shared" si="6"/>
        <v/>
      </c>
      <c r="Q292" s="32" t="str">
        <f t="shared" si="7"/>
        <v/>
      </c>
      <c r="R292" s="32" t="str">
        <f t="shared" si="8"/>
        <v/>
      </c>
      <c r="S292" s="32" t="str">
        <f t="shared" si="9"/>
        <v/>
      </c>
      <c r="T292" s="46" t="str">
        <f t="shared" si="10"/>
        <v/>
      </c>
      <c r="U292" s="32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8" t="str" cm="1">
        <f t="array" ref="G293">IF(G534="","",
G534*LOOKUP($F293,_xlfn._xlws.FILTER($F$454:$F$463,G$454:G$463&lt;&gt;""),_xlfn._xlws.FILTER(G$454:G$463,G$454:G$463&lt;&gt;"")))</f>
        <v/>
      </c>
      <c r="H293" s="38" t="str" cm="1">
        <f t="array" ref="H293">IF(H534="","",
H534*LOOKUP($F293,_xlfn._xlws.FILTER($F$454:$F$463,H$454:H$463&lt;&gt;""),_xlfn._xlws.FILTER(H$454:H$463,H$454:H$463&lt;&gt;"")))</f>
        <v/>
      </c>
      <c r="I293" s="38" t="str" cm="1">
        <f t="array" ref="I293">IF(I534="","",
I534*LOOKUP($F293,_xlfn._xlws.FILTER($F$454:$F$463,I$454:I$463&lt;&gt;""),_xlfn._xlws.FILTER(I$454:I$463,I$454:I$463&lt;&gt;"")))</f>
        <v/>
      </c>
      <c r="J293" s="44" t="str">
        <f t="shared" si="11"/>
        <v/>
      </c>
      <c r="K293" s="45" t="str" cm="1">
        <f t="array" ref="K293">IF(M534="","",
M534*LOOKUP($F293,_xlfn._xlws.FILTER($F$468:$F$477,G$468:G$477&lt;&gt;""),_xlfn._xlws.FILTER(G$468:G$477,G$468:G$477&lt;&gt;"")))</f>
        <v/>
      </c>
      <c r="L293" s="41" t="str">
        <f t="shared" si="12"/>
        <v/>
      </c>
      <c r="M293" s="34" t="str">
        <f t="shared" si="14"/>
        <v/>
      </c>
      <c r="N293" s="6"/>
      <c r="O293" s="25">
        <v>46844</v>
      </c>
      <c r="P293" s="32" t="str">
        <f t="shared" si="6"/>
        <v/>
      </c>
      <c r="Q293" s="32" t="str">
        <f t="shared" si="7"/>
        <v/>
      </c>
      <c r="R293" s="32" t="str">
        <f t="shared" si="8"/>
        <v/>
      </c>
      <c r="S293" s="32" t="str">
        <f t="shared" si="9"/>
        <v/>
      </c>
      <c r="T293" s="46" t="str">
        <f t="shared" si="10"/>
        <v/>
      </c>
      <c r="U293" s="32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8" t="str" cm="1">
        <f t="array" ref="G294">IF(G535="","",
G535*LOOKUP($F294,_xlfn._xlws.FILTER($F$454:$F$463,G$454:G$463&lt;&gt;""),_xlfn._xlws.FILTER(G$454:G$463,G$454:G$463&lt;&gt;"")))</f>
        <v/>
      </c>
      <c r="H294" s="38" t="str" cm="1">
        <f t="array" ref="H294">IF(H535="","",
H535*LOOKUP($F294,_xlfn._xlws.FILTER($F$454:$F$463,H$454:H$463&lt;&gt;""),_xlfn._xlws.FILTER(H$454:H$463,H$454:H$463&lt;&gt;"")))</f>
        <v/>
      </c>
      <c r="I294" s="38" t="str" cm="1">
        <f t="array" ref="I294">IF(I535="","",
I535*LOOKUP($F294,_xlfn._xlws.FILTER($F$454:$F$463,I$454:I$463&lt;&gt;""),_xlfn._xlws.FILTER(I$454:I$463,I$454:I$463&lt;&gt;"")))</f>
        <v/>
      </c>
      <c r="J294" s="44" t="str">
        <f t="shared" si="11"/>
        <v/>
      </c>
      <c r="K294" s="45" t="str" cm="1">
        <f t="array" ref="K294">IF(M535="","",
M535*LOOKUP($F294,_xlfn._xlws.FILTER($F$468:$F$477,G$468:G$477&lt;&gt;""),_xlfn._xlws.FILTER(G$468:G$477,G$468:G$477&lt;&gt;"")))</f>
        <v/>
      </c>
      <c r="L294" s="41" t="str">
        <f t="shared" si="12"/>
        <v/>
      </c>
      <c r="M294" s="34" t="str">
        <f t="shared" si="14"/>
        <v/>
      </c>
      <c r="N294" s="6"/>
      <c r="O294" s="25">
        <v>46874</v>
      </c>
      <c r="P294" s="32" t="str">
        <f t="shared" si="6"/>
        <v/>
      </c>
      <c r="Q294" s="32" t="str">
        <f t="shared" si="7"/>
        <v/>
      </c>
      <c r="R294" s="32" t="str">
        <f t="shared" si="8"/>
        <v/>
      </c>
      <c r="S294" s="32" t="str">
        <f t="shared" si="9"/>
        <v/>
      </c>
      <c r="T294" s="46" t="str">
        <f t="shared" si="10"/>
        <v/>
      </c>
      <c r="U294" s="32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8" t="str" cm="1">
        <f t="array" ref="G295">IF(G536="","",
G536*LOOKUP($F295,_xlfn._xlws.FILTER($F$454:$F$463,G$454:G$463&lt;&gt;""),_xlfn._xlws.FILTER(G$454:G$463,G$454:G$463&lt;&gt;"")))</f>
        <v/>
      </c>
      <c r="H295" s="38" t="str" cm="1">
        <f t="array" ref="H295">IF(H536="","",
H536*LOOKUP($F295,_xlfn._xlws.FILTER($F$454:$F$463,H$454:H$463&lt;&gt;""),_xlfn._xlws.FILTER(H$454:H$463,H$454:H$463&lt;&gt;"")))</f>
        <v/>
      </c>
      <c r="I295" s="38" t="str" cm="1">
        <f t="array" ref="I295">IF(I536="","",
I536*LOOKUP($F295,_xlfn._xlws.FILTER($F$454:$F$463,I$454:I$463&lt;&gt;""),_xlfn._xlws.FILTER(I$454:I$463,I$454:I$463&lt;&gt;"")))</f>
        <v/>
      </c>
      <c r="J295" s="44" t="str">
        <f t="shared" si="11"/>
        <v/>
      </c>
      <c r="K295" s="45" t="str" cm="1">
        <f t="array" ref="K295">IF(M536="","",
M536*LOOKUP($F295,_xlfn._xlws.FILTER($F$468:$F$477,G$468:G$477&lt;&gt;""),_xlfn._xlws.FILTER(G$468:G$477,G$468:G$477&lt;&gt;"")))</f>
        <v/>
      </c>
      <c r="L295" s="41" t="str">
        <f t="shared" si="12"/>
        <v/>
      </c>
      <c r="M295" s="34" t="str">
        <f t="shared" si="14"/>
        <v/>
      </c>
      <c r="N295" s="6"/>
      <c r="O295" s="25">
        <v>46905</v>
      </c>
      <c r="P295" s="32" t="str">
        <f t="shared" si="6"/>
        <v/>
      </c>
      <c r="Q295" s="32" t="str">
        <f t="shared" si="7"/>
        <v/>
      </c>
      <c r="R295" s="32" t="str">
        <f t="shared" si="8"/>
        <v/>
      </c>
      <c r="S295" s="32" t="str">
        <f t="shared" si="9"/>
        <v/>
      </c>
      <c r="T295" s="46" t="str">
        <f t="shared" si="10"/>
        <v/>
      </c>
      <c r="U295" s="32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8" t="str" cm="1">
        <f t="array" ref="G296">IF(G537="","",
G537*LOOKUP($F296,_xlfn._xlws.FILTER($F$454:$F$463,G$454:G$463&lt;&gt;""),_xlfn._xlws.FILTER(G$454:G$463,G$454:G$463&lt;&gt;"")))</f>
        <v/>
      </c>
      <c r="H296" s="38" t="str" cm="1">
        <f t="array" ref="H296">IF(H537="","",
H537*LOOKUP($F296,_xlfn._xlws.FILTER($F$454:$F$463,H$454:H$463&lt;&gt;""),_xlfn._xlws.FILTER(H$454:H$463,H$454:H$463&lt;&gt;"")))</f>
        <v/>
      </c>
      <c r="I296" s="38" t="str" cm="1">
        <f t="array" ref="I296">IF(I537="","",
I537*LOOKUP($F296,_xlfn._xlws.FILTER($F$454:$F$463,I$454:I$463&lt;&gt;""),_xlfn._xlws.FILTER(I$454:I$463,I$454:I$463&lt;&gt;"")))</f>
        <v/>
      </c>
      <c r="J296" s="44" t="str">
        <f t="shared" si="11"/>
        <v/>
      </c>
      <c r="K296" s="45" t="str" cm="1">
        <f t="array" ref="K296">IF(M537="","",
M537*LOOKUP($F296,_xlfn._xlws.FILTER($F$468:$F$477,G$468:G$477&lt;&gt;""),_xlfn._xlws.FILTER(G$468:G$477,G$468:G$477&lt;&gt;"")))</f>
        <v/>
      </c>
      <c r="L296" s="41" t="str">
        <f t="shared" si="12"/>
        <v/>
      </c>
      <c r="M296" s="34" t="str">
        <f t="shared" si="14"/>
        <v/>
      </c>
      <c r="N296" s="6"/>
      <c r="O296" s="25">
        <v>46935</v>
      </c>
      <c r="P296" s="32" t="str">
        <f t="shared" si="6"/>
        <v/>
      </c>
      <c r="Q296" s="32" t="str">
        <f t="shared" si="7"/>
        <v/>
      </c>
      <c r="R296" s="32" t="str">
        <f t="shared" si="8"/>
        <v/>
      </c>
      <c r="S296" s="32" t="str">
        <f t="shared" si="9"/>
        <v/>
      </c>
      <c r="T296" s="46" t="str">
        <f t="shared" si="10"/>
        <v/>
      </c>
      <c r="U296" s="32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8" t="str" cm="1">
        <f t="array" ref="G297">IF(G538="","",
G538*LOOKUP($F297,_xlfn._xlws.FILTER($F$454:$F$463,G$454:G$463&lt;&gt;""),_xlfn._xlws.FILTER(G$454:G$463,G$454:G$463&lt;&gt;"")))</f>
        <v/>
      </c>
      <c r="H297" s="38" t="str" cm="1">
        <f t="array" ref="H297">IF(H538="","",
H538*LOOKUP($F297,_xlfn._xlws.FILTER($F$454:$F$463,H$454:H$463&lt;&gt;""),_xlfn._xlws.FILTER(H$454:H$463,H$454:H$463&lt;&gt;"")))</f>
        <v/>
      </c>
      <c r="I297" s="38" t="str" cm="1">
        <f t="array" ref="I297">IF(I538="","",
I538*LOOKUP($F297,_xlfn._xlws.FILTER($F$454:$F$463,I$454:I$463&lt;&gt;""),_xlfn._xlws.FILTER(I$454:I$463,I$454:I$463&lt;&gt;"")))</f>
        <v/>
      </c>
      <c r="J297" s="44" t="str">
        <f t="shared" si="11"/>
        <v/>
      </c>
      <c r="K297" s="45" t="str" cm="1">
        <f t="array" ref="K297">IF(M538="","",
M538*LOOKUP($F297,_xlfn._xlws.FILTER($F$468:$F$477,G$468:G$477&lt;&gt;""),_xlfn._xlws.FILTER(G$468:G$477,G$468:G$477&lt;&gt;"")))</f>
        <v/>
      </c>
      <c r="L297" s="41" t="str">
        <f t="shared" si="12"/>
        <v/>
      </c>
      <c r="M297" s="34" t="str">
        <f t="shared" si="14"/>
        <v/>
      </c>
      <c r="N297" s="6"/>
      <c r="O297" s="25">
        <v>46966</v>
      </c>
      <c r="P297" s="32" t="str">
        <f t="shared" si="6"/>
        <v/>
      </c>
      <c r="Q297" s="32" t="str">
        <f t="shared" si="7"/>
        <v/>
      </c>
      <c r="R297" s="32" t="str">
        <f t="shared" si="8"/>
        <v/>
      </c>
      <c r="S297" s="32" t="str">
        <f t="shared" si="9"/>
        <v/>
      </c>
      <c r="T297" s="46" t="str">
        <f t="shared" si="10"/>
        <v/>
      </c>
      <c r="U297" s="32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8" t="str" cm="1">
        <f t="array" ref="G298">IF(G539="","",
G539*LOOKUP($F298,_xlfn._xlws.FILTER($F$454:$F$463,G$454:G$463&lt;&gt;""),_xlfn._xlws.FILTER(G$454:G$463,G$454:G$463&lt;&gt;"")))</f>
        <v/>
      </c>
      <c r="H298" s="38" t="str" cm="1">
        <f t="array" ref="H298">IF(H539="","",
H539*LOOKUP($F298,_xlfn._xlws.FILTER($F$454:$F$463,H$454:H$463&lt;&gt;""),_xlfn._xlws.FILTER(H$454:H$463,H$454:H$463&lt;&gt;"")))</f>
        <v/>
      </c>
      <c r="I298" s="38" t="str" cm="1">
        <f t="array" ref="I298">IF(I539="","",
I539*LOOKUP($F298,_xlfn._xlws.FILTER($F$454:$F$463,I$454:I$463&lt;&gt;""),_xlfn._xlws.FILTER(I$454:I$463,I$454:I$463&lt;&gt;"")))</f>
        <v/>
      </c>
      <c r="J298" s="44" t="str">
        <f t="shared" si="11"/>
        <v/>
      </c>
      <c r="K298" s="45" t="str" cm="1">
        <f t="array" ref="K298">IF(M539="","",
M539*LOOKUP($F298,_xlfn._xlws.FILTER($F$468:$F$477,G$468:G$477&lt;&gt;""),_xlfn._xlws.FILTER(G$468:G$477,G$468:G$477&lt;&gt;"")))</f>
        <v/>
      </c>
      <c r="L298" s="41" t="str">
        <f t="shared" si="12"/>
        <v/>
      </c>
      <c r="M298" s="34" t="str">
        <f t="shared" si="14"/>
        <v/>
      </c>
      <c r="N298" s="6"/>
      <c r="O298" s="25">
        <v>46997</v>
      </c>
      <c r="P298" s="32" t="str">
        <f t="shared" si="6"/>
        <v/>
      </c>
      <c r="Q298" s="32" t="str">
        <f t="shared" si="7"/>
        <v/>
      </c>
      <c r="R298" s="32" t="str">
        <f t="shared" si="8"/>
        <v/>
      </c>
      <c r="S298" s="32" t="str">
        <f t="shared" si="9"/>
        <v/>
      </c>
      <c r="T298" s="46" t="str">
        <f t="shared" si="10"/>
        <v/>
      </c>
      <c r="U298" s="32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8" t="str" cm="1">
        <f t="array" ref="G299">IF(G540="","",
G540*LOOKUP($F299,_xlfn._xlws.FILTER($F$454:$F$463,G$454:G$463&lt;&gt;""),_xlfn._xlws.FILTER(G$454:G$463,G$454:G$463&lt;&gt;"")))</f>
        <v/>
      </c>
      <c r="H299" s="38" t="str" cm="1">
        <f t="array" ref="H299">IF(H540="","",
H540*LOOKUP($F299,_xlfn._xlws.FILTER($F$454:$F$463,H$454:H$463&lt;&gt;""),_xlfn._xlws.FILTER(H$454:H$463,H$454:H$463&lt;&gt;"")))</f>
        <v/>
      </c>
      <c r="I299" s="38" t="str" cm="1">
        <f t="array" ref="I299">IF(I540="","",
I540*LOOKUP($F299,_xlfn._xlws.FILTER($F$454:$F$463,I$454:I$463&lt;&gt;""),_xlfn._xlws.FILTER(I$454:I$463,I$454:I$463&lt;&gt;"")))</f>
        <v/>
      </c>
      <c r="J299" s="44" t="str">
        <f t="shared" si="11"/>
        <v/>
      </c>
      <c r="K299" s="45" t="str" cm="1">
        <f t="array" ref="K299">IF(M540="","",
M540*LOOKUP($F299,_xlfn._xlws.FILTER($F$468:$F$477,G$468:G$477&lt;&gt;""),_xlfn._xlws.FILTER(G$468:G$477,G$468:G$477&lt;&gt;"")))</f>
        <v/>
      </c>
      <c r="L299" s="41" t="str">
        <f t="shared" si="12"/>
        <v/>
      </c>
      <c r="M299" s="34" t="str">
        <f t="shared" si="14"/>
        <v/>
      </c>
      <c r="N299" s="6"/>
      <c r="O299" s="25">
        <v>47027</v>
      </c>
      <c r="P299" s="32" t="str">
        <f t="shared" si="6"/>
        <v/>
      </c>
      <c r="Q299" s="32" t="str">
        <f t="shared" si="7"/>
        <v/>
      </c>
      <c r="R299" s="32" t="str">
        <f t="shared" si="8"/>
        <v/>
      </c>
      <c r="S299" s="32" t="str">
        <f t="shared" si="9"/>
        <v/>
      </c>
      <c r="T299" s="46" t="str">
        <f t="shared" si="10"/>
        <v/>
      </c>
      <c r="U299" s="32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8" t="str" cm="1">
        <f t="array" ref="G300">IF(G541="","",
G541*LOOKUP($F300,_xlfn._xlws.FILTER($F$454:$F$463,G$454:G$463&lt;&gt;""),_xlfn._xlws.FILTER(G$454:G$463,G$454:G$463&lt;&gt;"")))</f>
        <v/>
      </c>
      <c r="H300" s="38" t="str" cm="1">
        <f t="array" ref="H300">IF(H541="","",
H541*LOOKUP($F300,_xlfn._xlws.FILTER($F$454:$F$463,H$454:H$463&lt;&gt;""),_xlfn._xlws.FILTER(H$454:H$463,H$454:H$463&lt;&gt;"")))</f>
        <v/>
      </c>
      <c r="I300" s="38" t="str" cm="1">
        <f t="array" ref="I300">IF(I541="","",
I541*LOOKUP($F300,_xlfn._xlws.FILTER($F$454:$F$463,I$454:I$463&lt;&gt;""),_xlfn._xlws.FILTER(I$454:I$463,I$454:I$463&lt;&gt;"")))</f>
        <v/>
      </c>
      <c r="J300" s="44" t="str">
        <f t="shared" si="11"/>
        <v/>
      </c>
      <c r="K300" s="45" t="str" cm="1">
        <f t="array" ref="K300">IF(M541="","",
M541*LOOKUP($F300,_xlfn._xlws.FILTER($F$468:$F$477,G$468:G$477&lt;&gt;""),_xlfn._xlws.FILTER(G$468:G$477,G$468:G$477&lt;&gt;"")))</f>
        <v/>
      </c>
      <c r="L300" s="41" t="str">
        <f t="shared" si="12"/>
        <v/>
      </c>
      <c r="M300" s="34" t="str">
        <f t="shared" si="14"/>
        <v/>
      </c>
      <c r="N300" s="6"/>
      <c r="O300" s="25">
        <v>47058</v>
      </c>
      <c r="P300" s="32" t="str">
        <f t="shared" si="6"/>
        <v/>
      </c>
      <c r="Q300" s="32" t="str">
        <f t="shared" si="7"/>
        <v/>
      </c>
      <c r="R300" s="32" t="str">
        <f t="shared" si="8"/>
        <v/>
      </c>
      <c r="S300" s="32" t="str">
        <f t="shared" si="9"/>
        <v/>
      </c>
      <c r="T300" s="46" t="str">
        <f t="shared" si="10"/>
        <v/>
      </c>
      <c r="U300" s="32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8" t="str" cm="1">
        <f t="array" ref="G301">IF(G542="","",
G542*LOOKUP($F301,_xlfn._xlws.FILTER($F$454:$F$463,G$454:G$463&lt;&gt;""),_xlfn._xlws.FILTER(G$454:G$463,G$454:G$463&lt;&gt;"")))</f>
        <v/>
      </c>
      <c r="H301" s="38" t="str" cm="1">
        <f t="array" ref="H301">IF(H542="","",
H542*LOOKUP($F301,_xlfn._xlws.FILTER($F$454:$F$463,H$454:H$463&lt;&gt;""),_xlfn._xlws.FILTER(H$454:H$463,H$454:H$463&lt;&gt;"")))</f>
        <v/>
      </c>
      <c r="I301" s="38" t="str" cm="1">
        <f t="array" ref="I301">IF(I542="","",
I542*LOOKUP($F301,_xlfn._xlws.FILTER($F$454:$F$463,I$454:I$463&lt;&gt;""),_xlfn._xlws.FILTER(I$454:I$463,I$454:I$463&lt;&gt;"")))</f>
        <v/>
      </c>
      <c r="J301" s="44" t="str">
        <f t="shared" si="11"/>
        <v/>
      </c>
      <c r="K301" s="45" t="str" cm="1">
        <f t="array" ref="K301">IF(M542="","",
M542*LOOKUP($F301,_xlfn._xlws.FILTER($F$468:$F$477,G$468:G$477&lt;&gt;""),_xlfn._xlws.FILTER(G$468:G$477,G$468:G$477&lt;&gt;"")))</f>
        <v/>
      </c>
      <c r="L301" s="41" t="str">
        <f t="shared" si="12"/>
        <v/>
      </c>
      <c r="M301" s="34" t="str">
        <f t="shared" si="14"/>
        <v/>
      </c>
      <c r="N301" s="6"/>
      <c r="O301" s="25">
        <v>47088</v>
      </c>
      <c r="P301" s="32" t="str">
        <f t="shared" si="6"/>
        <v/>
      </c>
      <c r="Q301" s="32" t="str">
        <f t="shared" si="7"/>
        <v/>
      </c>
      <c r="R301" s="32" t="str">
        <f t="shared" si="8"/>
        <v/>
      </c>
      <c r="S301" s="32" t="str">
        <f t="shared" si="9"/>
        <v/>
      </c>
      <c r="T301" s="46" t="str">
        <f t="shared" si="10"/>
        <v/>
      </c>
      <c r="U301" s="32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8" t="str" cm="1">
        <f t="array" ref="G302">IF(G543="","",
G543*LOOKUP($F302,_xlfn._xlws.FILTER($F$454:$F$463,G$454:G$463&lt;&gt;""),_xlfn._xlws.FILTER(G$454:G$463,G$454:G$463&lt;&gt;"")))</f>
        <v/>
      </c>
      <c r="H302" s="38" t="str" cm="1">
        <f t="array" ref="H302">IF(H543="","",
H543*LOOKUP($F302,_xlfn._xlws.FILTER($F$454:$F$463,H$454:H$463&lt;&gt;""),_xlfn._xlws.FILTER(H$454:H$463,H$454:H$463&lt;&gt;"")))</f>
        <v/>
      </c>
      <c r="I302" s="38" t="str" cm="1">
        <f t="array" ref="I302">IF(I543="","",
I543*LOOKUP($F302,_xlfn._xlws.FILTER($F$454:$F$463,I$454:I$463&lt;&gt;""),_xlfn._xlws.FILTER(I$454:I$463,I$454:I$463&lt;&gt;"")))</f>
        <v/>
      </c>
      <c r="J302" s="44" t="str">
        <f t="shared" si="11"/>
        <v/>
      </c>
      <c r="K302" s="45" t="str" cm="1">
        <f t="array" ref="K302">IF(M543="","",
M543*LOOKUP($F302,_xlfn._xlws.FILTER($F$468:$F$477,G$468:G$477&lt;&gt;""),_xlfn._xlws.FILTER(G$468:G$477,G$468:G$477&lt;&gt;"")))</f>
        <v/>
      </c>
      <c r="L302" s="41" t="str">
        <f t="shared" si="12"/>
        <v/>
      </c>
      <c r="M302" s="34" t="str">
        <f t="shared" si="14"/>
        <v/>
      </c>
      <c r="N302" s="6"/>
      <c r="O302" s="25">
        <v>47119</v>
      </c>
      <c r="P302" s="32" t="str">
        <f t="shared" si="6"/>
        <v/>
      </c>
      <c r="Q302" s="32" t="str">
        <f t="shared" si="7"/>
        <v/>
      </c>
      <c r="R302" s="32" t="str">
        <f t="shared" si="8"/>
        <v/>
      </c>
      <c r="S302" s="32" t="str">
        <f t="shared" si="9"/>
        <v/>
      </c>
      <c r="T302" s="46" t="str">
        <f t="shared" si="10"/>
        <v/>
      </c>
      <c r="U302" s="32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8" t="str" cm="1">
        <f t="array" ref="G303">IF(G544="","",
G544*LOOKUP($F303,_xlfn._xlws.FILTER($F$454:$F$463,G$454:G$463&lt;&gt;""),_xlfn._xlws.FILTER(G$454:G$463,G$454:G$463&lt;&gt;"")))</f>
        <v/>
      </c>
      <c r="H303" s="38" t="str" cm="1">
        <f t="array" ref="H303">IF(H544="","",
H544*LOOKUP($F303,_xlfn._xlws.FILTER($F$454:$F$463,H$454:H$463&lt;&gt;""),_xlfn._xlws.FILTER(H$454:H$463,H$454:H$463&lt;&gt;"")))</f>
        <v/>
      </c>
      <c r="I303" s="38" t="str" cm="1">
        <f t="array" ref="I303">IF(I544="","",
I544*LOOKUP($F303,_xlfn._xlws.FILTER($F$454:$F$463,I$454:I$463&lt;&gt;""),_xlfn._xlws.FILTER(I$454:I$463,I$454:I$463&lt;&gt;"")))</f>
        <v/>
      </c>
      <c r="J303" s="44" t="str">
        <f t="shared" si="11"/>
        <v/>
      </c>
      <c r="K303" s="45" t="str" cm="1">
        <f t="array" ref="K303">IF(M544="","",
M544*LOOKUP($F303,_xlfn._xlws.FILTER($F$468:$F$477,G$468:G$477&lt;&gt;""),_xlfn._xlws.FILTER(G$468:G$477,G$468:G$477&lt;&gt;"")))</f>
        <v/>
      </c>
      <c r="L303" s="41" t="str">
        <f t="shared" si="12"/>
        <v/>
      </c>
      <c r="M303" s="34" t="str">
        <f t="shared" si="14"/>
        <v/>
      </c>
      <c r="N303" s="6"/>
      <c r="O303" s="25">
        <v>47150</v>
      </c>
      <c r="P303" s="32" t="str">
        <f t="shared" si="6"/>
        <v/>
      </c>
      <c r="Q303" s="32" t="str">
        <f t="shared" si="7"/>
        <v/>
      </c>
      <c r="R303" s="32" t="str">
        <f t="shared" si="8"/>
        <v/>
      </c>
      <c r="S303" s="32" t="str">
        <f t="shared" si="9"/>
        <v/>
      </c>
      <c r="T303" s="46" t="str">
        <f t="shared" si="10"/>
        <v/>
      </c>
      <c r="U303" s="32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8" t="str" cm="1">
        <f t="array" ref="G304">IF(G545="","",
G545*LOOKUP($F304,_xlfn._xlws.FILTER($F$454:$F$463,G$454:G$463&lt;&gt;""),_xlfn._xlws.FILTER(G$454:G$463,G$454:G$463&lt;&gt;"")))</f>
        <v/>
      </c>
      <c r="H304" s="38" t="str" cm="1">
        <f t="array" ref="H304">IF(H545="","",
H545*LOOKUP($F304,_xlfn._xlws.FILTER($F$454:$F$463,H$454:H$463&lt;&gt;""),_xlfn._xlws.FILTER(H$454:H$463,H$454:H$463&lt;&gt;"")))</f>
        <v/>
      </c>
      <c r="I304" s="38" t="str" cm="1">
        <f t="array" ref="I304">IF(I545="","",
I545*LOOKUP($F304,_xlfn._xlws.FILTER($F$454:$F$463,I$454:I$463&lt;&gt;""),_xlfn._xlws.FILTER(I$454:I$463,I$454:I$463&lt;&gt;"")))</f>
        <v/>
      </c>
      <c r="J304" s="44" t="str">
        <f t="shared" si="11"/>
        <v/>
      </c>
      <c r="K304" s="45" t="str" cm="1">
        <f t="array" ref="K304">IF(M545="","",
M545*LOOKUP($F304,_xlfn._xlws.FILTER($F$468:$F$477,G$468:G$477&lt;&gt;""),_xlfn._xlws.FILTER(G$468:G$477,G$468:G$477&lt;&gt;"")))</f>
        <v/>
      </c>
      <c r="L304" s="41" t="str">
        <f t="shared" si="12"/>
        <v/>
      </c>
      <c r="M304" s="34" t="str">
        <f t="shared" si="14"/>
        <v/>
      </c>
      <c r="N304" s="6"/>
      <c r="O304" s="25">
        <v>47178</v>
      </c>
      <c r="P304" s="32" t="str">
        <f t="shared" si="6"/>
        <v/>
      </c>
      <c r="Q304" s="32" t="str">
        <f t="shared" si="7"/>
        <v/>
      </c>
      <c r="R304" s="32" t="str">
        <f t="shared" si="8"/>
        <v/>
      </c>
      <c r="S304" s="32" t="str">
        <f t="shared" si="9"/>
        <v/>
      </c>
      <c r="T304" s="46" t="str">
        <f t="shared" si="10"/>
        <v/>
      </c>
      <c r="U304" s="32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8" t="str" cm="1">
        <f t="array" ref="G305">IF(G546="","",
G546*LOOKUP($F305,_xlfn._xlws.FILTER($F$454:$F$463,G$454:G$463&lt;&gt;""),_xlfn._xlws.FILTER(G$454:G$463,G$454:G$463&lt;&gt;"")))</f>
        <v/>
      </c>
      <c r="H305" s="38" t="str" cm="1">
        <f t="array" ref="H305">IF(H546="","",
H546*LOOKUP($F305,_xlfn._xlws.FILTER($F$454:$F$463,H$454:H$463&lt;&gt;""),_xlfn._xlws.FILTER(H$454:H$463,H$454:H$463&lt;&gt;"")))</f>
        <v/>
      </c>
      <c r="I305" s="38" t="str" cm="1">
        <f t="array" ref="I305">IF(I546="","",
I546*LOOKUP($F305,_xlfn._xlws.FILTER($F$454:$F$463,I$454:I$463&lt;&gt;""),_xlfn._xlws.FILTER(I$454:I$463,I$454:I$463&lt;&gt;"")))</f>
        <v/>
      </c>
      <c r="J305" s="44" t="str">
        <f t="shared" si="11"/>
        <v/>
      </c>
      <c r="K305" s="45" t="str" cm="1">
        <f t="array" ref="K305">IF(M546="","",
M546*LOOKUP($F305,_xlfn._xlws.FILTER($F$468:$F$477,G$468:G$477&lt;&gt;""),_xlfn._xlws.FILTER(G$468:G$477,G$468:G$477&lt;&gt;"")))</f>
        <v/>
      </c>
      <c r="L305" s="41" t="str">
        <f t="shared" si="12"/>
        <v/>
      </c>
      <c r="M305" s="34" t="str">
        <f t="shared" si="14"/>
        <v/>
      </c>
      <c r="N305" s="6"/>
      <c r="O305" s="25">
        <v>47209</v>
      </c>
      <c r="P305" s="32" t="str">
        <f t="shared" si="6"/>
        <v/>
      </c>
      <c r="Q305" s="32" t="str">
        <f t="shared" si="7"/>
        <v/>
      </c>
      <c r="R305" s="32" t="str">
        <f t="shared" si="8"/>
        <v/>
      </c>
      <c r="S305" s="32" t="str">
        <f t="shared" si="9"/>
        <v/>
      </c>
      <c r="T305" s="46" t="str">
        <f t="shared" si="10"/>
        <v/>
      </c>
      <c r="U305" s="32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8" t="str" cm="1">
        <f t="array" ref="G306">IF(G547="","",
G547*LOOKUP($F306,_xlfn._xlws.FILTER($F$454:$F$463,G$454:G$463&lt;&gt;""),_xlfn._xlws.FILTER(G$454:G$463,G$454:G$463&lt;&gt;"")))</f>
        <v/>
      </c>
      <c r="H306" s="38" t="str" cm="1">
        <f t="array" ref="H306">IF(H547="","",
H547*LOOKUP($F306,_xlfn._xlws.FILTER($F$454:$F$463,H$454:H$463&lt;&gt;""),_xlfn._xlws.FILTER(H$454:H$463,H$454:H$463&lt;&gt;"")))</f>
        <v/>
      </c>
      <c r="I306" s="38" t="str" cm="1">
        <f t="array" ref="I306">IF(I547="","",
I547*LOOKUP($F306,_xlfn._xlws.FILTER($F$454:$F$463,I$454:I$463&lt;&gt;""),_xlfn._xlws.FILTER(I$454:I$463,I$454:I$463&lt;&gt;"")))</f>
        <v/>
      </c>
      <c r="J306" s="44" t="str">
        <f t="shared" si="11"/>
        <v/>
      </c>
      <c r="K306" s="45" t="str" cm="1">
        <f t="array" ref="K306">IF(M547="","",
M547*LOOKUP($F306,_xlfn._xlws.FILTER($F$468:$F$477,G$468:G$477&lt;&gt;""),_xlfn._xlws.FILTER(G$468:G$477,G$468:G$477&lt;&gt;"")))</f>
        <v/>
      </c>
      <c r="L306" s="41" t="str">
        <f t="shared" si="12"/>
        <v/>
      </c>
      <c r="M306" s="34" t="str">
        <f t="shared" si="14"/>
        <v/>
      </c>
      <c r="N306" s="6"/>
      <c r="O306" s="25">
        <v>47239</v>
      </c>
      <c r="P306" s="32" t="str">
        <f t="shared" ref="P306:P369" si="15">IFERROR((G306*Q$480)/$L306*(100/Q$481),"")</f>
        <v/>
      </c>
      <c r="Q306" s="32" t="str">
        <f t="shared" ref="Q306:Q369" si="16">IFERROR((H306*R$480)/$L306*(100/R$481),"")</f>
        <v/>
      </c>
      <c r="R306" s="32" t="str">
        <f t="shared" ref="R306:R369" si="17">IFERROR((I306*S$480)/$L306*(100/S$481),"")</f>
        <v/>
      </c>
      <c r="S306" s="32" t="str">
        <f t="shared" ref="S306:S369" si="18">IFERROR((J306*T$480)/$L306*(100/T$481),"")</f>
        <v/>
      </c>
      <c r="T306" s="46" t="str">
        <f t="shared" ref="T306:T369" si="19">IFERROR((K306*U$480)/$L306*(100/U$481),"")</f>
        <v/>
      </c>
      <c r="U306" s="32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8" t="str" cm="1">
        <f t="array" ref="G307">IF(G548="","",
G548*LOOKUP($F307,_xlfn._xlws.FILTER($F$454:$F$463,G$454:G$463&lt;&gt;""),_xlfn._xlws.FILTER(G$454:G$463,G$454:G$463&lt;&gt;"")))</f>
        <v/>
      </c>
      <c r="H307" s="38" t="str" cm="1">
        <f t="array" ref="H307">IF(H548="","",
H548*LOOKUP($F307,_xlfn._xlws.FILTER($F$454:$F$463,H$454:H$463&lt;&gt;""),_xlfn._xlws.FILTER(H$454:H$463,H$454:H$463&lt;&gt;"")))</f>
        <v/>
      </c>
      <c r="I307" s="38" t="str" cm="1">
        <f t="array" ref="I307">IF(I548="","",
I548*LOOKUP($F307,_xlfn._xlws.FILTER($F$454:$F$463,I$454:I$463&lt;&gt;""),_xlfn._xlws.FILTER(I$454:I$463,I$454:I$463&lt;&gt;"")))</f>
        <v/>
      </c>
      <c r="J307" s="44" t="str">
        <f t="shared" ref="J307:J370" si="20">IF(J548="","",J548)</f>
        <v/>
      </c>
      <c r="K307" s="45" t="str" cm="1">
        <f t="array" ref="K307">IF(M548="","",
M548*LOOKUP($F307,_xlfn._xlws.FILTER($F$468:$F$477,G$468:G$477&lt;&gt;""),_xlfn._xlws.FILTER(G$468:G$477,G$468:G$477&lt;&gt;"")))</f>
        <v/>
      </c>
      <c r="L307" s="41" t="str">
        <f t="shared" ref="L307:L370" si="21">IF(V548="","",V548)</f>
        <v/>
      </c>
      <c r="M307" s="34" t="str">
        <f t="shared" si="14"/>
        <v/>
      </c>
      <c r="N307" s="6"/>
      <c r="O307" s="25">
        <v>47270</v>
      </c>
      <c r="P307" s="32" t="str">
        <f t="shared" si="15"/>
        <v/>
      </c>
      <c r="Q307" s="32" t="str">
        <f t="shared" si="16"/>
        <v/>
      </c>
      <c r="R307" s="32" t="str">
        <f t="shared" si="17"/>
        <v/>
      </c>
      <c r="S307" s="32" t="str">
        <f t="shared" si="18"/>
        <v/>
      </c>
      <c r="T307" s="46" t="str">
        <f t="shared" si="19"/>
        <v/>
      </c>
      <c r="U307" s="32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8" t="str" cm="1">
        <f t="array" ref="G308">IF(G549="","",
G549*LOOKUP($F308,_xlfn._xlws.FILTER($F$454:$F$463,G$454:G$463&lt;&gt;""),_xlfn._xlws.FILTER(G$454:G$463,G$454:G$463&lt;&gt;"")))</f>
        <v/>
      </c>
      <c r="H308" s="38" t="str" cm="1">
        <f t="array" ref="H308">IF(H549="","",
H549*LOOKUP($F308,_xlfn._xlws.FILTER($F$454:$F$463,H$454:H$463&lt;&gt;""),_xlfn._xlws.FILTER(H$454:H$463,H$454:H$463&lt;&gt;"")))</f>
        <v/>
      </c>
      <c r="I308" s="38" t="str" cm="1">
        <f t="array" ref="I308">IF(I549="","",
I549*LOOKUP($F308,_xlfn._xlws.FILTER($F$454:$F$463,I$454:I$463&lt;&gt;""),_xlfn._xlws.FILTER(I$454:I$463,I$454:I$463&lt;&gt;"")))</f>
        <v/>
      </c>
      <c r="J308" s="44" t="str">
        <f t="shared" si="20"/>
        <v/>
      </c>
      <c r="K308" s="45" t="str" cm="1">
        <f t="array" ref="K308">IF(M549="","",
M549*LOOKUP($F308,_xlfn._xlws.FILTER($F$468:$F$477,G$468:G$477&lt;&gt;""),_xlfn._xlws.FILTER(G$468:G$477,G$468:G$477&lt;&gt;"")))</f>
        <v/>
      </c>
      <c r="L308" s="41" t="str">
        <f t="shared" si="21"/>
        <v/>
      </c>
      <c r="M308" s="34" t="str">
        <f t="shared" si="14"/>
        <v/>
      </c>
      <c r="N308" s="6"/>
      <c r="O308" s="25">
        <v>47300</v>
      </c>
      <c r="P308" s="32" t="str">
        <f t="shared" si="15"/>
        <v/>
      </c>
      <c r="Q308" s="32" t="str">
        <f t="shared" si="16"/>
        <v/>
      </c>
      <c r="R308" s="32" t="str">
        <f t="shared" si="17"/>
        <v/>
      </c>
      <c r="S308" s="32" t="str">
        <f t="shared" si="18"/>
        <v/>
      </c>
      <c r="T308" s="46" t="str">
        <f t="shared" si="19"/>
        <v/>
      </c>
      <c r="U308" s="32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8" t="str" cm="1">
        <f t="array" ref="G309">IF(G550="","",
G550*LOOKUP($F309,_xlfn._xlws.FILTER($F$454:$F$463,G$454:G$463&lt;&gt;""),_xlfn._xlws.FILTER(G$454:G$463,G$454:G$463&lt;&gt;"")))</f>
        <v/>
      </c>
      <c r="H309" s="38" t="str" cm="1">
        <f t="array" ref="H309">IF(H550="","",
H550*LOOKUP($F309,_xlfn._xlws.FILTER($F$454:$F$463,H$454:H$463&lt;&gt;""),_xlfn._xlws.FILTER(H$454:H$463,H$454:H$463&lt;&gt;"")))</f>
        <v/>
      </c>
      <c r="I309" s="38" t="str" cm="1">
        <f t="array" ref="I309">IF(I550="","",
I550*LOOKUP($F309,_xlfn._xlws.FILTER($F$454:$F$463,I$454:I$463&lt;&gt;""),_xlfn._xlws.FILTER(I$454:I$463,I$454:I$463&lt;&gt;"")))</f>
        <v/>
      </c>
      <c r="J309" s="44" t="str">
        <f t="shared" si="20"/>
        <v/>
      </c>
      <c r="K309" s="45" t="str" cm="1">
        <f t="array" ref="K309">IF(M550="","",
M550*LOOKUP($F309,_xlfn._xlws.FILTER($F$468:$F$477,G$468:G$477&lt;&gt;""),_xlfn._xlws.FILTER(G$468:G$477,G$468:G$477&lt;&gt;"")))</f>
        <v/>
      </c>
      <c r="L309" s="41" t="str">
        <f t="shared" si="21"/>
        <v/>
      </c>
      <c r="M309" s="34" t="str">
        <f t="shared" si="14"/>
        <v/>
      </c>
      <c r="N309" s="6"/>
      <c r="O309" s="25">
        <v>47331</v>
      </c>
      <c r="P309" s="32" t="str">
        <f t="shared" si="15"/>
        <v/>
      </c>
      <c r="Q309" s="32" t="str">
        <f t="shared" si="16"/>
        <v/>
      </c>
      <c r="R309" s="32" t="str">
        <f t="shared" si="17"/>
        <v/>
      </c>
      <c r="S309" s="32" t="str">
        <f t="shared" si="18"/>
        <v/>
      </c>
      <c r="T309" s="46" t="str">
        <f t="shared" si="19"/>
        <v/>
      </c>
      <c r="U309" s="32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8" t="str" cm="1">
        <f t="array" ref="G310">IF(G551="","",
G551*LOOKUP($F310,_xlfn._xlws.FILTER($F$454:$F$463,G$454:G$463&lt;&gt;""),_xlfn._xlws.FILTER(G$454:G$463,G$454:G$463&lt;&gt;"")))</f>
        <v/>
      </c>
      <c r="H310" s="38" t="str" cm="1">
        <f t="array" ref="H310">IF(H551="","",
H551*LOOKUP($F310,_xlfn._xlws.FILTER($F$454:$F$463,H$454:H$463&lt;&gt;""),_xlfn._xlws.FILTER(H$454:H$463,H$454:H$463&lt;&gt;"")))</f>
        <v/>
      </c>
      <c r="I310" s="38" t="str" cm="1">
        <f t="array" ref="I310">IF(I551="","",
I551*LOOKUP($F310,_xlfn._xlws.FILTER($F$454:$F$463,I$454:I$463&lt;&gt;""),_xlfn._xlws.FILTER(I$454:I$463,I$454:I$463&lt;&gt;"")))</f>
        <v/>
      </c>
      <c r="J310" s="44" t="str">
        <f t="shared" si="20"/>
        <v/>
      </c>
      <c r="K310" s="45" t="str" cm="1">
        <f t="array" ref="K310">IF(M551="","",
M551*LOOKUP($F310,_xlfn._xlws.FILTER($F$468:$F$477,G$468:G$477&lt;&gt;""),_xlfn._xlws.FILTER(G$468:G$477,G$468:G$477&lt;&gt;"")))</f>
        <v/>
      </c>
      <c r="L310" s="41" t="str">
        <f t="shared" si="21"/>
        <v/>
      </c>
      <c r="M310" s="34" t="str">
        <f t="shared" si="14"/>
        <v/>
      </c>
      <c r="N310" s="6"/>
      <c r="O310" s="25">
        <v>47362</v>
      </c>
      <c r="P310" s="32" t="str">
        <f t="shared" si="15"/>
        <v/>
      </c>
      <c r="Q310" s="32" t="str">
        <f t="shared" si="16"/>
        <v/>
      </c>
      <c r="R310" s="32" t="str">
        <f t="shared" si="17"/>
        <v/>
      </c>
      <c r="S310" s="32" t="str">
        <f t="shared" si="18"/>
        <v/>
      </c>
      <c r="T310" s="46" t="str">
        <f t="shared" si="19"/>
        <v/>
      </c>
      <c r="U310" s="32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8" t="str" cm="1">
        <f t="array" ref="G311">IF(G552="","",
G552*LOOKUP($F311,_xlfn._xlws.FILTER($F$454:$F$463,G$454:G$463&lt;&gt;""),_xlfn._xlws.FILTER(G$454:G$463,G$454:G$463&lt;&gt;"")))</f>
        <v/>
      </c>
      <c r="H311" s="38" t="str" cm="1">
        <f t="array" ref="H311">IF(H552="","",
H552*LOOKUP($F311,_xlfn._xlws.FILTER($F$454:$F$463,H$454:H$463&lt;&gt;""),_xlfn._xlws.FILTER(H$454:H$463,H$454:H$463&lt;&gt;"")))</f>
        <v/>
      </c>
      <c r="I311" s="38" t="str" cm="1">
        <f t="array" ref="I311">IF(I552="","",
I552*LOOKUP($F311,_xlfn._xlws.FILTER($F$454:$F$463,I$454:I$463&lt;&gt;""),_xlfn._xlws.FILTER(I$454:I$463,I$454:I$463&lt;&gt;"")))</f>
        <v/>
      </c>
      <c r="J311" s="44" t="str">
        <f t="shared" si="20"/>
        <v/>
      </c>
      <c r="K311" s="45" t="str" cm="1">
        <f t="array" ref="K311">IF(M552="","",
M552*LOOKUP($F311,_xlfn._xlws.FILTER($F$468:$F$477,G$468:G$477&lt;&gt;""),_xlfn._xlws.FILTER(G$468:G$477,G$468:G$477&lt;&gt;"")))</f>
        <v/>
      </c>
      <c r="L311" s="41" t="str">
        <f t="shared" si="21"/>
        <v/>
      </c>
      <c r="M311" s="34" t="str">
        <f t="shared" si="14"/>
        <v/>
      </c>
      <c r="N311" s="6"/>
      <c r="O311" s="25">
        <v>47392</v>
      </c>
      <c r="P311" s="32" t="str">
        <f t="shared" si="15"/>
        <v/>
      </c>
      <c r="Q311" s="32" t="str">
        <f t="shared" si="16"/>
        <v/>
      </c>
      <c r="R311" s="32" t="str">
        <f t="shared" si="17"/>
        <v/>
      </c>
      <c r="S311" s="32" t="str">
        <f t="shared" si="18"/>
        <v/>
      </c>
      <c r="T311" s="46" t="str">
        <f t="shared" si="19"/>
        <v/>
      </c>
      <c r="U311" s="32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8" t="str" cm="1">
        <f t="array" ref="G312">IF(G553="","",
G553*LOOKUP($F312,_xlfn._xlws.FILTER($F$454:$F$463,G$454:G$463&lt;&gt;""),_xlfn._xlws.FILTER(G$454:G$463,G$454:G$463&lt;&gt;"")))</f>
        <v/>
      </c>
      <c r="H312" s="38" t="str" cm="1">
        <f t="array" ref="H312">IF(H553="","",
H553*LOOKUP($F312,_xlfn._xlws.FILTER($F$454:$F$463,H$454:H$463&lt;&gt;""),_xlfn._xlws.FILTER(H$454:H$463,H$454:H$463&lt;&gt;"")))</f>
        <v/>
      </c>
      <c r="I312" s="38" t="str" cm="1">
        <f t="array" ref="I312">IF(I553="","",
I553*LOOKUP($F312,_xlfn._xlws.FILTER($F$454:$F$463,I$454:I$463&lt;&gt;""),_xlfn._xlws.FILTER(I$454:I$463,I$454:I$463&lt;&gt;"")))</f>
        <v/>
      </c>
      <c r="J312" s="44" t="str">
        <f t="shared" si="20"/>
        <v/>
      </c>
      <c r="K312" s="45" t="str" cm="1">
        <f t="array" ref="K312">IF(M553="","",
M553*LOOKUP($F312,_xlfn._xlws.FILTER($F$468:$F$477,G$468:G$477&lt;&gt;""),_xlfn._xlws.FILTER(G$468:G$477,G$468:G$477&lt;&gt;"")))</f>
        <v/>
      </c>
      <c r="L312" s="41" t="str">
        <f t="shared" si="21"/>
        <v/>
      </c>
      <c r="M312" s="34" t="str">
        <f t="shared" si="14"/>
        <v/>
      </c>
      <c r="N312" s="6"/>
      <c r="O312" s="25">
        <v>47423</v>
      </c>
      <c r="P312" s="32" t="str">
        <f t="shared" si="15"/>
        <v/>
      </c>
      <c r="Q312" s="32" t="str">
        <f t="shared" si="16"/>
        <v/>
      </c>
      <c r="R312" s="32" t="str">
        <f t="shared" si="17"/>
        <v/>
      </c>
      <c r="S312" s="32" t="str">
        <f t="shared" si="18"/>
        <v/>
      </c>
      <c r="T312" s="46" t="str">
        <f t="shared" si="19"/>
        <v/>
      </c>
      <c r="U312" s="32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8" t="str" cm="1">
        <f t="array" ref="G313">IF(G554="","",
G554*LOOKUP($F313,_xlfn._xlws.FILTER($F$454:$F$463,G$454:G$463&lt;&gt;""),_xlfn._xlws.FILTER(G$454:G$463,G$454:G$463&lt;&gt;"")))</f>
        <v/>
      </c>
      <c r="H313" s="38" t="str" cm="1">
        <f t="array" ref="H313">IF(H554="","",
H554*LOOKUP($F313,_xlfn._xlws.FILTER($F$454:$F$463,H$454:H$463&lt;&gt;""),_xlfn._xlws.FILTER(H$454:H$463,H$454:H$463&lt;&gt;"")))</f>
        <v/>
      </c>
      <c r="I313" s="38" t="str" cm="1">
        <f t="array" ref="I313">IF(I554="","",
I554*LOOKUP($F313,_xlfn._xlws.FILTER($F$454:$F$463,I$454:I$463&lt;&gt;""),_xlfn._xlws.FILTER(I$454:I$463,I$454:I$463&lt;&gt;"")))</f>
        <v/>
      </c>
      <c r="J313" s="44" t="str">
        <f t="shared" si="20"/>
        <v/>
      </c>
      <c r="K313" s="45" t="str" cm="1">
        <f t="array" ref="K313">IF(M554="","",
M554*LOOKUP($F313,_xlfn._xlws.FILTER($F$468:$F$477,G$468:G$477&lt;&gt;""),_xlfn._xlws.FILTER(G$468:G$477,G$468:G$477&lt;&gt;"")))</f>
        <v/>
      </c>
      <c r="L313" s="41" t="str">
        <f t="shared" si="21"/>
        <v/>
      </c>
      <c r="M313" s="34" t="str">
        <f t="shared" si="14"/>
        <v/>
      </c>
      <c r="N313" s="6"/>
      <c r="O313" s="25">
        <v>47453</v>
      </c>
      <c r="P313" s="32" t="str">
        <f t="shared" si="15"/>
        <v/>
      </c>
      <c r="Q313" s="32" t="str">
        <f t="shared" si="16"/>
        <v/>
      </c>
      <c r="R313" s="32" t="str">
        <f t="shared" si="17"/>
        <v/>
      </c>
      <c r="S313" s="32" t="str">
        <f t="shared" si="18"/>
        <v/>
      </c>
      <c r="T313" s="46" t="str">
        <f t="shared" si="19"/>
        <v/>
      </c>
      <c r="U313" s="32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8" t="str" cm="1">
        <f t="array" ref="G314">IF(G555="","",
G555*LOOKUP($F314,_xlfn._xlws.FILTER($F$454:$F$463,G$454:G$463&lt;&gt;""),_xlfn._xlws.FILTER(G$454:G$463,G$454:G$463&lt;&gt;"")))</f>
        <v/>
      </c>
      <c r="H314" s="38" t="str" cm="1">
        <f t="array" ref="H314">IF(H555="","",
H555*LOOKUP($F314,_xlfn._xlws.FILTER($F$454:$F$463,H$454:H$463&lt;&gt;""),_xlfn._xlws.FILTER(H$454:H$463,H$454:H$463&lt;&gt;"")))</f>
        <v/>
      </c>
      <c r="I314" s="38" t="str" cm="1">
        <f t="array" ref="I314">IF(I555="","",
I555*LOOKUP($F314,_xlfn._xlws.FILTER($F$454:$F$463,I$454:I$463&lt;&gt;""),_xlfn._xlws.FILTER(I$454:I$463,I$454:I$463&lt;&gt;"")))</f>
        <v/>
      </c>
      <c r="J314" s="44" t="str">
        <f t="shared" si="20"/>
        <v/>
      </c>
      <c r="K314" s="45" t="str" cm="1">
        <f t="array" ref="K314">IF(M555="","",
M555*LOOKUP($F314,_xlfn._xlws.FILTER($F$468:$F$477,G$468:G$477&lt;&gt;""),_xlfn._xlws.FILTER(G$468:G$477,G$468:G$477&lt;&gt;"")))</f>
        <v/>
      </c>
      <c r="L314" s="41" t="str">
        <f t="shared" si="21"/>
        <v/>
      </c>
      <c r="M314" s="34" t="str">
        <f t="shared" si="14"/>
        <v/>
      </c>
      <c r="N314" s="6"/>
      <c r="O314" s="25">
        <v>47484</v>
      </c>
      <c r="P314" s="32" t="str">
        <f t="shared" si="15"/>
        <v/>
      </c>
      <c r="Q314" s="32" t="str">
        <f t="shared" si="16"/>
        <v/>
      </c>
      <c r="R314" s="32" t="str">
        <f t="shared" si="17"/>
        <v/>
      </c>
      <c r="S314" s="32" t="str">
        <f t="shared" si="18"/>
        <v/>
      </c>
      <c r="T314" s="46" t="str">
        <f t="shared" si="19"/>
        <v/>
      </c>
      <c r="U314" s="32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8" t="str" cm="1">
        <f t="array" ref="G315">IF(G556="","",
G556*LOOKUP($F315,_xlfn._xlws.FILTER($F$454:$F$463,G$454:G$463&lt;&gt;""),_xlfn._xlws.FILTER(G$454:G$463,G$454:G$463&lt;&gt;"")))</f>
        <v/>
      </c>
      <c r="H315" s="38" t="str" cm="1">
        <f t="array" ref="H315">IF(H556="","",
H556*LOOKUP($F315,_xlfn._xlws.FILTER($F$454:$F$463,H$454:H$463&lt;&gt;""),_xlfn._xlws.FILTER(H$454:H$463,H$454:H$463&lt;&gt;"")))</f>
        <v/>
      </c>
      <c r="I315" s="38" t="str" cm="1">
        <f t="array" ref="I315">IF(I556="","",
I556*LOOKUP($F315,_xlfn._xlws.FILTER($F$454:$F$463,I$454:I$463&lt;&gt;""),_xlfn._xlws.FILTER(I$454:I$463,I$454:I$463&lt;&gt;"")))</f>
        <v/>
      </c>
      <c r="J315" s="44" t="str">
        <f t="shared" si="20"/>
        <v/>
      </c>
      <c r="K315" s="45" t="str" cm="1">
        <f t="array" ref="K315">IF(M556="","",
M556*LOOKUP($F315,_xlfn._xlws.FILTER($F$468:$F$477,G$468:G$477&lt;&gt;""),_xlfn._xlws.FILTER(G$468:G$477,G$468:G$477&lt;&gt;"")))</f>
        <v/>
      </c>
      <c r="L315" s="41" t="str">
        <f t="shared" si="21"/>
        <v/>
      </c>
      <c r="M315" s="34" t="str">
        <f t="shared" si="14"/>
        <v/>
      </c>
      <c r="N315" s="6"/>
      <c r="O315" s="25">
        <v>47515</v>
      </c>
      <c r="P315" s="32" t="str">
        <f t="shared" si="15"/>
        <v/>
      </c>
      <c r="Q315" s="32" t="str">
        <f t="shared" si="16"/>
        <v/>
      </c>
      <c r="R315" s="32" t="str">
        <f t="shared" si="17"/>
        <v/>
      </c>
      <c r="S315" s="32" t="str">
        <f t="shared" si="18"/>
        <v/>
      </c>
      <c r="T315" s="46" t="str">
        <f t="shared" si="19"/>
        <v/>
      </c>
      <c r="U315" s="32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8" t="str" cm="1">
        <f t="array" ref="G316">IF(G557="","",
G557*LOOKUP($F316,_xlfn._xlws.FILTER($F$454:$F$463,G$454:G$463&lt;&gt;""),_xlfn._xlws.FILTER(G$454:G$463,G$454:G$463&lt;&gt;"")))</f>
        <v/>
      </c>
      <c r="H316" s="38" t="str" cm="1">
        <f t="array" ref="H316">IF(H557="","",
H557*LOOKUP($F316,_xlfn._xlws.FILTER($F$454:$F$463,H$454:H$463&lt;&gt;""),_xlfn._xlws.FILTER(H$454:H$463,H$454:H$463&lt;&gt;"")))</f>
        <v/>
      </c>
      <c r="I316" s="38" t="str" cm="1">
        <f t="array" ref="I316">IF(I557="","",
I557*LOOKUP($F316,_xlfn._xlws.FILTER($F$454:$F$463,I$454:I$463&lt;&gt;""),_xlfn._xlws.FILTER(I$454:I$463,I$454:I$463&lt;&gt;"")))</f>
        <v/>
      </c>
      <c r="J316" s="44" t="str">
        <f t="shared" si="20"/>
        <v/>
      </c>
      <c r="K316" s="45" t="str" cm="1">
        <f t="array" ref="K316">IF(M557="","",
M557*LOOKUP($F316,_xlfn._xlws.FILTER($F$468:$F$477,G$468:G$477&lt;&gt;""),_xlfn._xlws.FILTER(G$468:G$477,G$468:G$477&lt;&gt;"")))</f>
        <v/>
      </c>
      <c r="L316" s="41" t="str">
        <f t="shared" si="21"/>
        <v/>
      </c>
      <c r="M316" s="34" t="str">
        <f t="shared" si="14"/>
        <v/>
      </c>
      <c r="N316" s="6"/>
      <c r="O316" s="25">
        <v>47543</v>
      </c>
      <c r="P316" s="32" t="str">
        <f t="shared" si="15"/>
        <v/>
      </c>
      <c r="Q316" s="32" t="str">
        <f t="shared" si="16"/>
        <v/>
      </c>
      <c r="R316" s="32" t="str">
        <f t="shared" si="17"/>
        <v/>
      </c>
      <c r="S316" s="32" t="str">
        <f t="shared" si="18"/>
        <v/>
      </c>
      <c r="T316" s="46" t="str">
        <f t="shared" si="19"/>
        <v/>
      </c>
      <c r="U316" s="32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8" t="str" cm="1">
        <f t="array" ref="G317">IF(G558="","",
G558*LOOKUP($F317,_xlfn._xlws.FILTER($F$454:$F$463,G$454:G$463&lt;&gt;""),_xlfn._xlws.FILTER(G$454:G$463,G$454:G$463&lt;&gt;"")))</f>
        <v/>
      </c>
      <c r="H317" s="38" t="str" cm="1">
        <f t="array" ref="H317">IF(H558="","",
H558*LOOKUP($F317,_xlfn._xlws.FILTER($F$454:$F$463,H$454:H$463&lt;&gt;""),_xlfn._xlws.FILTER(H$454:H$463,H$454:H$463&lt;&gt;"")))</f>
        <v/>
      </c>
      <c r="I317" s="38" t="str" cm="1">
        <f t="array" ref="I317">IF(I558="","",
I558*LOOKUP($F317,_xlfn._xlws.FILTER($F$454:$F$463,I$454:I$463&lt;&gt;""),_xlfn._xlws.FILTER(I$454:I$463,I$454:I$463&lt;&gt;"")))</f>
        <v/>
      </c>
      <c r="J317" s="44" t="str">
        <f t="shared" si="20"/>
        <v/>
      </c>
      <c r="K317" s="45" t="str" cm="1">
        <f t="array" ref="K317">IF(M558="","",
M558*LOOKUP($F317,_xlfn._xlws.FILTER($F$468:$F$477,G$468:G$477&lt;&gt;""),_xlfn._xlws.FILTER(G$468:G$477,G$468:G$477&lt;&gt;"")))</f>
        <v/>
      </c>
      <c r="L317" s="41" t="str">
        <f t="shared" si="21"/>
        <v/>
      </c>
      <c r="M317" s="34" t="str">
        <f t="shared" si="14"/>
        <v/>
      </c>
      <c r="N317" s="6"/>
      <c r="O317" s="25">
        <v>47574</v>
      </c>
      <c r="P317" s="32" t="str">
        <f t="shared" si="15"/>
        <v/>
      </c>
      <c r="Q317" s="32" t="str">
        <f t="shared" si="16"/>
        <v/>
      </c>
      <c r="R317" s="32" t="str">
        <f t="shared" si="17"/>
        <v/>
      </c>
      <c r="S317" s="32" t="str">
        <f t="shared" si="18"/>
        <v/>
      </c>
      <c r="T317" s="46" t="str">
        <f t="shared" si="19"/>
        <v/>
      </c>
      <c r="U317" s="32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8" t="str" cm="1">
        <f t="array" ref="G318">IF(G559="","",
G559*LOOKUP($F318,_xlfn._xlws.FILTER($F$454:$F$463,G$454:G$463&lt;&gt;""),_xlfn._xlws.FILTER(G$454:G$463,G$454:G$463&lt;&gt;"")))</f>
        <v/>
      </c>
      <c r="H318" s="38" t="str" cm="1">
        <f t="array" ref="H318">IF(H559="","",
H559*LOOKUP($F318,_xlfn._xlws.FILTER($F$454:$F$463,H$454:H$463&lt;&gt;""),_xlfn._xlws.FILTER(H$454:H$463,H$454:H$463&lt;&gt;"")))</f>
        <v/>
      </c>
      <c r="I318" s="38" t="str" cm="1">
        <f t="array" ref="I318">IF(I559="","",
I559*LOOKUP($F318,_xlfn._xlws.FILTER($F$454:$F$463,I$454:I$463&lt;&gt;""),_xlfn._xlws.FILTER(I$454:I$463,I$454:I$463&lt;&gt;"")))</f>
        <v/>
      </c>
      <c r="J318" s="44" t="str">
        <f t="shared" si="20"/>
        <v/>
      </c>
      <c r="K318" s="45" t="str" cm="1">
        <f t="array" ref="K318">IF(M559="","",
M559*LOOKUP($F318,_xlfn._xlws.FILTER($F$468:$F$477,G$468:G$477&lt;&gt;""),_xlfn._xlws.FILTER(G$468:G$477,G$468:G$477&lt;&gt;"")))</f>
        <v/>
      </c>
      <c r="L318" s="41" t="str">
        <f t="shared" si="21"/>
        <v/>
      </c>
      <c r="M318" s="34" t="str">
        <f t="shared" si="14"/>
        <v/>
      </c>
      <c r="N318" s="6"/>
      <c r="O318" s="25">
        <v>47604</v>
      </c>
      <c r="P318" s="32" t="str">
        <f t="shared" si="15"/>
        <v/>
      </c>
      <c r="Q318" s="32" t="str">
        <f t="shared" si="16"/>
        <v/>
      </c>
      <c r="R318" s="32" t="str">
        <f t="shared" si="17"/>
        <v/>
      </c>
      <c r="S318" s="32" t="str">
        <f t="shared" si="18"/>
        <v/>
      </c>
      <c r="T318" s="46" t="str">
        <f t="shared" si="19"/>
        <v/>
      </c>
      <c r="U318" s="32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8" t="str" cm="1">
        <f t="array" ref="G319">IF(G560="","",
G560*LOOKUP($F319,_xlfn._xlws.FILTER($F$454:$F$463,G$454:G$463&lt;&gt;""),_xlfn._xlws.FILTER(G$454:G$463,G$454:G$463&lt;&gt;"")))</f>
        <v/>
      </c>
      <c r="H319" s="38" t="str" cm="1">
        <f t="array" ref="H319">IF(H560="","",
H560*LOOKUP($F319,_xlfn._xlws.FILTER($F$454:$F$463,H$454:H$463&lt;&gt;""),_xlfn._xlws.FILTER(H$454:H$463,H$454:H$463&lt;&gt;"")))</f>
        <v/>
      </c>
      <c r="I319" s="38" t="str" cm="1">
        <f t="array" ref="I319">IF(I560="","",
I560*LOOKUP($F319,_xlfn._xlws.FILTER($F$454:$F$463,I$454:I$463&lt;&gt;""),_xlfn._xlws.FILTER(I$454:I$463,I$454:I$463&lt;&gt;"")))</f>
        <v/>
      </c>
      <c r="J319" s="44" t="str">
        <f t="shared" si="20"/>
        <v/>
      </c>
      <c r="K319" s="45" t="str" cm="1">
        <f t="array" ref="K319">IF(M560="","",
M560*LOOKUP($F319,_xlfn._xlws.FILTER($F$468:$F$477,G$468:G$477&lt;&gt;""),_xlfn._xlws.FILTER(G$468:G$477,G$468:G$477&lt;&gt;"")))</f>
        <v/>
      </c>
      <c r="L319" s="41" t="str">
        <f t="shared" si="21"/>
        <v/>
      </c>
      <c r="M319" s="34" t="str">
        <f t="shared" si="14"/>
        <v/>
      </c>
      <c r="N319" s="6"/>
      <c r="O319" s="25">
        <v>47635</v>
      </c>
      <c r="P319" s="32" t="str">
        <f t="shared" si="15"/>
        <v/>
      </c>
      <c r="Q319" s="32" t="str">
        <f t="shared" si="16"/>
        <v/>
      </c>
      <c r="R319" s="32" t="str">
        <f t="shared" si="17"/>
        <v/>
      </c>
      <c r="S319" s="32" t="str">
        <f t="shared" si="18"/>
        <v/>
      </c>
      <c r="T319" s="46" t="str">
        <f t="shared" si="19"/>
        <v/>
      </c>
      <c r="U319" s="32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8" t="str" cm="1">
        <f t="array" ref="G320">IF(G561="","",
G561*LOOKUP($F320,_xlfn._xlws.FILTER($F$454:$F$463,G$454:G$463&lt;&gt;""),_xlfn._xlws.FILTER(G$454:G$463,G$454:G$463&lt;&gt;"")))</f>
        <v/>
      </c>
      <c r="H320" s="38" t="str" cm="1">
        <f t="array" ref="H320">IF(H561="","",
H561*LOOKUP($F320,_xlfn._xlws.FILTER($F$454:$F$463,H$454:H$463&lt;&gt;""),_xlfn._xlws.FILTER(H$454:H$463,H$454:H$463&lt;&gt;"")))</f>
        <v/>
      </c>
      <c r="I320" s="38" t="str" cm="1">
        <f t="array" ref="I320">IF(I561="","",
I561*LOOKUP($F320,_xlfn._xlws.FILTER($F$454:$F$463,I$454:I$463&lt;&gt;""),_xlfn._xlws.FILTER(I$454:I$463,I$454:I$463&lt;&gt;"")))</f>
        <v/>
      </c>
      <c r="J320" s="44" t="str">
        <f t="shared" si="20"/>
        <v/>
      </c>
      <c r="K320" s="45" t="str" cm="1">
        <f t="array" ref="K320">IF(M561="","",
M561*LOOKUP($F320,_xlfn._xlws.FILTER($F$468:$F$477,G$468:G$477&lt;&gt;""),_xlfn._xlws.FILTER(G$468:G$477,G$468:G$477&lt;&gt;"")))</f>
        <v/>
      </c>
      <c r="L320" s="41" t="str">
        <f t="shared" si="21"/>
        <v/>
      </c>
      <c r="M320" s="34" t="str">
        <f t="shared" si="14"/>
        <v/>
      </c>
      <c r="N320" s="6"/>
      <c r="O320" s="25">
        <v>47665</v>
      </c>
      <c r="P320" s="32" t="str">
        <f t="shared" si="15"/>
        <v/>
      </c>
      <c r="Q320" s="32" t="str">
        <f t="shared" si="16"/>
        <v/>
      </c>
      <c r="R320" s="32" t="str">
        <f t="shared" si="17"/>
        <v/>
      </c>
      <c r="S320" s="32" t="str">
        <f t="shared" si="18"/>
        <v/>
      </c>
      <c r="T320" s="46" t="str">
        <f t="shared" si="19"/>
        <v/>
      </c>
      <c r="U320" s="32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8" t="str" cm="1">
        <f t="array" ref="G321">IF(G562="","",
G562*LOOKUP($F321,_xlfn._xlws.FILTER($F$454:$F$463,G$454:G$463&lt;&gt;""),_xlfn._xlws.FILTER(G$454:G$463,G$454:G$463&lt;&gt;"")))</f>
        <v/>
      </c>
      <c r="H321" s="38" t="str" cm="1">
        <f t="array" ref="H321">IF(H562="","",
H562*LOOKUP($F321,_xlfn._xlws.FILTER($F$454:$F$463,H$454:H$463&lt;&gt;""),_xlfn._xlws.FILTER(H$454:H$463,H$454:H$463&lt;&gt;"")))</f>
        <v/>
      </c>
      <c r="I321" s="38" t="str" cm="1">
        <f t="array" ref="I321">IF(I562="","",
I562*LOOKUP($F321,_xlfn._xlws.FILTER($F$454:$F$463,I$454:I$463&lt;&gt;""),_xlfn._xlws.FILTER(I$454:I$463,I$454:I$463&lt;&gt;"")))</f>
        <v/>
      </c>
      <c r="J321" s="44" t="str">
        <f t="shared" si="20"/>
        <v/>
      </c>
      <c r="K321" s="45" t="str" cm="1">
        <f t="array" ref="K321">IF(M562="","",
M562*LOOKUP($F321,_xlfn._xlws.FILTER($F$468:$F$477,G$468:G$477&lt;&gt;""),_xlfn._xlws.FILTER(G$468:G$477,G$468:G$477&lt;&gt;"")))</f>
        <v/>
      </c>
      <c r="L321" s="41" t="str">
        <f t="shared" si="21"/>
        <v/>
      </c>
      <c r="M321" s="34" t="str">
        <f t="shared" si="14"/>
        <v/>
      </c>
      <c r="N321" s="6"/>
      <c r="O321" s="25">
        <v>47696</v>
      </c>
      <c r="P321" s="32" t="str">
        <f t="shared" si="15"/>
        <v/>
      </c>
      <c r="Q321" s="32" t="str">
        <f t="shared" si="16"/>
        <v/>
      </c>
      <c r="R321" s="32" t="str">
        <f t="shared" si="17"/>
        <v/>
      </c>
      <c r="S321" s="32" t="str">
        <f t="shared" si="18"/>
        <v/>
      </c>
      <c r="T321" s="46" t="str">
        <f t="shared" si="19"/>
        <v/>
      </c>
      <c r="U321" s="32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8" t="str" cm="1">
        <f t="array" ref="G322">IF(G563="","",
G563*LOOKUP($F322,_xlfn._xlws.FILTER($F$454:$F$463,G$454:G$463&lt;&gt;""),_xlfn._xlws.FILTER(G$454:G$463,G$454:G$463&lt;&gt;"")))</f>
        <v/>
      </c>
      <c r="H322" s="38" t="str" cm="1">
        <f t="array" ref="H322">IF(H563="","",
H563*LOOKUP($F322,_xlfn._xlws.FILTER($F$454:$F$463,H$454:H$463&lt;&gt;""),_xlfn._xlws.FILTER(H$454:H$463,H$454:H$463&lt;&gt;"")))</f>
        <v/>
      </c>
      <c r="I322" s="38" t="str" cm="1">
        <f t="array" ref="I322">IF(I563="","",
I563*LOOKUP($F322,_xlfn._xlws.FILTER($F$454:$F$463,I$454:I$463&lt;&gt;""),_xlfn._xlws.FILTER(I$454:I$463,I$454:I$463&lt;&gt;"")))</f>
        <v/>
      </c>
      <c r="J322" s="44" t="str">
        <f t="shared" si="20"/>
        <v/>
      </c>
      <c r="K322" s="45" t="str" cm="1">
        <f t="array" ref="K322">IF(M563="","",
M563*LOOKUP($F322,_xlfn._xlws.FILTER($F$468:$F$477,G$468:G$477&lt;&gt;""),_xlfn._xlws.FILTER(G$468:G$477,G$468:G$477&lt;&gt;"")))</f>
        <v/>
      </c>
      <c r="L322" s="41" t="str">
        <f t="shared" si="21"/>
        <v/>
      </c>
      <c r="M322" s="34" t="str">
        <f t="shared" si="14"/>
        <v/>
      </c>
      <c r="N322" s="6"/>
      <c r="O322" s="25">
        <v>47727</v>
      </c>
      <c r="P322" s="32" t="str">
        <f t="shared" si="15"/>
        <v/>
      </c>
      <c r="Q322" s="32" t="str">
        <f t="shared" si="16"/>
        <v/>
      </c>
      <c r="R322" s="32" t="str">
        <f t="shared" si="17"/>
        <v/>
      </c>
      <c r="S322" s="32" t="str">
        <f t="shared" si="18"/>
        <v/>
      </c>
      <c r="T322" s="46" t="str">
        <f t="shared" si="19"/>
        <v/>
      </c>
      <c r="U322" s="32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8" t="str" cm="1">
        <f t="array" ref="G323">IF(G564="","",
G564*LOOKUP($F323,_xlfn._xlws.FILTER($F$454:$F$463,G$454:G$463&lt;&gt;""),_xlfn._xlws.FILTER(G$454:G$463,G$454:G$463&lt;&gt;"")))</f>
        <v/>
      </c>
      <c r="H323" s="38" t="str" cm="1">
        <f t="array" ref="H323">IF(H564="","",
H564*LOOKUP($F323,_xlfn._xlws.FILTER($F$454:$F$463,H$454:H$463&lt;&gt;""),_xlfn._xlws.FILTER(H$454:H$463,H$454:H$463&lt;&gt;"")))</f>
        <v/>
      </c>
      <c r="I323" s="38" t="str" cm="1">
        <f t="array" ref="I323">IF(I564="","",
I564*LOOKUP($F323,_xlfn._xlws.FILTER($F$454:$F$463,I$454:I$463&lt;&gt;""),_xlfn._xlws.FILTER(I$454:I$463,I$454:I$463&lt;&gt;"")))</f>
        <v/>
      </c>
      <c r="J323" s="44" t="str">
        <f t="shared" si="20"/>
        <v/>
      </c>
      <c r="K323" s="45" t="str" cm="1">
        <f t="array" ref="K323">IF(M564="","",
M564*LOOKUP($F323,_xlfn._xlws.FILTER($F$468:$F$477,G$468:G$477&lt;&gt;""),_xlfn._xlws.FILTER(G$468:G$477,G$468:G$477&lt;&gt;"")))</f>
        <v/>
      </c>
      <c r="L323" s="41" t="str">
        <f t="shared" si="21"/>
        <v/>
      </c>
      <c r="M323" s="34" t="str">
        <f t="shared" si="14"/>
        <v/>
      </c>
      <c r="N323" s="6"/>
      <c r="O323" s="25">
        <v>47757</v>
      </c>
      <c r="P323" s="32" t="str">
        <f t="shared" si="15"/>
        <v/>
      </c>
      <c r="Q323" s="32" t="str">
        <f t="shared" si="16"/>
        <v/>
      </c>
      <c r="R323" s="32" t="str">
        <f t="shared" si="17"/>
        <v/>
      </c>
      <c r="S323" s="32" t="str">
        <f t="shared" si="18"/>
        <v/>
      </c>
      <c r="T323" s="46" t="str">
        <f t="shared" si="19"/>
        <v/>
      </c>
      <c r="U323" s="32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8" t="str" cm="1">
        <f t="array" ref="G324">IF(G565="","",
G565*LOOKUP($F324,_xlfn._xlws.FILTER($F$454:$F$463,G$454:G$463&lt;&gt;""),_xlfn._xlws.FILTER(G$454:G$463,G$454:G$463&lt;&gt;"")))</f>
        <v/>
      </c>
      <c r="H324" s="38" t="str" cm="1">
        <f t="array" ref="H324">IF(H565="","",
H565*LOOKUP($F324,_xlfn._xlws.FILTER($F$454:$F$463,H$454:H$463&lt;&gt;""),_xlfn._xlws.FILTER(H$454:H$463,H$454:H$463&lt;&gt;"")))</f>
        <v/>
      </c>
      <c r="I324" s="38" t="str" cm="1">
        <f t="array" ref="I324">IF(I565="","",
I565*LOOKUP($F324,_xlfn._xlws.FILTER($F$454:$F$463,I$454:I$463&lt;&gt;""),_xlfn._xlws.FILTER(I$454:I$463,I$454:I$463&lt;&gt;"")))</f>
        <v/>
      </c>
      <c r="J324" s="44" t="str">
        <f t="shared" si="20"/>
        <v/>
      </c>
      <c r="K324" s="45" t="str" cm="1">
        <f t="array" ref="K324">IF(M565="","",
M565*LOOKUP($F324,_xlfn._xlws.FILTER($F$468:$F$477,G$468:G$477&lt;&gt;""),_xlfn._xlws.FILTER(G$468:G$477,G$468:G$477&lt;&gt;"")))</f>
        <v/>
      </c>
      <c r="L324" s="41" t="str">
        <f t="shared" si="21"/>
        <v/>
      </c>
      <c r="M324" s="34" t="str">
        <f t="shared" si="14"/>
        <v/>
      </c>
      <c r="N324" s="6"/>
      <c r="O324" s="25">
        <v>47788</v>
      </c>
      <c r="P324" s="32" t="str">
        <f t="shared" si="15"/>
        <v/>
      </c>
      <c r="Q324" s="32" t="str">
        <f t="shared" si="16"/>
        <v/>
      </c>
      <c r="R324" s="32" t="str">
        <f t="shared" si="17"/>
        <v/>
      </c>
      <c r="S324" s="32" t="str">
        <f t="shared" si="18"/>
        <v/>
      </c>
      <c r="T324" s="46" t="str">
        <f t="shared" si="19"/>
        <v/>
      </c>
      <c r="U324" s="32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8" t="str" cm="1">
        <f t="array" ref="G325">IF(G566="","",
G566*LOOKUP($F325,_xlfn._xlws.FILTER($F$454:$F$463,G$454:G$463&lt;&gt;""),_xlfn._xlws.FILTER(G$454:G$463,G$454:G$463&lt;&gt;"")))</f>
        <v/>
      </c>
      <c r="H325" s="38" t="str" cm="1">
        <f t="array" ref="H325">IF(H566="","",
H566*LOOKUP($F325,_xlfn._xlws.FILTER($F$454:$F$463,H$454:H$463&lt;&gt;""),_xlfn._xlws.FILTER(H$454:H$463,H$454:H$463&lt;&gt;"")))</f>
        <v/>
      </c>
      <c r="I325" s="38" t="str" cm="1">
        <f t="array" ref="I325">IF(I566="","",
I566*LOOKUP($F325,_xlfn._xlws.FILTER($F$454:$F$463,I$454:I$463&lt;&gt;""),_xlfn._xlws.FILTER(I$454:I$463,I$454:I$463&lt;&gt;"")))</f>
        <v/>
      </c>
      <c r="J325" s="44" t="str">
        <f t="shared" si="20"/>
        <v/>
      </c>
      <c r="K325" s="45" t="str" cm="1">
        <f t="array" ref="K325">IF(M566="","",
M566*LOOKUP($F325,_xlfn._xlws.FILTER($F$468:$F$477,G$468:G$477&lt;&gt;""),_xlfn._xlws.FILTER(G$468:G$477,G$468:G$477&lt;&gt;"")))</f>
        <v/>
      </c>
      <c r="L325" s="41" t="str">
        <f t="shared" si="21"/>
        <v/>
      </c>
      <c r="M325" s="34" t="str">
        <f t="shared" si="14"/>
        <v/>
      </c>
      <c r="N325" s="6"/>
      <c r="O325" s="25">
        <v>47818</v>
      </c>
      <c r="P325" s="32" t="str">
        <f t="shared" si="15"/>
        <v/>
      </c>
      <c r="Q325" s="32" t="str">
        <f t="shared" si="16"/>
        <v/>
      </c>
      <c r="R325" s="32" t="str">
        <f t="shared" si="17"/>
        <v/>
      </c>
      <c r="S325" s="32" t="str">
        <f t="shared" si="18"/>
        <v/>
      </c>
      <c r="T325" s="46" t="str">
        <f t="shared" si="19"/>
        <v/>
      </c>
      <c r="U325" s="32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8" t="str" cm="1">
        <f t="array" ref="G326">IF(G567="","",
G567*LOOKUP($F326,_xlfn._xlws.FILTER($F$454:$F$463,G$454:G$463&lt;&gt;""),_xlfn._xlws.FILTER(G$454:G$463,G$454:G$463&lt;&gt;"")))</f>
        <v/>
      </c>
      <c r="H326" s="38" t="str" cm="1">
        <f t="array" ref="H326">IF(H567="","",
H567*LOOKUP($F326,_xlfn._xlws.FILTER($F$454:$F$463,H$454:H$463&lt;&gt;""),_xlfn._xlws.FILTER(H$454:H$463,H$454:H$463&lt;&gt;"")))</f>
        <v/>
      </c>
      <c r="I326" s="38" t="str" cm="1">
        <f t="array" ref="I326">IF(I567="","",
I567*LOOKUP($F326,_xlfn._xlws.FILTER($F$454:$F$463,I$454:I$463&lt;&gt;""),_xlfn._xlws.FILTER(I$454:I$463,I$454:I$463&lt;&gt;"")))</f>
        <v/>
      </c>
      <c r="J326" s="44" t="str">
        <f t="shared" si="20"/>
        <v/>
      </c>
      <c r="K326" s="45" t="str" cm="1">
        <f t="array" ref="K326">IF(M567="","",
M567*LOOKUP($F326,_xlfn._xlws.FILTER($F$468:$F$477,G$468:G$477&lt;&gt;""),_xlfn._xlws.FILTER(G$468:G$477,G$468:G$477&lt;&gt;"")))</f>
        <v/>
      </c>
      <c r="L326" s="41" t="str">
        <f t="shared" si="21"/>
        <v/>
      </c>
      <c r="M326" s="34" t="str">
        <f t="shared" si="14"/>
        <v/>
      </c>
      <c r="N326" s="6"/>
      <c r="O326" s="25">
        <v>47849</v>
      </c>
      <c r="P326" s="32" t="str">
        <f t="shared" si="15"/>
        <v/>
      </c>
      <c r="Q326" s="32" t="str">
        <f t="shared" si="16"/>
        <v/>
      </c>
      <c r="R326" s="32" t="str">
        <f t="shared" si="17"/>
        <v/>
      </c>
      <c r="S326" s="32" t="str">
        <f t="shared" si="18"/>
        <v/>
      </c>
      <c r="T326" s="46" t="str">
        <f t="shared" si="19"/>
        <v/>
      </c>
      <c r="U326" s="32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8" t="str" cm="1">
        <f t="array" ref="G327">IF(G568="","",
G568*LOOKUP($F327,_xlfn._xlws.FILTER($F$454:$F$463,G$454:G$463&lt;&gt;""),_xlfn._xlws.FILTER(G$454:G$463,G$454:G$463&lt;&gt;"")))</f>
        <v/>
      </c>
      <c r="H327" s="38" t="str" cm="1">
        <f t="array" ref="H327">IF(H568="","",
H568*LOOKUP($F327,_xlfn._xlws.FILTER($F$454:$F$463,H$454:H$463&lt;&gt;""),_xlfn._xlws.FILTER(H$454:H$463,H$454:H$463&lt;&gt;"")))</f>
        <v/>
      </c>
      <c r="I327" s="38" t="str" cm="1">
        <f t="array" ref="I327">IF(I568="","",
I568*LOOKUP($F327,_xlfn._xlws.FILTER($F$454:$F$463,I$454:I$463&lt;&gt;""),_xlfn._xlws.FILTER(I$454:I$463,I$454:I$463&lt;&gt;"")))</f>
        <v/>
      </c>
      <c r="J327" s="44" t="str">
        <f t="shared" si="20"/>
        <v/>
      </c>
      <c r="K327" s="45" t="str" cm="1">
        <f t="array" ref="K327">IF(M568="","",
M568*LOOKUP($F327,_xlfn._xlws.FILTER($F$468:$F$477,G$468:G$477&lt;&gt;""),_xlfn._xlws.FILTER(G$468:G$477,G$468:G$477&lt;&gt;"")))</f>
        <v/>
      </c>
      <c r="L327" s="41" t="str">
        <f t="shared" si="21"/>
        <v/>
      </c>
      <c r="M327" s="34" t="str">
        <f t="shared" si="14"/>
        <v/>
      </c>
      <c r="N327" s="6"/>
      <c r="O327" s="25">
        <v>47880</v>
      </c>
      <c r="P327" s="32" t="str">
        <f t="shared" si="15"/>
        <v/>
      </c>
      <c r="Q327" s="32" t="str">
        <f t="shared" si="16"/>
        <v/>
      </c>
      <c r="R327" s="32" t="str">
        <f t="shared" si="17"/>
        <v/>
      </c>
      <c r="S327" s="32" t="str">
        <f t="shared" si="18"/>
        <v/>
      </c>
      <c r="T327" s="46" t="str">
        <f t="shared" si="19"/>
        <v/>
      </c>
      <c r="U327" s="32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8" t="str" cm="1">
        <f t="array" ref="G328">IF(G569="","",
G569*LOOKUP($F328,_xlfn._xlws.FILTER($F$454:$F$463,G$454:G$463&lt;&gt;""),_xlfn._xlws.FILTER(G$454:G$463,G$454:G$463&lt;&gt;"")))</f>
        <v/>
      </c>
      <c r="H328" s="38" t="str" cm="1">
        <f t="array" ref="H328">IF(H569="","",
H569*LOOKUP($F328,_xlfn._xlws.FILTER($F$454:$F$463,H$454:H$463&lt;&gt;""),_xlfn._xlws.FILTER(H$454:H$463,H$454:H$463&lt;&gt;"")))</f>
        <v/>
      </c>
      <c r="I328" s="38" t="str" cm="1">
        <f t="array" ref="I328">IF(I569="","",
I569*LOOKUP($F328,_xlfn._xlws.FILTER($F$454:$F$463,I$454:I$463&lt;&gt;""),_xlfn._xlws.FILTER(I$454:I$463,I$454:I$463&lt;&gt;"")))</f>
        <v/>
      </c>
      <c r="J328" s="44" t="str">
        <f t="shared" si="20"/>
        <v/>
      </c>
      <c r="K328" s="45" t="str" cm="1">
        <f t="array" ref="K328">IF(M569="","",
M569*LOOKUP($F328,_xlfn._xlws.FILTER($F$468:$F$477,G$468:G$477&lt;&gt;""),_xlfn._xlws.FILTER(G$468:G$477,G$468:G$477&lt;&gt;"")))</f>
        <v/>
      </c>
      <c r="L328" s="41" t="str">
        <f t="shared" si="21"/>
        <v/>
      </c>
      <c r="M328" s="34" t="str">
        <f t="shared" si="14"/>
        <v/>
      </c>
      <c r="N328" s="6"/>
      <c r="O328" s="25">
        <v>47908</v>
      </c>
      <c r="P328" s="32" t="str">
        <f t="shared" si="15"/>
        <v/>
      </c>
      <c r="Q328" s="32" t="str">
        <f t="shared" si="16"/>
        <v/>
      </c>
      <c r="R328" s="32" t="str">
        <f t="shared" si="17"/>
        <v/>
      </c>
      <c r="S328" s="32" t="str">
        <f t="shared" si="18"/>
        <v/>
      </c>
      <c r="T328" s="46" t="str">
        <f t="shared" si="19"/>
        <v/>
      </c>
      <c r="U328" s="32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8" t="str" cm="1">
        <f t="array" ref="G329">IF(G570="","",
G570*LOOKUP($F329,_xlfn._xlws.FILTER($F$454:$F$463,G$454:G$463&lt;&gt;""),_xlfn._xlws.FILTER(G$454:G$463,G$454:G$463&lt;&gt;"")))</f>
        <v/>
      </c>
      <c r="H329" s="38" t="str" cm="1">
        <f t="array" ref="H329">IF(H570="","",
H570*LOOKUP($F329,_xlfn._xlws.FILTER($F$454:$F$463,H$454:H$463&lt;&gt;""),_xlfn._xlws.FILTER(H$454:H$463,H$454:H$463&lt;&gt;"")))</f>
        <v/>
      </c>
      <c r="I329" s="38" t="str" cm="1">
        <f t="array" ref="I329">IF(I570="","",
I570*LOOKUP($F329,_xlfn._xlws.FILTER($F$454:$F$463,I$454:I$463&lt;&gt;""),_xlfn._xlws.FILTER(I$454:I$463,I$454:I$463&lt;&gt;"")))</f>
        <v/>
      </c>
      <c r="J329" s="44" t="str">
        <f t="shared" si="20"/>
        <v/>
      </c>
      <c r="K329" s="45" t="str" cm="1">
        <f t="array" ref="K329">IF(M570="","",
M570*LOOKUP($F329,_xlfn._xlws.FILTER($F$468:$F$477,G$468:G$477&lt;&gt;""),_xlfn._xlws.FILTER(G$468:G$477,G$468:G$477&lt;&gt;"")))</f>
        <v/>
      </c>
      <c r="L329" s="41" t="str">
        <f t="shared" si="21"/>
        <v/>
      </c>
      <c r="M329" s="34" t="str">
        <f t="shared" si="14"/>
        <v/>
      </c>
      <c r="N329" s="6"/>
      <c r="O329" s="25">
        <v>47939</v>
      </c>
      <c r="P329" s="32" t="str">
        <f t="shared" si="15"/>
        <v/>
      </c>
      <c r="Q329" s="32" t="str">
        <f t="shared" si="16"/>
        <v/>
      </c>
      <c r="R329" s="32" t="str">
        <f t="shared" si="17"/>
        <v/>
      </c>
      <c r="S329" s="32" t="str">
        <f t="shared" si="18"/>
        <v/>
      </c>
      <c r="T329" s="46" t="str">
        <f t="shared" si="19"/>
        <v/>
      </c>
      <c r="U329" s="32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8" t="str" cm="1">
        <f t="array" ref="G330">IF(G571="","",
G571*LOOKUP($F330,_xlfn._xlws.FILTER($F$454:$F$463,G$454:G$463&lt;&gt;""),_xlfn._xlws.FILTER(G$454:G$463,G$454:G$463&lt;&gt;"")))</f>
        <v/>
      </c>
      <c r="H330" s="38" t="str" cm="1">
        <f t="array" ref="H330">IF(H571="","",
H571*LOOKUP($F330,_xlfn._xlws.FILTER($F$454:$F$463,H$454:H$463&lt;&gt;""),_xlfn._xlws.FILTER(H$454:H$463,H$454:H$463&lt;&gt;"")))</f>
        <v/>
      </c>
      <c r="I330" s="38" t="str" cm="1">
        <f t="array" ref="I330">IF(I571="","",
I571*LOOKUP($F330,_xlfn._xlws.FILTER($F$454:$F$463,I$454:I$463&lt;&gt;""),_xlfn._xlws.FILTER(I$454:I$463,I$454:I$463&lt;&gt;"")))</f>
        <v/>
      </c>
      <c r="J330" s="44" t="str">
        <f t="shared" si="20"/>
        <v/>
      </c>
      <c r="K330" s="45" t="str" cm="1">
        <f t="array" ref="K330">IF(M571="","",
M571*LOOKUP($F330,_xlfn._xlws.FILTER($F$468:$F$477,G$468:G$477&lt;&gt;""),_xlfn._xlws.FILTER(G$468:G$477,G$468:G$477&lt;&gt;"")))</f>
        <v/>
      </c>
      <c r="L330" s="41" t="str">
        <f t="shared" si="21"/>
        <v/>
      </c>
      <c r="M330" s="34" t="str">
        <f t="shared" si="14"/>
        <v/>
      </c>
      <c r="N330" s="6"/>
      <c r="O330" s="25">
        <v>47969</v>
      </c>
      <c r="P330" s="32" t="str">
        <f t="shared" si="15"/>
        <v/>
      </c>
      <c r="Q330" s="32" t="str">
        <f t="shared" si="16"/>
        <v/>
      </c>
      <c r="R330" s="32" t="str">
        <f t="shared" si="17"/>
        <v/>
      </c>
      <c r="S330" s="32" t="str">
        <f t="shared" si="18"/>
        <v/>
      </c>
      <c r="T330" s="46" t="str">
        <f t="shared" si="19"/>
        <v/>
      </c>
      <c r="U330" s="32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8" t="str" cm="1">
        <f t="array" ref="G331">IF(G572="","",
G572*LOOKUP($F331,_xlfn._xlws.FILTER($F$454:$F$463,G$454:G$463&lt;&gt;""),_xlfn._xlws.FILTER(G$454:G$463,G$454:G$463&lt;&gt;"")))</f>
        <v/>
      </c>
      <c r="H331" s="38" t="str" cm="1">
        <f t="array" ref="H331">IF(H572="","",
H572*LOOKUP($F331,_xlfn._xlws.FILTER($F$454:$F$463,H$454:H$463&lt;&gt;""),_xlfn._xlws.FILTER(H$454:H$463,H$454:H$463&lt;&gt;"")))</f>
        <v/>
      </c>
      <c r="I331" s="38" t="str" cm="1">
        <f t="array" ref="I331">IF(I572="","",
I572*LOOKUP($F331,_xlfn._xlws.FILTER($F$454:$F$463,I$454:I$463&lt;&gt;""),_xlfn._xlws.FILTER(I$454:I$463,I$454:I$463&lt;&gt;"")))</f>
        <v/>
      </c>
      <c r="J331" s="44" t="str">
        <f t="shared" si="20"/>
        <v/>
      </c>
      <c r="K331" s="45" t="str" cm="1">
        <f t="array" ref="K331">IF(M572="","",
M572*LOOKUP($F331,_xlfn._xlws.FILTER($F$468:$F$477,G$468:G$477&lt;&gt;""),_xlfn._xlws.FILTER(G$468:G$477,G$468:G$477&lt;&gt;"")))</f>
        <v/>
      </c>
      <c r="L331" s="41" t="str">
        <f t="shared" si="21"/>
        <v/>
      </c>
      <c r="M331" s="34" t="str">
        <f t="shared" si="14"/>
        <v/>
      </c>
      <c r="N331" s="6"/>
      <c r="O331" s="25">
        <v>48000</v>
      </c>
      <c r="P331" s="32" t="str">
        <f t="shared" si="15"/>
        <v/>
      </c>
      <c r="Q331" s="32" t="str">
        <f t="shared" si="16"/>
        <v/>
      </c>
      <c r="R331" s="32" t="str">
        <f t="shared" si="17"/>
        <v/>
      </c>
      <c r="S331" s="32" t="str">
        <f t="shared" si="18"/>
        <v/>
      </c>
      <c r="T331" s="46" t="str">
        <f t="shared" si="19"/>
        <v/>
      </c>
      <c r="U331" s="32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8" t="str" cm="1">
        <f t="array" ref="G332">IF(G573="","",
G573*LOOKUP($F332,_xlfn._xlws.FILTER($F$454:$F$463,G$454:G$463&lt;&gt;""),_xlfn._xlws.FILTER(G$454:G$463,G$454:G$463&lt;&gt;"")))</f>
        <v/>
      </c>
      <c r="H332" s="38" t="str" cm="1">
        <f t="array" ref="H332">IF(H573="","",
H573*LOOKUP($F332,_xlfn._xlws.FILTER($F$454:$F$463,H$454:H$463&lt;&gt;""),_xlfn._xlws.FILTER(H$454:H$463,H$454:H$463&lt;&gt;"")))</f>
        <v/>
      </c>
      <c r="I332" s="38" t="str" cm="1">
        <f t="array" ref="I332">IF(I573="","",
I573*LOOKUP($F332,_xlfn._xlws.FILTER($F$454:$F$463,I$454:I$463&lt;&gt;""),_xlfn._xlws.FILTER(I$454:I$463,I$454:I$463&lt;&gt;"")))</f>
        <v/>
      </c>
      <c r="J332" s="44" t="str">
        <f t="shared" si="20"/>
        <v/>
      </c>
      <c r="K332" s="45" t="str" cm="1">
        <f t="array" ref="K332">IF(M573="","",
M573*LOOKUP($F332,_xlfn._xlws.FILTER($F$468:$F$477,G$468:G$477&lt;&gt;""),_xlfn._xlws.FILTER(G$468:G$477,G$468:G$477&lt;&gt;"")))</f>
        <v/>
      </c>
      <c r="L332" s="41" t="str">
        <f t="shared" si="21"/>
        <v/>
      </c>
      <c r="M332" s="34" t="str">
        <f t="shared" si="14"/>
        <v/>
      </c>
      <c r="N332" s="6"/>
      <c r="O332" s="25">
        <v>48030</v>
      </c>
      <c r="P332" s="32" t="str">
        <f t="shared" si="15"/>
        <v/>
      </c>
      <c r="Q332" s="32" t="str">
        <f t="shared" si="16"/>
        <v/>
      </c>
      <c r="R332" s="32" t="str">
        <f t="shared" si="17"/>
        <v/>
      </c>
      <c r="S332" s="32" t="str">
        <f t="shared" si="18"/>
        <v/>
      </c>
      <c r="T332" s="46" t="str">
        <f t="shared" si="19"/>
        <v/>
      </c>
      <c r="U332" s="32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8" t="str" cm="1">
        <f t="array" ref="G333">IF(G574="","",
G574*LOOKUP($F333,_xlfn._xlws.FILTER($F$454:$F$463,G$454:G$463&lt;&gt;""),_xlfn._xlws.FILTER(G$454:G$463,G$454:G$463&lt;&gt;"")))</f>
        <v/>
      </c>
      <c r="H333" s="38" t="str" cm="1">
        <f t="array" ref="H333">IF(H574="","",
H574*LOOKUP($F333,_xlfn._xlws.FILTER($F$454:$F$463,H$454:H$463&lt;&gt;""),_xlfn._xlws.FILTER(H$454:H$463,H$454:H$463&lt;&gt;"")))</f>
        <v/>
      </c>
      <c r="I333" s="38" t="str" cm="1">
        <f t="array" ref="I333">IF(I574="","",
I574*LOOKUP($F333,_xlfn._xlws.FILTER($F$454:$F$463,I$454:I$463&lt;&gt;""),_xlfn._xlws.FILTER(I$454:I$463,I$454:I$463&lt;&gt;"")))</f>
        <v/>
      </c>
      <c r="J333" s="44" t="str">
        <f t="shared" si="20"/>
        <v/>
      </c>
      <c r="K333" s="45" t="str" cm="1">
        <f t="array" ref="K333">IF(M574="","",
M574*LOOKUP($F333,_xlfn._xlws.FILTER($F$468:$F$477,G$468:G$477&lt;&gt;""),_xlfn._xlws.FILTER(G$468:G$477,G$468:G$477&lt;&gt;"")))</f>
        <v/>
      </c>
      <c r="L333" s="41" t="str">
        <f t="shared" si="21"/>
        <v/>
      </c>
      <c r="M333" s="34" t="str">
        <f t="shared" si="14"/>
        <v/>
      </c>
      <c r="N333" s="6"/>
      <c r="O333" s="25">
        <v>48061</v>
      </c>
      <c r="P333" s="32" t="str">
        <f t="shared" si="15"/>
        <v/>
      </c>
      <c r="Q333" s="32" t="str">
        <f t="shared" si="16"/>
        <v/>
      </c>
      <c r="R333" s="32" t="str">
        <f t="shared" si="17"/>
        <v/>
      </c>
      <c r="S333" s="32" t="str">
        <f t="shared" si="18"/>
        <v/>
      </c>
      <c r="T333" s="46" t="str">
        <f t="shared" si="19"/>
        <v/>
      </c>
      <c r="U333" s="32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8" t="str" cm="1">
        <f t="array" ref="G334">IF(G575="","",
G575*LOOKUP($F334,_xlfn._xlws.FILTER($F$454:$F$463,G$454:G$463&lt;&gt;""),_xlfn._xlws.FILTER(G$454:G$463,G$454:G$463&lt;&gt;"")))</f>
        <v/>
      </c>
      <c r="H334" s="38" t="str" cm="1">
        <f t="array" ref="H334">IF(H575="","",
H575*LOOKUP($F334,_xlfn._xlws.FILTER($F$454:$F$463,H$454:H$463&lt;&gt;""),_xlfn._xlws.FILTER(H$454:H$463,H$454:H$463&lt;&gt;"")))</f>
        <v/>
      </c>
      <c r="I334" s="38" t="str" cm="1">
        <f t="array" ref="I334">IF(I575="","",
I575*LOOKUP($F334,_xlfn._xlws.FILTER($F$454:$F$463,I$454:I$463&lt;&gt;""),_xlfn._xlws.FILTER(I$454:I$463,I$454:I$463&lt;&gt;"")))</f>
        <v/>
      </c>
      <c r="J334" s="44" t="str">
        <f t="shared" si="20"/>
        <v/>
      </c>
      <c r="K334" s="45" t="str" cm="1">
        <f t="array" ref="K334">IF(M575="","",
M575*LOOKUP($F334,_xlfn._xlws.FILTER($F$468:$F$477,G$468:G$477&lt;&gt;""),_xlfn._xlws.FILTER(G$468:G$477,G$468:G$477&lt;&gt;"")))</f>
        <v/>
      </c>
      <c r="L334" s="41" t="str">
        <f t="shared" si="21"/>
        <v/>
      </c>
      <c r="M334" s="34" t="str">
        <f t="shared" si="14"/>
        <v/>
      </c>
      <c r="N334" s="6"/>
      <c r="O334" s="25">
        <v>48092</v>
      </c>
      <c r="P334" s="32" t="str">
        <f t="shared" si="15"/>
        <v/>
      </c>
      <c r="Q334" s="32" t="str">
        <f t="shared" si="16"/>
        <v/>
      </c>
      <c r="R334" s="32" t="str">
        <f t="shared" si="17"/>
        <v/>
      </c>
      <c r="S334" s="32" t="str">
        <f t="shared" si="18"/>
        <v/>
      </c>
      <c r="T334" s="46" t="str">
        <f t="shared" si="19"/>
        <v/>
      </c>
      <c r="U334" s="32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8" t="str" cm="1">
        <f t="array" ref="G335">IF(G576="","",
G576*LOOKUP($F335,_xlfn._xlws.FILTER($F$454:$F$463,G$454:G$463&lt;&gt;""),_xlfn._xlws.FILTER(G$454:G$463,G$454:G$463&lt;&gt;"")))</f>
        <v/>
      </c>
      <c r="H335" s="38" t="str" cm="1">
        <f t="array" ref="H335">IF(H576="","",
H576*LOOKUP($F335,_xlfn._xlws.FILTER($F$454:$F$463,H$454:H$463&lt;&gt;""),_xlfn._xlws.FILTER(H$454:H$463,H$454:H$463&lt;&gt;"")))</f>
        <v/>
      </c>
      <c r="I335" s="38" t="str" cm="1">
        <f t="array" ref="I335">IF(I576="","",
I576*LOOKUP($F335,_xlfn._xlws.FILTER($F$454:$F$463,I$454:I$463&lt;&gt;""),_xlfn._xlws.FILTER(I$454:I$463,I$454:I$463&lt;&gt;"")))</f>
        <v/>
      </c>
      <c r="J335" s="44" t="str">
        <f t="shared" si="20"/>
        <v/>
      </c>
      <c r="K335" s="45" t="str" cm="1">
        <f t="array" ref="K335">IF(M576="","",
M576*LOOKUP($F335,_xlfn._xlws.FILTER($F$468:$F$477,G$468:G$477&lt;&gt;""),_xlfn._xlws.FILTER(G$468:G$477,G$468:G$477&lt;&gt;"")))</f>
        <v/>
      </c>
      <c r="L335" s="41" t="str">
        <f t="shared" si="21"/>
        <v/>
      </c>
      <c r="M335" s="34" t="str">
        <f t="shared" si="14"/>
        <v/>
      </c>
      <c r="N335" s="6"/>
      <c r="O335" s="25">
        <v>48122</v>
      </c>
      <c r="P335" s="32" t="str">
        <f t="shared" si="15"/>
        <v/>
      </c>
      <c r="Q335" s="32" t="str">
        <f t="shared" si="16"/>
        <v/>
      </c>
      <c r="R335" s="32" t="str">
        <f t="shared" si="17"/>
        <v/>
      </c>
      <c r="S335" s="32" t="str">
        <f t="shared" si="18"/>
        <v/>
      </c>
      <c r="T335" s="46" t="str">
        <f t="shared" si="19"/>
        <v/>
      </c>
      <c r="U335" s="32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8" t="str" cm="1">
        <f t="array" ref="G336">IF(G577="","",
G577*LOOKUP($F336,_xlfn._xlws.FILTER($F$454:$F$463,G$454:G$463&lt;&gt;""),_xlfn._xlws.FILTER(G$454:G$463,G$454:G$463&lt;&gt;"")))</f>
        <v/>
      </c>
      <c r="H336" s="38" t="str" cm="1">
        <f t="array" ref="H336">IF(H577="","",
H577*LOOKUP($F336,_xlfn._xlws.FILTER($F$454:$F$463,H$454:H$463&lt;&gt;""),_xlfn._xlws.FILTER(H$454:H$463,H$454:H$463&lt;&gt;"")))</f>
        <v/>
      </c>
      <c r="I336" s="38" t="str" cm="1">
        <f t="array" ref="I336">IF(I577="","",
I577*LOOKUP($F336,_xlfn._xlws.FILTER($F$454:$F$463,I$454:I$463&lt;&gt;""),_xlfn._xlws.FILTER(I$454:I$463,I$454:I$463&lt;&gt;"")))</f>
        <v/>
      </c>
      <c r="J336" s="44" t="str">
        <f t="shared" si="20"/>
        <v/>
      </c>
      <c r="K336" s="45" t="str" cm="1">
        <f t="array" ref="K336">IF(M577="","",
M577*LOOKUP($F336,_xlfn._xlws.FILTER($F$468:$F$477,G$468:G$477&lt;&gt;""),_xlfn._xlws.FILTER(G$468:G$477,G$468:G$477&lt;&gt;"")))</f>
        <v/>
      </c>
      <c r="L336" s="41" t="str">
        <f t="shared" si="21"/>
        <v/>
      </c>
      <c r="M336" s="34" t="str">
        <f t="shared" si="14"/>
        <v/>
      </c>
      <c r="N336" s="6"/>
      <c r="O336" s="25">
        <v>48153</v>
      </c>
      <c r="P336" s="32" t="str">
        <f t="shared" si="15"/>
        <v/>
      </c>
      <c r="Q336" s="32" t="str">
        <f t="shared" si="16"/>
        <v/>
      </c>
      <c r="R336" s="32" t="str">
        <f t="shared" si="17"/>
        <v/>
      </c>
      <c r="S336" s="32" t="str">
        <f t="shared" si="18"/>
        <v/>
      </c>
      <c r="T336" s="46" t="str">
        <f t="shared" si="19"/>
        <v/>
      </c>
      <c r="U336" s="32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8" t="str" cm="1">
        <f t="array" ref="G337">IF(G578="","",
G578*LOOKUP($F337,_xlfn._xlws.FILTER($F$454:$F$463,G$454:G$463&lt;&gt;""),_xlfn._xlws.FILTER(G$454:G$463,G$454:G$463&lt;&gt;"")))</f>
        <v/>
      </c>
      <c r="H337" s="38" t="str" cm="1">
        <f t="array" ref="H337">IF(H578="","",
H578*LOOKUP($F337,_xlfn._xlws.FILTER($F$454:$F$463,H$454:H$463&lt;&gt;""),_xlfn._xlws.FILTER(H$454:H$463,H$454:H$463&lt;&gt;"")))</f>
        <v/>
      </c>
      <c r="I337" s="38" t="str" cm="1">
        <f t="array" ref="I337">IF(I578="","",
I578*LOOKUP($F337,_xlfn._xlws.FILTER($F$454:$F$463,I$454:I$463&lt;&gt;""),_xlfn._xlws.FILTER(I$454:I$463,I$454:I$463&lt;&gt;"")))</f>
        <v/>
      </c>
      <c r="J337" s="44" t="str">
        <f t="shared" si="20"/>
        <v/>
      </c>
      <c r="K337" s="45" t="str" cm="1">
        <f t="array" ref="K337">IF(M578="","",
M578*LOOKUP($F337,_xlfn._xlws.FILTER($F$468:$F$477,G$468:G$477&lt;&gt;""),_xlfn._xlws.FILTER(G$468:G$477,G$468:G$477&lt;&gt;"")))</f>
        <v/>
      </c>
      <c r="L337" s="41" t="str">
        <f t="shared" si="21"/>
        <v/>
      </c>
      <c r="M337" s="34" t="str">
        <f t="shared" si="14"/>
        <v/>
      </c>
      <c r="N337" s="6"/>
      <c r="O337" s="25">
        <v>48183</v>
      </c>
      <c r="P337" s="32" t="str">
        <f t="shared" si="15"/>
        <v/>
      </c>
      <c r="Q337" s="32" t="str">
        <f t="shared" si="16"/>
        <v/>
      </c>
      <c r="R337" s="32" t="str">
        <f t="shared" si="17"/>
        <v/>
      </c>
      <c r="S337" s="32" t="str">
        <f t="shared" si="18"/>
        <v/>
      </c>
      <c r="T337" s="46" t="str">
        <f t="shared" si="19"/>
        <v/>
      </c>
      <c r="U337" s="32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8" t="str" cm="1">
        <f t="array" ref="G338">IF(G579="","",
G579*LOOKUP($F338,_xlfn._xlws.FILTER($F$454:$F$463,G$454:G$463&lt;&gt;""),_xlfn._xlws.FILTER(G$454:G$463,G$454:G$463&lt;&gt;"")))</f>
        <v/>
      </c>
      <c r="H338" s="38" t="str" cm="1">
        <f t="array" ref="H338">IF(H579="","",
H579*LOOKUP($F338,_xlfn._xlws.FILTER($F$454:$F$463,H$454:H$463&lt;&gt;""),_xlfn._xlws.FILTER(H$454:H$463,H$454:H$463&lt;&gt;"")))</f>
        <v/>
      </c>
      <c r="I338" s="38" t="str" cm="1">
        <f t="array" ref="I338">IF(I579="","",
I579*LOOKUP($F338,_xlfn._xlws.FILTER($F$454:$F$463,I$454:I$463&lt;&gt;""),_xlfn._xlws.FILTER(I$454:I$463,I$454:I$463&lt;&gt;"")))</f>
        <v/>
      </c>
      <c r="J338" s="44" t="str">
        <f t="shared" si="20"/>
        <v/>
      </c>
      <c r="K338" s="45" t="str" cm="1">
        <f t="array" ref="K338">IF(M579="","",
M579*LOOKUP($F338,_xlfn._xlws.FILTER($F$468:$F$477,G$468:G$477&lt;&gt;""),_xlfn._xlws.FILTER(G$468:G$477,G$468:G$477&lt;&gt;"")))</f>
        <v/>
      </c>
      <c r="L338" s="41" t="str">
        <f t="shared" si="21"/>
        <v/>
      </c>
      <c r="M338" s="34" t="str">
        <f t="shared" si="14"/>
        <v/>
      </c>
      <c r="N338" s="6"/>
      <c r="O338" s="25">
        <v>48214</v>
      </c>
      <c r="P338" s="32" t="str">
        <f t="shared" si="15"/>
        <v/>
      </c>
      <c r="Q338" s="32" t="str">
        <f t="shared" si="16"/>
        <v/>
      </c>
      <c r="R338" s="32" t="str">
        <f t="shared" si="17"/>
        <v/>
      </c>
      <c r="S338" s="32" t="str">
        <f t="shared" si="18"/>
        <v/>
      </c>
      <c r="T338" s="46" t="str">
        <f t="shared" si="19"/>
        <v/>
      </c>
      <c r="U338" s="32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8" t="str" cm="1">
        <f t="array" ref="G339">IF(G580="","",
G580*LOOKUP($F339,_xlfn._xlws.FILTER($F$454:$F$463,G$454:G$463&lt;&gt;""),_xlfn._xlws.FILTER(G$454:G$463,G$454:G$463&lt;&gt;"")))</f>
        <v/>
      </c>
      <c r="H339" s="38" t="str" cm="1">
        <f t="array" ref="H339">IF(H580="","",
H580*LOOKUP($F339,_xlfn._xlws.FILTER($F$454:$F$463,H$454:H$463&lt;&gt;""),_xlfn._xlws.FILTER(H$454:H$463,H$454:H$463&lt;&gt;"")))</f>
        <v/>
      </c>
      <c r="I339" s="38" t="str" cm="1">
        <f t="array" ref="I339">IF(I580="","",
I580*LOOKUP($F339,_xlfn._xlws.FILTER($F$454:$F$463,I$454:I$463&lt;&gt;""),_xlfn._xlws.FILTER(I$454:I$463,I$454:I$463&lt;&gt;"")))</f>
        <v/>
      </c>
      <c r="J339" s="44" t="str">
        <f t="shared" si="20"/>
        <v/>
      </c>
      <c r="K339" s="45" t="str" cm="1">
        <f t="array" ref="K339">IF(M580="","",
M580*LOOKUP($F339,_xlfn._xlws.FILTER($F$468:$F$477,G$468:G$477&lt;&gt;""),_xlfn._xlws.FILTER(G$468:G$477,G$468:G$477&lt;&gt;"")))</f>
        <v/>
      </c>
      <c r="L339" s="41" t="str">
        <f t="shared" si="21"/>
        <v/>
      </c>
      <c r="M339" s="34" t="str">
        <f t="shared" si="14"/>
        <v/>
      </c>
      <c r="N339" s="6"/>
      <c r="O339" s="25">
        <v>48245</v>
      </c>
      <c r="P339" s="32" t="str">
        <f t="shared" si="15"/>
        <v/>
      </c>
      <c r="Q339" s="32" t="str">
        <f t="shared" si="16"/>
        <v/>
      </c>
      <c r="R339" s="32" t="str">
        <f t="shared" si="17"/>
        <v/>
      </c>
      <c r="S339" s="32" t="str">
        <f t="shared" si="18"/>
        <v/>
      </c>
      <c r="T339" s="46" t="str">
        <f t="shared" si="19"/>
        <v/>
      </c>
      <c r="U339" s="32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8" t="str" cm="1">
        <f t="array" ref="G340">IF(G581="","",
G581*LOOKUP($F340,_xlfn._xlws.FILTER($F$454:$F$463,G$454:G$463&lt;&gt;""),_xlfn._xlws.FILTER(G$454:G$463,G$454:G$463&lt;&gt;"")))</f>
        <v/>
      </c>
      <c r="H340" s="38" t="str" cm="1">
        <f t="array" ref="H340">IF(H581="","",
H581*LOOKUP($F340,_xlfn._xlws.FILTER($F$454:$F$463,H$454:H$463&lt;&gt;""),_xlfn._xlws.FILTER(H$454:H$463,H$454:H$463&lt;&gt;"")))</f>
        <v/>
      </c>
      <c r="I340" s="38" t="str" cm="1">
        <f t="array" ref="I340">IF(I581="","",
I581*LOOKUP($F340,_xlfn._xlws.FILTER($F$454:$F$463,I$454:I$463&lt;&gt;""),_xlfn._xlws.FILTER(I$454:I$463,I$454:I$463&lt;&gt;"")))</f>
        <v/>
      </c>
      <c r="J340" s="44" t="str">
        <f t="shared" si="20"/>
        <v/>
      </c>
      <c r="K340" s="45" t="str" cm="1">
        <f t="array" ref="K340">IF(M581="","",
M581*LOOKUP($F340,_xlfn._xlws.FILTER($F$468:$F$477,G$468:G$477&lt;&gt;""),_xlfn._xlws.FILTER(G$468:G$477,G$468:G$477&lt;&gt;"")))</f>
        <v/>
      </c>
      <c r="L340" s="41" t="str">
        <f t="shared" si="21"/>
        <v/>
      </c>
      <c r="M340" s="34" t="str">
        <f t="shared" si="14"/>
        <v/>
      </c>
      <c r="N340" s="6"/>
      <c r="O340" s="25">
        <v>48274</v>
      </c>
      <c r="P340" s="32" t="str">
        <f t="shared" si="15"/>
        <v/>
      </c>
      <c r="Q340" s="32" t="str">
        <f t="shared" si="16"/>
        <v/>
      </c>
      <c r="R340" s="32" t="str">
        <f t="shared" si="17"/>
        <v/>
      </c>
      <c r="S340" s="32" t="str">
        <f t="shared" si="18"/>
        <v/>
      </c>
      <c r="T340" s="46" t="str">
        <f t="shared" si="19"/>
        <v/>
      </c>
      <c r="U340" s="32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8" t="str" cm="1">
        <f t="array" ref="G341">IF(G582="","",
G582*LOOKUP($F341,_xlfn._xlws.FILTER($F$454:$F$463,G$454:G$463&lt;&gt;""),_xlfn._xlws.FILTER(G$454:G$463,G$454:G$463&lt;&gt;"")))</f>
        <v/>
      </c>
      <c r="H341" s="38" t="str" cm="1">
        <f t="array" ref="H341">IF(H582="","",
H582*LOOKUP($F341,_xlfn._xlws.FILTER($F$454:$F$463,H$454:H$463&lt;&gt;""),_xlfn._xlws.FILTER(H$454:H$463,H$454:H$463&lt;&gt;"")))</f>
        <v/>
      </c>
      <c r="I341" s="38" t="str" cm="1">
        <f t="array" ref="I341">IF(I582="","",
I582*LOOKUP($F341,_xlfn._xlws.FILTER($F$454:$F$463,I$454:I$463&lt;&gt;""),_xlfn._xlws.FILTER(I$454:I$463,I$454:I$463&lt;&gt;"")))</f>
        <v/>
      </c>
      <c r="J341" s="44" t="str">
        <f t="shared" si="20"/>
        <v/>
      </c>
      <c r="K341" s="45" t="str" cm="1">
        <f t="array" ref="K341">IF(M582="","",
M582*LOOKUP($F341,_xlfn._xlws.FILTER($F$468:$F$477,G$468:G$477&lt;&gt;""),_xlfn._xlws.FILTER(G$468:G$477,G$468:G$477&lt;&gt;"")))</f>
        <v/>
      </c>
      <c r="L341" s="41" t="str">
        <f t="shared" si="21"/>
        <v/>
      </c>
      <c r="M341" s="34" t="str">
        <f t="shared" si="14"/>
        <v/>
      </c>
      <c r="N341" s="6"/>
      <c r="O341" s="25">
        <v>48305</v>
      </c>
      <c r="P341" s="32" t="str">
        <f t="shared" si="15"/>
        <v/>
      </c>
      <c r="Q341" s="32" t="str">
        <f t="shared" si="16"/>
        <v/>
      </c>
      <c r="R341" s="32" t="str">
        <f t="shared" si="17"/>
        <v/>
      </c>
      <c r="S341" s="32" t="str">
        <f t="shared" si="18"/>
        <v/>
      </c>
      <c r="T341" s="46" t="str">
        <f t="shared" si="19"/>
        <v/>
      </c>
      <c r="U341" s="32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8" t="str" cm="1">
        <f t="array" ref="G342">IF(G583="","",
G583*LOOKUP($F342,_xlfn._xlws.FILTER($F$454:$F$463,G$454:G$463&lt;&gt;""),_xlfn._xlws.FILTER(G$454:G$463,G$454:G$463&lt;&gt;"")))</f>
        <v/>
      </c>
      <c r="H342" s="38" t="str" cm="1">
        <f t="array" ref="H342">IF(H583="","",
H583*LOOKUP($F342,_xlfn._xlws.FILTER($F$454:$F$463,H$454:H$463&lt;&gt;""),_xlfn._xlws.FILTER(H$454:H$463,H$454:H$463&lt;&gt;"")))</f>
        <v/>
      </c>
      <c r="I342" s="38" t="str" cm="1">
        <f t="array" ref="I342">IF(I583="","",
I583*LOOKUP($F342,_xlfn._xlws.FILTER($F$454:$F$463,I$454:I$463&lt;&gt;""),_xlfn._xlws.FILTER(I$454:I$463,I$454:I$463&lt;&gt;"")))</f>
        <v/>
      </c>
      <c r="J342" s="44" t="str">
        <f t="shared" si="20"/>
        <v/>
      </c>
      <c r="K342" s="45" t="str" cm="1">
        <f t="array" ref="K342">IF(M583="","",
M583*LOOKUP($F342,_xlfn._xlws.FILTER($F$468:$F$477,G$468:G$477&lt;&gt;""),_xlfn._xlws.FILTER(G$468:G$477,G$468:G$477&lt;&gt;"")))</f>
        <v/>
      </c>
      <c r="L342" s="41" t="str">
        <f t="shared" si="21"/>
        <v/>
      </c>
      <c r="M342" s="34" t="str">
        <f t="shared" ref="M342:M405" si="23">IF(L342="","",L342/L341-1)</f>
        <v/>
      </c>
      <c r="N342" s="6"/>
      <c r="O342" s="25">
        <v>48335</v>
      </c>
      <c r="P342" s="32" t="str">
        <f t="shared" si="15"/>
        <v/>
      </c>
      <c r="Q342" s="32" t="str">
        <f t="shared" si="16"/>
        <v/>
      </c>
      <c r="R342" s="32" t="str">
        <f t="shared" si="17"/>
        <v/>
      </c>
      <c r="S342" s="32" t="str">
        <f t="shared" si="18"/>
        <v/>
      </c>
      <c r="T342" s="46" t="str">
        <f t="shared" si="19"/>
        <v/>
      </c>
      <c r="U342" s="32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8" t="str" cm="1">
        <f t="array" ref="G343">IF(G584="","",
G584*LOOKUP($F343,_xlfn._xlws.FILTER($F$454:$F$463,G$454:G$463&lt;&gt;""),_xlfn._xlws.FILTER(G$454:G$463,G$454:G$463&lt;&gt;"")))</f>
        <v/>
      </c>
      <c r="H343" s="38" t="str" cm="1">
        <f t="array" ref="H343">IF(H584="","",
H584*LOOKUP($F343,_xlfn._xlws.FILTER($F$454:$F$463,H$454:H$463&lt;&gt;""),_xlfn._xlws.FILTER(H$454:H$463,H$454:H$463&lt;&gt;"")))</f>
        <v/>
      </c>
      <c r="I343" s="38" t="str" cm="1">
        <f t="array" ref="I343">IF(I584="","",
I584*LOOKUP($F343,_xlfn._xlws.FILTER($F$454:$F$463,I$454:I$463&lt;&gt;""),_xlfn._xlws.FILTER(I$454:I$463,I$454:I$463&lt;&gt;"")))</f>
        <v/>
      </c>
      <c r="J343" s="44" t="str">
        <f t="shared" si="20"/>
        <v/>
      </c>
      <c r="K343" s="45" t="str" cm="1">
        <f t="array" ref="K343">IF(M584="","",
M584*LOOKUP($F343,_xlfn._xlws.FILTER($F$468:$F$477,G$468:G$477&lt;&gt;""),_xlfn._xlws.FILTER(G$468:G$477,G$468:G$477&lt;&gt;"")))</f>
        <v/>
      </c>
      <c r="L343" s="41" t="str">
        <f t="shared" si="21"/>
        <v/>
      </c>
      <c r="M343" s="34" t="str">
        <f t="shared" si="23"/>
        <v/>
      </c>
      <c r="N343" s="6"/>
      <c r="O343" s="25">
        <v>48366</v>
      </c>
      <c r="P343" s="32" t="str">
        <f t="shared" si="15"/>
        <v/>
      </c>
      <c r="Q343" s="32" t="str">
        <f t="shared" si="16"/>
        <v/>
      </c>
      <c r="R343" s="32" t="str">
        <f t="shared" si="17"/>
        <v/>
      </c>
      <c r="S343" s="32" t="str">
        <f t="shared" si="18"/>
        <v/>
      </c>
      <c r="T343" s="46" t="str">
        <f t="shared" si="19"/>
        <v/>
      </c>
      <c r="U343" s="32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8" t="str" cm="1">
        <f t="array" ref="G344">IF(G585="","",
G585*LOOKUP($F344,_xlfn._xlws.FILTER($F$454:$F$463,G$454:G$463&lt;&gt;""),_xlfn._xlws.FILTER(G$454:G$463,G$454:G$463&lt;&gt;"")))</f>
        <v/>
      </c>
      <c r="H344" s="38" t="str" cm="1">
        <f t="array" ref="H344">IF(H585="","",
H585*LOOKUP($F344,_xlfn._xlws.FILTER($F$454:$F$463,H$454:H$463&lt;&gt;""),_xlfn._xlws.FILTER(H$454:H$463,H$454:H$463&lt;&gt;"")))</f>
        <v/>
      </c>
      <c r="I344" s="38" t="str" cm="1">
        <f t="array" ref="I344">IF(I585="","",
I585*LOOKUP($F344,_xlfn._xlws.FILTER($F$454:$F$463,I$454:I$463&lt;&gt;""),_xlfn._xlws.FILTER(I$454:I$463,I$454:I$463&lt;&gt;"")))</f>
        <v/>
      </c>
      <c r="J344" s="44" t="str">
        <f t="shared" si="20"/>
        <v/>
      </c>
      <c r="K344" s="45" t="str" cm="1">
        <f t="array" ref="K344">IF(M585="","",
M585*LOOKUP($F344,_xlfn._xlws.FILTER($F$468:$F$477,G$468:G$477&lt;&gt;""),_xlfn._xlws.FILTER(G$468:G$477,G$468:G$477&lt;&gt;"")))</f>
        <v/>
      </c>
      <c r="L344" s="41" t="str">
        <f t="shared" si="21"/>
        <v/>
      </c>
      <c r="M344" s="34" t="str">
        <f t="shared" si="23"/>
        <v/>
      </c>
      <c r="N344" s="6"/>
      <c r="O344" s="25">
        <v>48396</v>
      </c>
      <c r="P344" s="32" t="str">
        <f t="shared" si="15"/>
        <v/>
      </c>
      <c r="Q344" s="32" t="str">
        <f t="shared" si="16"/>
        <v/>
      </c>
      <c r="R344" s="32" t="str">
        <f t="shared" si="17"/>
        <v/>
      </c>
      <c r="S344" s="32" t="str">
        <f t="shared" si="18"/>
        <v/>
      </c>
      <c r="T344" s="46" t="str">
        <f t="shared" si="19"/>
        <v/>
      </c>
      <c r="U344" s="32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8" t="str" cm="1">
        <f t="array" ref="G345">IF(G586="","",
G586*LOOKUP($F345,_xlfn._xlws.FILTER($F$454:$F$463,G$454:G$463&lt;&gt;""),_xlfn._xlws.FILTER(G$454:G$463,G$454:G$463&lt;&gt;"")))</f>
        <v/>
      </c>
      <c r="H345" s="38" t="str" cm="1">
        <f t="array" ref="H345">IF(H586="","",
H586*LOOKUP($F345,_xlfn._xlws.FILTER($F$454:$F$463,H$454:H$463&lt;&gt;""),_xlfn._xlws.FILTER(H$454:H$463,H$454:H$463&lt;&gt;"")))</f>
        <v/>
      </c>
      <c r="I345" s="38" t="str" cm="1">
        <f t="array" ref="I345">IF(I586="","",
I586*LOOKUP($F345,_xlfn._xlws.FILTER($F$454:$F$463,I$454:I$463&lt;&gt;""),_xlfn._xlws.FILTER(I$454:I$463,I$454:I$463&lt;&gt;"")))</f>
        <v/>
      </c>
      <c r="J345" s="44" t="str">
        <f t="shared" si="20"/>
        <v/>
      </c>
      <c r="K345" s="45" t="str" cm="1">
        <f t="array" ref="K345">IF(M586="","",
M586*LOOKUP($F345,_xlfn._xlws.FILTER($F$468:$F$477,G$468:G$477&lt;&gt;""),_xlfn._xlws.FILTER(G$468:G$477,G$468:G$477&lt;&gt;"")))</f>
        <v/>
      </c>
      <c r="L345" s="41" t="str">
        <f t="shared" si="21"/>
        <v/>
      </c>
      <c r="M345" s="34" t="str">
        <f t="shared" si="23"/>
        <v/>
      </c>
      <c r="N345" s="6"/>
      <c r="O345" s="25">
        <v>48427</v>
      </c>
      <c r="P345" s="32" t="str">
        <f t="shared" si="15"/>
        <v/>
      </c>
      <c r="Q345" s="32" t="str">
        <f t="shared" si="16"/>
        <v/>
      </c>
      <c r="R345" s="32" t="str">
        <f t="shared" si="17"/>
        <v/>
      </c>
      <c r="S345" s="32" t="str">
        <f t="shared" si="18"/>
        <v/>
      </c>
      <c r="T345" s="46" t="str">
        <f t="shared" si="19"/>
        <v/>
      </c>
      <c r="U345" s="32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8" t="str" cm="1">
        <f t="array" ref="G346">IF(G587="","",
G587*LOOKUP($F346,_xlfn._xlws.FILTER($F$454:$F$463,G$454:G$463&lt;&gt;""),_xlfn._xlws.FILTER(G$454:G$463,G$454:G$463&lt;&gt;"")))</f>
        <v/>
      </c>
      <c r="H346" s="38" t="str" cm="1">
        <f t="array" ref="H346">IF(H587="","",
H587*LOOKUP($F346,_xlfn._xlws.FILTER($F$454:$F$463,H$454:H$463&lt;&gt;""),_xlfn._xlws.FILTER(H$454:H$463,H$454:H$463&lt;&gt;"")))</f>
        <v/>
      </c>
      <c r="I346" s="38" t="str" cm="1">
        <f t="array" ref="I346">IF(I587="","",
I587*LOOKUP($F346,_xlfn._xlws.FILTER($F$454:$F$463,I$454:I$463&lt;&gt;""),_xlfn._xlws.FILTER(I$454:I$463,I$454:I$463&lt;&gt;"")))</f>
        <v/>
      </c>
      <c r="J346" s="44" t="str">
        <f t="shared" si="20"/>
        <v/>
      </c>
      <c r="K346" s="45" t="str" cm="1">
        <f t="array" ref="K346">IF(M587="","",
M587*LOOKUP($F346,_xlfn._xlws.FILTER($F$468:$F$477,G$468:G$477&lt;&gt;""),_xlfn._xlws.FILTER(G$468:G$477,G$468:G$477&lt;&gt;"")))</f>
        <v/>
      </c>
      <c r="L346" s="41" t="str">
        <f t="shared" si="21"/>
        <v/>
      </c>
      <c r="M346" s="34" t="str">
        <f t="shared" si="23"/>
        <v/>
      </c>
      <c r="N346" s="6"/>
      <c r="O346" s="25">
        <v>48458</v>
      </c>
      <c r="P346" s="32" t="str">
        <f t="shared" si="15"/>
        <v/>
      </c>
      <c r="Q346" s="32" t="str">
        <f t="shared" si="16"/>
        <v/>
      </c>
      <c r="R346" s="32" t="str">
        <f t="shared" si="17"/>
        <v/>
      </c>
      <c r="S346" s="32" t="str">
        <f t="shared" si="18"/>
        <v/>
      </c>
      <c r="T346" s="46" t="str">
        <f t="shared" si="19"/>
        <v/>
      </c>
      <c r="U346" s="32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8" t="str" cm="1">
        <f t="array" ref="G347">IF(G588="","",
G588*LOOKUP($F347,_xlfn._xlws.FILTER($F$454:$F$463,G$454:G$463&lt;&gt;""),_xlfn._xlws.FILTER(G$454:G$463,G$454:G$463&lt;&gt;"")))</f>
        <v/>
      </c>
      <c r="H347" s="38" t="str" cm="1">
        <f t="array" ref="H347">IF(H588="","",
H588*LOOKUP($F347,_xlfn._xlws.FILTER($F$454:$F$463,H$454:H$463&lt;&gt;""),_xlfn._xlws.FILTER(H$454:H$463,H$454:H$463&lt;&gt;"")))</f>
        <v/>
      </c>
      <c r="I347" s="38" t="str" cm="1">
        <f t="array" ref="I347">IF(I588="","",
I588*LOOKUP($F347,_xlfn._xlws.FILTER($F$454:$F$463,I$454:I$463&lt;&gt;""),_xlfn._xlws.FILTER(I$454:I$463,I$454:I$463&lt;&gt;"")))</f>
        <v/>
      </c>
      <c r="J347" s="44" t="str">
        <f t="shared" si="20"/>
        <v/>
      </c>
      <c r="K347" s="45" t="str" cm="1">
        <f t="array" ref="K347">IF(M588="","",
M588*LOOKUP($F347,_xlfn._xlws.FILTER($F$468:$F$477,G$468:G$477&lt;&gt;""),_xlfn._xlws.FILTER(G$468:G$477,G$468:G$477&lt;&gt;"")))</f>
        <v/>
      </c>
      <c r="L347" s="41" t="str">
        <f t="shared" si="21"/>
        <v/>
      </c>
      <c r="M347" s="34" t="str">
        <f t="shared" si="23"/>
        <v/>
      </c>
      <c r="N347" s="6"/>
      <c r="O347" s="25">
        <v>48488</v>
      </c>
      <c r="P347" s="32" t="str">
        <f t="shared" si="15"/>
        <v/>
      </c>
      <c r="Q347" s="32" t="str">
        <f t="shared" si="16"/>
        <v/>
      </c>
      <c r="R347" s="32" t="str">
        <f t="shared" si="17"/>
        <v/>
      </c>
      <c r="S347" s="32" t="str">
        <f t="shared" si="18"/>
        <v/>
      </c>
      <c r="T347" s="46" t="str">
        <f t="shared" si="19"/>
        <v/>
      </c>
      <c r="U347" s="32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8" t="str" cm="1">
        <f t="array" ref="G348">IF(G589="","",
G589*LOOKUP($F348,_xlfn._xlws.FILTER($F$454:$F$463,G$454:G$463&lt;&gt;""),_xlfn._xlws.FILTER(G$454:G$463,G$454:G$463&lt;&gt;"")))</f>
        <v/>
      </c>
      <c r="H348" s="38" t="str" cm="1">
        <f t="array" ref="H348">IF(H589="","",
H589*LOOKUP($F348,_xlfn._xlws.FILTER($F$454:$F$463,H$454:H$463&lt;&gt;""),_xlfn._xlws.FILTER(H$454:H$463,H$454:H$463&lt;&gt;"")))</f>
        <v/>
      </c>
      <c r="I348" s="38" t="str" cm="1">
        <f t="array" ref="I348">IF(I589="","",
I589*LOOKUP($F348,_xlfn._xlws.FILTER($F$454:$F$463,I$454:I$463&lt;&gt;""),_xlfn._xlws.FILTER(I$454:I$463,I$454:I$463&lt;&gt;"")))</f>
        <v/>
      </c>
      <c r="J348" s="44" t="str">
        <f t="shared" si="20"/>
        <v/>
      </c>
      <c r="K348" s="45" t="str" cm="1">
        <f t="array" ref="K348">IF(M589="","",
M589*LOOKUP($F348,_xlfn._xlws.FILTER($F$468:$F$477,G$468:G$477&lt;&gt;""),_xlfn._xlws.FILTER(G$468:G$477,G$468:G$477&lt;&gt;"")))</f>
        <v/>
      </c>
      <c r="L348" s="41" t="str">
        <f t="shared" si="21"/>
        <v/>
      </c>
      <c r="M348" s="34" t="str">
        <f t="shared" si="23"/>
        <v/>
      </c>
      <c r="N348" s="6"/>
      <c r="O348" s="25">
        <v>48519</v>
      </c>
      <c r="P348" s="32" t="str">
        <f t="shared" si="15"/>
        <v/>
      </c>
      <c r="Q348" s="32" t="str">
        <f t="shared" si="16"/>
        <v/>
      </c>
      <c r="R348" s="32" t="str">
        <f t="shared" si="17"/>
        <v/>
      </c>
      <c r="S348" s="32" t="str">
        <f t="shared" si="18"/>
        <v/>
      </c>
      <c r="T348" s="46" t="str">
        <f t="shared" si="19"/>
        <v/>
      </c>
      <c r="U348" s="32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8" t="str" cm="1">
        <f t="array" ref="G349">IF(G590="","",
G590*LOOKUP($F349,_xlfn._xlws.FILTER($F$454:$F$463,G$454:G$463&lt;&gt;""),_xlfn._xlws.FILTER(G$454:G$463,G$454:G$463&lt;&gt;"")))</f>
        <v/>
      </c>
      <c r="H349" s="38" t="str" cm="1">
        <f t="array" ref="H349">IF(H590="","",
H590*LOOKUP($F349,_xlfn._xlws.FILTER($F$454:$F$463,H$454:H$463&lt;&gt;""),_xlfn._xlws.FILTER(H$454:H$463,H$454:H$463&lt;&gt;"")))</f>
        <v/>
      </c>
      <c r="I349" s="38" t="str" cm="1">
        <f t="array" ref="I349">IF(I590="","",
I590*LOOKUP($F349,_xlfn._xlws.FILTER($F$454:$F$463,I$454:I$463&lt;&gt;""),_xlfn._xlws.FILTER(I$454:I$463,I$454:I$463&lt;&gt;"")))</f>
        <v/>
      </c>
      <c r="J349" s="44" t="str">
        <f t="shared" si="20"/>
        <v/>
      </c>
      <c r="K349" s="45" t="str" cm="1">
        <f t="array" ref="K349">IF(M590="","",
M590*LOOKUP($F349,_xlfn._xlws.FILTER($F$468:$F$477,G$468:G$477&lt;&gt;""),_xlfn._xlws.FILTER(G$468:G$477,G$468:G$477&lt;&gt;"")))</f>
        <v/>
      </c>
      <c r="L349" s="41" t="str">
        <f t="shared" si="21"/>
        <v/>
      </c>
      <c r="M349" s="34" t="str">
        <f t="shared" si="23"/>
        <v/>
      </c>
      <c r="N349" s="6"/>
      <c r="O349" s="25">
        <v>48549</v>
      </c>
      <c r="P349" s="32" t="str">
        <f t="shared" si="15"/>
        <v/>
      </c>
      <c r="Q349" s="32" t="str">
        <f t="shared" si="16"/>
        <v/>
      </c>
      <c r="R349" s="32" t="str">
        <f t="shared" si="17"/>
        <v/>
      </c>
      <c r="S349" s="32" t="str">
        <f t="shared" si="18"/>
        <v/>
      </c>
      <c r="T349" s="46" t="str">
        <f t="shared" si="19"/>
        <v/>
      </c>
      <c r="U349" s="32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8" t="str" cm="1">
        <f t="array" ref="G350">IF(G591="","",
G591*LOOKUP($F350,_xlfn._xlws.FILTER($F$454:$F$463,G$454:G$463&lt;&gt;""),_xlfn._xlws.FILTER(G$454:G$463,G$454:G$463&lt;&gt;"")))</f>
        <v/>
      </c>
      <c r="H350" s="38" t="str" cm="1">
        <f t="array" ref="H350">IF(H591="","",
H591*LOOKUP($F350,_xlfn._xlws.FILTER($F$454:$F$463,H$454:H$463&lt;&gt;""),_xlfn._xlws.FILTER(H$454:H$463,H$454:H$463&lt;&gt;"")))</f>
        <v/>
      </c>
      <c r="I350" s="38" t="str" cm="1">
        <f t="array" ref="I350">IF(I591="","",
I591*LOOKUP($F350,_xlfn._xlws.FILTER($F$454:$F$463,I$454:I$463&lt;&gt;""),_xlfn._xlws.FILTER(I$454:I$463,I$454:I$463&lt;&gt;"")))</f>
        <v/>
      </c>
      <c r="J350" s="44" t="str">
        <f t="shared" si="20"/>
        <v/>
      </c>
      <c r="K350" s="45" t="str" cm="1">
        <f t="array" ref="K350">IF(M591="","",
M591*LOOKUP($F350,_xlfn._xlws.FILTER($F$468:$F$477,G$468:G$477&lt;&gt;""),_xlfn._xlws.FILTER(G$468:G$477,G$468:G$477&lt;&gt;"")))</f>
        <v/>
      </c>
      <c r="L350" s="41" t="str">
        <f t="shared" si="21"/>
        <v/>
      </c>
      <c r="M350" s="34" t="str">
        <f t="shared" si="23"/>
        <v/>
      </c>
      <c r="N350" s="6"/>
      <c r="O350" s="25">
        <v>48580</v>
      </c>
      <c r="P350" s="32" t="str">
        <f t="shared" si="15"/>
        <v/>
      </c>
      <c r="Q350" s="32" t="str">
        <f t="shared" si="16"/>
        <v/>
      </c>
      <c r="R350" s="32" t="str">
        <f t="shared" si="17"/>
        <v/>
      </c>
      <c r="S350" s="32" t="str">
        <f t="shared" si="18"/>
        <v/>
      </c>
      <c r="T350" s="46" t="str">
        <f t="shared" si="19"/>
        <v/>
      </c>
      <c r="U350" s="32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8" t="str" cm="1">
        <f t="array" ref="G351">IF(G592="","",
G592*LOOKUP($F351,_xlfn._xlws.FILTER($F$454:$F$463,G$454:G$463&lt;&gt;""),_xlfn._xlws.FILTER(G$454:G$463,G$454:G$463&lt;&gt;"")))</f>
        <v/>
      </c>
      <c r="H351" s="38" t="str" cm="1">
        <f t="array" ref="H351">IF(H592="","",
H592*LOOKUP($F351,_xlfn._xlws.FILTER($F$454:$F$463,H$454:H$463&lt;&gt;""),_xlfn._xlws.FILTER(H$454:H$463,H$454:H$463&lt;&gt;"")))</f>
        <v/>
      </c>
      <c r="I351" s="38" t="str" cm="1">
        <f t="array" ref="I351">IF(I592="","",
I592*LOOKUP($F351,_xlfn._xlws.FILTER($F$454:$F$463,I$454:I$463&lt;&gt;""),_xlfn._xlws.FILTER(I$454:I$463,I$454:I$463&lt;&gt;"")))</f>
        <v/>
      </c>
      <c r="J351" s="44" t="str">
        <f t="shared" si="20"/>
        <v/>
      </c>
      <c r="K351" s="45" t="str" cm="1">
        <f t="array" ref="K351">IF(M592="","",
M592*LOOKUP($F351,_xlfn._xlws.FILTER($F$468:$F$477,G$468:G$477&lt;&gt;""),_xlfn._xlws.FILTER(G$468:G$477,G$468:G$477&lt;&gt;"")))</f>
        <v/>
      </c>
      <c r="L351" s="41" t="str">
        <f t="shared" si="21"/>
        <v/>
      </c>
      <c r="M351" s="34" t="str">
        <f t="shared" si="23"/>
        <v/>
      </c>
      <c r="N351" s="6"/>
      <c r="O351" s="25">
        <v>48611</v>
      </c>
      <c r="P351" s="32" t="str">
        <f t="shared" si="15"/>
        <v/>
      </c>
      <c r="Q351" s="32" t="str">
        <f t="shared" si="16"/>
        <v/>
      </c>
      <c r="R351" s="32" t="str">
        <f t="shared" si="17"/>
        <v/>
      </c>
      <c r="S351" s="32" t="str">
        <f t="shared" si="18"/>
        <v/>
      </c>
      <c r="T351" s="46" t="str">
        <f t="shared" si="19"/>
        <v/>
      </c>
      <c r="U351" s="32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8" t="str" cm="1">
        <f t="array" ref="G352">IF(G593="","",
G593*LOOKUP($F352,_xlfn._xlws.FILTER($F$454:$F$463,G$454:G$463&lt;&gt;""),_xlfn._xlws.FILTER(G$454:G$463,G$454:G$463&lt;&gt;"")))</f>
        <v/>
      </c>
      <c r="H352" s="38" t="str" cm="1">
        <f t="array" ref="H352">IF(H593="","",
H593*LOOKUP($F352,_xlfn._xlws.FILTER($F$454:$F$463,H$454:H$463&lt;&gt;""),_xlfn._xlws.FILTER(H$454:H$463,H$454:H$463&lt;&gt;"")))</f>
        <v/>
      </c>
      <c r="I352" s="38" t="str" cm="1">
        <f t="array" ref="I352">IF(I593="","",
I593*LOOKUP($F352,_xlfn._xlws.FILTER($F$454:$F$463,I$454:I$463&lt;&gt;""),_xlfn._xlws.FILTER(I$454:I$463,I$454:I$463&lt;&gt;"")))</f>
        <v/>
      </c>
      <c r="J352" s="44" t="str">
        <f t="shared" si="20"/>
        <v/>
      </c>
      <c r="K352" s="45" t="str" cm="1">
        <f t="array" ref="K352">IF(M593="","",
M593*LOOKUP($F352,_xlfn._xlws.FILTER($F$468:$F$477,G$468:G$477&lt;&gt;""),_xlfn._xlws.FILTER(G$468:G$477,G$468:G$477&lt;&gt;"")))</f>
        <v/>
      </c>
      <c r="L352" s="41" t="str">
        <f t="shared" si="21"/>
        <v/>
      </c>
      <c r="M352" s="34" t="str">
        <f t="shared" si="23"/>
        <v/>
      </c>
      <c r="N352" s="6"/>
      <c r="O352" s="25">
        <v>48639</v>
      </c>
      <c r="P352" s="32" t="str">
        <f t="shared" si="15"/>
        <v/>
      </c>
      <c r="Q352" s="32" t="str">
        <f t="shared" si="16"/>
        <v/>
      </c>
      <c r="R352" s="32" t="str">
        <f t="shared" si="17"/>
        <v/>
      </c>
      <c r="S352" s="32" t="str">
        <f t="shared" si="18"/>
        <v/>
      </c>
      <c r="T352" s="46" t="str">
        <f t="shared" si="19"/>
        <v/>
      </c>
      <c r="U352" s="32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8" t="str" cm="1">
        <f t="array" ref="G353">IF(G594="","",
G594*LOOKUP($F353,_xlfn._xlws.FILTER($F$454:$F$463,G$454:G$463&lt;&gt;""),_xlfn._xlws.FILTER(G$454:G$463,G$454:G$463&lt;&gt;"")))</f>
        <v/>
      </c>
      <c r="H353" s="38" t="str" cm="1">
        <f t="array" ref="H353">IF(H594="","",
H594*LOOKUP($F353,_xlfn._xlws.FILTER($F$454:$F$463,H$454:H$463&lt;&gt;""),_xlfn._xlws.FILTER(H$454:H$463,H$454:H$463&lt;&gt;"")))</f>
        <v/>
      </c>
      <c r="I353" s="38" t="str" cm="1">
        <f t="array" ref="I353">IF(I594="","",
I594*LOOKUP($F353,_xlfn._xlws.FILTER($F$454:$F$463,I$454:I$463&lt;&gt;""),_xlfn._xlws.FILTER(I$454:I$463,I$454:I$463&lt;&gt;"")))</f>
        <v/>
      </c>
      <c r="J353" s="44" t="str">
        <f t="shared" si="20"/>
        <v/>
      </c>
      <c r="K353" s="45" t="str" cm="1">
        <f t="array" ref="K353">IF(M594="","",
M594*LOOKUP($F353,_xlfn._xlws.FILTER($F$468:$F$477,G$468:G$477&lt;&gt;""),_xlfn._xlws.FILTER(G$468:G$477,G$468:G$477&lt;&gt;"")))</f>
        <v/>
      </c>
      <c r="L353" s="41" t="str">
        <f t="shared" si="21"/>
        <v/>
      </c>
      <c r="M353" s="34" t="str">
        <f t="shared" si="23"/>
        <v/>
      </c>
      <c r="N353" s="6"/>
      <c r="O353" s="25">
        <v>48670</v>
      </c>
      <c r="P353" s="32" t="str">
        <f t="shared" si="15"/>
        <v/>
      </c>
      <c r="Q353" s="32" t="str">
        <f t="shared" si="16"/>
        <v/>
      </c>
      <c r="R353" s="32" t="str">
        <f t="shared" si="17"/>
        <v/>
      </c>
      <c r="S353" s="32" t="str">
        <f t="shared" si="18"/>
        <v/>
      </c>
      <c r="T353" s="46" t="str">
        <f t="shared" si="19"/>
        <v/>
      </c>
      <c r="U353" s="32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8" t="str" cm="1">
        <f t="array" ref="G354">IF(G595="","",
G595*LOOKUP($F354,_xlfn._xlws.FILTER($F$454:$F$463,G$454:G$463&lt;&gt;""),_xlfn._xlws.FILTER(G$454:G$463,G$454:G$463&lt;&gt;"")))</f>
        <v/>
      </c>
      <c r="H354" s="38" t="str" cm="1">
        <f t="array" ref="H354">IF(H595="","",
H595*LOOKUP($F354,_xlfn._xlws.FILTER($F$454:$F$463,H$454:H$463&lt;&gt;""),_xlfn._xlws.FILTER(H$454:H$463,H$454:H$463&lt;&gt;"")))</f>
        <v/>
      </c>
      <c r="I354" s="38" t="str" cm="1">
        <f t="array" ref="I354">IF(I595="","",
I595*LOOKUP($F354,_xlfn._xlws.FILTER($F$454:$F$463,I$454:I$463&lt;&gt;""),_xlfn._xlws.FILTER(I$454:I$463,I$454:I$463&lt;&gt;"")))</f>
        <v/>
      </c>
      <c r="J354" s="44" t="str">
        <f t="shared" si="20"/>
        <v/>
      </c>
      <c r="K354" s="45" t="str" cm="1">
        <f t="array" ref="K354">IF(M595="","",
M595*LOOKUP($F354,_xlfn._xlws.FILTER($F$468:$F$477,G$468:G$477&lt;&gt;""),_xlfn._xlws.FILTER(G$468:G$477,G$468:G$477&lt;&gt;"")))</f>
        <v/>
      </c>
      <c r="L354" s="41" t="str">
        <f t="shared" si="21"/>
        <v/>
      </c>
      <c r="M354" s="34" t="str">
        <f t="shared" si="23"/>
        <v/>
      </c>
      <c r="N354" s="6"/>
      <c r="O354" s="25">
        <v>48700</v>
      </c>
      <c r="P354" s="32" t="str">
        <f t="shared" si="15"/>
        <v/>
      </c>
      <c r="Q354" s="32" t="str">
        <f t="shared" si="16"/>
        <v/>
      </c>
      <c r="R354" s="32" t="str">
        <f t="shared" si="17"/>
        <v/>
      </c>
      <c r="S354" s="32" t="str">
        <f t="shared" si="18"/>
        <v/>
      </c>
      <c r="T354" s="46" t="str">
        <f t="shared" si="19"/>
        <v/>
      </c>
      <c r="U354" s="32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8" t="str" cm="1">
        <f t="array" ref="G355">IF(G596="","",
G596*LOOKUP($F355,_xlfn._xlws.FILTER($F$454:$F$463,G$454:G$463&lt;&gt;""),_xlfn._xlws.FILTER(G$454:G$463,G$454:G$463&lt;&gt;"")))</f>
        <v/>
      </c>
      <c r="H355" s="38" t="str" cm="1">
        <f t="array" ref="H355">IF(H596="","",
H596*LOOKUP($F355,_xlfn._xlws.FILTER($F$454:$F$463,H$454:H$463&lt;&gt;""),_xlfn._xlws.FILTER(H$454:H$463,H$454:H$463&lt;&gt;"")))</f>
        <v/>
      </c>
      <c r="I355" s="38" t="str" cm="1">
        <f t="array" ref="I355">IF(I596="","",
I596*LOOKUP($F355,_xlfn._xlws.FILTER($F$454:$F$463,I$454:I$463&lt;&gt;""),_xlfn._xlws.FILTER(I$454:I$463,I$454:I$463&lt;&gt;"")))</f>
        <v/>
      </c>
      <c r="J355" s="44" t="str">
        <f t="shared" si="20"/>
        <v/>
      </c>
      <c r="K355" s="45" t="str" cm="1">
        <f t="array" ref="K355">IF(M596="","",
M596*LOOKUP($F355,_xlfn._xlws.FILTER($F$468:$F$477,G$468:G$477&lt;&gt;""),_xlfn._xlws.FILTER(G$468:G$477,G$468:G$477&lt;&gt;"")))</f>
        <v/>
      </c>
      <c r="L355" s="41" t="str">
        <f t="shared" si="21"/>
        <v/>
      </c>
      <c r="M355" s="34" t="str">
        <f t="shared" si="23"/>
        <v/>
      </c>
      <c r="N355" s="6"/>
      <c r="O355" s="25">
        <v>48731</v>
      </c>
      <c r="P355" s="32" t="str">
        <f t="shared" si="15"/>
        <v/>
      </c>
      <c r="Q355" s="32" t="str">
        <f t="shared" si="16"/>
        <v/>
      </c>
      <c r="R355" s="32" t="str">
        <f t="shared" si="17"/>
        <v/>
      </c>
      <c r="S355" s="32" t="str">
        <f t="shared" si="18"/>
        <v/>
      </c>
      <c r="T355" s="46" t="str">
        <f t="shared" si="19"/>
        <v/>
      </c>
      <c r="U355" s="32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8" t="str" cm="1">
        <f t="array" ref="G356">IF(G597="","",
G597*LOOKUP($F356,_xlfn._xlws.FILTER($F$454:$F$463,G$454:G$463&lt;&gt;""),_xlfn._xlws.FILTER(G$454:G$463,G$454:G$463&lt;&gt;"")))</f>
        <v/>
      </c>
      <c r="H356" s="38" t="str" cm="1">
        <f t="array" ref="H356">IF(H597="","",
H597*LOOKUP($F356,_xlfn._xlws.FILTER($F$454:$F$463,H$454:H$463&lt;&gt;""),_xlfn._xlws.FILTER(H$454:H$463,H$454:H$463&lt;&gt;"")))</f>
        <v/>
      </c>
      <c r="I356" s="38" t="str" cm="1">
        <f t="array" ref="I356">IF(I597="","",
I597*LOOKUP($F356,_xlfn._xlws.FILTER($F$454:$F$463,I$454:I$463&lt;&gt;""),_xlfn._xlws.FILTER(I$454:I$463,I$454:I$463&lt;&gt;"")))</f>
        <v/>
      </c>
      <c r="J356" s="44" t="str">
        <f t="shared" si="20"/>
        <v/>
      </c>
      <c r="K356" s="45" t="str" cm="1">
        <f t="array" ref="K356">IF(M597="","",
M597*LOOKUP($F356,_xlfn._xlws.FILTER($F$468:$F$477,G$468:G$477&lt;&gt;""),_xlfn._xlws.FILTER(G$468:G$477,G$468:G$477&lt;&gt;"")))</f>
        <v/>
      </c>
      <c r="L356" s="41" t="str">
        <f t="shared" si="21"/>
        <v/>
      </c>
      <c r="M356" s="34" t="str">
        <f t="shared" si="23"/>
        <v/>
      </c>
      <c r="N356" s="6"/>
      <c r="O356" s="25">
        <v>48761</v>
      </c>
      <c r="P356" s="32" t="str">
        <f t="shared" si="15"/>
        <v/>
      </c>
      <c r="Q356" s="32" t="str">
        <f t="shared" si="16"/>
        <v/>
      </c>
      <c r="R356" s="32" t="str">
        <f t="shared" si="17"/>
        <v/>
      </c>
      <c r="S356" s="32" t="str">
        <f t="shared" si="18"/>
        <v/>
      </c>
      <c r="T356" s="46" t="str">
        <f t="shared" si="19"/>
        <v/>
      </c>
      <c r="U356" s="32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8" t="str" cm="1">
        <f t="array" ref="G357">IF(G598="","",
G598*LOOKUP($F357,_xlfn._xlws.FILTER($F$454:$F$463,G$454:G$463&lt;&gt;""),_xlfn._xlws.FILTER(G$454:G$463,G$454:G$463&lt;&gt;"")))</f>
        <v/>
      </c>
      <c r="H357" s="38" t="str" cm="1">
        <f t="array" ref="H357">IF(H598="","",
H598*LOOKUP($F357,_xlfn._xlws.FILTER($F$454:$F$463,H$454:H$463&lt;&gt;""),_xlfn._xlws.FILTER(H$454:H$463,H$454:H$463&lt;&gt;"")))</f>
        <v/>
      </c>
      <c r="I357" s="38" t="str" cm="1">
        <f t="array" ref="I357">IF(I598="","",
I598*LOOKUP($F357,_xlfn._xlws.FILTER($F$454:$F$463,I$454:I$463&lt;&gt;""),_xlfn._xlws.FILTER(I$454:I$463,I$454:I$463&lt;&gt;"")))</f>
        <v/>
      </c>
      <c r="J357" s="44" t="str">
        <f t="shared" si="20"/>
        <v/>
      </c>
      <c r="K357" s="45" t="str" cm="1">
        <f t="array" ref="K357">IF(M598="","",
M598*LOOKUP($F357,_xlfn._xlws.FILTER($F$468:$F$477,G$468:G$477&lt;&gt;""),_xlfn._xlws.FILTER(G$468:G$477,G$468:G$477&lt;&gt;"")))</f>
        <v/>
      </c>
      <c r="L357" s="41" t="str">
        <f t="shared" si="21"/>
        <v/>
      </c>
      <c r="M357" s="34" t="str">
        <f t="shared" si="23"/>
        <v/>
      </c>
      <c r="N357" s="6"/>
      <c r="O357" s="25">
        <v>48792</v>
      </c>
      <c r="P357" s="32" t="str">
        <f t="shared" si="15"/>
        <v/>
      </c>
      <c r="Q357" s="32" t="str">
        <f t="shared" si="16"/>
        <v/>
      </c>
      <c r="R357" s="32" t="str">
        <f t="shared" si="17"/>
        <v/>
      </c>
      <c r="S357" s="32" t="str">
        <f t="shared" si="18"/>
        <v/>
      </c>
      <c r="T357" s="46" t="str">
        <f t="shared" si="19"/>
        <v/>
      </c>
      <c r="U357" s="32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8" t="str" cm="1">
        <f t="array" ref="G358">IF(G599="","",
G599*LOOKUP($F358,_xlfn._xlws.FILTER($F$454:$F$463,G$454:G$463&lt;&gt;""),_xlfn._xlws.FILTER(G$454:G$463,G$454:G$463&lt;&gt;"")))</f>
        <v/>
      </c>
      <c r="H358" s="38" t="str" cm="1">
        <f t="array" ref="H358">IF(H599="","",
H599*LOOKUP($F358,_xlfn._xlws.FILTER($F$454:$F$463,H$454:H$463&lt;&gt;""),_xlfn._xlws.FILTER(H$454:H$463,H$454:H$463&lt;&gt;"")))</f>
        <v/>
      </c>
      <c r="I358" s="38" t="str" cm="1">
        <f t="array" ref="I358">IF(I599="","",
I599*LOOKUP($F358,_xlfn._xlws.FILTER($F$454:$F$463,I$454:I$463&lt;&gt;""),_xlfn._xlws.FILTER(I$454:I$463,I$454:I$463&lt;&gt;"")))</f>
        <v/>
      </c>
      <c r="J358" s="44" t="str">
        <f t="shared" si="20"/>
        <v/>
      </c>
      <c r="K358" s="45" t="str" cm="1">
        <f t="array" ref="K358">IF(M599="","",
M599*LOOKUP($F358,_xlfn._xlws.FILTER($F$468:$F$477,G$468:G$477&lt;&gt;""),_xlfn._xlws.FILTER(G$468:G$477,G$468:G$477&lt;&gt;"")))</f>
        <v/>
      </c>
      <c r="L358" s="41" t="str">
        <f t="shared" si="21"/>
        <v/>
      </c>
      <c r="M358" s="34" t="str">
        <f t="shared" si="23"/>
        <v/>
      </c>
      <c r="N358" s="6"/>
      <c r="O358" s="25">
        <v>48823</v>
      </c>
      <c r="P358" s="32" t="str">
        <f t="shared" si="15"/>
        <v/>
      </c>
      <c r="Q358" s="32" t="str">
        <f t="shared" si="16"/>
        <v/>
      </c>
      <c r="R358" s="32" t="str">
        <f t="shared" si="17"/>
        <v/>
      </c>
      <c r="S358" s="32" t="str">
        <f t="shared" si="18"/>
        <v/>
      </c>
      <c r="T358" s="46" t="str">
        <f t="shared" si="19"/>
        <v/>
      </c>
      <c r="U358" s="32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8" t="str" cm="1">
        <f t="array" ref="G359">IF(G600="","",
G600*LOOKUP($F359,_xlfn._xlws.FILTER($F$454:$F$463,G$454:G$463&lt;&gt;""),_xlfn._xlws.FILTER(G$454:G$463,G$454:G$463&lt;&gt;"")))</f>
        <v/>
      </c>
      <c r="H359" s="38" t="str" cm="1">
        <f t="array" ref="H359">IF(H600="","",
H600*LOOKUP($F359,_xlfn._xlws.FILTER($F$454:$F$463,H$454:H$463&lt;&gt;""),_xlfn._xlws.FILTER(H$454:H$463,H$454:H$463&lt;&gt;"")))</f>
        <v/>
      </c>
      <c r="I359" s="38" t="str" cm="1">
        <f t="array" ref="I359">IF(I600="","",
I600*LOOKUP($F359,_xlfn._xlws.FILTER($F$454:$F$463,I$454:I$463&lt;&gt;""),_xlfn._xlws.FILTER(I$454:I$463,I$454:I$463&lt;&gt;"")))</f>
        <v/>
      </c>
      <c r="J359" s="44" t="str">
        <f t="shared" si="20"/>
        <v/>
      </c>
      <c r="K359" s="45" t="str" cm="1">
        <f t="array" ref="K359">IF(M600="","",
M600*LOOKUP($F359,_xlfn._xlws.FILTER($F$468:$F$477,G$468:G$477&lt;&gt;""),_xlfn._xlws.FILTER(G$468:G$477,G$468:G$477&lt;&gt;"")))</f>
        <v/>
      </c>
      <c r="L359" s="41" t="str">
        <f t="shared" si="21"/>
        <v/>
      </c>
      <c r="M359" s="34" t="str">
        <f t="shared" si="23"/>
        <v/>
      </c>
      <c r="N359" s="6"/>
      <c r="O359" s="25">
        <v>48853</v>
      </c>
      <c r="P359" s="32" t="str">
        <f t="shared" si="15"/>
        <v/>
      </c>
      <c r="Q359" s="32" t="str">
        <f t="shared" si="16"/>
        <v/>
      </c>
      <c r="R359" s="32" t="str">
        <f t="shared" si="17"/>
        <v/>
      </c>
      <c r="S359" s="32" t="str">
        <f t="shared" si="18"/>
        <v/>
      </c>
      <c r="T359" s="46" t="str">
        <f t="shared" si="19"/>
        <v/>
      </c>
      <c r="U359" s="32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8" t="str" cm="1">
        <f t="array" ref="G360">IF(G601="","",
G601*LOOKUP($F360,_xlfn._xlws.FILTER($F$454:$F$463,G$454:G$463&lt;&gt;""),_xlfn._xlws.FILTER(G$454:G$463,G$454:G$463&lt;&gt;"")))</f>
        <v/>
      </c>
      <c r="H360" s="38" t="str" cm="1">
        <f t="array" ref="H360">IF(H601="","",
H601*LOOKUP($F360,_xlfn._xlws.FILTER($F$454:$F$463,H$454:H$463&lt;&gt;""),_xlfn._xlws.FILTER(H$454:H$463,H$454:H$463&lt;&gt;"")))</f>
        <v/>
      </c>
      <c r="I360" s="38" t="str" cm="1">
        <f t="array" ref="I360">IF(I601="","",
I601*LOOKUP($F360,_xlfn._xlws.FILTER($F$454:$F$463,I$454:I$463&lt;&gt;""),_xlfn._xlws.FILTER(I$454:I$463,I$454:I$463&lt;&gt;"")))</f>
        <v/>
      </c>
      <c r="J360" s="44" t="str">
        <f t="shared" si="20"/>
        <v/>
      </c>
      <c r="K360" s="45" t="str" cm="1">
        <f t="array" ref="K360">IF(M601="","",
M601*LOOKUP($F360,_xlfn._xlws.FILTER($F$468:$F$477,G$468:G$477&lt;&gt;""),_xlfn._xlws.FILTER(G$468:G$477,G$468:G$477&lt;&gt;"")))</f>
        <v/>
      </c>
      <c r="L360" s="41" t="str">
        <f t="shared" si="21"/>
        <v/>
      </c>
      <c r="M360" s="34" t="str">
        <f t="shared" si="23"/>
        <v/>
      </c>
      <c r="N360" s="6"/>
      <c r="O360" s="25">
        <v>48884</v>
      </c>
      <c r="P360" s="32" t="str">
        <f t="shared" si="15"/>
        <v/>
      </c>
      <c r="Q360" s="32" t="str">
        <f t="shared" si="16"/>
        <v/>
      </c>
      <c r="R360" s="32" t="str">
        <f t="shared" si="17"/>
        <v/>
      </c>
      <c r="S360" s="32" t="str">
        <f t="shared" si="18"/>
        <v/>
      </c>
      <c r="T360" s="46" t="str">
        <f t="shared" si="19"/>
        <v/>
      </c>
      <c r="U360" s="32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8" t="str" cm="1">
        <f t="array" ref="G361">IF(G602="","",
G602*LOOKUP($F361,_xlfn._xlws.FILTER($F$454:$F$463,G$454:G$463&lt;&gt;""),_xlfn._xlws.FILTER(G$454:G$463,G$454:G$463&lt;&gt;"")))</f>
        <v/>
      </c>
      <c r="H361" s="38" t="str" cm="1">
        <f t="array" ref="H361">IF(H602="","",
H602*LOOKUP($F361,_xlfn._xlws.FILTER($F$454:$F$463,H$454:H$463&lt;&gt;""),_xlfn._xlws.FILTER(H$454:H$463,H$454:H$463&lt;&gt;"")))</f>
        <v/>
      </c>
      <c r="I361" s="38" t="str" cm="1">
        <f t="array" ref="I361">IF(I602="","",
I602*LOOKUP($F361,_xlfn._xlws.FILTER($F$454:$F$463,I$454:I$463&lt;&gt;""),_xlfn._xlws.FILTER(I$454:I$463,I$454:I$463&lt;&gt;"")))</f>
        <v/>
      </c>
      <c r="J361" s="44" t="str">
        <f t="shared" si="20"/>
        <v/>
      </c>
      <c r="K361" s="45" t="str" cm="1">
        <f t="array" ref="K361">IF(M602="","",
M602*LOOKUP($F361,_xlfn._xlws.FILTER($F$468:$F$477,G$468:G$477&lt;&gt;""),_xlfn._xlws.FILTER(G$468:G$477,G$468:G$477&lt;&gt;"")))</f>
        <v/>
      </c>
      <c r="L361" s="41" t="str">
        <f t="shared" si="21"/>
        <v/>
      </c>
      <c r="M361" s="34" t="str">
        <f t="shared" si="23"/>
        <v/>
      </c>
      <c r="N361" s="6"/>
      <c r="O361" s="25">
        <v>48914</v>
      </c>
      <c r="P361" s="32" t="str">
        <f t="shared" si="15"/>
        <v/>
      </c>
      <c r="Q361" s="32" t="str">
        <f t="shared" si="16"/>
        <v/>
      </c>
      <c r="R361" s="32" t="str">
        <f t="shared" si="17"/>
        <v/>
      </c>
      <c r="S361" s="32" t="str">
        <f t="shared" si="18"/>
        <v/>
      </c>
      <c r="T361" s="46" t="str">
        <f t="shared" si="19"/>
        <v/>
      </c>
      <c r="U361" s="32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8" t="str" cm="1">
        <f t="array" ref="G362">IF(G603="","",
G603*LOOKUP($F362,_xlfn._xlws.FILTER($F$454:$F$463,G$454:G$463&lt;&gt;""),_xlfn._xlws.FILTER(G$454:G$463,G$454:G$463&lt;&gt;"")))</f>
        <v/>
      </c>
      <c r="H362" s="38" t="str" cm="1">
        <f t="array" ref="H362">IF(H603="","",
H603*LOOKUP($F362,_xlfn._xlws.FILTER($F$454:$F$463,H$454:H$463&lt;&gt;""),_xlfn._xlws.FILTER(H$454:H$463,H$454:H$463&lt;&gt;"")))</f>
        <v/>
      </c>
      <c r="I362" s="38" t="str" cm="1">
        <f t="array" ref="I362">IF(I603="","",
I603*LOOKUP($F362,_xlfn._xlws.FILTER($F$454:$F$463,I$454:I$463&lt;&gt;""),_xlfn._xlws.FILTER(I$454:I$463,I$454:I$463&lt;&gt;"")))</f>
        <v/>
      </c>
      <c r="J362" s="44" t="str">
        <f t="shared" si="20"/>
        <v/>
      </c>
      <c r="K362" s="45" t="str" cm="1">
        <f t="array" ref="K362">IF(M603="","",
M603*LOOKUP($F362,_xlfn._xlws.FILTER($F$468:$F$477,G$468:G$477&lt;&gt;""),_xlfn._xlws.FILTER(G$468:G$477,G$468:G$477&lt;&gt;"")))</f>
        <v/>
      </c>
      <c r="L362" s="41" t="str">
        <f t="shared" si="21"/>
        <v/>
      </c>
      <c r="M362" s="34" t="str">
        <f t="shared" si="23"/>
        <v/>
      </c>
      <c r="N362" s="6"/>
      <c r="O362" s="25">
        <v>48945</v>
      </c>
      <c r="P362" s="32" t="str">
        <f t="shared" si="15"/>
        <v/>
      </c>
      <c r="Q362" s="32" t="str">
        <f t="shared" si="16"/>
        <v/>
      </c>
      <c r="R362" s="32" t="str">
        <f t="shared" si="17"/>
        <v/>
      </c>
      <c r="S362" s="32" t="str">
        <f t="shared" si="18"/>
        <v/>
      </c>
      <c r="T362" s="46" t="str">
        <f t="shared" si="19"/>
        <v/>
      </c>
      <c r="U362" s="32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8" t="str" cm="1">
        <f t="array" ref="G363">IF(G604="","",
G604*LOOKUP($F363,_xlfn._xlws.FILTER($F$454:$F$463,G$454:G$463&lt;&gt;""),_xlfn._xlws.FILTER(G$454:G$463,G$454:G$463&lt;&gt;"")))</f>
        <v/>
      </c>
      <c r="H363" s="38" t="str" cm="1">
        <f t="array" ref="H363">IF(H604="","",
H604*LOOKUP($F363,_xlfn._xlws.FILTER($F$454:$F$463,H$454:H$463&lt;&gt;""),_xlfn._xlws.FILTER(H$454:H$463,H$454:H$463&lt;&gt;"")))</f>
        <v/>
      </c>
      <c r="I363" s="38" t="str" cm="1">
        <f t="array" ref="I363">IF(I604="","",
I604*LOOKUP($F363,_xlfn._xlws.FILTER($F$454:$F$463,I$454:I$463&lt;&gt;""),_xlfn._xlws.FILTER(I$454:I$463,I$454:I$463&lt;&gt;"")))</f>
        <v/>
      </c>
      <c r="J363" s="44" t="str">
        <f t="shared" si="20"/>
        <v/>
      </c>
      <c r="K363" s="45" t="str" cm="1">
        <f t="array" ref="K363">IF(M604="","",
M604*LOOKUP($F363,_xlfn._xlws.FILTER($F$468:$F$477,G$468:G$477&lt;&gt;""),_xlfn._xlws.FILTER(G$468:G$477,G$468:G$477&lt;&gt;"")))</f>
        <v/>
      </c>
      <c r="L363" s="41" t="str">
        <f t="shared" si="21"/>
        <v/>
      </c>
      <c r="M363" s="34" t="str">
        <f t="shared" si="23"/>
        <v/>
      </c>
      <c r="N363" s="6"/>
      <c r="O363" s="25">
        <v>48976</v>
      </c>
      <c r="P363" s="32" t="str">
        <f t="shared" si="15"/>
        <v/>
      </c>
      <c r="Q363" s="32" t="str">
        <f t="shared" si="16"/>
        <v/>
      </c>
      <c r="R363" s="32" t="str">
        <f t="shared" si="17"/>
        <v/>
      </c>
      <c r="S363" s="32" t="str">
        <f t="shared" si="18"/>
        <v/>
      </c>
      <c r="T363" s="46" t="str">
        <f t="shared" si="19"/>
        <v/>
      </c>
      <c r="U363" s="32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8" t="str" cm="1">
        <f t="array" ref="G364">IF(G605="","",
G605*LOOKUP($F364,_xlfn._xlws.FILTER($F$454:$F$463,G$454:G$463&lt;&gt;""),_xlfn._xlws.FILTER(G$454:G$463,G$454:G$463&lt;&gt;"")))</f>
        <v/>
      </c>
      <c r="H364" s="38" t="str" cm="1">
        <f t="array" ref="H364">IF(H605="","",
H605*LOOKUP($F364,_xlfn._xlws.FILTER($F$454:$F$463,H$454:H$463&lt;&gt;""),_xlfn._xlws.FILTER(H$454:H$463,H$454:H$463&lt;&gt;"")))</f>
        <v/>
      </c>
      <c r="I364" s="38" t="str" cm="1">
        <f t="array" ref="I364">IF(I605="","",
I605*LOOKUP($F364,_xlfn._xlws.FILTER($F$454:$F$463,I$454:I$463&lt;&gt;""),_xlfn._xlws.FILTER(I$454:I$463,I$454:I$463&lt;&gt;"")))</f>
        <v/>
      </c>
      <c r="J364" s="44" t="str">
        <f t="shared" si="20"/>
        <v/>
      </c>
      <c r="K364" s="45" t="str" cm="1">
        <f t="array" ref="K364">IF(M605="","",
M605*LOOKUP($F364,_xlfn._xlws.FILTER($F$468:$F$477,G$468:G$477&lt;&gt;""),_xlfn._xlws.FILTER(G$468:G$477,G$468:G$477&lt;&gt;"")))</f>
        <v/>
      </c>
      <c r="L364" s="41" t="str">
        <f t="shared" si="21"/>
        <v/>
      </c>
      <c r="M364" s="34" t="str">
        <f t="shared" si="23"/>
        <v/>
      </c>
      <c r="N364" s="6"/>
      <c r="O364" s="25">
        <v>49004</v>
      </c>
      <c r="P364" s="32" t="str">
        <f t="shared" si="15"/>
        <v/>
      </c>
      <c r="Q364" s="32" t="str">
        <f t="shared" si="16"/>
        <v/>
      </c>
      <c r="R364" s="32" t="str">
        <f t="shared" si="17"/>
        <v/>
      </c>
      <c r="S364" s="32" t="str">
        <f t="shared" si="18"/>
        <v/>
      </c>
      <c r="T364" s="46" t="str">
        <f t="shared" si="19"/>
        <v/>
      </c>
      <c r="U364" s="32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8" t="str" cm="1">
        <f t="array" ref="G365">IF(G606="","",
G606*LOOKUP($F365,_xlfn._xlws.FILTER($F$454:$F$463,G$454:G$463&lt;&gt;""),_xlfn._xlws.FILTER(G$454:G$463,G$454:G$463&lt;&gt;"")))</f>
        <v/>
      </c>
      <c r="H365" s="38" t="str" cm="1">
        <f t="array" ref="H365">IF(H606="","",
H606*LOOKUP($F365,_xlfn._xlws.FILTER($F$454:$F$463,H$454:H$463&lt;&gt;""),_xlfn._xlws.FILTER(H$454:H$463,H$454:H$463&lt;&gt;"")))</f>
        <v/>
      </c>
      <c r="I365" s="38" t="str" cm="1">
        <f t="array" ref="I365">IF(I606="","",
I606*LOOKUP($F365,_xlfn._xlws.FILTER($F$454:$F$463,I$454:I$463&lt;&gt;""),_xlfn._xlws.FILTER(I$454:I$463,I$454:I$463&lt;&gt;"")))</f>
        <v/>
      </c>
      <c r="J365" s="44" t="str">
        <f t="shared" si="20"/>
        <v/>
      </c>
      <c r="K365" s="45" t="str" cm="1">
        <f t="array" ref="K365">IF(M606="","",
M606*LOOKUP($F365,_xlfn._xlws.FILTER($F$468:$F$477,G$468:G$477&lt;&gt;""),_xlfn._xlws.FILTER(G$468:G$477,G$468:G$477&lt;&gt;"")))</f>
        <v/>
      </c>
      <c r="L365" s="41" t="str">
        <f t="shared" si="21"/>
        <v/>
      </c>
      <c r="M365" s="34" t="str">
        <f t="shared" si="23"/>
        <v/>
      </c>
      <c r="N365" s="6"/>
      <c r="O365" s="25">
        <v>49035</v>
      </c>
      <c r="P365" s="32" t="str">
        <f t="shared" si="15"/>
        <v/>
      </c>
      <c r="Q365" s="32" t="str">
        <f t="shared" si="16"/>
        <v/>
      </c>
      <c r="R365" s="32" t="str">
        <f t="shared" si="17"/>
        <v/>
      </c>
      <c r="S365" s="32" t="str">
        <f t="shared" si="18"/>
        <v/>
      </c>
      <c r="T365" s="46" t="str">
        <f t="shared" si="19"/>
        <v/>
      </c>
      <c r="U365" s="32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8" t="str" cm="1">
        <f t="array" ref="G366">IF(G607="","",
G607*LOOKUP($F366,_xlfn._xlws.FILTER($F$454:$F$463,G$454:G$463&lt;&gt;""),_xlfn._xlws.FILTER(G$454:G$463,G$454:G$463&lt;&gt;"")))</f>
        <v/>
      </c>
      <c r="H366" s="38" t="str" cm="1">
        <f t="array" ref="H366">IF(H607="","",
H607*LOOKUP($F366,_xlfn._xlws.FILTER($F$454:$F$463,H$454:H$463&lt;&gt;""),_xlfn._xlws.FILTER(H$454:H$463,H$454:H$463&lt;&gt;"")))</f>
        <v/>
      </c>
      <c r="I366" s="38" t="str" cm="1">
        <f t="array" ref="I366">IF(I607="","",
I607*LOOKUP($F366,_xlfn._xlws.FILTER($F$454:$F$463,I$454:I$463&lt;&gt;""),_xlfn._xlws.FILTER(I$454:I$463,I$454:I$463&lt;&gt;"")))</f>
        <v/>
      </c>
      <c r="J366" s="44" t="str">
        <f t="shared" si="20"/>
        <v/>
      </c>
      <c r="K366" s="45" t="str" cm="1">
        <f t="array" ref="K366">IF(M607="","",
M607*LOOKUP($F366,_xlfn._xlws.FILTER($F$468:$F$477,G$468:G$477&lt;&gt;""),_xlfn._xlws.FILTER(G$468:G$477,G$468:G$477&lt;&gt;"")))</f>
        <v/>
      </c>
      <c r="L366" s="41" t="str">
        <f t="shared" si="21"/>
        <v/>
      </c>
      <c r="M366" s="34" t="str">
        <f t="shared" si="23"/>
        <v/>
      </c>
      <c r="N366" s="6"/>
      <c r="O366" s="25">
        <v>49065</v>
      </c>
      <c r="P366" s="32" t="str">
        <f t="shared" si="15"/>
        <v/>
      </c>
      <c r="Q366" s="32" t="str">
        <f t="shared" si="16"/>
        <v/>
      </c>
      <c r="R366" s="32" t="str">
        <f t="shared" si="17"/>
        <v/>
      </c>
      <c r="S366" s="32" t="str">
        <f t="shared" si="18"/>
        <v/>
      </c>
      <c r="T366" s="46" t="str">
        <f t="shared" si="19"/>
        <v/>
      </c>
      <c r="U366" s="32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8" t="str" cm="1">
        <f t="array" ref="G367">IF(G608="","",
G608*LOOKUP($F367,_xlfn._xlws.FILTER($F$454:$F$463,G$454:G$463&lt;&gt;""),_xlfn._xlws.FILTER(G$454:G$463,G$454:G$463&lt;&gt;"")))</f>
        <v/>
      </c>
      <c r="H367" s="38" t="str" cm="1">
        <f t="array" ref="H367">IF(H608="","",
H608*LOOKUP($F367,_xlfn._xlws.FILTER($F$454:$F$463,H$454:H$463&lt;&gt;""),_xlfn._xlws.FILTER(H$454:H$463,H$454:H$463&lt;&gt;"")))</f>
        <v/>
      </c>
      <c r="I367" s="38" t="str" cm="1">
        <f t="array" ref="I367">IF(I608="","",
I608*LOOKUP($F367,_xlfn._xlws.FILTER($F$454:$F$463,I$454:I$463&lt;&gt;""),_xlfn._xlws.FILTER(I$454:I$463,I$454:I$463&lt;&gt;"")))</f>
        <v/>
      </c>
      <c r="J367" s="44" t="str">
        <f t="shared" si="20"/>
        <v/>
      </c>
      <c r="K367" s="45" t="str" cm="1">
        <f t="array" ref="K367">IF(M608="","",
M608*LOOKUP($F367,_xlfn._xlws.FILTER($F$468:$F$477,G$468:G$477&lt;&gt;""),_xlfn._xlws.FILTER(G$468:G$477,G$468:G$477&lt;&gt;"")))</f>
        <v/>
      </c>
      <c r="L367" s="41" t="str">
        <f t="shared" si="21"/>
        <v/>
      </c>
      <c r="M367" s="34" t="str">
        <f t="shared" si="23"/>
        <v/>
      </c>
      <c r="N367" s="6"/>
      <c r="O367" s="25">
        <v>49096</v>
      </c>
      <c r="P367" s="32" t="str">
        <f t="shared" si="15"/>
        <v/>
      </c>
      <c r="Q367" s="32" t="str">
        <f t="shared" si="16"/>
        <v/>
      </c>
      <c r="R367" s="32" t="str">
        <f t="shared" si="17"/>
        <v/>
      </c>
      <c r="S367" s="32" t="str">
        <f t="shared" si="18"/>
        <v/>
      </c>
      <c r="T367" s="46" t="str">
        <f t="shared" si="19"/>
        <v/>
      </c>
      <c r="U367" s="32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8" t="str" cm="1">
        <f t="array" ref="G368">IF(G609="","",
G609*LOOKUP($F368,_xlfn._xlws.FILTER($F$454:$F$463,G$454:G$463&lt;&gt;""),_xlfn._xlws.FILTER(G$454:G$463,G$454:G$463&lt;&gt;"")))</f>
        <v/>
      </c>
      <c r="H368" s="38" t="str" cm="1">
        <f t="array" ref="H368">IF(H609="","",
H609*LOOKUP($F368,_xlfn._xlws.FILTER($F$454:$F$463,H$454:H$463&lt;&gt;""),_xlfn._xlws.FILTER(H$454:H$463,H$454:H$463&lt;&gt;"")))</f>
        <v/>
      </c>
      <c r="I368" s="38" t="str" cm="1">
        <f t="array" ref="I368">IF(I609="","",
I609*LOOKUP($F368,_xlfn._xlws.FILTER($F$454:$F$463,I$454:I$463&lt;&gt;""),_xlfn._xlws.FILTER(I$454:I$463,I$454:I$463&lt;&gt;"")))</f>
        <v/>
      </c>
      <c r="J368" s="44" t="str">
        <f t="shared" si="20"/>
        <v/>
      </c>
      <c r="K368" s="45" t="str" cm="1">
        <f t="array" ref="K368">IF(M609="","",
M609*LOOKUP($F368,_xlfn._xlws.FILTER($F$468:$F$477,G$468:G$477&lt;&gt;""),_xlfn._xlws.FILTER(G$468:G$477,G$468:G$477&lt;&gt;"")))</f>
        <v/>
      </c>
      <c r="L368" s="41" t="str">
        <f t="shared" si="21"/>
        <v/>
      </c>
      <c r="M368" s="34" t="str">
        <f t="shared" si="23"/>
        <v/>
      </c>
      <c r="N368" s="6"/>
      <c r="O368" s="25">
        <v>49126</v>
      </c>
      <c r="P368" s="32" t="str">
        <f t="shared" si="15"/>
        <v/>
      </c>
      <c r="Q368" s="32" t="str">
        <f t="shared" si="16"/>
        <v/>
      </c>
      <c r="R368" s="32" t="str">
        <f t="shared" si="17"/>
        <v/>
      </c>
      <c r="S368" s="32" t="str">
        <f t="shared" si="18"/>
        <v/>
      </c>
      <c r="T368" s="46" t="str">
        <f t="shared" si="19"/>
        <v/>
      </c>
      <c r="U368" s="32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8" t="str" cm="1">
        <f t="array" ref="G369">IF(G610="","",
G610*LOOKUP($F369,_xlfn._xlws.FILTER($F$454:$F$463,G$454:G$463&lt;&gt;""),_xlfn._xlws.FILTER(G$454:G$463,G$454:G$463&lt;&gt;"")))</f>
        <v/>
      </c>
      <c r="H369" s="38" t="str" cm="1">
        <f t="array" ref="H369">IF(H610="","",
H610*LOOKUP($F369,_xlfn._xlws.FILTER($F$454:$F$463,H$454:H$463&lt;&gt;""),_xlfn._xlws.FILTER(H$454:H$463,H$454:H$463&lt;&gt;"")))</f>
        <v/>
      </c>
      <c r="I369" s="38" t="str" cm="1">
        <f t="array" ref="I369">IF(I610="","",
I610*LOOKUP($F369,_xlfn._xlws.FILTER($F$454:$F$463,I$454:I$463&lt;&gt;""),_xlfn._xlws.FILTER(I$454:I$463,I$454:I$463&lt;&gt;"")))</f>
        <v/>
      </c>
      <c r="J369" s="44" t="str">
        <f t="shared" si="20"/>
        <v/>
      </c>
      <c r="K369" s="45" t="str" cm="1">
        <f t="array" ref="K369">IF(M610="","",
M610*LOOKUP($F369,_xlfn._xlws.FILTER($F$468:$F$477,G$468:G$477&lt;&gt;""),_xlfn._xlws.FILTER(G$468:G$477,G$468:G$477&lt;&gt;"")))</f>
        <v/>
      </c>
      <c r="L369" s="41" t="str">
        <f t="shared" si="21"/>
        <v/>
      </c>
      <c r="M369" s="34" t="str">
        <f t="shared" si="23"/>
        <v/>
      </c>
      <c r="N369" s="6"/>
      <c r="O369" s="25">
        <v>49157</v>
      </c>
      <c r="P369" s="32" t="str">
        <f t="shared" si="15"/>
        <v/>
      </c>
      <c r="Q369" s="32" t="str">
        <f t="shared" si="16"/>
        <v/>
      </c>
      <c r="R369" s="32" t="str">
        <f t="shared" si="17"/>
        <v/>
      </c>
      <c r="S369" s="32" t="str">
        <f t="shared" si="18"/>
        <v/>
      </c>
      <c r="T369" s="46" t="str">
        <f t="shared" si="19"/>
        <v/>
      </c>
      <c r="U369" s="32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8" t="str" cm="1">
        <f t="array" ref="G370">IF(G611="","",
G611*LOOKUP($F370,_xlfn._xlws.FILTER($F$454:$F$463,G$454:G$463&lt;&gt;""),_xlfn._xlws.FILTER(G$454:G$463,G$454:G$463&lt;&gt;"")))</f>
        <v/>
      </c>
      <c r="H370" s="38" t="str" cm="1">
        <f t="array" ref="H370">IF(H611="","",
H611*LOOKUP($F370,_xlfn._xlws.FILTER($F$454:$F$463,H$454:H$463&lt;&gt;""),_xlfn._xlws.FILTER(H$454:H$463,H$454:H$463&lt;&gt;"")))</f>
        <v/>
      </c>
      <c r="I370" s="38" t="str" cm="1">
        <f t="array" ref="I370">IF(I611="","",
I611*LOOKUP($F370,_xlfn._xlws.FILTER($F$454:$F$463,I$454:I$463&lt;&gt;""),_xlfn._xlws.FILTER(I$454:I$463,I$454:I$463&lt;&gt;"")))</f>
        <v/>
      </c>
      <c r="J370" s="44" t="str">
        <f t="shared" si="20"/>
        <v/>
      </c>
      <c r="K370" s="45" t="str" cm="1">
        <f t="array" ref="K370">IF(M611="","",
M611*LOOKUP($F370,_xlfn._xlws.FILTER($F$468:$F$477,G$468:G$477&lt;&gt;""),_xlfn._xlws.FILTER(G$468:G$477,G$468:G$477&lt;&gt;"")))</f>
        <v/>
      </c>
      <c r="L370" s="41" t="str">
        <f t="shared" si="21"/>
        <v/>
      </c>
      <c r="M370" s="34" t="str">
        <f t="shared" si="23"/>
        <v/>
      </c>
      <c r="N370" s="6"/>
      <c r="O370" s="25">
        <v>49188</v>
      </c>
      <c r="P370" s="32" t="str">
        <f t="shared" ref="P370:P433" si="24">IFERROR((G370*Q$480)/$L370*(100/Q$481),"")</f>
        <v/>
      </c>
      <c r="Q370" s="32" t="str">
        <f t="shared" ref="Q370:Q433" si="25">IFERROR((H370*R$480)/$L370*(100/R$481),"")</f>
        <v/>
      </c>
      <c r="R370" s="32" t="str">
        <f t="shared" ref="R370:R433" si="26">IFERROR((I370*S$480)/$L370*(100/S$481),"")</f>
        <v/>
      </c>
      <c r="S370" s="32" t="str">
        <f t="shared" ref="S370:S433" si="27">IFERROR((J370*T$480)/$L370*(100/T$481),"")</f>
        <v/>
      </c>
      <c r="T370" s="46" t="str">
        <f t="shared" ref="T370:T433" si="28">IFERROR((K370*U$480)/$L370*(100/U$481),"")</f>
        <v/>
      </c>
      <c r="U370" s="32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8" t="str" cm="1">
        <f t="array" ref="G371">IF(G612="","",
G612*LOOKUP($F371,_xlfn._xlws.FILTER($F$454:$F$463,G$454:G$463&lt;&gt;""),_xlfn._xlws.FILTER(G$454:G$463,G$454:G$463&lt;&gt;"")))</f>
        <v/>
      </c>
      <c r="H371" s="38" t="str" cm="1">
        <f t="array" ref="H371">IF(H612="","",
H612*LOOKUP($F371,_xlfn._xlws.FILTER($F$454:$F$463,H$454:H$463&lt;&gt;""),_xlfn._xlws.FILTER(H$454:H$463,H$454:H$463&lt;&gt;"")))</f>
        <v/>
      </c>
      <c r="I371" s="38" t="str" cm="1">
        <f t="array" ref="I371">IF(I612="","",
I612*LOOKUP($F371,_xlfn._xlws.FILTER($F$454:$F$463,I$454:I$463&lt;&gt;""),_xlfn._xlws.FILTER(I$454:I$463,I$454:I$463&lt;&gt;"")))</f>
        <v/>
      </c>
      <c r="J371" s="44" t="str">
        <f t="shared" ref="J371:J434" si="29">IF(J612="","",J612)</f>
        <v/>
      </c>
      <c r="K371" s="45" t="str" cm="1">
        <f t="array" ref="K371">IF(M612="","",
M612*LOOKUP($F371,_xlfn._xlws.FILTER($F$468:$F$477,G$468:G$477&lt;&gt;""),_xlfn._xlws.FILTER(G$468:G$477,G$468:G$477&lt;&gt;"")))</f>
        <v/>
      </c>
      <c r="L371" s="41" t="str">
        <f t="shared" ref="L371:L434" si="30">IF(V612="","",V612)</f>
        <v/>
      </c>
      <c r="M371" s="34" t="str">
        <f t="shared" si="23"/>
        <v/>
      </c>
      <c r="N371" s="6"/>
      <c r="O371" s="25">
        <v>49218</v>
      </c>
      <c r="P371" s="32" t="str">
        <f t="shared" si="24"/>
        <v/>
      </c>
      <c r="Q371" s="32" t="str">
        <f t="shared" si="25"/>
        <v/>
      </c>
      <c r="R371" s="32" t="str">
        <f t="shared" si="26"/>
        <v/>
      </c>
      <c r="S371" s="32" t="str">
        <f t="shared" si="27"/>
        <v/>
      </c>
      <c r="T371" s="46" t="str">
        <f t="shared" si="28"/>
        <v/>
      </c>
      <c r="U371" s="32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8" t="str" cm="1">
        <f t="array" ref="G372">IF(G613="","",
G613*LOOKUP($F372,_xlfn._xlws.FILTER($F$454:$F$463,G$454:G$463&lt;&gt;""),_xlfn._xlws.FILTER(G$454:G$463,G$454:G$463&lt;&gt;"")))</f>
        <v/>
      </c>
      <c r="H372" s="38" t="str" cm="1">
        <f t="array" ref="H372">IF(H613="","",
H613*LOOKUP($F372,_xlfn._xlws.FILTER($F$454:$F$463,H$454:H$463&lt;&gt;""),_xlfn._xlws.FILTER(H$454:H$463,H$454:H$463&lt;&gt;"")))</f>
        <v/>
      </c>
      <c r="I372" s="38" t="str" cm="1">
        <f t="array" ref="I372">IF(I613="","",
I613*LOOKUP($F372,_xlfn._xlws.FILTER($F$454:$F$463,I$454:I$463&lt;&gt;""),_xlfn._xlws.FILTER(I$454:I$463,I$454:I$463&lt;&gt;"")))</f>
        <v/>
      </c>
      <c r="J372" s="44" t="str">
        <f t="shared" si="29"/>
        <v/>
      </c>
      <c r="K372" s="45" t="str" cm="1">
        <f t="array" ref="K372">IF(M613="","",
M613*LOOKUP($F372,_xlfn._xlws.FILTER($F$468:$F$477,G$468:G$477&lt;&gt;""),_xlfn._xlws.FILTER(G$468:G$477,G$468:G$477&lt;&gt;"")))</f>
        <v/>
      </c>
      <c r="L372" s="41" t="str">
        <f t="shared" si="30"/>
        <v/>
      </c>
      <c r="M372" s="34" t="str">
        <f t="shared" si="23"/>
        <v/>
      </c>
      <c r="N372" s="6"/>
      <c r="O372" s="25">
        <v>49249</v>
      </c>
      <c r="P372" s="32" t="str">
        <f t="shared" si="24"/>
        <v/>
      </c>
      <c r="Q372" s="32" t="str">
        <f t="shared" si="25"/>
        <v/>
      </c>
      <c r="R372" s="32" t="str">
        <f t="shared" si="26"/>
        <v/>
      </c>
      <c r="S372" s="32" t="str">
        <f t="shared" si="27"/>
        <v/>
      </c>
      <c r="T372" s="46" t="str">
        <f t="shared" si="28"/>
        <v/>
      </c>
      <c r="U372" s="32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8" t="str" cm="1">
        <f t="array" ref="G373">IF(G614="","",
G614*LOOKUP($F373,_xlfn._xlws.FILTER($F$454:$F$463,G$454:G$463&lt;&gt;""),_xlfn._xlws.FILTER(G$454:G$463,G$454:G$463&lt;&gt;"")))</f>
        <v/>
      </c>
      <c r="H373" s="38" t="str" cm="1">
        <f t="array" ref="H373">IF(H614="","",
H614*LOOKUP($F373,_xlfn._xlws.FILTER($F$454:$F$463,H$454:H$463&lt;&gt;""),_xlfn._xlws.FILTER(H$454:H$463,H$454:H$463&lt;&gt;"")))</f>
        <v/>
      </c>
      <c r="I373" s="38" t="str" cm="1">
        <f t="array" ref="I373">IF(I614="","",
I614*LOOKUP($F373,_xlfn._xlws.FILTER($F$454:$F$463,I$454:I$463&lt;&gt;""),_xlfn._xlws.FILTER(I$454:I$463,I$454:I$463&lt;&gt;"")))</f>
        <v/>
      </c>
      <c r="J373" s="44" t="str">
        <f t="shared" si="29"/>
        <v/>
      </c>
      <c r="K373" s="45" t="str" cm="1">
        <f t="array" ref="K373">IF(M614="","",
M614*LOOKUP($F373,_xlfn._xlws.FILTER($F$468:$F$477,G$468:G$477&lt;&gt;""),_xlfn._xlws.FILTER(G$468:G$477,G$468:G$477&lt;&gt;"")))</f>
        <v/>
      </c>
      <c r="L373" s="41" t="str">
        <f t="shared" si="30"/>
        <v/>
      </c>
      <c r="M373" s="34" t="str">
        <f t="shared" si="23"/>
        <v/>
      </c>
      <c r="N373" s="6"/>
      <c r="O373" s="25">
        <v>49279</v>
      </c>
      <c r="P373" s="32" t="str">
        <f t="shared" si="24"/>
        <v/>
      </c>
      <c r="Q373" s="32" t="str">
        <f t="shared" si="25"/>
        <v/>
      </c>
      <c r="R373" s="32" t="str">
        <f t="shared" si="26"/>
        <v/>
      </c>
      <c r="S373" s="32" t="str">
        <f t="shared" si="27"/>
        <v/>
      </c>
      <c r="T373" s="46" t="str">
        <f t="shared" si="28"/>
        <v/>
      </c>
      <c r="U373" s="32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8" t="str" cm="1">
        <f t="array" ref="G374">IF(G615="","",
G615*LOOKUP($F374,_xlfn._xlws.FILTER($F$454:$F$463,G$454:G$463&lt;&gt;""),_xlfn._xlws.FILTER(G$454:G$463,G$454:G$463&lt;&gt;"")))</f>
        <v/>
      </c>
      <c r="H374" s="38" t="str" cm="1">
        <f t="array" ref="H374">IF(H615="","",
H615*LOOKUP($F374,_xlfn._xlws.FILTER($F$454:$F$463,H$454:H$463&lt;&gt;""),_xlfn._xlws.FILTER(H$454:H$463,H$454:H$463&lt;&gt;"")))</f>
        <v/>
      </c>
      <c r="I374" s="38" t="str" cm="1">
        <f t="array" ref="I374">IF(I615="","",
I615*LOOKUP($F374,_xlfn._xlws.FILTER($F$454:$F$463,I$454:I$463&lt;&gt;""),_xlfn._xlws.FILTER(I$454:I$463,I$454:I$463&lt;&gt;"")))</f>
        <v/>
      </c>
      <c r="J374" s="44" t="str">
        <f t="shared" si="29"/>
        <v/>
      </c>
      <c r="K374" s="45" t="str" cm="1">
        <f t="array" ref="K374">IF(M615="","",
M615*LOOKUP($F374,_xlfn._xlws.FILTER($F$468:$F$477,G$468:G$477&lt;&gt;""),_xlfn._xlws.FILTER(G$468:G$477,G$468:G$477&lt;&gt;"")))</f>
        <v/>
      </c>
      <c r="L374" s="41" t="str">
        <f t="shared" si="30"/>
        <v/>
      </c>
      <c r="M374" s="34" t="str">
        <f t="shared" si="23"/>
        <v/>
      </c>
      <c r="N374" s="6"/>
      <c r="O374" s="25">
        <v>49310</v>
      </c>
      <c r="P374" s="32" t="str">
        <f t="shared" si="24"/>
        <v/>
      </c>
      <c r="Q374" s="32" t="str">
        <f t="shared" si="25"/>
        <v/>
      </c>
      <c r="R374" s="32" t="str">
        <f t="shared" si="26"/>
        <v/>
      </c>
      <c r="S374" s="32" t="str">
        <f t="shared" si="27"/>
        <v/>
      </c>
      <c r="T374" s="46" t="str">
        <f t="shared" si="28"/>
        <v/>
      </c>
      <c r="U374" s="32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8" t="str" cm="1">
        <f t="array" ref="G375">IF(G616="","",
G616*LOOKUP($F375,_xlfn._xlws.FILTER($F$454:$F$463,G$454:G$463&lt;&gt;""),_xlfn._xlws.FILTER(G$454:G$463,G$454:G$463&lt;&gt;"")))</f>
        <v/>
      </c>
      <c r="H375" s="38" t="str" cm="1">
        <f t="array" ref="H375">IF(H616="","",
H616*LOOKUP($F375,_xlfn._xlws.FILTER($F$454:$F$463,H$454:H$463&lt;&gt;""),_xlfn._xlws.FILTER(H$454:H$463,H$454:H$463&lt;&gt;"")))</f>
        <v/>
      </c>
      <c r="I375" s="38" t="str" cm="1">
        <f t="array" ref="I375">IF(I616="","",
I616*LOOKUP($F375,_xlfn._xlws.FILTER($F$454:$F$463,I$454:I$463&lt;&gt;""),_xlfn._xlws.FILTER(I$454:I$463,I$454:I$463&lt;&gt;"")))</f>
        <v/>
      </c>
      <c r="J375" s="44" t="str">
        <f t="shared" si="29"/>
        <v/>
      </c>
      <c r="K375" s="45" t="str" cm="1">
        <f t="array" ref="K375">IF(M616="","",
M616*LOOKUP($F375,_xlfn._xlws.FILTER($F$468:$F$477,G$468:G$477&lt;&gt;""),_xlfn._xlws.FILTER(G$468:G$477,G$468:G$477&lt;&gt;"")))</f>
        <v/>
      </c>
      <c r="L375" s="41" t="str">
        <f t="shared" si="30"/>
        <v/>
      </c>
      <c r="M375" s="34" t="str">
        <f t="shared" si="23"/>
        <v/>
      </c>
      <c r="N375" s="6"/>
      <c r="O375" s="25">
        <v>49341</v>
      </c>
      <c r="P375" s="32" t="str">
        <f t="shared" si="24"/>
        <v/>
      </c>
      <c r="Q375" s="32" t="str">
        <f t="shared" si="25"/>
        <v/>
      </c>
      <c r="R375" s="32" t="str">
        <f t="shared" si="26"/>
        <v/>
      </c>
      <c r="S375" s="32" t="str">
        <f t="shared" si="27"/>
        <v/>
      </c>
      <c r="T375" s="46" t="str">
        <f t="shared" si="28"/>
        <v/>
      </c>
      <c r="U375" s="32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8" t="str" cm="1">
        <f t="array" ref="G376">IF(G617="","",
G617*LOOKUP($F376,_xlfn._xlws.FILTER($F$454:$F$463,G$454:G$463&lt;&gt;""),_xlfn._xlws.FILTER(G$454:G$463,G$454:G$463&lt;&gt;"")))</f>
        <v/>
      </c>
      <c r="H376" s="38" t="str" cm="1">
        <f t="array" ref="H376">IF(H617="","",
H617*LOOKUP($F376,_xlfn._xlws.FILTER($F$454:$F$463,H$454:H$463&lt;&gt;""),_xlfn._xlws.FILTER(H$454:H$463,H$454:H$463&lt;&gt;"")))</f>
        <v/>
      </c>
      <c r="I376" s="38" t="str" cm="1">
        <f t="array" ref="I376">IF(I617="","",
I617*LOOKUP($F376,_xlfn._xlws.FILTER($F$454:$F$463,I$454:I$463&lt;&gt;""),_xlfn._xlws.FILTER(I$454:I$463,I$454:I$463&lt;&gt;"")))</f>
        <v/>
      </c>
      <c r="J376" s="44" t="str">
        <f t="shared" si="29"/>
        <v/>
      </c>
      <c r="K376" s="45" t="str" cm="1">
        <f t="array" ref="K376">IF(M617="","",
M617*LOOKUP($F376,_xlfn._xlws.FILTER($F$468:$F$477,G$468:G$477&lt;&gt;""),_xlfn._xlws.FILTER(G$468:G$477,G$468:G$477&lt;&gt;"")))</f>
        <v/>
      </c>
      <c r="L376" s="41" t="str">
        <f t="shared" si="30"/>
        <v/>
      </c>
      <c r="M376" s="34" t="str">
        <f t="shared" si="23"/>
        <v/>
      </c>
      <c r="N376" s="6"/>
      <c r="O376" s="25">
        <v>49369</v>
      </c>
      <c r="P376" s="32" t="str">
        <f t="shared" si="24"/>
        <v/>
      </c>
      <c r="Q376" s="32" t="str">
        <f t="shared" si="25"/>
        <v/>
      </c>
      <c r="R376" s="32" t="str">
        <f t="shared" si="26"/>
        <v/>
      </c>
      <c r="S376" s="32" t="str">
        <f t="shared" si="27"/>
        <v/>
      </c>
      <c r="T376" s="46" t="str">
        <f t="shared" si="28"/>
        <v/>
      </c>
      <c r="U376" s="32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8" t="str" cm="1">
        <f t="array" ref="G377">IF(G618="","",
G618*LOOKUP($F377,_xlfn._xlws.FILTER($F$454:$F$463,G$454:G$463&lt;&gt;""),_xlfn._xlws.FILTER(G$454:G$463,G$454:G$463&lt;&gt;"")))</f>
        <v/>
      </c>
      <c r="H377" s="38" t="str" cm="1">
        <f t="array" ref="H377">IF(H618="","",
H618*LOOKUP($F377,_xlfn._xlws.FILTER($F$454:$F$463,H$454:H$463&lt;&gt;""),_xlfn._xlws.FILTER(H$454:H$463,H$454:H$463&lt;&gt;"")))</f>
        <v/>
      </c>
      <c r="I377" s="38" t="str" cm="1">
        <f t="array" ref="I377">IF(I618="","",
I618*LOOKUP($F377,_xlfn._xlws.FILTER($F$454:$F$463,I$454:I$463&lt;&gt;""),_xlfn._xlws.FILTER(I$454:I$463,I$454:I$463&lt;&gt;"")))</f>
        <v/>
      </c>
      <c r="J377" s="44" t="str">
        <f t="shared" si="29"/>
        <v/>
      </c>
      <c r="K377" s="45" t="str" cm="1">
        <f t="array" ref="K377">IF(M618="","",
M618*LOOKUP($F377,_xlfn._xlws.FILTER($F$468:$F$477,G$468:G$477&lt;&gt;""),_xlfn._xlws.FILTER(G$468:G$477,G$468:G$477&lt;&gt;"")))</f>
        <v/>
      </c>
      <c r="L377" s="41" t="str">
        <f t="shared" si="30"/>
        <v/>
      </c>
      <c r="M377" s="34" t="str">
        <f t="shared" si="23"/>
        <v/>
      </c>
      <c r="N377" s="6"/>
      <c r="O377" s="25">
        <v>49400</v>
      </c>
      <c r="P377" s="32" t="str">
        <f t="shared" si="24"/>
        <v/>
      </c>
      <c r="Q377" s="32" t="str">
        <f t="shared" si="25"/>
        <v/>
      </c>
      <c r="R377" s="32" t="str">
        <f t="shared" si="26"/>
        <v/>
      </c>
      <c r="S377" s="32" t="str">
        <f t="shared" si="27"/>
        <v/>
      </c>
      <c r="T377" s="46" t="str">
        <f t="shared" si="28"/>
        <v/>
      </c>
      <c r="U377" s="32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8" t="str" cm="1">
        <f t="array" ref="G378">IF(G619="","",
G619*LOOKUP($F378,_xlfn._xlws.FILTER($F$454:$F$463,G$454:G$463&lt;&gt;""),_xlfn._xlws.FILTER(G$454:G$463,G$454:G$463&lt;&gt;"")))</f>
        <v/>
      </c>
      <c r="H378" s="38" t="str" cm="1">
        <f t="array" ref="H378">IF(H619="","",
H619*LOOKUP($F378,_xlfn._xlws.FILTER($F$454:$F$463,H$454:H$463&lt;&gt;""),_xlfn._xlws.FILTER(H$454:H$463,H$454:H$463&lt;&gt;"")))</f>
        <v/>
      </c>
      <c r="I378" s="38" t="str" cm="1">
        <f t="array" ref="I378">IF(I619="","",
I619*LOOKUP($F378,_xlfn._xlws.FILTER($F$454:$F$463,I$454:I$463&lt;&gt;""),_xlfn._xlws.FILTER(I$454:I$463,I$454:I$463&lt;&gt;"")))</f>
        <v/>
      </c>
      <c r="J378" s="44" t="str">
        <f t="shared" si="29"/>
        <v/>
      </c>
      <c r="K378" s="45" t="str" cm="1">
        <f t="array" ref="K378">IF(M619="","",
M619*LOOKUP($F378,_xlfn._xlws.FILTER($F$468:$F$477,G$468:G$477&lt;&gt;""),_xlfn._xlws.FILTER(G$468:G$477,G$468:G$477&lt;&gt;"")))</f>
        <v/>
      </c>
      <c r="L378" s="41" t="str">
        <f t="shared" si="30"/>
        <v/>
      </c>
      <c r="M378" s="34" t="str">
        <f t="shared" si="23"/>
        <v/>
      </c>
      <c r="N378" s="6"/>
      <c r="O378" s="25">
        <v>49430</v>
      </c>
      <c r="P378" s="32" t="str">
        <f t="shared" si="24"/>
        <v/>
      </c>
      <c r="Q378" s="32" t="str">
        <f t="shared" si="25"/>
        <v/>
      </c>
      <c r="R378" s="32" t="str">
        <f t="shared" si="26"/>
        <v/>
      </c>
      <c r="S378" s="32" t="str">
        <f t="shared" si="27"/>
        <v/>
      </c>
      <c r="T378" s="46" t="str">
        <f t="shared" si="28"/>
        <v/>
      </c>
      <c r="U378" s="32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8" t="str" cm="1">
        <f t="array" ref="G379">IF(G620="","",
G620*LOOKUP($F379,_xlfn._xlws.FILTER($F$454:$F$463,G$454:G$463&lt;&gt;""),_xlfn._xlws.FILTER(G$454:G$463,G$454:G$463&lt;&gt;"")))</f>
        <v/>
      </c>
      <c r="H379" s="38" t="str" cm="1">
        <f t="array" ref="H379">IF(H620="","",
H620*LOOKUP($F379,_xlfn._xlws.FILTER($F$454:$F$463,H$454:H$463&lt;&gt;""),_xlfn._xlws.FILTER(H$454:H$463,H$454:H$463&lt;&gt;"")))</f>
        <v/>
      </c>
      <c r="I379" s="38" t="str" cm="1">
        <f t="array" ref="I379">IF(I620="","",
I620*LOOKUP($F379,_xlfn._xlws.FILTER($F$454:$F$463,I$454:I$463&lt;&gt;""),_xlfn._xlws.FILTER(I$454:I$463,I$454:I$463&lt;&gt;"")))</f>
        <v/>
      </c>
      <c r="J379" s="44" t="str">
        <f t="shared" si="29"/>
        <v/>
      </c>
      <c r="K379" s="45" t="str" cm="1">
        <f t="array" ref="K379">IF(M620="","",
M620*LOOKUP($F379,_xlfn._xlws.FILTER($F$468:$F$477,G$468:G$477&lt;&gt;""),_xlfn._xlws.FILTER(G$468:G$477,G$468:G$477&lt;&gt;"")))</f>
        <v/>
      </c>
      <c r="L379" s="41" t="str">
        <f t="shared" si="30"/>
        <v/>
      </c>
      <c r="M379" s="34" t="str">
        <f t="shared" si="23"/>
        <v/>
      </c>
      <c r="N379" s="6"/>
      <c r="O379" s="25">
        <v>49461</v>
      </c>
      <c r="P379" s="32" t="str">
        <f t="shared" si="24"/>
        <v/>
      </c>
      <c r="Q379" s="32" t="str">
        <f t="shared" si="25"/>
        <v/>
      </c>
      <c r="R379" s="32" t="str">
        <f t="shared" si="26"/>
        <v/>
      </c>
      <c r="S379" s="32" t="str">
        <f t="shared" si="27"/>
        <v/>
      </c>
      <c r="T379" s="46" t="str">
        <f t="shared" si="28"/>
        <v/>
      </c>
      <c r="U379" s="32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8" t="str" cm="1">
        <f t="array" ref="G380">IF(G621="","",
G621*LOOKUP($F380,_xlfn._xlws.FILTER($F$454:$F$463,G$454:G$463&lt;&gt;""),_xlfn._xlws.FILTER(G$454:G$463,G$454:G$463&lt;&gt;"")))</f>
        <v/>
      </c>
      <c r="H380" s="38" t="str" cm="1">
        <f t="array" ref="H380">IF(H621="","",
H621*LOOKUP($F380,_xlfn._xlws.FILTER($F$454:$F$463,H$454:H$463&lt;&gt;""),_xlfn._xlws.FILTER(H$454:H$463,H$454:H$463&lt;&gt;"")))</f>
        <v/>
      </c>
      <c r="I380" s="38" t="str" cm="1">
        <f t="array" ref="I380">IF(I621="","",
I621*LOOKUP($F380,_xlfn._xlws.FILTER($F$454:$F$463,I$454:I$463&lt;&gt;""),_xlfn._xlws.FILTER(I$454:I$463,I$454:I$463&lt;&gt;"")))</f>
        <v/>
      </c>
      <c r="J380" s="44" t="str">
        <f t="shared" si="29"/>
        <v/>
      </c>
      <c r="K380" s="45" t="str" cm="1">
        <f t="array" ref="K380">IF(M621="","",
M621*LOOKUP($F380,_xlfn._xlws.FILTER($F$468:$F$477,G$468:G$477&lt;&gt;""),_xlfn._xlws.FILTER(G$468:G$477,G$468:G$477&lt;&gt;"")))</f>
        <v/>
      </c>
      <c r="L380" s="41" t="str">
        <f t="shared" si="30"/>
        <v/>
      </c>
      <c r="M380" s="34" t="str">
        <f t="shared" si="23"/>
        <v/>
      </c>
      <c r="N380" s="6"/>
      <c r="O380" s="25">
        <v>49491</v>
      </c>
      <c r="P380" s="32" t="str">
        <f t="shared" si="24"/>
        <v/>
      </c>
      <c r="Q380" s="32" t="str">
        <f t="shared" si="25"/>
        <v/>
      </c>
      <c r="R380" s="32" t="str">
        <f t="shared" si="26"/>
        <v/>
      </c>
      <c r="S380" s="32" t="str">
        <f t="shared" si="27"/>
        <v/>
      </c>
      <c r="T380" s="46" t="str">
        <f t="shared" si="28"/>
        <v/>
      </c>
      <c r="U380" s="32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8" t="str" cm="1">
        <f t="array" ref="G381">IF(G622="","",
G622*LOOKUP($F381,_xlfn._xlws.FILTER($F$454:$F$463,G$454:G$463&lt;&gt;""),_xlfn._xlws.FILTER(G$454:G$463,G$454:G$463&lt;&gt;"")))</f>
        <v/>
      </c>
      <c r="H381" s="38" t="str" cm="1">
        <f t="array" ref="H381">IF(H622="","",
H622*LOOKUP($F381,_xlfn._xlws.FILTER($F$454:$F$463,H$454:H$463&lt;&gt;""),_xlfn._xlws.FILTER(H$454:H$463,H$454:H$463&lt;&gt;"")))</f>
        <v/>
      </c>
      <c r="I381" s="38" t="str" cm="1">
        <f t="array" ref="I381">IF(I622="","",
I622*LOOKUP($F381,_xlfn._xlws.FILTER($F$454:$F$463,I$454:I$463&lt;&gt;""),_xlfn._xlws.FILTER(I$454:I$463,I$454:I$463&lt;&gt;"")))</f>
        <v/>
      </c>
      <c r="J381" s="44" t="str">
        <f t="shared" si="29"/>
        <v/>
      </c>
      <c r="K381" s="45" t="str" cm="1">
        <f t="array" ref="K381">IF(M622="","",
M622*LOOKUP($F381,_xlfn._xlws.FILTER($F$468:$F$477,G$468:G$477&lt;&gt;""),_xlfn._xlws.FILTER(G$468:G$477,G$468:G$477&lt;&gt;"")))</f>
        <v/>
      </c>
      <c r="L381" s="41" t="str">
        <f t="shared" si="30"/>
        <v/>
      </c>
      <c r="M381" s="34" t="str">
        <f t="shared" si="23"/>
        <v/>
      </c>
      <c r="N381" s="6"/>
      <c r="O381" s="25">
        <v>49522</v>
      </c>
      <c r="P381" s="32" t="str">
        <f t="shared" si="24"/>
        <v/>
      </c>
      <c r="Q381" s="32" t="str">
        <f t="shared" si="25"/>
        <v/>
      </c>
      <c r="R381" s="32" t="str">
        <f t="shared" si="26"/>
        <v/>
      </c>
      <c r="S381" s="32" t="str">
        <f t="shared" si="27"/>
        <v/>
      </c>
      <c r="T381" s="46" t="str">
        <f t="shared" si="28"/>
        <v/>
      </c>
      <c r="U381" s="32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8" t="str" cm="1">
        <f t="array" ref="G382">IF(G623="","",
G623*LOOKUP($F382,_xlfn._xlws.FILTER($F$454:$F$463,G$454:G$463&lt;&gt;""),_xlfn._xlws.FILTER(G$454:G$463,G$454:G$463&lt;&gt;"")))</f>
        <v/>
      </c>
      <c r="H382" s="38" t="str" cm="1">
        <f t="array" ref="H382">IF(H623="","",
H623*LOOKUP($F382,_xlfn._xlws.FILTER($F$454:$F$463,H$454:H$463&lt;&gt;""),_xlfn._xlws.FILTER(H$454:H$463,H$454:H$463&lt;&gt;"")))</f>
        <v/>
      </c>
      <c r="I382" s="38" t="str" cm="1">
        <f t="array" ref="I382">IF(I623="","",
I623*LOOKUP($F382,_xlfn._xlws.FILTER($F$454:$F$463,I$454:I$463&lt;&gt;""),_xlfn._xlws.FILTER(I$454:I$463,I$454:I$463&lt;&gt;"")))</f>
        <v/>
      </c>
      <c r="J382" s="44" t="str">
        <f t="shared" si="29"/>
        <v/>
      </c>
      <c r="K382" s="45" t="str" cm="1">
        <f t="array" ref="K382">IF(M623="","",
M623*LOOKUP($F382,_xlfn._xlws.FILTER($F$468:$F$477,G$468:G$477&lt;&gt;""),_xlfn._xlws.FILTER(G$468:G$477,G$468:G$477&lt;&gt;"")))</f>
        <v/>
      </c>
      <c r="L382" s="41" t="str">
        <f t="shared" si="30"/>
        <v/>
      </c>
      <c r="M382" s="34" t="str">
        <f t="shared" si="23"/>
        <v/>
      </c>
      <c r="N382" s="6"/>
      <c r="O382" s="25">
        <v>49553</v>
      </c>
      <c r="P382" s="32" t="str">
        <f t="shared" si="24"/>
        <v/>
      </c>
      <c r="Q382" s="32" t="str">
        <f t="shared" si="25"/>
        <v/>
      </c>
      <c r="R382" s="32" t="str">
        <f t="shared" si="26"/>
        <v/>
      </c>
      <c r="S382" s="32" t="str">
        <f t="shared" si="27"/>
        <v/>
      </c>
      <c r="T382" s="46" t="str">
        <f t="shared" si="28"/>
        <v/>
      </c>
      <c r="U382" s="32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8" t="str" cm="1">
        <f t="array" ref="G383">IF(G624="","",
G624*LOOKUP($F383,_xlfn._xlws.FILTER($F$454:$F$463,G$454:G$463&lt;&gt;""),_xlfn._xlws.FILTER(G$454:G$463,G$454:G$463&lt;&gt;"")))</f>
        <v/>
      </c>
      <c r="H383" s="38" t="str" cm="1">
        <f t="array" ref="H383">IF(H624="","",
H624*LOOKUP($F383,_xlfn._xlws.FILTER($F$454:$F$463,H$454:H$463&lt;&gt;""),_xlfn._xlws.FILTER(H$454:H$463,H$454:H$463&lt;&gt;"")))</f>
        <v/>
      </c>
      <c r="I383" s="38" t="str" cm="1">
        <f t="array" ref="I383">IF(I624="","",
I624*LOOKUP($F383,_xlfn._xlws.FILTER($F$454:$F$463,I$454:I$463&lt;&gt;""),_xlfn._xlws.FILTER(I$454:I$463,I$454:I$463&lt;&gt;"")))</f>
        <v/>
      </c>
      <c r="J383" s="44" t="str">
        <f t="shared" si="29"/>
        <v/>
      </c>
      <c r="K383" s="45" t="str" cm="1">
        <f t="array" ref="K383">IF(M624="","",
M624*LOOKUP($F383,_xlfn._xlws.FILTER($F$468:$F$477,G$468:G$477&lt;&gt;""),_xlfn._xlws.FILTER(G$468:G$477,G$468:G$477&lt;&gt;"")))</f>
        <v/>
      </c>
      <c r="L383" s="41" t="str">
        <f t="shared" si="30"/>
        <v/>
      </c>
      <c r="M383" s="34" t="str">
        <f t="shared" si="23"/>
        <v/>
      </c>
      <c r="N383" s="6"/>
      <c r="O383" s="25">
        <v>49583</v>
      </c>
      <c r="P383" s="32" t="str">
        <f t="shared" si="24"/>
        <v/>
      </c>
      <c r="Q383" s="32" t="str">
        <f t="shared" si="25"/>
        <v/>
      </c>
      <c r="R383" s="32" t="str">
        <f t="shared" si="26"/>
        <v/>
      </c>
      <c r="S383" s="32" t="str">
        <f t="shared" si="27"/>
        <v/>
      </c>
      <c r="T383" s="46" t="str">
        <f t="shared" si="28"/>
        <v/>
      </c>
      <c r="U383" s="32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8" t="str" cm="1">
        <f t="array" ref="G384">IF(G625="","",
G625*LOOKUP($F384,_xlfn._xlws.FILTER($F$454:$F$463,G$454:G$463&lt;&gt;""),_xlfn._xlws.FILTER(G$454:G$463,G$454:G$463&lt;&gt;"")))</f>
        <v/>
      </c>
      <c r="H384" s="38" t="str" cm="1">
        <f t="array" ref="H384">IF(H625="","",
H625*LOOKUP($F384,_xlfn._xlws.FILTER($F$454:$F$463,H$454:H$463&lt;&gt;""),_xlfn._xlws.FILTER(H$454:H$463,H$454:H$463&lt;&gt;"")))</f>
        <v/>
      </c>
      <c r="I384" s="38" t="str" cm="1">
        <f t="array" ref="I384">IF(I625="","",
I625*LOOKUP($F384,_xlfn._xlws.FILTER($F$454:$F$463,I$454:I$463&lt;&gt;""),_xlfn._xlws.FILTER(I$454:I$463,I$454:I$463&lt;&gt;"")))</f>
        <v/>
      </c>
      <c r="J384" s="44" t="str">
        <f t="shared" si="29"/>
        <v/>
      </c>
      <c r="K384" s="45" t="str" cm="1">
        <f t="array" ref="K384">IF(M625="","",
M625*LOOKUP($F384,_xlfn._xlws.FILTER($F$468:$F$477,G$468:G$477&lt;&gt;""),_xlfn._xlws.FILTER(G$468:G$477,G$468:G$477&lt;&gt;"")))</f>
        <v/>
      </c>
      <c r="L384" s="41" t="str">
        <f t="shared" si="30"/>
        <v/>
      </c>
      <c r="M384" s="34" t="str">
        <f t="shared" si="23"/>
        <v/>
      </c>
      <c r="N384" s="6"/>
      <c r="O384" s="25">
        <v>49614</v>
      </c>
      <c r="P384" s="32" t="str">
        <f t="shared" si="24"/>
        <v/>
      </c>
      <c r="Q384" s="32" t="str">
        <f t="shared" si="25"/>
        <v/>
      </c>
      <c r="R384" s="32" t="str">
        <f t="shared" si="26"/>
        <v/>
      </c>
      <c r="S384" s="32" t="str">
        <f t="shared" si="27"/>
        <v/>
      </c>
      <c r="T384" s="46" t="str">
        <f t="shared" si="28"/>
        <v/>
      </c>
      <c r="U384" s="32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8" t="str" cm="1">
        <f t="array" ref="G385">IF(G626="","",
G626*LOOKUP($F385,_xlfn._xlws.FILTER($F$454:$F$463,G$454:G$463&lt;&gt;""),_xlfn._xlws.FILTER(G$454:G$463,G$454:G$463&lt;&gt;"")))</f>
        <v/>
      </c>
      <c r="H385" s="38" t="str" cm="1">
        <f t="array" ref="H385">IF(H626="","",
H626*LOOKUP($F385,_xlfn._xlws.FILTER($F$454:$F$463,H$454:H$463&lt;&gt;""),_xlfn._xlws.FILTER(H$454:H$463,H$454:H$463&lt;&gt;"")))</f>
        <v/>
      </c>
      <c r="I385" s="38" t="str" cm="1">
        <f t="array" ref="I385">IF(I626="","",
I626*LOOKUP($F385,_xlfn._xlws.FILTER($F$454:$F$463,I$454:I$463&lt;&gt;""),_xlfn._xlws.FILTER(I$454:I$463,I$454:I$463&lt;&gt;"")))</f>
        <v/>
      </c>
      <c r="J385" s="44" t="str">
        <f t="shared" si="29"/>
        <v/>
      </c>
      <c r="K385" s="45" t="str" cm="1">
        <f t="array" ref="K385">IF(M626="","",
M626*LOOKUP($F385,_xlfn._xlws.FILTER($F$468:$F$477,G$468:G$477&lt;&gt;""),_xlfn._xlws.FILTER(G$468:G$477,G$468:G$477&lt;&gt;"")))</f>
        <v/>
      </c>
      <c r="L385" s="41" t="str">
        <f t="shared" si="30"/>
        <v/>
      </c>
      <c r="M385" s="34" t="str">
        <f t="shared" si="23"/>
        <v/>
      </c>
      <c r="N385" s="6"/>
      <c r="O385" s="25">
        <v>49644</v>
      </c>
      <c r="P385" s="32" t="str">
        <f t="shared" si="24"/>
        <v/>
      </c>
      <c r="Q385" s="32" t="str">
        <f t="shared" si="25"/>
        <v/>
      </c>
      <c r="R385" s="32" t="str">
        <f t="shared" si="26"/>
        <v/>
      </c>
      <c r="S385" s="32" t="str">
        <f t="shared" si="27"/>
        <v/>
      </c>
      <c r="T385" s="46" t="str">
        <f t="shared" si="28"/>
        <v/>
      </c>
      <c r="U385" s="32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8" t="str" cm="1">
        <f t="array" ref="G386">IF(G627="","",
G627*LOOKUP($F386,_xlfn._xlws.FILTER($F$454:$F$463,G$454:G$463&lt;&gt;""),_xlfn._xlws.FILTER(G$454:G$463,G$454:G$463&lt;&gt;"")))</f>
        <v/>
      </c>
      <c r="H386" s="38" t="str" cm="1">
        <f t="array" ref="H386">IF(H627="","",
H627*LOOKUP($F386,_xlfn._xlws.FILTER($F$454:$F$463,H$454:H$463&lt;&gt;""),_xlfn._xlws.FILTER(H$454:H$463,H$454:H$463&lt;&gt;"")))</f>
        <v/>
      </c>
      <c r="I386" s="38" t="str" cm="1">
        <f t="array" ref="I386">IF(I627="","",
I627*LOOKUP($F386,_xlfn._xlws.FILTER($F$454:$F$463,I$454:I$463&lt;&gt;""),_xlfn._xlws.FILTER(I$454:I$463,I$454:I$463&lt;&gt;"")))</f>
        <v/>
      </c>
      <c r="J386" s="44" t="str">
        <f t="shared" si="29"/>
        <v/>
      </c>
      <c r="K386" s="45" t="str" cm="1">
        <f t="array" ref="K386">IF(M627="","",
M627*LOOKUP($F386,_xlfn._xlws.FILTER($F$468:$F$477,G$468:G$477&lt;&gt;""),_xlfn._xlws.FILTER(G$468:G$477,G$468:G$477&lt;&gt;"")))</f>
        <v/>
      </c>
      <c r="L386" s="41" t="str">
        <f t="shared" si="30"/>
        <v/>
      </c>
      <c r="M386" s="34" t="str">
        <f t="shared" si="23"/>
        <v/>
      </c>
      <c r="N386" s="6"/>
      <c r="O386" s="25">
        <v>49675</v>
      </c>
      <c r="P386" s="32" t="str">
        <f t="shared" si="24"/>
        <v/>
      </c>
      <c r="Q386" s="32" t="str">
        <f t="shared" si="25"/>
        <v/>
      </c>
      <c r="R386" s="32" t="str">
        <f t="shared" si="26"/>
        <v/>
      </c>
      <c r="S386" s="32" t="str">
        <f t="shared" si="27"/>
        <v/>
      </c>
      <c r="T386" s="46" t="str">
        <f t="shared" si="28"/>
        <v/>
      </c>
      <c r="U386" s="32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8" t="str" cm="1">
        <f t="array" ref="G387">IF(G628="","",
G628*LOOKUP($F387,_xlfn._xlws.FILTER($F$454:$F$463,G$454:G$463&lt;&gt;""),_xlfn._xlws.FILTER(G$454:G$463,G$454:G$463&lt;&gt;"")))</f>
        <v/>
      </c>
      <c r="H387" s="38" t="str" cm="1">
        <f t="array" ref="H387">IF(H628="","",
H628*LOOKUP($F387,_xlfn._xlws.FILTER($F$454:$F$463,H$454:H$463&lt;&gt;""),_xlfn._xlws.FILTER(H$454:H$463,H$454:H$463&lt;&gt;"")))</f>
        <v/>
      </c>
      <c r="I387" s="38" t="str" cm="1">
        <f t="array" ref="I387">IF(I628="","",
I628*LOOKUP($F387,_xlfn._xlws.FILTER($F$454:$F$463,I$454:I$463&lt;&gt;""),_xlfn._xlws.FILTER(I$454:I$463,I$454:I$463&lt;&gt;"")))</f>
        <v/>
      </c>
      <c r="J387" s="44" t="str">
        <f t="shared" si="29"/>
        <v/>
      </c>
      <c r="K387" s="45" t="str" cm="1">
        <f t="array" ref="K387">IF(M628="","",
M628*LOOKUP($F387,_xlfn._xlws.FILTER($F$468:$F$477,G$468:G$477&lt;&gt;""),_xlfn._xlws.FILTER(G$468:G$477,G$468:G$477&lt;&gt;"")))</f>
        <v/>
      </c>
      <c r="L387" s="41" t="str">
        <f t="shared" si="30"/>
        <v/>
      </c>
      <c r="M387" s="34" t="str">
        <f t="shared" si="23"/>
        <v/>
      </c>
      <c r="N387" s="6"/>
      <c r="O387" s="25">
        <v>49706</v>
      </c>
      <c r="P387" s="32" t="str">
        <f t="shared" si="24"/>
        <v/>
      </c>
      <c r="Q387" s="32" t="str">
        <f t="shared" si="25"/>
        <v/>
      </c>
      <c r="R387" s="32" t="str">
        <f t="shared" si="26"/>
        <v/>
      </c>
      <c r="S387" s="32" t="str">
        <f t="shared" si="27"/>
        <v/>
      </c>
      <c r="T387" s="46" t="str">
        <f t="shared" si="28"/>
        <v/>
      </c>
      <c r="U387" s="32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8" t="str" cm="1">
        <f t="array" ref="G388">IF(G629="","",
G629*LOOKUP($F388,_xlfn._xlws.FILTER($F$454:$F$463,G$454:G$463&lt;&gt;""),_xlfn._xlws.FILTER(G$454:G$463,G$454:G$463&lt;&gt;"")))</f>
        <v/>
      </c>
      <c r="H388" s="38" t="str" cm="1">
        <f t="array" ref="H388">IF(H629="","",
H629*LOOKUP($F388,_xlfn._xlws.FILTER($F$454:$F$463,H$454:H$463&lt;&gt;""),_xlfn._xlws.FILTER(H$454:H$463,H$454:H$463&lt;&gt;"")))</f>
        <v/>
      </c>
      <c r="I388" s="38" t="str" cm="1">
        <f t="array" ref="I388">IF(I629="","",
I629*LOOKUP($F388,_xlfn._xlws.FILTER($F$454:$F$463,I$454:I$463&lt;&gt;""),_xlfn._xlws.FILTER(I$454:I$463,I$454:I$463&lt;&gt;"")))</f>
        <v/>
      </c>
      <c r="J388" s="44" t="str">
        <f t="shared" si="29"/>
        <v/>
      </c>
      <c r="K388" s="45" t="str" cm="1">
        <f t="array" ref="K388">IF(M629="","",
M629*LOOKUP($F388,_xlfn._xlws.FILTER($F$468:$F$477,G$468:G$477&lt;&gt;""),_xlfn._xlws.FILTER(G$468:G$477,G$468:G$477&lt;&gt;"")))</f>
        <v/>
      </c>
      <c r="L388" s="41" t="str">
        <f t="shared" si="30"/>
        <v/>
      </c>
      <c r="M388" s="34" t="str">
        <f t="shared" si="23"/>
        <v/>
      </c>
      <c r="N388" s="6"/>
      <c r="O388" s="25">
        <v>49735</v>
      </c>
      <c r="P388" s="32" t="str">
        <f t="shared" si="24"/>
        <v/>
      </c>
      <c r="Q388" s="32" t="str">
        <f t="shared" si="25"/>
        <v/>
      </c>
      <c r="R388" s="32" t="str">
        <f t="shared" si="26"/>
        <v/>
      </c>
      <c r="S388" s="32" t="str">
        <f t="shared" si="27"/>
        <v/>
      </c>
      <c r="T388" s="46" t="str">
        <f t="shared" si="28"/>
        <v/>
      </c>
      <c r="U388" s="32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8" t="str" cm="1">
        <f t="array" ref="G389">IF(G630="","",
G630*LOOKUP($F389,_xlfn._xlws.FILTER($F$454:$F$463,G$454:G$463&lt;&gt;""),_xlfn._xlws.FILTER(G$454:G$463,G$454:G$463&lt;&gt;"")))</f>
        <v/>
      </c>
      <c r="H389" s="38" t="str" cm="1">
        <f t="array" ref="H389">IF(H630="","",
H630*LOOKUP($F389,_xlfn._xlws.FILTER($F$454:$F$463,H$454:H$463&lt;&gt;""),_xlfn._xlws.FILTER(H$454:H$463,H$454:H$463&lt;&gt;"")))</f>
        <v/>
      </c>
      <c r="I389" s="38" t="str" cm="1">
        <f t="array" ref="I389">IF(I630="","",
I630*LOOKUP($F389,_xlfn._xlws.FILTER($F$454:$F$463,I$454:I$463&lt;&gt;""),_xlfn._xlws.FILTER(I$454:I$463,I$454:I$463&lt;&gt;"")))</f>
        <v/>
      </c>
      <c r="J389" s="44" t="str">
        <f t="shared" si="29"/>
        <v/>
      </c>
      <c r="K389" s="45" t="str" cm="1">
        <f t="array" ref="K389">IF(M630="","",
M630*LOOKUP($F389,_xlfn._xlws.FILTER($F$468:$F$477,G$468:G$477&lt;&gt;""),_xlfn._xlws.FILTER(G$468:G$477,G$468:G$477&lt;&gt;"")))</f>
        <v/>
      </c>
      <c r="L389" s="41" t="str">
        <f t="shared" si="30"/>
        <v/>
      </c>
      <c r="M389" s="34" t="str">
        <f t="shared" si="23"/>
        <v/>
      </c>
      <c r="N389" s="6"/>
      <c r="O389" s="25">
        <v>49766</v>
      </c>
      <c r="P389" s="32" t="str">
        <f t="shared" si="24"/>
        <v/>
      </c>
      <c r="Q389" s="32" t="str">
        <f t="shared" si="25"/>
        <v/>
      </c>
      <c r="R389" s="32" t="str">
        <f t="shared" si="26"/>
        <v/>
      </c>
      <c r="S389" s="32" t="str">
        <f t="shared" si="27"/>
        <v/>
      </c>
      <c r="T389" s="46" t="str">
        <f t="shared" si="28"/>
        <v/>
      </c>
      <c r="U389" s="32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8" t="str" cm="1">
        <f t="array" ref="G390">IF(G631="","",
G631*LOOKUP($F390,_xlfn._xlws.FILTER($F$454:$F$463,G$454:G$463&lt;&gt;""),_xlfn._xlws.FILTER(G$454:G$463,G$454:G$463&lt;&gt;"")))</f>
        <v/>
      </c>
      <c r="H390" s="38" t="str" cm="1">
        <f t="array" ref="H390">IF(H631="","",
H631*LOOKUP($F390,_xlfn._xlws.FILTER($F$454:$F$463,H$454:H$463&lt;&gt;""),_xlfn._xlws.FILTER(H$454:H$463,H$454:H$463&lt;&gt;"")))</f>
        <v/>
      </c>
      <c r="I390" s="38" t="str" cm="1">
        <f t="array" ref="I390">IF(I631="","",
I631*LOOKUP($F390,_xlfn._xlws.FILTER($F$454:$F$463,I$454:I$463&lt;&gt;""),_xlfn._xlws.FILTER(I$454:I$463,I$454:I$463&lt;&gt;"")))</f>
        <v/>
      </c>
      <c r="J390" s="44" t="str">
        <f t="shared" si="29"/>
        <v/>
      </c>
      <c r="K390" s="45" t="str" cm="1">
        <f t="array" ref="K390">IF(M631="","",
M631*LOOKUP($F390,_xlfn._xlws.FILTER($F$468:$F$477,G$468:G$477&lt;&gt;""),_xlfn._xlws.FILTER(G$468:G$477,G$468:G$477&lt;&gt;"")))</f>
        <v/>
      </c>
      <c r="L390" s="41" t="str">
        <f t="shared" si="30"/>
        <v/>
      </c>
      <c r="M390" s="34" t="str">
        <f t="shared" si="23"/>
        <v/>
      </c>
      <c r="N390" s="6"/>
      <c r="O390" s="25">
        <v>49796</v>
      </c>
      <c r="P390" s="32" t="str">
        <f t="shared" si="24"/>
        <v/>
      </c>
      <c r="Q390" s="32" t="str">
        <f t="shared" si="25"/>
        <v/>
      </c>
      <c r="R390" s="32" t="str">
        <f t="shared" si="26"/>
        <v/>
      </c>
      <c r="S390" s="32" t="str">
        <f t="shared" si="27"/>
        <v/>
      </c>
      <c r="T390" s="46" t="str">
        <f t="shared" si="28"/>
        <v/>
      </c>
      <c r="U390" s="32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8" t="str" cm="1">
        <f t="array" ref="G391">IF(G632="","",
G632*LOOKUP($F391,_xlfn._xlws.FILTER($F$454:$F$463,G$454:G$463&lt;&gt;""),_xlfn._xlws.FILTER(G$454:G$463,G$454:G$463&lt;&gt;"")))</f>
        <v/>
      </c>
      <c r="H391" s="38" t="str" cm="1">
        <f t="array" ref="H391">IF(H632="","",
H632*LOOKUP($F391,_xlfn._xlws.FILTER($F$454:$F$463,H$454:H$463&lt;&gt;""),_xlfn._xlws.FILTER(H$454:H$463,H$454:H$463&lt;&gt;"")))</f>
        <v/>
      </c>
      <c r="I391" s="38" t="str" cm="1">
        <f t="array" ref="I391">IF(I632="","",
I632*LOOKUP($F391,_xlfn._xlws.FILTER($F$454:$F$463,I$454:I$463&lt;&gt;""),_xlfn._xlws.FILTER(I$454:I$463,I$454:I$463&lt;&gt;"")))</f>
        <v/>
      </c>
      <c r="J391" s="44" t="str">
        <f t="shared" si="29"/>
        <v/>
      </c>
      <c r="K391" s="45" t="str" cm="1">
        <f t="array" ref="K391">IF(M632="","",
M632*LOOKUP($F391,_xlfn._xlws.FILTER($F$468:$F$477,G$468:G$477&lt;&gt;""),_xlfn._xlws.FILTER(G$468:G$477,G$468:G$477&lt;&gt;"")))</f>
        <v/>
      </c>
      <c r="L391" s="41" t="str">
        <f t="shared" si="30"/>
        <v/>
      </c>
      <c r="M391" s="34" t="str">
        <f t="shared" si="23"/>
        <v/>
      </c>
      <c r="N391" s="6"/>
      <c r="O391" s="25">
        <v>49827</v>
      </c>
      <c r="P391" s="32" t="str">
        <f t="shared" si="24"/>
        <v/>
      </c>
      <c r="Q391" s="32" t="str">
        <f t="shared" si="25"/>
        <v/>
      </c>
      <c r="R391" s="32" t="str">
        <f t="shared" si="26"/>
        <v/>
      </c>
      <c r="S391" s="32" t="str">
        <f t="shared" si="27"/>
        <v/>
      </c>
      <c r="T391" s="46" t="str">
        <f t="shared" si="28"/>
        <v/>
      </c>
      <c r="U391" s="32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8" t="str" cm="1">
        <f t="array" ref="G392">IF(G633="","",
G633*LOOKUP($F392,_xlfn._xlws.FILTER($F$454:$F$463,G$454:G$463&lt;&gt;""),_xlfn._xlws.FILTER(G$454:G$463,G$454:G$463&lt;&gt;"")))</f>
        <v/>
      </c>
      <c r="H392" s="38" t="str" cm="1">
        <f t="array" ref="H392">IF(H633="","",
H633*LOOKUP($F392,_xlfn._xlws.FILTER($F$454:$F$463,H$454:H$463&lt;&gt;""),_xlfn._xlws.FILTER(H$454:H$463,H$454:H$463&lt;&gt;"")))</f>
        <v/>
      </c>
      <c r="I392" s="38" t="str" cm="1">
        <f t="array" ref="I392">IF(I633="","",
I633*LOOKUP($F392,_xlfn._xlws.FILTER($F$454:$F$463,I$454:I$463&lt;&gt;""),_xlfn._xlws.FILTER(I$454:I$463,I$454:I$463&lt;&gt;"")))</f>
        <v/>
      </c>
      <c r="J392" s="44" t="str">
        <f t="shared" si="29"/>
        <v/>
      </c>
      <c r="K392" s="45" t="str" cm="1">
        <f t="array" ref="K392">IF(M633="","",
M633*LOOKUP($F392,_xlfn._xlws.FILTER($F$468:$F$477,G$468:G$477&lt;&gt;""),_xlfn._xlws.FILTER(G$468:G$477,G$468:G$477&lt;&gt;"")))</f>
        <v/>
      </c>
      <c r="L392" s="41" t="str">
        <f t="shared" si="30"/>
        <v/>
      </c>
      <c r="M392" s="34" t="str">
        <f t="shared" si="23"/>
        <v/>
      </c>
      <c r="N392" s="6"/>
      <c r="O392" s="25">
        <v>49857</v>
      </c>
      <c r="P392" s="32" t="str">
        <f t="shared" si="24"/>
        <v/>
      </c>
      <c r="Q392" s="32" t="str">
        <f t="shared" si="25"/>
        <v/>
      </c>
      <c r="R392" s="32" t="str">
        <f t="shared" si="26"/>
        <v/>
      </c>
      <c r="S392" s="32" t="str">
        <f t="shared" si="27"/>
        <v/>
      </c>
      <c r="T392" s="46" t="str">
        <f t="shared" si="28"/>
        <v/>
      </c>
      <c r="U392" s="32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8" t="str" cm="1">
        <f t="array" ref="G393">IF(G634="","",
G634*LOOKUP($F393,_xlfn._xlws.FILTER($F$454:$F$463,G$454:G$463&lt;&gt;""),_xlfn._xlws.FILTER(G$454:G$463,G$454:G$463&lt;&gt;"")))</f>
        <v/>
      </c>
      <c r="H393" s="38" t="str" cm="1">
        <f t="array" ref="H393">IF(H634="","",
H634*LOOKUP($F393,_xlfn._xlws.FILTER($F$454:$F$463,H$454:H$463&lt;&gt;""),_xlfn._xlws.FILTER(H$454:H$463,H$454:H$463&lt;&gt;"")))</f>
        <v/>
      </c>
      <c r="I393" s="38" t="str" cm="1">
        <f t="array" ref="I393">IF(I634="","",
I634*LOOKUP($F393,_xlfn._xlws.FILTER($F$454:$F$463,I$454:I$463&lt;&gt;""),_xlfn._xlws.FILTER(I$454:I$463,I$454:I$463&lt;&gt;"")))</f>
        <v/>
      </c>
      <c r="J393" s="44" t="str">
        <f t="shared" si="29"/>
        <v/>
      </c>
      <c r="K393" s="45" t="str" cm="1">
        <f t="array" ref="K393">IF(M634="","",
M634*LOOKUP($F393,_xlfn._xlws.FILTER($F$468:$F$477,G$468:G$477&lt;&gt;""),_xlfn._xlws.FILTER(G$468:G$477,G$468:G$477&lt;&gt;"")))</f>
        <v/>
      </c>
      <c r="L393" s="41" t="str">
        <f t="shared" si="30"/>
        <v/>
      </c>
      <c r="M393" s="34" t="str">
        <f t="shared" si="23"/>
        <v/>
      </c>
      <c r="N393" s="6"/>
      <c r="O393" s="25">
        <v>49888</v>
      </c>
      <c r="P393" s="32" t="str">
        <f t="shared" si="24"/>
        <v/>
      </c>
      <c r="Q393" s="32" t="str">
        <f t="shared" si="25"/>
        <v/>
      </c>
      <c r="R393" s="32" t="str">
        <f t="shared" si="26"/>
        <v/>
      </c>
      <c r="S393" s="32" t="str">
        <f t="shared" si="27"/>
        <v/>
      </c>
      <c r="T393" s="46" t="str">
        <f t="shared" si="28"/>
        <v/>
      </c>
      <c r="U393" s="32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8" t="str" cm="1">
        <f t="array" ref="G394">IF(G635="","",
G635*LOOKUP($F394,_xlfn._xlws.FILTER($F$454:$F$463,G$454:G$463&lt;&gt;""),_xlfn._xlws.FILTER(G$454:G$463,G$454:G$463&lt;&gt;"")))</f>
        <v/>
      </c>
      <c r="H394" s="38" t="str" cm="1">
        <f t="array" ref="H394">IF(H635="","",
H635*LOOKUP($F394,_xlfn._xlws.FILTER($F$454:$F$463,H$454:H$463&lt;&gt;""),_xlfn._xlws.FILTER(H$454:H$463,H$454:H$463&lt;&gt;"")))</f>
        <v/>
      </c>
      <c r="I394" s="38" t="str" cm="1">
        <f t="array" ref="I394">IF(I635="","",
I635*LOOKUP($F394,_xlfn._xlws.FILTER($F$454:$F$463,I$454:I$463&lt;&gt;""),_xlfn._xlws.FILTER(I$454:I$463,I$454:I$463&lt;&gt;"")))</f>
        <v/>
      </c>
      <c r="J394" s="44" t="str">
        <f t="shared" si="29"/>
        <v/>
      </c>
      <c r="K394" s="45" t="str" cm="1">
        <f t="array" ref="K394">IF(M635="","",
M635*LOOKUP($F394,_xlfn._xlws.FILTER($F$468:$F$477,G$468:G$477&lt;&gt;""),_xlfn._xlws.FILTER(G$468:G$477,G$468:G$477&lt;&gt;"")))</f>
        <v/>
      </c>
      <c r="L394" s="41" t="str">
        <f t="shared" si="30"/>
        <v/>
      </c>
      <c r="M394" s="34" t="str">
        <f t="shared" si="23"/>
        <v/>
      </c>
      <c r="N394" s="6"/>
      <c r="O394" s="25">
        <v>49919</v>
      </c>
      <c r="P394" s="32" t="str">
        <f t="shared" si="24"/>
        <v/>
      </c>
      <c r="Q394" s="32" t="str">
        <f t="shared" si="25"/>
        <v/>
      </c>
      <c r="R394" s="32" t="str">
        <f t="shared" si="26"/>
        <v/>
      </c>
      <c r="S394" s="32" t="str">
        <f t="shared" si="27"/>
        <v/>
      </c>
      <c r="T394" s="46" t="str">
        <f t="shared" si="28"/>
        <v/>
      </c>
      <c r="U394" s="32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8" t="str" cm="1">
        <f t="array" ref="G395">IF(G636="","",
G636*LOOKUP($F395,_xlfn._xlws.FILTER($F$454:$F$463,G$454:G$463&lt;&gt;""),_xlfn._xlws.FILTER(G$454:G$463,G$454:G$463&lt;&gt;"")))</f>
        <v/>
      </c>
      <c r="H395" s="38" t="str" cm="1">
        <f t="array" ref="H395">IF(H636="","",
H636*LOOKUP($F395,_xlfn._xlws.FILTER($F$454:$F$463,H$454:H$463&lt;&gt;""),_xlfn._xlws.FILTER(H$454:H$463,H$454:H$463&lt;&gt;"")))</f>
        <v/>
      </c>
      <c r="I395" s="38" t="str" cm="1">
        <f t="array" ref="I395">IF(I636="","",
I636*LOOKUP($F395,_xlfn._xlws.FILTER($F$454:$F$463,I$454:I$463&lt;&gt;""),_xlfn._xlws.FILTER(I$454:I$463,I$454:I$463&lt;&gt;"")))</f>
        <v/>
      </c>
      <c r="J395" s="44" t="str">
        <f t="shared" si="29"/>
        <v/>
      </c>
      <c r="K395" s="45" t="str" cm="1">
        <f t="array" ref="K395">IF(M636="","",
M636*LOOKUP($F395,_xlfn._xlws.FILTER($F$468:$F$477,G$468:G$477&lt;&gt;""),_xlfn._xlws.FILTER(G$468:G$477,G$468:G$477&lt;&gt;"")))</f>
        <v/>
      </c>
      <c r="L395" s="41" t="str">
        <f t="shared" si="30"/>
        <v/>
      </c>
      <c r="M395" s="34" t="str">
        <f t="shared" si="23"/>
        <v/>
      </c>
      <c r="N395" s="6"/>
      <c r="O395" s="25">
        <v>49949</v>
      </c>
      <c r="P395" s="32" t="str">
        <f t="shared" si="24"/>
        <v/>
      </c>
      <c r="Q395" s="32" t="str">
        <f t="shared" si="25"/>
        <v/>
      </c>
      <c r="R395" s="32" t="str">
        <f t="shared" si="26"/>
        <v/>
      </c>
      <c r="S395" s="32" t="str">
        <f t="shared" si="27"/>
        <v/>
      </c>
      <c r="T395" s="46" t="str">
        <f t="shared" si="28"/>
        <v/>
      </c>
      <c r="U395" s="32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8" t="str" cm="1">
        <f t="array" ref="G396">IF(G637="","",
G637*LOOKUP($F396,_xlfn._xlws.FILTER($F$454:$F$463,G$454:G$463&lt;&gt;""),_xlfn._xlws.FILTER(G$454:G$463,G$454:G$463&lt;&gt;"")))</f>
        <v/>
      </c>
      <c r="H396" s="38" t="str" cm="1">
        <f t="array" ref="H396">IF(H637="","",
H637*LOOKUP($F396,_xlfn._xlws.FILTER($F$454:$F$463,H$454:H$463&lt;&gt;""),_xlfn._xlws.FILTER(H$454:H$463,H$454:H$463&lt;&gt;"")))</f>
        <v/>
      </c>
      <c r="I396" s="38" t="str" cm="1">
        <f t="array" ref="I396">IF(I637="","",
I637*LOOKUP($F396,_xlfn._xlws.FILTER($F$454:$F$463,I$454:I$463&lt;&gt;""),_xlfn._xlws.FILTER(I$454:I$463,I$454:I$463&lt;&gt;"")))</f>
        <v/>
      </c>
      <c r="J396" s="44" t="str">
        <f t="shared" si="29"/>
        <v/>
      </c>
      <c r="K396" s="45" t="str" cm="1">
        <f t="array" ref="K396">IF(M637="","",
M637*LOOKUP($F396,_xlfn._xlws.FILTER($F$468:$F$477,G$468:G$477&lt;&gt;""),_xlfn._xlws.FILTER(G$468:G$477,G$468:G$477&lt;&gt;"")))</f>
        <v/>
      </c>
      <c r="L396" s="41" t="str">
        <f t="shared" si="30"/>
        <v/>
      </c>
      <c r="M396" s="34" t="str">
        <f t="shared" si="23"/>
        <v/>
      </c>
      <c r="N396" s="6"/>
      <c r="O396" s="25">
        <v>49980</v>
      </c>
      <c r="P396" s="32" t="str">
        <f t="shared" si="24"/>
        <v/>
      </c>
      <c r="Q396" s="32" t="str">
        <f t="shared" si="25"/>
        <v/>
      </c>
      <c r="R396" s="32" t="str">
        <f t="shared" si="26"/>
        <v/>
      </c>
      <c r="S396" s="32" t="str">
        <f t="shared" si="27"/>
        <v/>
      </c>
      <c r="T396" s="46" t="str">
        <f t="shared" si="28"/>
        <v/>
      </c>
      <c r="U396" s="32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8" t="str" cm="1">
        <f t="array" ref="G397">IF(G638="","",
G638*LOOKUP($F397,_xlfn._xlws.FILTER($F$454:$F$463,G$454:G$463&lt;&gt;""),_xlfn._xlws.FILTER(G$454:G$463,G$454:G$463&lt;&gt;"")))</f>
        <v/>
      </c>
      <c r="H397" s="38" t="str" cm="1">
        <f t="array" ref="H397">IF(H638="","",
H638*LOOKUP($F397,_xlfn._xlws.FILTER($F$454:$F$463,H$454:H$463&lt;&gt;""),_xlfn._xlws.FILTER(H$454:H$463,H$454:H$463&lt;&gt;"")))</f>
        <v/>
      </c>
      <c r="I397" s="38" t="str" cm="1">
        <f t="array" ref="I397">IF(I638="","",
I638*LOOKUP($F397,_xlfn._xlws.FILTER($F$454:$F$463,I$454:I$463&lt;&gt;""),_xlfn._xlws.FILTER(I$454:I$463,I$454:I$463&lt;&gt;"")))</f>
        <v/>
      </c>
      <c r="J397" s="44" t="str">
        <f t="shared" si="29"/>
        <v/>
      </c>
      <c r="K397" s="45" t="str" cm="1">
        <f t="array" ref="K397">IF(M638="","",
M638*LOOKUP($F397,_xlfn._xlws.FILTER($F$468:$F$477,G$468:G$477&lt;&gt;""),_xlfn._xlws.FILTER(G$468:G$477,G$468:G$477&lt;&gt;"")))</f>
        <v/>
      </c>
      <c r="L397" s="41" t="str">
        <f t="shared" si="30"/>
        <v/>
      </c>
      <c r="M397" s="34" t="str">
        <f t="shared" si="23"/>
        <v/>
      </c>
      <c r="N397" s="6"/>
      <c r="O397" s="25">
        <v>50010</v>
      </c>
      <c r="P397" s="32" t="str">
        <f t="shared" si="24"/>
        <v/>
      </c>
      <c r="Q397" s="32" t="str">
        <f t="shared" si="25"/>
        <v/>
      </c>
      <c r="R397" s="32" t="str">
        <f t="shared" si="26"/>
        <v/>
      </c>
      <c r="S397" s="32" t="str">
        <f t="shared" si="27"/>
        <v/>
      </c>
      <c r="T397" s="46" t="str">
        <f t="shared" si="28"/>
        <v/>
      </c>
      <c r="U397" s="32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8" t="str" cm="1">
        <f t="array" ref="G398">IF(G639="","",
G639*LOOKUP($F398,_xlfn._xlws.FILTER($F$454:$F$463,G$454:G$463&lt;&gt;""),_xlfn._xlws.FILTER(G$454:G$463,G$454:G$463&lt;&gt;"")))</f>
        <v/>
      </c>
      <c r="H398" s="38" t="str" cm="1">
        <f t="array" ref="H398">IF(H639="","",
H639*LOOKUP($F398,_xlfn._xlws.FILTER($F$454:$F$463,H$454:H$463&lt;&gt;""),_xlfn._xlws.FILTER(H$454:H$463,H$454:H$463&lt;&gt;"")))</f>
        <v/>
      </c>
      <c r="I398" s="38" t="str" cm="1">
        <f t="array" ref="I398">IF(I639="","",
I639*LOOKUP($F398,_xlfn._xlws.FILTER($F$454:$F$463,I$454:I$463&lt;&gt;""),_xlfn._xlws.FILTER(I$454:I$463,I$454:I$463&lt;&gt;"")))</f>
        <v/>
      </c>
      <c r="J398" s="44" t="str">
        <f t="shared" si="29"/>
        <v/>
      </c>
      <c r="K398" s="45" t="str" cm="1">
        <f t="array" ref="K398">IF(M639="","",
M639*LOOKUP($F398,_xlfn._xlws.FILTER($F$468:$F$477,G$468:G$477&lt;&gt;""),_xlfn._xlws.FILTER(G$468:G$477,G$468:G$477&lt;&gt;"")))</f>
        <v/>
      </c>
      <c r="L398" s="41" t="str">
        <f t="shared" si="30"/>
        <v/>
      </c>
      <c r="M398" s="34" t="str">
        <f t="shared" si="23"/>
        <v/>
      </c>
      <c r="N398" s="6"/>
      <c r="O398" s="25">
        <v>50041</v>
      </c>
      <c r="P398" s="32" t="str">
        <f t="shared" si="24"/>
        <v/>
      </c>
      <c r="Q398" s="32" t="str">
        <f t="shared" si="25"/>
        <v/>
      </c>
      <c r="R398" s="32" t="str">
        <f t="shared" si="26"/>
        <v/>
      </c>
      <c r="S398" s="32" t="str">
        <f t="shared" si="27"/>
        <v/>
      </c>
      <c r="T398" s="46" t="str">
        <f t="shared" si="28"/>
        <v/>
      </c>
      <c r="U398" s="32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8" t="str" cm="1">
        <f t="array" ref="G399">IF(G640="","",
G640*LOOKUP($F399,_xlfn._xlws.FILTER($F$454:$F$463,G$454:G$463&lt;&gt;""),_xlfn._xlws.FILTER(G$454:G$463,G$454:G$463&lt;&gt;"")))</f>
        <v/>
      </c>
      <c r="H399" s="38" t="str" cm="1">
        <f t="array" ref="H399">IF(H640="","",
H640*LOOKUP($F399,_xlfn._xlws.FILTER($F$454:$F$463,H$454:H$463&lt;&gt;""),_xlfn._xlws.FILTER(H$454:H$463,H$454:H$463&lt;&gt;"")))</f>
        <v/>
      </c>
      <c r="I399" s="38" t="str" cm="1">
        <f t="array" ref="I399">IF(I640="","",
I640*LOOKUP($F399,_xlfn._xlws.FILTER($F$454:$F$463,I$454:I$463&lt;&gt;""),_xlfn._xlws.FILTER(I$454:I$463,I$454:I$463&lt;&gt;"")))</f>
        <v/>
      </c>
      <c r="J399" s="44" t="str">
        <f t="shared" si="29"/>
        <v/>
      </c>
      <c r="K399" s="45" t="str" cm="1">
        <f t="array" ref="K399">IF(M640="","",
M640*LOOKUP($F399,_xlfn._xlws.FILTER($F$468:$F$477,G$468:G$477&lt;&gt;""),_xlfn._xlws.FILTER(G$468:G$477,G$468:G$477&lt;&gt;"")))</f>
        <v/>
      </c>
      <c r="L399" s="41" t="str">
        <f t="shared" si="30"/>
        <v/>
      </c>
      <c r="M399" s="34" t="str">
        <f t="shared" si="23"/>
        <v/>
      </c>
      <c r="N399" s="6"/>
      <c r="O399" s="25">
        <v>50072</v>
      </c>
      <c r="P399" s="32" t="str">
        <f t="shared" si="24"/>
        <v/>
      </c>
      <c r="Q399" s="32" t="str">
        <f t="shared" si="25"/>
        <v/>
      </c>
      <c r="R399" s="32" t="str">
        <f t="shared" si="26"/>
        <v/>
      </c>
      <c r="S399" s="32" t="str">
        <f t="shared" si="27"/>
        <v/>
      </c>
      <c r="T399" s="46" t="str">
        <f t="shared" si="28"/>
        <v/>
      </c>
      <c r="U399" s="32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8" t="str" cm="1">
        <f t="array" ref="G400">IF(G641="","",
G641*LOOKUP($F400,_xlfn._xlws.FILTER($F$454:$F$463,G$454:G$463&lt;&gt;""),_xlfn._xlws.FILTER(G$454:G$463,G$454:G$463&lt;&gt;"")))</f>
        <v/>
      </c>
      <c r="H400" s="38" t="str" cm="1">
        <f t="array" ref="H400">IF(H641="","",
H641*LOOKUP($F400,_xlfn._xlws.FILTER($F$454:$F$463,H$454:H$463&lt;&gt;""),_xlfn._xlws.FILTER(H$454:H$463,H$454:H$463&lt;&gt;"")))</f>
        <v/>
      </c>
      <c r="I400" s="38" t="str" cm="1">
        <f t="array" ref="I400">IF(I641="","",
I641*LOOKUP($F400,_xlfn._xlws.FILTER($F$454:$F$463,I$454:I$463&lt;&gt;""),_xlfn._xlws.FILTER(I$454:I$463,I$454:I$463&lt;&gt;"")))</f>
        <v/>
      </c>
      <c r="J400" s="44" t="str">
        <f t="shared" si="29"/>
        <v/>
      </c>
      <c r="K400" s="45" t="str" cm="1">
        <f t="array" ref="K400">IF(M641="","",
M641*LOOKUP($F400,_xlfn._xlws.FILTER($F$468:$F$477,G$468:G$477&lt;&gt;""),_xlfn._xlws.FILTER(G$468:G$477,G$468:G$477&lt;&gt;"")))</f>
        <v/>
      </c>
      <c r="L400" s="41" t="str">
        <f t="shared" si="30"/>
        <v/>
      </c>
      <c r="M400" s="34" t="str">
        <f t="shared" si="23"/>
        <v/>
      </c>
      <c r="N400" s="6"/>
      <c r="O400" s="25">
        <v>50100</v>
      </c>
      <c r="P400" s="32" t="str">
        <f t="shared" si="24"/>
        <v/>
      </c>
      <c r="Q400" s="32" t="str">
        <f t="shared" si="25"/>
        <v/>
      </c>
      <c r="R400" s="32" t="str">
        <f t="shared" si="26"/>
        <v/>
      </c>
      <c r="S400" s="32" t="str">
        <f t="shared" si="27"/>
        <v/>
      </c>
      <c r="T400" s="46" t="str">
        <f t="shared" si="28"/>
        <v/>
      </c>
      <c r="U400" s="32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8" t="str" cm="1">
        <f t="array" ref="G401">IF(G642="","",
G642*LOOKUP($F401,_xlfn._xlws.FILTER($F$454:$F$463,G$454:G$463&lt;&gt;""),_xlfn._xlws.FILTER(G$454:G$463,G$454:G$463&lt;&gt;"")))</f>
        <v/>
      </c>
      <c r="H401" s="38" t="str" cm="1">
        <f t="array" ref="H401">IF(H642="","",
H642*LOOKUP($F401,_xlfn._xlws.FILTER($F$454:$F$463,H$454:H$463&lt;&gt;""),_xlfn._xlws.FILTER(H$454:H$463,H$454:H$463&lt;&gt;"")))</f>
        <v/>
      </c>
      <c r="I401" s="38" t="str" cm="1">
        <f t="array" ref="I401">IF(I642="","",
I642*LOOKUP($F401,_xlfn._xlws.FILTER($F$454:$F$463,I$454:I$463&lt;&gt;""),_xlfn._xlws.FILTER(I$454:I$463,I$454:I$463&lt;&gt;"")))</f>
        <v/>
      </c>
      <c r="J401" s="44" t="str">
        <f t="shared" si="29"/>
        <v/>
      </c>
      <c r="K401" s="45" t="str" cm="1">
        <f t="array" ref="K401">IF(M642="","",
M642*LOOKUP($F401,_xlfn._xlws.FILTER($F$468:$F$477,G$468:G$477&lt;&gt;""),_xlfn._xlws.FILTER(G$468:G$477,G$468:G$477&lt;&gt;"")))</f>
        <v/>
      </c>
      <c r="L401" s="41" t="str">
        <f t="shared" si="30"/>
        <v/>
      </c>
      <c r="M401" s="34" t="str">
        <f t="shared" si="23"/>
        <v/>
      </c>
      <c r="N401" s="6"/>
      <c r="O401" s="25">
        <v>50131</v>
      </c>
      <c r="P401" s="32" t="str">
        <f t="shared" si="24"/>
        <v/>
      </c>
      <c r="Q401" s="32" t="str">
        <f t="shared" si="25"/>
        <v/>
      </c>
      <c r="R401" s="32" t="str">
        <f t="shared" si="26"/>
        <v/>
      </c>
      <c r="S401" s="32" t="str">
        <f t="shared" si="27"/>
        <v/>
      </c>
      <c r="T401" s="46" t="str">
        <f t="shared" si="28"/>
        <v/>
      </c>
      <c r="U401" s="32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8" t="str" cm="1">
        <f t="array" ref="G402">IF(G643="","",
G643*LOOKUP($F402,_xlfn._xlws.FILTER($F$454:$F$463,G$454:G$463&lt;&gt;""),_xlfn._xlws.FILTER(G$454:G$463,G$454:G$463&lt;&gt;"")))</f>
        <v/>
      </c>
      <c r="H402" s="38" t="str" cm="1">
        <f t="array" ref="H402">IF(H643="","",
H643*LOOKUP($F402,_xlfn._xlws.FILTER($F$454:$F$463,H$454:H$463&lt;&gt;""),_xlfn._xlws.FILTER(H$454:H$463,H$454:H$463&lt;&gt;"")))</f>
        <v/>
      </c>
      <c r="I402" s="38" t="str" cm="1">
        <f t="array" ref="I402">IF(I643="","",
I643*LOOKUP($F402,_xlfn._xlws.FILTER($F$454:$F$463,I$454:I$463&lt;&gt;""),_xlfn._xlws.FILTER(I$454:I$463,I$454:I$463&lt;&gt;"")))</f>
        <v/>
      </c>
      <c r="J402" s="44" t="str">
        <f t="shared" si="29"/>
        <v/>
      </c>
      <c r="K402" s="45" t="str" cm="1">
        <f t="array" ref="K402">IF(M643="","",
M643*LOOKUP($F402,_xlfn._xlws.FILTER($F$468:$F$477,G$468:G$477&lt;&gt;""),_xlfn._xlws.FILTER(G$468:G$477,G$468:G$477&lt;&gt;"")))</f>
        <v/>
      </c>
      <c r="L402" s="41" t="str">
        <f t="shared" si="30"/>
        <v/>
      </c>
      <c r="M402" s="34" t="str">
        <f t="shared" si="23"/>
        <v/>
      </c>
      <c r="N402" s="6"/>
      <c r="O402" s="25">
        <v>50161</v>
      </c>
      <c r="P402" s="32" t="str">
        <f t="shared" si="24"/>
        <v/>
      </c>
      <c r="Q402" s="32" t="str">
        <f t="shared" si="25"/>
        <v/>
      </c>
      <c r="R402" s="32" t="str">
        <f t="shared" si="26"/>
        <v/>
      </c>
      <c r="S402" s="32" t="str">
        <f t="shared" si="27"/>
        <v/>
      </c>
      <c r="T402" s="46" t="str">
        <f t="shared" si="28"/>
        <v/>
      </c>
      <c r="U402" s="32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8" t="str" cm="1">
        <f t="array" ref="G403">IF(G644="","",
G644*LOOKUP($F403,_xlfn._xlws.FILTER($F$454:$F$463,G$454:G$463&lt;&gt;""),_xlfn._xlws.FILTER(G$454:G$463,G$454:G$463&lt;&gt;"")))</f>
        <v/>
      </c>
      <c r="H403" s="38" t="str" cm="1">
        <f t="array" ref="H403">IF(H644="","",
H644*LOOKUP($F403,_xlfn._xlws.FILTER($F$454:$F$463,H$454:H$463&lt;&gt;""),_xlfn._xlws.FILTER(H$454:H$463,H$454:H$463&lt;&gt;"")))</f>
        <v/>
      </c>
      <c r="I403" s="38" t="str" cm="1">
        <f t="array" ref="I403">IF(I644="","",
I644*LOOKUP($F403,_xlfn._xlws.FILTER($F$454:$F$463,I$454:I$463&lt;&gt;""),_xlfn._xlws.FILTER(I$454:I$463,I$454:I$463&lt;&gt;"")))</f>
        <v/>
      </c>
      <c r="J403" s="44" t="str">
        <f t="shared" si="29"/>
        <v/>
      </c>
      <c r="K403" s="45" t="str" cm="1">
        <f t="array" ref="K403">IF(M644="","",
M644*LOOKUP($F403,_xlfn._xlws.FILTER($F$468:$F$477,G$468:G$477&lt;&gt;""),_xlfn._xlws.FILTER(G$468:G$477,G$468:G$477&lt;&gt;"")))</f>
        <v/>
      </c>
      <c r="L403" s="41" t="str">
        <f t="shared" si="30"/>
        <v/>
      </c>
      <c r="M403" s="34" t="str">
        <f t="shared" si="23"/>
        <v/>
      </c>
      <c r="N403" s="6"/>
      <c r="O403" s="25">
        <v>50192</v>
      </c>
      <c r="P403" s="32" t="str">
        <f t="shared" si="24"/>
        <v/>
      </c>
      <c r="Q403" s="32" t="str">
        <f t="shared" si="25"/>
        <v/>
      </c>
      <c r="R403" s="32" t="str">
        <f t="shared" si="26"/>
        <v/>
      </c>
      <c r="S403" s="32" t="str">
        <f t="shared" si="27"/>
        <v/>
      </c>
      <c r="T403" s="46" t="str">
        <f t="shared" si="28"/>
        <v/>
      </c>
      <c r="U403" s="32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8" t="str" cm="1">
        <f t="array" ref="G404">IF(G645="","",
G645*LOOKUP($F404,_xlfn._xlws.FILTER($F$454:$F$463,G$454:G$463&lt;&gt;""),_xlfn._xlws.FILTER(G$454:G$463,G$454:G$463&lt;&gt;"")))</f>
        <v/>
      </c>
      <c r="H404" s="38" t="str" cm="1">
        <f t="array" ref="H404">IF(H645="","",
H645*LOOKUP($F404,_xlfn._xlws.FILTER($F$454:$F$463,H$454:H$463&lt;&gt;""),_xlfn._xlws.FILTER(H$454:H$463,H$454:H$463&lt;&gt;"")))</f>
        <v/>
      </c>
      <c r="I404" s="38" t="str" cm="1">
        <f t="array" ref="I404">IF(I645="","",
I645*LOOKUP($F404,_xlfn._xlws.FILTER($F$454:$F$463,I$454:I$463&lt;&gt;""),_xlfn._xlws.FILTER(I$454:I$463,I$454:I$463&lt;&gt;"")))</f>
        <v/>
      </c>
      <c r="J404" s="44" t="str">
        <f t="shared" si="29"/>
        <v/>
      </c>
      <c r="K404" s="45" t="str" cm="1">
        <f t="array" ref="K404">IF(M645="","",
M645*LOOKUP($F404,_xlfn._xlws.FILTER($F$468:$F$477,G$468:G$477&lt;&gt;""),_xlfn._xlws.FILTER(G$468:G$477,G$468:G$477&lt;&gt;"")))</f>
        <v/>
      </c>
      <c r="L404" s="41" t="str">
        <f t="shared" si="30"/>
        <v/>
      </c>
      <c r="M404" s="34" t="str">
        <f t="shared" si="23"/>
        <v/>
      </c>
      <c r="N404" s="6"/>
      <c r="O404" s="25">
        <v>50222</v>
      </c>
      <c r="P404" s="32" t="str">
        <f t="shared" si="24"/>
        <v/>
      </c>
      <c r="Q404" s="32" t="str">
        <f t="shared" si="25"/>
        <v/>
      </c>
      <c r="R404" s="32" t="str">
        <f t="shared" si="26"/>
        <v/>
      </c>
      <c r="S404" s="32" t="str">
        <f t="shared" si="27"/>
        <v/>
      </c>
      <c r="T404" s="46" t="str">
        <f t="shared" si="28"/>
        <v/>
      </c>
      <c r="U404" s="32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8" t="str" cm="1">
        <f t="array" ref="G405">IF(G646="","",
G646*LOOKUP($F405,_xlfn._xlws.FILTER($F$454:$F$463,G$454:G$463&lt;&gt;""),_xlfn._xlws.FILTER(G$454:G$463,G$454:G$463&lt;&gt;"")))</f>
        <v/>
      </c>
      <c r="H405" s="38" t="str" cm="1">
        <f t="array" ref="H405">IF(H646="","",
H646*LOOKUP($F405,_xlfn._xlws.FILTER($F$454:$F$463,H$454:H$463&lt;&gt;""),_xlfn._xlws.FILTER(H$454:H$463,H$454:H$463&lt;&gt;"")))</f>
        <v/>
      </c>
      <c r="I405" s="38" t="str" cm="1">
        <f t="array" ref="I405">IF(I646="","",
I646*LOOKUP($F405,_xlfn._xlws.FILTER($F$454:$F$463,I$454:I$463&lt;&gt;""),_xlfn._xlws.FILTER(I$454:I$463,I$454:I$463&lt;&gt;"")))</f>
        <v/>
      </c>
      <c r="J405" s="44" t="str">
        <f t="shared" si="29"/>
        <v/>
      </c>
      <c r="K405" s="45" t="str" cm="1">
        <f t="array" ref="K405">IF(M646="","",
M646*LOOKUP($F405,_xlfn._xlws.FILTER($F$468:$F$477,G$468:G$477&lt;&gt;""),_xlfn._xlws.FILTER(G$468:G$477,G$468:G$477&lt;&gt;"")))</f>
        <v/>
      </c>
      <c r="L405" s="41" t="str">
        <f t="shared" si="30"/>
        <v/>
      </c>
      <c r="M405" s="34" t="str">
        <f t="shared" si="23"/>
        <v/>
      </c>
      <c r="N405" s="6"/>
      <c r="O405" s="25">
        <v>50253</v>
      </c>
      <c r="P405" s="32" t="str">
        <f t="shared" si="24"/>
        <v/>
      </c>
      <c r="Q405" s="32" t="str">
        <f t="shared" si="25"/>
        <v/>
      </c>
      <c r="R405" s="32" t="str">
        <f t="shared" si="26"/>
        <v/>
      </c>
      <c r="S405" s="32" t="str">
        <f t="shared" si="27"/>
        <v/>
      </c>
      <c r="T405" s="46" t="str">
        <f t="shared" si="28"/>
        <v/>
      </c>
      <c r="U405" s="32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8" t="str" cm="1">
        <f t="array" ref="G406">IF(G647="","",
G647*LOOKUP($F406,_xlfn._xlws.FILTER($F$454:$F$463,G$454:G$463&lt;&gt;""),_xlfn._xlws.FILTER(G$454:G$463,G$454:G$463&lt;&gt;"")))</f>
        <v/>
      </c>
      <c r="H406" s="38" t="str" cm="1">
        <f t="array" ref="H406">IF(H647="","",
H647*LOOKUP($F406,_xlfn._xlws.FILTER($F$454:$F$463,H$454:H$463&lt;&gt;""),_xlfn._xlws.FILTER(H$454:H$463,H$454:H$463&lt;&gt;"")))</f>
        <v/>
      </c>
      <c r="I406" s="38" t="str" cm="1">
        <f t="array" ref="I406">IF(I647="","",
I647*LOOKUP($F406,_xlfn._xlws.FILTER($F$454:$F$463,I$454:I$463&lt;&gt;""),_xlfn._xlws.FILTER(I$454:I$463,I$454:I$463&lt;&gt;"")))</f>
        <v/>
      </c>
      <c r="J406" s="44" t="str">
        <f t="shared" si="29"/>
        <v/>
      </c>
      <c r="K406" s="45" t="str" cm="1">
        <f t="array" ref="K406">IF(M647="","",
M647*LOOKUP($F406,_xlfn._xlws.FILTER($F$468:$F$477,G$468:G$477&lt;&gt;""),_xlfn._xlws.FILTER(G$468:G$477,G$468:G$477&lt;&gt;"")))</f>
        <v/>
      </c>
      <c r="L406" s="41" t="str">
        <f t="shared" si="30"/>
        <v/>
      </c>
      <c r="M406" s="34" t="str">
        <f t="shared" ref="M406:M445" si="32">IF(L406="","",L406/L405-1)</f>
        <v/>
      </c>
      <c r="N406" s="6"/>
      <c r="O406" s="25">
        <v>50284</v>
      </c>
      <c r="P406" s="32" t="str">
        <f t="shared" si="24"/>
        <v/>
      </c>
      <c r="Q406" s="32" t="str">
        <f t="shared" si="25"/>
        <v/>
      </c>
      <c r="R406" s="32" t="str">
        <f t="shared" si="26"/>
        <v/>
      </c>
      <c r="S406" s="32" t="str">
        <f t="shared" si="27"/>
        <v/>
      </c>
      <c r="T406" s="46" t="str">
        <f t="shared" si="28"/>
        <v/>
      </c>
      <c r="U406" s="32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8" t="str" cm="1">
        <f t="array" ref="G407">IF(G648="","",
G648*LOOKUP($F407,_xlfn._xlws.FILTER($F$454:$F$463,G$454:G$463&lt;&gt;""),_xlfn._xlws.FILTER(G$454:G$463,G$454:G$463&lt;&gt;"")))</f>
        <v/>
      </c>
      <c r="H407" s="38" t="str" cm="1">
        <f t="array" ref="H407">IF(H648="","",
H648*LOOKUP($F407,_xlfn._xlws.FILTER($F$454:$F$463,H$454:H$463&lt;&gt;""),_xlfn._xlws.FILTER(H$454:H$463,H$454:H$463&lt;&gt;"")))</f>
        <v/>
      </c>
      <c r="I407" s="38" t="str" cm="1">
        <f t="array" ref="I407">IF(I648="","",
I648*LOOKUP($F407,_xlfn._xlws.FILTER($F$454:$F$463,I$454:I$463&lt;&gt;""),_xlfn._xlws.FILTER(I$454:I$463,I$454:I$463&lt;&gt;"")))</f>
        <v/>
      </c>
      <c r="J407" s="44" t="str">
        <f t="shared" si="29"/>
        <v/>
      </c>
      <c r="K407" s="45" t="str" cm="1">
        <f t="array" ref="K407">IF(M648="","",
M648*LOOKUP($F407,_xlfn._xlws.FILTER($F$468:$F$477,G$468:G$477&lt;&gt;""),_xlfn._xlws.FILTER(G$468:G$477,G$468:G$477&lt;&gt;"")))</f>
        <v/>
      </c>
      <c r="L407" s="41" t="str">
        <f t="shared" si="30"/>
        <v/>
      </c>
      <c r="M407" s="34" t="str">
        <f t="shared" si="32"/>
        <v/>
      </c>
      <c r="N407" s="6"/>
      <c r="O407" s="25">
        <v>50314</v>
      </c>
      <c r="P407" s="32" t="str">
        <f t="shared" si="24"/>
        <v/>
      </c>
      <c r="Q407" s="32" t="str">
        <f t="shared" si="25"/>
        <v/>
      </c>
      <c r="R407" s="32" t="str">
        <f t="shared" si="26"/>
        <v/>
      </c>
      <c r="S407" s="32" t="str">
        <f t="shared" si="27"/>
        <v/>
      </c>
      <c r="T407" s="46" t="str">
        <f t="shared" si="28"/>
        <v/>
      </c>
      <c r="U407" s="32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8" t="str" cm="1">
        <f t="array" ref="G408">IF(G649="","",
G649*LOOKUP($F408,_xlfn._xlws.FILTER($F$454:$F$463,G$454:G$463&lt;&gt;""),_xlfn._xlws.FILTER(G$454:G$463,G$454:G$463&lt;&gt;"")))</f>
        <v/>
      </c>
      <c r="H408" s="38" t="str" cm="1">
        <f t="array" ref="H408">IF(H649="","",
H649*LOOKUP($F408,_xlfn._xlws.FILTER($F$454:$F$463,H$454:H$463&lt;&gt;""),_xlfn._xlws.FILTER(H$454:H$463,H$454:H$463&lt;&gt;"")))</f>
        <v/>
      </c>
      <c r="I408" s="38" t="str" cm="1">
        <f t="array" ref="I408">IF(I649="","",
I649*LOOKUP($F408,_xlfn._xlws.FILTER($F$454:$F$463,I$454:I$463&lt;&gt;""),_xlfn._xlws.FILTER(I$454:I$463,I$454:I$463&lt;&gt;"")))</f>
        <v/>
      </c>
      <c r="J408" s="44" t="str">
        <f t="shared" si="29"/>
        <v/>
      </c>
      <c r="K408" s="45" t="str" cm="1">
        <f t="array" ref="K408">IF(M649="","",
M649*LOOKUP($F408,_xlfn._xlws.FILTER($F$468:$F$477,G$468:G$477&lt;&gt;""),_xlfn._xlws.FILTER(G$468:G$477,G$468:G$477&lt;&gt;"")))</f>
        <v/>
      </c>
      <c r="L408" s="41" t="str">
        <f t="shared" si="30"/>
        <v/>
      </c>
      <c r="M408" s="34" t="str">
        <f t="shared" si="32"/>
        <v/>
      </c>
      <c r="N408" s="6"/>
      <c r="O408" s="25">
        <v>50345</v>
      </c>
      <c r="P408" s="32" t="str">
        <f t="shared" si="24"/>
        <v/>
      </c>
      <c r="Q408" s="32" t="str">
        <f t="shared" si="25"/>
        <v/>
      </c>
      <c r="R408" s="32" t="str">
        <f t="shared" si="26"/>
        <v/>
      </c>
      <c r="S408" s="32" t="str">
        <f t="shared" si="27"/>
        <v/>
      </c>
      <c r="T408" s="46" t="str">
        <f t="shared" si="28"/>
        <v/>
      </c>
      <c r="U408" s="32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8" t="str" cm="1">
        <f t="array" ref="G409">IF(G650="","",
G650*LOOKUP($F409,_xlfn._xlws.FILTER($F$454:$F$463,G$454:G$463&lt;&gt;""),_xlfn._xlws.FILTER(G$454:G$463,G$454:G$463&lt;&gt;"")))</f>
        <v/>
      </c>
      <c r="H409" s="38" t="str" cm="1">
        <f t="array" ref="H409">IF(H650="","",
H650*LOOKUP($F409,_xlfn._xlws.FILTER($F$454:$F$463,H$454:H$463&lt;&gt;""),_xlfn._xlws.FILTER(H$454:H$463,H$454:H$463&lt;&gt;"")))</f>
        <v/>
      </c>
      <c r="I409" s="38" t="str" cm="1">
        <f t="array" ref="I409">IF(I650="","",
I650*LOOKUP($F409,_xlfn._xlws.FILTER($F$454:$F$463,I$454:I$463&lt;&gt;""),_xlfn._xlws.FILTER(I$454:I$463,I$454:I$463&lt;&gt;"")))</f>
        <v/>
      </c>
      <c r="J409" s="44" t="str">
        <f t="shared" si="29"/>
        <v/>
      </c>
      <c r="K409" s="45" t="str" cm="1">
        <f t="array" ref="K409">IF(M650="","",
M650*LOOKUP($F409,_xlfn._xlws.FILTER($F$468:$F$477,G$468:G$477&lt;&gt;""),_xlfn._xlws.FILTER(G$468:G$477,G$468:G$477&lt;&gt;"")))</f>
        <v/>
      </c>
      <c r="L409" s="41" t="str">
        <f t="shared" si="30"/>
        <v/>
      </c>
      <c r="M409" s="34" t="str">
        <f t="shared" si="32"/>
        <v/>
      </c>
      <c r="N409" s="6"/>
      <c r="O409" s="25">
        <v>50375</v>
      </c>
      <c r="P409" s="32" t="str">
        <f t="shared" si="24"/>
        <v/>
      </c>
      <c r="Q409" s="32" t="str">
        <f t="shared" si="25"/>
        <v/>
      </c>
      <c r="R409" s="32" t="str">
        <f t="shared" si="26"/>
        <v/>
      </c>
      <c r="S409" s="32" t="str">
        <f t="shared" si="27"/>
        <v/>
      </c>
      <c r="T409" s="46" t="str">
        <f t="shared" si="28"/>
        <v/>
      </c>
      <c r="U409" s="32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8" t="str" cm="1">
        <f t="array" ref="G410">IF(G651="","",
G651*LOOKUP($F410,_xlfn._xlws.FILTER($F$454:$F$463,G$454:G$463&lt;&gt;""),_xlfn._xlws.FILTER(G$454:G$463,G$454:G$463&lt;&gt;"")))</f>
        <v/>
      </c>
      <c r="H410" s="38" t="str" cm="1">
        <f t="array" ref="H410">IF(H651="","",
H651*LOOKUP($F410,_xlfn._xlws.FILTER($F$454:$F$463,H$454:H$463&lt;&gt;""),_xlfn._xlws.FILTER(H$454:H$463,H$454:H$463&lt;&gt;"")))</f>
        <v/>
      </c>
      <c r="I410" s="38" t="str" cm="1">
        <f t="array" ref="I410">IF(I651="","",
I651*LOOKUP($F410,_xlfn._xlws.FILTER($F$454:$F$463,I$454:I$463&lt;&gt;""),_xlfn._xlws.FILTER(I$454:I$463,I$454:I$463&lt;&gt;"")))</f>
        <v/>
      </c>
      <c r="J410" s="44" t="str">
        <f t="shared" si="29"/>
        <v/>
      </c>
      <c r="K410" s="45" t="str" cm="1">
        <f t="array" ref="K410">IF(M651="","",
M651*LOOKUP($F410,_xlfn._xlws.FILTER($F$468:$F$477,G$468:G$477&lt;&gt;""),_xlfn._xlws.FILTER(G$468:G$477,G$468:G$477&lt;&gt;"")))</f>
        <v/>
      </c>
      <c r="L410" s="41" t="str">
        <f t="shared" si="30"/>
        <v/>
      </c>
      <c r="M410" s="34" t="str">
        <f t="shared" si="32"/>
        <v/>
      </c>
      <c r="N410" s="6"/>
      <c r="O410" s="25">
        <v>50406</v>
      </c>
      <c r="P410" s="32" t="str">
        <f t="shared" si="24"/>
        <v/>
      </c>
      <c r="Q410" s="32" t="str">
        <f t="shared" si="25"/>
        <v/>
      </c>
      <c r="R410" s="32" t="str">
        <f t="shared" si="26"/>
        <v/>
      </c>
      <c r="S410" s="32" t="str">
        <f t="shared" si="27"/>
        <v/>
      </c>
      <c r="T410" s="46" t="str">
        <f t="shared" si="28"/>
        <v/>
      </c>
      <c r="U410" s="32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8" t="str" cm="1">
        <f t="array" ref="G411">IF(G652="","",
G652*LOOKUP($F411,_xlfn._xlws.FILTER($F$454:$F$463,G$454:G$463&lt;&gt;""),_xlfn._xlws.FILTER(G$454:G$463,G$454:G$463&lt;&gt;"")))</f>
        <v/>
      </c>
      <c r="H411" s="38" t="str" cm="1">
        <f t="array" ref="H411">IF(H652="","",
H652*LOOKUP($F411,_xlfn._xlws.FILTER($F$454:$F$463,H$454:H$463&lt;&gt;""),_xlfn._xlws.FILTER(H$454:H$463,H$454:H$463&lt;&gt;"")))</f>
        <v/>
      </c>
      <c r="I411" s="38" t="str" cm="1">
        <f t="array" ref="I411">IF(I652="","",
I652*LOOKUP($F411,_xlfn._xlws.FILTER($F$454:$F$463,I$454:I$463&lt;&gt;""),_xlfn._xlws.FILTER(I$454:I$463,I$454:I$463&lt;&gt;"")))</f>
        <v/>
      </c>
      <c r="J411" s="44" t="str">
        <f t="shared" si="29"/>
        <v/>
      </c>
      <c r="K411" s="45" t="str" cm="1">
        <f t="array" ref="K411">IF(M652="","",
M652*LOOKUP($F411,_xlfn._xlws.FILTER($F$468:$F$477,G$468:G$477&lt;&gt;""),_xlfn._xlws.FILTER(G$468:G$477,G$468:G$477&lt;&gt;"")))</f>
        <v/>
      </c>
      <c r="L411" s="41" t="str">
        <f t="shared" si="30"/>
        <v/>
      </c>
      <c r="M411" s="34" t="str">
        <f t="shared" si="32"/>
        <v/>
      </c>
      <c r="N411" s="6"/>
      <c r="O411" s="25">
        <v>50437</v>
      </c>
      <c r="P411" s="32" t="str">
        <f t="shared" si="24"/>
        <v/>
      </c>
      <c r="Q411" s="32" t="str">
        <f t="shared" si="25"/>
        <v/>
      </c>
      <c r="R411" s="32" t="str">
        <f t="shared" si="26"/>
        <v/>
      </c>
      <c r="S411" s="32" t="str">
        <f t="shared" si="27"/>
        <v/>
      </c>
      <c r="T411" s="46" t="str">
        <f t="shared" si="28"/>
        <v/>
      </c>
      <c r="U411" s="32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8" t="str" cm="1">
        <f t="array" ref="G412">IF(G653="","",
G653*LOOKUP($F412,_xlfn._xlws.FILTER($F$454:$F$463,G$454:G$463&lt;&gt;""),_xlfn._xlws.FILTER(G$454:G$463,G$454:G$463&lt;&gt;"")))</f>
        <v/>
      </c>
      <c r="H412" s="38" t="str" cm="1">
        <f t="array" ref="H412">IF(H653="","",
H653*LOOKUP($F412,_xlfn._xlws.FILTER($F$454:$F$463,H$454:H$463&lt;&gt;""),_xlfn._xlws.FILTER(H$454:H$463,H$454:H$463&lt;&gt;"")))</f>
        <v/>
      </c>
      <c r="I412" s="38" t="str" cm="1">
        <f t="array" ref="I412">IF(I653="","",
I653*LOOKUP($F412,_xlfn._xlws.FILTER($F$454:$F$463,I$454:I$463&lt;&gt;""),_xlfn._xlws.FILTER(I$454:I$463,I$454:I$463&lt;&gt;"")))</f>
        <v/>
      </c>
      <c r="J412" s="44" t="str">
        <f t="shared" si="29"/>
        <v/>
      </c>
      <c r="K412" s="45" t="str" cm="1">
        <f t="array" ref="K412">IF(M653="","",
M653*LOOKUP($F412,_xlfn._xlws.FILTER($F$468:$F$477,G$468:G$477&lt;&gt;""),_xlfn._xlws.FILTER(G$468:G$477,G$468:G$477&lt;&gt;"")))</f>
        <v/>
      </c>
      <c r="L412" s="41" t="str">
        <f t="shared" si="30"/>
        <v/>
      </c>
      <c r="M412" s="34" t="str">
        <f t="shared" si="32"/>
        <v/>
      </c>
      <c r="N412" s="6"/>
      <c r="O412" s="25">
        <v>50465</v>
      </c>
      <c r="P412" s="32" t="str">
        <f t="shared" si="24"/>
        <v/>
      </c>
      <c r="Q412" s="32" t="str">
        <f t="shared" si="25"/>
        <v/>
      </c>
      <c r="R412" s="32" t="str">
        <f t="shared" si="26"/>
        <v/>
      </c>
      <c r="S412" s="32" t="str">
        <f t="shared" si="27"/>
        <v/>
      </c>
      <c r="T412" s="46" t="str">
        <f t="shared" si="28"/>
        <v/>
      </c>
      <c r="U412" s="32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8" t="str" cm="1">
        <f t="array" ref="G413">IF(G654="","",
G654*LOOKUP($F413,_xlfn._xlws.FILTER($F$454:$F$463,G$454:G$463&lt;&gt;""),_xlfn._xlws.FILTER(G$454:G$463,G$454:G$463&lt;&gt;"")))</f>
        <v/>
      </c>
      <c r="H413" s="38" t="str" cm="1">
        <f t="array" ref="H413">IF(H654="","",
H654*LOOKUP($F413,_xlfn._xlws.FILTER($F$454:$F$463,H$454:H$463&lt;&gt;""),_xlfn._xlws.FILTER(H$454:H$463,H$454:H$463&lt;&gt;"")))</f>
        <v/>
      </c>
      <c r="I413" s="38" t="str" cm="1">
        <f t="array" ref="I413">IF(I654="","",
I654*LOOKUP($F413,_xlfn._xlws.FILTER($F$454:$F$463,I$454:I$463&lt;&gt;""),_xlfn._xlws.FILTER(I$454:I$463,I$454:I$463&lt;&gt;"")))</f>
        <v/>
      </c>
      <c r="J413" s="44" t="str">
        <f t="shared" si="29"/>
        <v/>
      </c>
      <c r="K413" s="45" t="str" cm="1">
        <f t="array" ref="K413">IF(M654="","",
M654*LOOKUP($F413,_xlfn._xlws.FILTER($F$468:$F$477,G$468:G$477&lt;&gt;""),_xlfn._xlws.FILTER(G$468:G$477,G$468:G$477&lt;&gt;"")))</f>
        <v/>
      </c>
      <c r="L413" s="41" t="str">
        <f t="shared" si="30"/>
        <v/>
      </c>
      <c r="M413" s="34" t="str">
        <f t="shared" si="32"/>
        <v/>
      </c>
      <c r="N413" s="6"/>
      <c r="O413" s="25">
        <v>50496</v>
      </c>
      <c r="P413" s="32" t="str">
        <f t="shared" si="24"/>
        <v/>
      </c>
      <c r="Q413" s="32" t="str">
        <f t="shared" si="25"/>
        <v/>
      </c>
      <c r="R413" s="32" t="str">
        <f t="shared" si="26"/>
        <v/>
      </c>
      <c r="S413" s="32" t="str">
        <f t="shared" si="27"/>
        <v/>
      </c>
      <c r="T413" s="46" t="str">
        <f t="shared" si="28"/>
        <v/>
      </c>
      <c r="U413" s="32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8" t="str" cm="1">
        <f t="array" ref="G414">IF(G655="","",
G655*LOOKUP($F414,_xlfn._xlws.FILTER($F$454:$F$463,G$454:G$463&lt;&gt;""),_xlfn._xlws.FILTER(G$454:G$463,G$454:G$463&lt;&gt;"")))</f>
        <v/>
      </c>
      <c r="H414" s="38" t="str" cm="1">
        <f t="array" ref="H414">IF(H655="","",
H655*LOOKUP($F414,_xlfn._xlws.FILTER($F$454:$F$463,H$454:H$463&lt;&gt;""),_xlfn._xlws.FILTER(H$454:H$463,H$454:H$463&lt;&gt;"")))</f>
        <v/>
      </c>
      <c r="I414" s="38" t="str" cm="1">
        <f t="array" ref="I414">IF(I655="","",
I655*LOOKUP($F414,_xlfn._xlws.FILTER($F$454:$F$463,I$454:I$463&lt;&gt;""),_xlfn._xlws.FILTER(I$454:I$463,I$454:I$463&lt;&gt;"")))</f>
        <v/>
      </c>
      <c r="J414" s="44" t="str">
        <f t="shared" si="29"/>
        <v/>
      </c>
      <c r="K414" s="45" t="str" cm="1">
        <f t="array" ref="K414">IF(M655="","",
M655*LOOKUP($F414,_xlfn._xlws.FILTER($F$468:$F$477,G$468:G$477&lt;&gt;""),_xlfn._xlws.FILTER(G$468:G$477,G$468:G$477&lt;&gt;"")))</f>
        <v/>
      </c>
      <c r="L414" s="41" t="str">
        <f t="shared" si="30"/>
        <v/>
      </c>
      <c r="M414" s="34" t="str">
        <f t="shared" si="32"/>
        <v/>
      </c>
      <c r="N414" s="6"/>
      <c r="O414" s="25">
        <v>50526</v>
      </c>
      <c r="P414" s="32" t="str">
        <f t="shared" si="24"/>
        <v/>
      </c>
      <c r="Q414" s="32" t="str">
        <f t="shared" si="25"/>
        <v/>
      </c>
      <c r="R414" s="32" t="str">
        <f t="shared" si="26"/>
        <v/>
      </c>
      <c r="S414" s="32" t="str">
        <f t="shared" si="27"/>
        <v/>
      </c>
      <c r="T414" s="46" t="str">
        <f t="shared" si="28"/>
        <v/>
      </c>
      <c r="U414" s="32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8" t="str" cm="1">
        <f t="array" ref="G415">IF(G656="","",
G656*LOOKUP($F415,_xlfn._xlws.FILTER($F$454:$F$463,G$454:G$463&lt;&gt;""),_xlfn._xlws.FILTER(G$454:G$463,G$454:G$463&lt;&gt;"")))</f>
        <v/>
      </c>
      <c r="H415" s="38" t="str" cm="1">
        <f t="array" ref="H415">IF(H656="","",
H656*LOOKUP($F415,_xlfn._xlws.FILTER($F$454:$F$463,H$454:H$463&lt;&gt;""),_xlfn._xlws.FILTER(H$454:H$463,H$454:H$463&lt;&gt;"")))</f>
        <v/>
      </c>
      <c r="I415" s="38" t="str" cm="1">
        <f t="array" ref="I415">IF(I656="","",
I656*LOOKUP($F415,_xlfn._xlws.FILTER($F$454:$F$463,I$454:I$463&lt;&gt;""),_xlfn._xlws.FILTER(I$454:I$463,I$454:I$463&lt;&gt;"")))</f>
        <v/>
      </c>
      <c r="J415" s="44" t="str">
        <f t="shared" si="29"/>
        <v/>
      </c>
      <c r="K415" s="45" t="str" cm="1">
        <f t="array" ref="K415">IF(M656="","",
M656*LOOKUP($F415,_xlfn._xlws.FILTER($F$468:$F$477,G$468:G$477&lt;&gt;""),_xlfn._xlws.FILTER(G$468:G$477,G$468:G$477&lt;&gt;"")))</f>
        <v/>
      </c>
      <c r="L415" s="41" t="str">
        <f t="shared" si="30"/>
        <v/>
      </c>
      <c r="M415" s="34" t="str">
        <f t="shared" si="32"/>
        <v/>
      </c>
      <c r="N415" s="6"/>
      <c r="O415" s="25">
        <v>50557</v>
      </c>
      <c r="P415" s="32" t="str">
        <f t="shared" si="24"/>
        <v/>
      </c>
      <c r="Q415" s="32" t="str">
        <f t="shared" si="25"/>
        <v/>
      </c>
      <c r="R415" s="32" t="str">
        <f t="shared" si="26"/>
        <v/>
      </c>
      <c r="S415" s="32" t="str">
        <f t="shared" si="27"/>
        <v/>
      </c>
      <c r="T415" s="46" t="str">
        <f t="shared" si="28"/>
        <v/>
      </c>
      <c r="U415" s="32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8" t="str" cm="1">
        <f t="array" ref="G416">IF(G657="","",
G657*LOOKUP($F416,_xlfn._xlws.FILTER($F$454:$F$463,G$454:G$463&lt;&gt;""),_xlfn._xlws.FILTER(G$454:G$463,G$454:G$463&lt;&gt;"")))</f>
        <v/>
      </c>
      <c r="H416" s="38" t="str" cm="1">
        <f t="array" ref="H416">IF(H657="","",
H657*LOOKUP($F416,_xlfn._xlws.FILTER($F$454:$F$463,H$454:H$463&lt;&gt;""),_xlfn._xlws.FILTER(H$454:H$463,H$454:H$463&lt;&gt;"")))</f>
        <v/>
      </c>
      <c r="I416" s="38" t="str" cm="1">
        <f t="array" ref="I416">IF(I657="","",
I657*LOOKUP($F416,_xlfn._xlws.FILTER($F$454:$F$463,I$454:I$463&lt;&gt;""),_xlfn._xlws.FILTER(I$454:I$463,I$454:I$463&lt;&gt;"")))</f>
        <v/>
      </c>
      <c r="J416" s="44" t="str">
        <f t="shared" si="29"/>
        <v/>
      </c>
      <c r="K416" s="45" t="str" cm="1">
        <f t="array" ref="K416">IF(M657="","",
M657*LOOKUP($F416,_xlfn._xlws.FILTER($F$468:$F$477,G$468:G$477&lt;&gt;""),_xlfn._xlws.FILTER(G$468:G$477,G$468:G$477&lt;&gt;"")))</f>
        <v/>
      </c>
      <c r="L416" s="41" t="str">
        <f t="shared" si="30"/>
        <v/>
      </c>
      <c r="M416" s="34" t="str">
        <f t="shared" si="32"/>
        <v/>
      </c>
      <c r="N416" s="6"/>
      <c r="O416" s="25">
        <v>50587</v>
      </c>
      <c r="P416" s="32" t="str">
        <f t="shared" si="24"/>
        <v/>
      </c>
      <c r="Q416" s="32" t="str">
        <f t="shared" si="25"/>
        <v/>
      </c>
      <c r="R416" s="32" t="str">
        <f t="shared" si="26"/>
        <v/>
      </c>
      <c r="S416" s="32" t="str">
        <f t="shared" si="27"/>
        <v/>
      </c>
      <c r="T416" s="46" t="str">
        <f t="shared" si="28"/>
        <v/>
      </c>
      <c r="U416" s="32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8" t="str" cm="1">
        <f t="array" ref="G417">IF(G658="","",
G658*LOOKUP($F417,_xlfn._xlws.FILTER($F$454:$F$463,G$454:G$463&lt;&gt;""),_xlfn._xlws.FILTER(G$454:G$463,G$454:G$463&lt;&gt;"")))</f>
        <v/>
      </c>
      <c r="H417" s="38" t="str" cm="1">
        <f t="array" ref="H417">IF(H658="","",
H658*LOOKUP($F417,_xlfn._xlws.FILTER($F$454:$F$463,H$454:H$463&lt;&gt;""),_xlfn._xlws.FILTER(H$454:H$463,H$454:H$463&lt;&gt;"")))</f>
        <v/>
      </c>
      <c r="I417" s="38" t="str" cm="1">
        <f t="array" ref="I417">IF(I658="","",
I658*LOOKUP($F417,_xlfn._xlws.FILTER($F$454:$F$463,I$454:I$463&lt;&gt;""),_xlfn._xlws.FILTER(I$454:I$463,I$454:I$463&lt;&gt;"")))</f>
        <v/>
      </c>
      <c r="J417" s="44" t="str">
        <f t="shared" si="29"/>
        <v/>
      </c>
      <c r="K417" s="45" t="str" cm="1">
        <f t="array" ref="K417">IF(M658="","",
M658*LOOKUP($F417,_xlfn._xlws.FILTER($F$468:$F$477,G$468:G$477&lt;&gt;""),_xlfn._xlws.FILTER(G$468:G$477,G$468:G$477&lt;&gt;"")))</f>
        <v/>
      </c>
      <c r="L417" s="41" t="str">
        <f t="shared" si="30"/>
        <v/>
      </c>
      <c r="M417" s="34" t="str">
        <f t="shared" si="32"/>
        <v/>
      </c>
      <c r="N417" s="6"/>
      <c r="O417" s="25">
        <v>50618</v>
      </c>
      <c r="P417" s="32" t="str">
        <f t="shared" si="24"/>
        <v/>
      </c>
      <c r="Q417" s="32" t="str">
        <f t="shared" si="25"/>
        <v/>
      </c>
      <c r="R417" s="32" t="str">
        <f t="shared" si="26"/>
        <v/>
      </c>
      <c r="S417" s="32" t="str">
        <f t="shared" si="27"/>
        <v/>
      </c>
      <c r="T417" s="46" t="str">
        <f t="shared" si="28"/>
        <v/>
      </c>
      <c r="U417" s="32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8" t="str" cm="1">
        <f t="array" ref="G418">IF(G659="","",
G659*LOOKUP($F418,_xlfn._xlws.FILTER($F$454:$F$463,G$454:G$463&lt;&gt;""),_xlfn._xlws.FILTER(G$454:G$463,G$454:G$463&lt;&gt;"")))</f>
        <v/>
      </c>
      <c r="H418" s="38" t="str" cm="1">
        <f t="array" ref="H418">IF(H659="","",
H659*LOOKUP($F418,_xlfn._xlws.FILTER($F$454:$F$463,H$454:H$463&lt;&gt;""),_xlfn._xlws.FILTER(H$454:H$463,H$454:H$463&lt;&gt;"")))</f>
        <v/>
      </c>
      <c r="I418" s="38" t="str" cm="1">
        <f t="array" ref="I418">IF(I659="","",
I659*LOOKUP($F418,_xlfn._xlws.FILTER($F$454:$F$463,I$454:I$463&lt;&gt;""),_xlfn._xlws.FILTER(I$454:I$463,I$454:I$463&lt;&gt;"")))</f>
        <v/>
      </c>
      <c r="J418" s="44" t="str">
        <f t="shared" si="29"/>
        <v/>
      </c>
      <c r="K418" s="45" t="str" cm="1">
        <f t="array" ref="K418">IF(M659="","",
M659*LOOKUP($F418,_xlfn._xlws.FILTER($F$468:$F$477,G$468:G$477&lt;&gt;""),_xlfn._xlws.FILTER(G$468:G$477,G$468:G$477&lt;&gt;"")))</f>
        <v/>
      </c>
      <c r="L418" s="41" t="str">
        <f t="shared" si="30"/>
        <v/>
      </c>
      <c r="M418" s="34" t="str">
        <f t="shared" si="32"/>
        <v/>
      </c>
      <c r="N418" s="6"/>
      <c r="O418" s="25">
        <v>50649</v>
      </c>
      <c r="P418" s="32" t="str">
        <f t="shared" si="24"/>
        <v/>
      </c>
      <c r="Q418" s="32" t="str">
        <f t="shared" si="25"/>
        <v/>
      </c>
      <c r="R418" s="32" t="str">
        <f t="shared" si="26"/>
        <v/>
      </c>
      <c r="S418" s="32" t="str">
        <f t="shared" si="27"/>
        <v/>
      </c>
      <c r="T418" s="46" t="str">
        <f t="shared" si="28"/>
        <v/>
      </c>
      <c r="U418" s="32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8" t="str" cm="1">
        <f t="array" ref="G419">IF(G660="","",
G660*LOOKUP($F419,_xlfn._xlws.FILTER($F$454:$F$463,G$454:G$463&lt;&gt;""),_xlfn._xlws.FILTER(G$454:G$463,G$454:G$463&lt;&gt;"")))</f>
        <v/>
      </c>
      <c r="H419" s="38" t="str" cm="1">
        <f t="array" ref="H419">IF(H660="","",
H660*LOOKUP($F419,_xlfn._xlws.FILTER($F$454:$F$463,H$454:H$463&lt;&gt;""),_xlfn._xlws.FILTER(H$454:H$463,H$454:H$463&lt;&gt;"")))</f>
        <v/>
      </c>
      <c r="I419" s="38" t="str" cm="1">
        <f t="array" ref="I419">IF(I660="","",
I660*LOOKUP($F419,_xlfn._xlws.FILTER($F$454:$F$463,I$454:I$463&lt;&gt;""),_xlfn._xlws.FILTER(I$454:I$463,I$454:I$463&lt;&gt;"")))</f>
        <v/>
      </c>
      <c r="J419" s="44" t="str">
        <f t="shared" si="29"/>
        <v/>
      </c>
      <c r="K419" s="45" t="str" cm="1">
        <f t="array" ref="K419">IF(M660="","",
M660*LOOKUP($F419,_xlfn._xlws.FILTER($F$468:$F$477,G$468:G$477&lt;&gt;""),_xlfn._xlws.FILTER(G$468:G$477,G$468:G$477&lt;&gt;"")))</f>
        <v/>
      </c>
      <c r="L419" s="41" t="str">
        <f t="shared" si="30"/>
        <v/>
      </c>
      <c r="M419" s="34" t="str">
        <f t="shared" si="32"/>
        <v/>
      </c>
      <c r="N419" s="6"/>
      <c r="O419" s="25">
        <v>50679</v>
      </c>
      <c r="P419" s="32" t="str">
        <f t="shared" si="24"/>
        <v/>
      </c>
      <c r="Q419" s="32" t="str">
        <f t="shared" si="25"/>
        <v/>
      </c>
      <c r="R419" s="32" t="str">
        <f t="shared" si="26"/>
        <v/>
      </c>
      <c r="S419" s="32" t="str">
        <f t="shared" si="27"/>
        <v/>
      </c>
      <c r="T419" s="46" t="str">
        <f t="shared" si="28"/>
        <v/>
      </c>
      <c r="U419" s="32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8" t="str" cm="1">
        <f t="array" ref="G420">IF(G661="","",
G661*LOOKUP($F420,_xlfn._xlws.FILTER($F$454:$F$463,G$454:G$463&lt;&gt;""),_xlfn._xlws.FILTER(G$454:G$463,G$454:G$463&lt;&gt;"")))</f>
        <v/>
      </c>
      <c r="H420" s="38" t="str" cm="1">
        <f t="array" ref="H420">IF(H661="","",
H661*LOOKUP($F420,_xlfn._xlws.FILTER($F$454:$F$463,H$454:H$463&lt;&gt;""),_xlfn._xlws.FILTER(H$454:H$463,H$454:H$463&lt;&gt;"")))</f>
        <v/>
      </c>
      <c r="I420" s="38" t="str" cm="1">
        <f t="array" ref="I420">IF(I661="","",
I661*LOOKUP($F420,_xlfn._xlws.FILTER($F$454:$F$463,I$454:I$463&lt;&gt;""),_xlfn._xlws.FILTER(I$454:I$463,I$454:I$463&lt;&gt;"")))</f>
        <v/>
      </c>
      <c r="J420" s="44" t="str">
        <f t="shared" si="29"/>
        <v/>
      </c>
      <c r="K420" s="45" t="str" cm="1">
        <f t="array" ref="K420">IF(M661="","",
M661*LOOKUP($F420,_xlfn._xlws.FILTER($F$468:$F$477,G$468:G$477&lt;&gt;""),_xlfn._xlws.FILTER(G$468:G$477,G$468:G$477&lt;&gt;"")))</f>
        <v/>
      </c>
      <c r="L420" s="41" t="str">
        <f t="shared" si="30"/>
        <v/>
      </c>
      <c r="M420" s="34" t="str">
        <f t="shared" si="32"/>
        <v/>
      </c>
      <c r="N420" s="6"/>
      <c r="O420" s="25">
        <v>50710</v>
      </c>
      <c r="P420" s="32" t="str">
        <f t="shared" si="24"/>
        <v/>
      </c>
      <c r="Q420" s="32" t="str">
        <f t="shared" si="25"/>
        <v/>
      </c>
      <c r="R420" s="32" t="str">
        <f t="shared" si="26"/>
        <v/>
      </c>
      <c r="S420" s="32" t="str">
        <f t="shared" si="27"/>
        <v/>
      </c>
      <c r="T420" s="46" t="str">
        <f t="shared" si="28"/>
        <v/>
      </c>
      <c r="U420" s="32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8" t="str" cm="1">
        <f t="array" ref="G421">IF(G662="","",
G662*LOOKUP($F421,_xlfn._xlws.FILTER($F$454:$F$463,G$454:G$463&lt;&gt;""),_xlfn._xlws.FILTER(G$454:G$463,G$454:G$463&lt;&gt;"")))</f>
        <v/>
      </c>
      <c r="H421" s="38" t="str" cm="1">
        <f t="array" ref="H421">IF(H662="","",
H662*LOOKUP($F421,_xlfn._xlws.FILTER($F$454:$F$463,H$454:H$463&lt;&gt;""),_xlfn._xlws.FILTER(H$454:H$463,H$454:H$463&lt;&gt;"")))</f>
        <v/>
      </c>
      <c r="I421" s="38" t="str" cm="1">
        <f t="array" ref="I421">IF(I662="","",
I662*LOOKUP($F421,_xlfn._xlws.FILTER($F$454:$F$463,I$454:I$463&lt;&gt;""),_xlfn._xlws.FILTER(I$454:I$463,I$454:I$463&lt;&gt;"")))</f>
        <v/>
      </c>
      <c r="J421" s="44" t="str">
        <f t="shared" si="29"/>
        <v/>
      </c>
      <c r="K421" s="45" t="str" cm="1">
        <f t="array" ref="K421">IF(M662="","",
M662*LOOKUP($F421,_xlfn._xlws.FILTER($F$468:$F$477,G$468:G$477&lt;&gt;""),_xlfn._xlws.FILTER(G$468:G$477,G$468:G$477&lt;&gt;"")))</f>
        <v/>
      </c>
      <c r="L421" s="41" t="str">
        <f t="shared" si="30"/>
        <v/>
      </c>
      <c r="M421" s="34" t="str">
        <f t="shared" si="32"/>
        <v/>
      </c>
      <c r="N421" s="6"/>
      <c r="O421" s="25">
        <v>50740</v>
      </c>
      <c r="P421" s="32" t="str">
        <f t="shared" si="24"/>
        <v/>
      </c>
      <c r="Q421" s="32" t="str">
        <f t="shared" si="25"/>
        <v/>
      </c>
      <c r="R421" s="32" t="str">
        <f t="shared" si="26"/>
        <v/>
      </c>
      <c r="S421" s="32" t="str">
        <f t="shared" si="27"/>
        <v/>
      </c>
      <c r="T421" s="46" t="str">
        <f t="shared" si="28"/>
        <v/>
      </c>
      <c r="U421" s="32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8" t="str" cm="1">
        <f t="array" ref="G422">IF(G663="","",
G663*LOOKUP($F422,_xlfn._xlws.FILTER($F$454:$F$463,G$454:G$463&lt;&gt;""),_xlfn._xlws.FILTER(G$454:G$463,G$454:G$463&lt;&gt;"")))</f>
        <v/>
      </c>
      <c r="H422" s="38" t="str" cm="1">
        <f t="array" ref="H422">IF(H663="","",
H663*LOOKUP($F422,_xlfn._xlws.FILTER($F$454:$F$463,H$454:H$463&lt;&gt;""),_xlfn._xlws.FILTER(H$454:H$463,H$454:H$463&lt;&gt;"")))</f>
        <v/>
      </c>
      <c r="I422" s="38" t="str" cm="1">
        <f t="array" ref="I422">IF(I663="","",
I663*LOOKUP($F422,_xlfn._xlws.FILTER($F$454:$F$463,I$454:I$463&lt;&gt;""),_xlfn._xlws.FILTER(I$454:I$463,I$454:I$463&lt;&gt;"")))</f>
        <v/>
      </c>
      <c r="J422" s="44" t="str">
        <f t="shared" si="29"/>
        <v/>
      </c>
      <c r="K422" s="45" t="str" cm="1">
        <f t="array" ref="K422">IF(M663="","",
M663*LOOKUP($F422,_xlfn._xlws.FILTER($F$468:$F$477,G$468:G$477&lt;&gt;""),_xlfn._xlws.FILTER(G$468:G$477,G$468:G$477&lt;&gt;"")))</f>
        <v/>
      </c>
      <c r="L422" s="41" t="str">
        <f t="shared" si="30"/>
        <v/>
      </c>
      <c r="M422" s="34" t="str">
        <f t="shared" si="32"/>
        <v/>
      </c>
      <c r="N422" s="6"/>
      <c r="O422" s="25">
        <v>50771</v>
      </c>
      <c r="P422" s="32" t="str">
        <f t="shared" si="24"/>
        <v/>
      </c>
      <c r="Q422" s="32" t="str">
        <f t="shared" si="25"/>
        <v/>
      </c>
      <c r="R422" s="32" t="str">
        <f t="shared" si="26"/>
        <v/>
      </c>
      <c r="S422" s="32" t="str">
        <f t="shared" si="27"/>
        <v/>
      </c>
      <c r="T422" s="46" t="str">
        <f t="shared" si="28"/>
        <v/>
      </c>
      <c r="U422" s="32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8" t="str" cm="1">
        <f t="array" ref="G423">IF(G664="","",
G664*LOOKUP($F423,_xlfn._xlws.FILTER($F$454:$F$463,G$454:G$463&lt;&gt;""),_xlfn._xlws.FILTER(G$454:G$463,G$454:G$463&lt;&gt;"")))</f>
        <v/>
      </c>
      <c r="H423" s="38" t="str" cm="1">
        <f t="array" ref="H423">IF(H664="","",
H664*LOOKUP($F423,_xlfn._xlws.FILTER($F$454:$F$463,H$454:H$463&lt;&gt;""),_xlfn._xlws.FILTER(H$454:H$463,H$454:H$463&lt;&gt;"")))</f>
        <v/>
      </c>
      <c r="I423" s="38" t="str" cm="1">
        <f t="array" ref="I423">IF(I664="","",
I664*LOOKUP($F423,_xlfn._xlws.FILTER($F$454:$F$463,I$454:I$463&lt;&gt;""),_xlfn._xlws.FILTER(I$454:I$463,I$454:I$463&lt;&gt;"")))</f>
        <v/>
      </c>
      <c r="J423" s="44" t="str">
        <f t="shared" si="29"/>
        <v/>
      </c>
      <c r="K423" s="45" t="str" cm="1">
        <f t="array" ref="K423">IF(M664="","",
M664*LOOKUP($F423,_xlfn._xlws.FILTER($F$468:$F$477,G$468:G$477&lt;&gt;""),_xlfn._xlws.FILTER(G$468:G$477,G$468:G$477&lt;&gt;"")))</f>
        <v/>
      </c>
      <c r="L423" s="41" t="str">
        <f t="shared" si="30"/>
        <v/>
      </c>
      <c r="M423" s="34" t="str">
        <f t="shared" si="32"/>
        <v/>
      </c>
      <c r="N423" s="6"/>
      <c r="O423" s="25">
        <v>50802</v>
      </c>
      <c r="P423" s="32" t="str">
        <f t="shared" si="24"/>
        <v/>
      </c>
      <c r="Q423" s="32" t="str">
        <f t="shared" si="25"/>
        <v/>
      </c>
      <c r="R423" s="32" t="str">
        <f t="shared" si="26"/>
        <v/>
      </c>
      <c r="S423" s="32" t="str">
        <f t="shared" si="27"/>
        <v/>
      </c>
      <c r="T423" s="46" t="str">
        <f t="shared" si="28"/>
        <v/>
      </c>
      <c r="U423" s="32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8" t="str" cm="1">
        <f t="array" ref="G424">IF(G665="","",
G665*LOOKUP($F424,_xlfn._xlws.FILTER($F$454:$F$463,G$454:G$463&lt;&gt;""),_xlfn._xlws.FILTER(G$454:G$463,G$454:G$463&lt;&gt;"")))</f>
        <v/>
      </c>
      <c r="H424" s="38" t="str" cm="1">
        <f t="array" ref="H424">IF(H665="","",
H665*LOOKUP($F424,_xlfn._xlws.FILTER($F$454:$F$463,H$454:H$463&lt;&gt;""),_xlfn._xlws.FILTER(H$454:H$463,H$454:H$463&lt;&gt;"")))</f>
        <v/>
      </c>
      <c r="I424" s="38" t="str" cm="1">
        <f t="array" ref="I424">IF(I665="","",
I665*LOOKUP($F424,_xlfn._xlws.FILTER($F$454:$F$463,I$454:I$463&lt;&gt;""),_xlfn._xlws.FILTER(I$454:I$463,I$454:I$463&lt;&gt;"")))</f>
        <v/>
      </c>
      <c r="J424" s="44" t="str">
        <f t="shared" si="29"/>
        <v/>
      </c>
      <c r="K424" s="45" t="str" cm="1">
        <f t="array" ref="K424">IF(M665="","",
M665*LOOKUP($F424,_xlfn._xlws.FILTER($F$468:$F$477,G$468:G$477&lt;&gt;""),_xlfn._xlws.FILTER(G$468:G$477,G$468:G$477&lt;&gt;"")))</f>
        <v/>
      </c>
      <c r="L424" s="41" t="str">
        <f t="shared" si="30"/>
        <v/>
      </c>
      <c r="M424" s="34" t="str">
        <f t="shared" si="32"/>
        <v/>
      </c>
      <c r="N424" s="6"/>
      <c r="O424" s="25">
        <v>50830</v>
      </c>
      <c r="P424" s="32" t="str">
        <f t="shared" si="24"/>
        <v/>
      </c>
      <c r="Q424" s="32" t="str">
        <f t="shared" si="25"/>
        <v/>
      </c>
      <c r="R424" s="32" t="str">
        <f t="shared" si="26"/>
        <v/>
      </c>
      <c r="S424" s="32" t="str">
        <f t="shared" si="27"/>
        <v/>
      </c>
      <c r="T424" s="46" t="str">
        <f t="shared" si="28"/>
        <v/>
      </c>
      <c r="U424" s="32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8" t="str" cm="1">
        <f t="array" ref="G425">IF(G666="","",
G666*LOOKUP($F425,_xlfn._xlws.FILTER($F$454:$F$463,G$454:G$463&lt;&gt;""),_xlfn._xlws.FILTER(G$454:G$463,G$454:G$463&lt;&gt;"")))</f>
        <v/>
      </c>
      <c r="H425" s="38" t="str" cm="1">
        <f t="array" ref="H425">IF(H666="","",
H666*LOOKUP($F425,_xlfn._xlws.FILTER($F$454:$F$463,H$454:H$463&lt;&gt;""),_xlfn._xlws.FILTER(H$454:H$463,H$454:H$463&lt;&gt;"")))</f>
        <v/>
      </c>
      <c r="I425" s="38" t="str" cm="1">
        <f t="array" ref="I425">IF(I666="","",
I666*LOOKUP($F425,_xlfn._xlws.FILTER($F$454:$F$463,I$454:I$463&lt;&gt;""),_xlfn._xlws.FILTER(I$454:I$463,I$454:I$463&lt;&gt;"")))</f>
        <v/>
      </c>
      <c r="J425" s="44" t="str">
        <f t="shared" si="29"/>
        <v/>
      </c>
      <c r="K425" s="45" t="str" cm="1">
        <f t="array" ref="K425">IF(M666="","",
M666*LOOKUP($F425,_xlfn._xlws.FILTER($F$468:$F$477,G$468:G$477&lt;&gt;""),_xlfn._xlws.FILTER(G$468:G$477,G$468:G$477&lt;&gt;"")))</f>
        <v/>
      </c>
      <c r="L425" s="41" t="str">
        <f t="shared" si="30"/>
        <v/>
      </c>
      <c r="M425" s="34" t="str">
        <f t="shared" si="32"/>
        <v/>
      </c>
      <c r="N425" s="6"/>
      <c r="O425" s="25">
        <v>50861</v>
      </c>
      <c r="P425" s="32" t="str">
        <f t="shared" si="24"/>
        <v/>
      </c>
      <c r="Q425" s="32" t="str">
        <f t="shared" si="25"/>
        <v/>
      </c>
      <c r="R425" s="32" t="str">
        <f t="shared" si="26"/>
        <v/>
      </c>
      <c r="S425" s="32" t="str">
        <f t="shared" si="27"/>
        <v/>
      </c>
      <c r="T425" s="46" t="str">
        <f t="shared" si="28"/>
        <v/>
      </c>
      <c r="U425" s="32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8" t="str" cm="1">
        <f t="array" ref="G426">IF(G667="","",
G667*LOOKUP($F426,_xlfn._xlws.FILTER($F$454:$F$463,G$454:G$463&lt;&gt;""),_xlfn._xlws.FILTER(G$454:G$463,G$454:G$463&lt;&gt;"")))</f>
        <v/>
      </c>
      <c r="H426" s="38" t="str" cm="1">
        <f t="array" ref="H426">IF(H667="","",
H667*LOOKUP($F426,_xlfn._xlws.FILTER($F$454:$F$463,H$454:H$463&lt;&gt;""),_xlfn._xlws.FILTER(H$454:H$463,H$454:H$463&lt;&gt;"")))</f>
        <v/>
      </c>
      <c r="I426" s="38" t="str" cm="1">
        <f t="array" ref="I426">IF(I667="","",
I667*LOOKUP($F426,_xlfn._xlws.FILTER($F$454:$F$463,I$454:I$463&lt;&gt;""),_xlfn._xlws.FILTER(I$454:I$463,I$454:I$463&lt;&gt;"")))</f>
        <v/>
      </c>
      <c r="J426" s="44" t="str">
        <f t="shared" si="29"/>
        <v/>
      </c>
      <c r="K426" s="45" t="str" cm="1">
        <f t="array" ref="K426">IF(M667="","",
M667*LOOKUP($F426,_xlfn._xlws.FILTER($F$468:$F$477,G$468:G$477&lt;&gt;""),_xlfn._xlws.FILTER(G$468:G$477,G$468:G$477&lt;&gt;"")))</f>
        <v/>
      </c>
      <c r="L426" s="41" t="str">
        <f t="shared" si="30"/>
        <v/>
      </c>
      <c r="M426" s="34" t="str">
        <f t="shared" si="32"/>
        <v/>
      </c>
      <c r="N426" s="6"/>
      <c r="O426" s="25">
        <v>50891</v>
      </c>
      <c r="P426" s="32" t="str">
        <f t="shared" si="24"/>
        <v/>
      </c>
      <c r="Q426" s="32" t="str">
        <f t="shared" si="25"/>
        <v/>
      </c>
      <c r="R426" s="32" t="str">
        <f t="shared" si="26"/>
        <v/>
      </c>
      <c r="S426" s="32" t="str">
        <f t="shared" si="27"/>
        <v/>
      </c>
      <c r="T426" s="46" t="str">
        <f t="shared" si="28"/>
        <v/>
      </c>
      <c r="U426" s="32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8" t="str" cm="1">
        <f t="array" ref="G427">IF(G668="","",
G668*LOOKUP($F427,_xlfn._xlws.FILTER($F$454:$F$463,G$454:G$463&lt;&gt;""),_xlfn._xlws.FILTER(G$454:G$463,G$454:G$463&lt;&gt;"")))</f>
        <v/>
      </c>
      <c r="H427" s="38" t="str" cm="1">
        <f t="array" ref="H427">IF(H668="","",
H668*LOOKUP($F427,_xlfn._xlws.FILTER($F$454:$F$463,H$454:H$463&lt;&gt;""),_xlfn._xlws.FILTER(H$454:H$463,H$454:H$463&lt;&gt;"")))</f>
        <v/>
      </c>
      <c r="I427" s="38" t="str" cm="1">
        <f t="array" ref="I427">IF(I668="","",
I668*LOOKUP($F427,_xlfn._xlws.FILTER($F$454:$F$463,I$454:I$463&lt;&gt;""),_xlfn._xlws.FILTER(I$454:I$463,I$454:I$463&lt;&gt;"")))</f>
        <v/>
      </c>
      <c r="J427" s="44" t="str">
        <f t="shared" si="29"/>
        <v/>
      </c>
      <c r="K427" s="45" t="str" cm="1">
        <f t="array" ref="K427">IF(M668="","",
M668*LOOKUP($F427,_xlfn._xlws.FILTER($F$468:$F$477,G$468:G$477&lt;&gt;""),_xlfn._xlws.FILTER(G$468:G$477,G$468:G$477&lt;&gt;"")))</f>
        <v/>
      </c>
      <c r="L427" s="41" t="str">
        <f t="shared" si="30"/>
        <v/>
      </c>
      <c r="M427" s="34" t="str">
        <f t="shared" si="32"/>
        <v/>
      </c>
      <c r="N427" s="6"/>
      <c r="O427" s="25">
        <v>50922</v>
      </c>
      <c r="P427" s="32" t="str">
        <f t="shared" si="24"/>
        <v/>
      </c>
      <c r="Q427" s="32" t="str">
        <f t="shared" si="25"/>
        <v/>
      </c>
      <c r="R427" s="32" t="str">
        <f t="shared" si="26"/>
        <v/>
      </c>
      <c r="S427" s="32" t="str">
        <f t="shared" si="27"/>
        <v/>
      </c>
      <c r="T427" s="46" t="str">
        <f t="shared" si="28"/>
        <v/>
      </c>
      <c r="U427" s="32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8" t="str" cm="1">
        <f t="array" ref="G428">IF(G669="","",
G669*LOOKUP($F428,_xlfn._xlws.FILTER($F$454:$F$463,G$454:G$463&lt;&gt;""),_xlfn._xlws.FILTER(G$454:G$463,G$454:G$463&lt;&gt;"")))</f>
        <v/>
      </c>
      <c r="H428" s="38" t="str" cm="1">
        <f t="array" ref="H428">IF(H669="","",
H669*LOOKUP($F428,_xlfn._xlws.FILTER($F$454:$F$463,H$454:H$463&lt;&gt;""),_xlfn._xlws.FILTER(H$454:H$463,H$454:H$463&lt;&gt;"")))</f>
        <v/>
      </c>
      <c r="I428" s="38" t="str" cm="1">
        <f t="array" ref="I428">IF(I669="","",
I669*LOOKUP($F428,_xlfn._xlws.FILTER($F$454:$F$463,I$454:I$463&lt;&gt;""),_xlfn._xlws.FILTER(I$454:I$463,I$454:I$463&lt;&gt;"")))</f>
        <v/>
      </c>
      <c r="J428" s="44" t="str">
        <f t="shared" si="29"/>
        <v/>
      </c>
      <c r="K428" s="45" t="str" cm="1">
        <f t="array" ref="K428">IF(M669="","",
M669*LOOKUP($F428,_xlfn._xlws.FILTER($F$468:$F$477,G$468:G$477&lt;&gt;""),_xlfn._xlws.FILTER(G$468:G$477,G$468:G$477&lt;&gt;"")))</f>
        <v/>
      </c>
      <c r="L428" s="41" t="str">
        <f t="shared" si="30"/>
        <v/>
      </c>
      <c r="M428" s="34" t="str">
        <f t="shared" si="32"/>
        <v/>
      </c>
      <c r="N428" s="6"/>
      <c r="O428" s="25">
        <v>50952</v>
      </c>
      <c r="P428" s="32" t="str">
        <f t="shared" si="24"/>
        <v/>
      </c>
      <c r="Q428" s="32" t="str">
        <f t="shared" si="25"/>
        <v/>
      </c>
      <c r="R428" s="32" t="str">
        <f t="shared" si="26"/>
        <v/>
      </c>
      <c r="S428" s="32" t="str">
        <f t="shared" si="27"/>
        <v/>
      </c>
      <c r="T428" s="46" t="str">
        <f t="shared" si="28"/>
        <v/>
      </c>
      <c r="U428" s="32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8" t="str" cm="1">
        <f t="array" ref="G429">IF(G670="","",
G670*LOOKUP($F429,_xlfn._xlws.FILTER($F$454:$F$463,G$454:G$463&lt;&gt;""),_xlfn._xlws.FILTER(G$454:G$463,G$454:G$463&lt;&gt;"")))</f>
        <v/>
      </c>
      <c r="H429" s="38" t="str" cm="1">
        <f t="array" ref="H429">IF(H670="","",
H670*LOOKUP($F429,_xlfn._xlws.FILTER($F$454:$F$463,H$454:H$463&lt;&gt;""),_xlfn._xlws.FILTER(H$454:H$463,H$454:H$463&lt;&gt;"")))</f>
        <v/>
      </c>
      <c r="I429" s="38" t="str" cm="1">
        <f t="array" ref="I429">IF(I670="","",
I670*LOOKUP($F429,_xlfn._xlws.FILTER($F$454:$F$463,I$454:I$463&lt;&gt;""),_xlfn._xlws.FILTER(I$454:I$463,I$454:I$463&lt;&gt;"")))</f>
        <v/>
      </c>
      <c r="J429" s="44" t="str">
        <f t="shared" si="29"/>
        <v/>
      </c>
      <c r="K429" s="45" t="str" cm="1">
        <f t="array" ref="K429">IF(M670="","",
M670*LOOKUP($F429,_xlfn._xlws.FILTER($F$468:$F$477,G$468:G$477&lt;&gt;""),_xlfn._xlws.FILTER(G$468:G$477,G$468:G$477&lt;&gt;"")))</f>
        <v/>
      </c>
      <c r="L429" s="41" t="str">
        <f t="shared" si="30"/>
        <v/>
      </c>
      <c r="M429" s="34" t="str">
        <f t="shared" si="32"/>
        <v/>
      </c>
      <c r="N429" s="6"/>
      <c r="O429" s="25">
        <v>50983</v>
      </c>
      <c r="P429" s="32" t="str">
        <f t="shared" si="24"/>
        <v/>
      </c>
      <c r="Q429" s="32" t="str">
        <f t="shared" si="25"/>
        <v/>
      </c>
      <c r="R429" s="32" t="str">
        <f t="shared" si="26"/>
        <v/>
      </c>
      <c r="S429" s="32" t="str">
        <f t="shared" si="27"/>
        <v/>
      </c>
      <c r="T429" s="46" t="str">
        <f t="shared" si="28"/>
        <v/>
      </c>
      <c r="U429" s="32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8" t="str" cm="1">
        <f t="array" ref="G430">IF(G671="","",
G671*LOOKUP($F430,_xlfn._xlws.FILTER($F$454:$F$463,G$454:G$463&lt;&gt;""),_xlfn._xlws.FILTER(G$454:G$463,G$454:G$463&lt;&gt;"")))</f>
        <v/>
      </c>
      <c r="H430" s="38" t="str" cm="1">
        <f t="array" ref="H430">IF(H671="","",
H671*LOOKUP($F430,_xlfn._xlws.FILTER($F$454:$F$463,H$454:H$463&lt;&gt;""),_xlfn._xlws.FILTER(H$454:H$463,H$454:H$463&lt;&gt;"")))</f>
        <v/>
      </c>
      <c r="I430" s="38" t="str" cm="1">
        <f t="array" ref="I430">IF(I671="","",
I671*LOOKUP($F430,_xlfn._xlws.FILTER($F$454:$F$463,I$454:I$463&lt;&gt;""),_xlfn._xlws.FILTER(I$454:I$463,I$454:I$463&lt;&gt;"")))</f>
        <v/>
      </c>
      <c r="J430" s="44" t="str">
        <f t="shared" si="29"/>
        <v/>
      </c>
      <c r="K430" s="45" t="str" cm="1">
        <f t="array" ref="K430">IF(M671="","",
M671*LOOKUP($F430,_xlfn._xlws.FILTER($F$468:$F$477,G$468:G$477&lt;&gt;""),_xlfn._xlws.FILTER(G$468:G$477,G$468:G$477&lt;&gt;"")))</f>
        <v/>
      </c>
      <c r="L430" s="41" t="str">
        <f t="shared" si="30"/>
        <v/>
      </c>
      <c r="M430" s="34" t="str">
        <f t="shared" si="32"/>
        <v/>
      </c>
      <c r="N430" s="6"/>
      <c r="O430" s="25">
        <v>51014</v>
      </c>
      <c r="P430" s="32" t="str">
        <f t="shared" si="24"/>
        <v/>
      </c>
      <c r="Q430" s="32" t="str">
        <f t="shared" si="25"/>
        <v/>
      </c>
      <c r="R430" s="32" t="str">
        <f t="shared" si="26"/>
        <v/>
      </c>
      <c r="S430" s="32" t="str">
        <f t="shared" si="27"/>
        <v/>
      </c>
      <c r="T430" s="46" t="str">
        <f t="shared" si="28"/>
        <v/>
      </c>
      <c r="U430" s="32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8" t="str" cm="1">
        <f t="array" ref="G431">IF(G672="","",
G672*LOOKUP($F431,_xlfn._xlws.FILTER($F$454:$F$463,G$454:G$463&lt;&gt;""),_xlfn._xlws.FILTER(G$454:G$463,G$454:G$463&lt;&gt;"")))</f>
        <v/>
      </c>
      <c r="H431" s="38" t="str" cm="1">
        <f t="array" ref="H431">IF(H672="","",
H672*LOOKUP($F431,_xlfn._xlws.FILTER($F$454:$F$463,H$454:H$463&lt;&gt;""),_xlfn._xlws.FILTER(H$454:H$463,H$454:H$463&lt;&gt;"")))</f>
        <v/>
      </c>
      <c r="I431" s="38" t="str" cm="1">
        <f t="array" ref="I431">IF(I672="","",
I672*LOOKUP($F431,_xlfn._xlws.FILTER($F$454:$F$463,I$454:I$463&lt;&gt;""),_xlfn._xlws.FILTER(I$454:I$463,I$454:I$463&lt;&gt;"")))</f>
        <v/>
      </c>
      <c r="J431" s="44" t="str">
        <f t="shared" si="29"/>
        <v/>
      </c>
      <c r="K431" s="45" t="str" cm="1">
        <f t="array" ref="K431">IF(M672="","",
M672*LOOKUP($F431,_xlfn._xlws.FILTER($F$468:$F$477,G$468:G$477&lt;&gt;""),_xlfn._xlws.FILTER(G$468:G$477,G$468:G$477&lt;&gt;"")))</f>
        <v/>
      </c>
      <c r="L431" s="41" t="str">
        <f t="shared" si="30"/>
        <v/>
      </c>
      <c r="M431" s="34" t="str">
        <f t="shared" si="32"/>
        <v/>
      </c>
      <c r="N431" s="6"/>
      <c r="O431" s="25">
        <v>51044</v>
      </c>
      <c r="P431" s="32" t="str">
        <f t="shared" si="24"/>
        <v/>
      </c>
      <c r="Q431" s="32" t="str">
        <f t="shared" si="25"/>
        <v/>
      </c>
      <c r="R431" s="32" t="str">
        <f t="shared" si="26"/>
        <v/>
      </c>
      <c r="S431" s="32" t="str">
        <f t="shared" si="27"/>
        <v/>
      </c>
      <c r="T431" s="46" t="str">
        <f t="shared" si="28"/>
        <v/>
      </c>
      <c r="U431" s="32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8" t="str" cm="1">
        <f t="array" ref="G432">IF(G673="","",
G673*LOOKUP($F432,_xlfn._xlws.FILTER($F$454:$F$463,G$454:G$463&lt;&gt;""),_xlfn._xlws.FILTER(G$454:G$463,G$454:G$463&lt;&gt;"")))</f>
        <v/>
      </c>
      <c r="H432" s="38" t="str" cm="1">
        <f t="array" ref="H432">IF(H673="","",
H673*LOOKUP($F432,_xlfn._xlws.FILTER($F$454:$F$463,H$454:H$463&lt;&gt;""),_xlfn._xlws.FILTER(H$454:H$463,H$454:H$463&lt;&gt;"")))</f>
        <v/>
      </c>
      <c r="I432" s="38" t="str" cm="1">
        <f t="array" ref="I432">IF(I673="","",
I673*LOOKUP($F432,_xlfn._xlws.FILTER($F$454:$F$463,I$454:I$463&lt;&gt;""),_xlfn._xlws.FILTER(I$454:I$463,I$454:I$463&lt;&gt;"")))</f>
        <v/>
      </c>
      <c r="J432" s="44" t="str">
        <f t="shared" si="29"/>
        <v/>
      </c>
      <c r="K432" s="45" t="str" cm="1">
        <f t="array" ref="K432">IF(M673="","",
M673*LOOKUP($F432,_xlfn._xlws.FILTER($F$468:$F$477,G$468:G$477&lt;&gt;""),_xlfn._xlws.FILTER(G$468:G$477,G$468:G$477&lt;&gt;"")))</f>
        <v/>
      </c>
      <c r="L432" s="41" t="str">
        <f t="shared" si="30"/>
        <v/>
      </c>
      <c r="M432" s="34" t="str">
        <f t="shared" si="32"/>
        <v/>
      </c>
      <c r="N432" s="6"/>
      <c r="O432" s="25">
        <v>51075</v>
      </c>
      <c r="P432" s="32" t="str">
        <f t="shared" si="24"/>
        <v/>
      </c>
      <c r="Q432" s="32" t="str">
        <f t="shared" si="25"/>
        <v/>
      </c>
      <c r="R432" s="32" t="str">
        <f t="shared" si="26"/>
        <v/>
      </c>
      <c r="S432" s="32" t="str">
        <f t="shared" si="27"/>
        <v/>
      </c>
      <c r="T432" s="46" t="str">
        <f t="shared" si="28"/>
        <v/>
      </c>
      <c r="U432" s="32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8" t="str" cm="1">
        <f t="array" ref="G433">IF(G674="","",
G674*LOOKUP($F433,_xlfn._xlws.FILTER($F$454:$F$463,G$454:G$463&lt;&gt;""),_xlfn._xlws.FILTER(G$454:G$463,G$454:G$463&lt;&gt;"")))</f>
        <v/>
      </c>
      <c r="H433" s="38" t="str" cm="1">
        <f t="array" ref="H433">IF(H674="","",
H674*LOOKUP($F433,_xlfn._xlws.FILTER($F$454:$F$463,H$454:H$463&lt;&gt;""),_xlfn._xlws.FILTER(H$454:H$463,H$454:H$463&lt;&gt;"")))</f>
        <v/>
      </c>
      <c r="I433" s="38" t="str" cm="1">
        <f t="array" ref="I433">IF(I674="","",
I674*LOOKUP($F433,_xlfn._xlws.FILTER($F$454:$F$463,I$454:I$463&lt;&gt;""),_xlfn._xlws.FILTER(I$454:I$463,I$454:I$463&lt;&gt;"")))</f>
        <v/>
      </c>
      <c r="J433" s="44" t="str">
        <f t="shared" si="29"/>
        <v/>
      </c>
      <c r="K433" s="45" t="str" cm="1">
        <f t="array" ref="K433">IF(M674="","",
M674*LOOKUP($F433,_xlfn._xlws.FILTER($F$468:$F$477,G$468:G$477&lt;&gt;""),_xlfn._xlws.FILTER(G$468:G$477,G$468:G$477&lt;&gt;"")))</f>
        <v/>
      </c>
      <c r="L433" s="41" t="str">
        <f t="shared" si="30"/>
        <v/>
      </c>
      <c r="M433" s="34" t="str">
        <f t="shared" si="32"/>
        <v/>
      </c>
      <c r="N433" s="6"/>
      <c r="O433" s="25">
        <v>51105</v>
      </c>
      <c r="P433" s="32" t="str">
        <f t="shared" si="24"/>
        <v/>
      </c>
      <c r="Q433" s="32" t="str">
        <f t="shared" si="25"/>
        <v/>
      </c>
      <c r="R433" s="32" t="str">
        <f t="shared" si="26"/>
        <v/>
      </c>
      <c r="S433" s="32" t="str">
        <f t="shared" si="27"/>
        <v/>
      </c>
      <c r="T433" s="46" t="str">
        <f t="shared" si="28"/>
        <v/>
      </c>
      <c r="U433" s="32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8" t="str" cm="1">
        <f t="array" ref="G434">IF(G675="","",
G675*LOOKUP($F434,_xlfn._xlws.FILTER($F$454:$F$463,G$454:G$463&lt;&gt;""),_xlfn._xlws.FILTER(G$454:G$463,G$454:G$463&lt;&gt;"")))</f>
        <v/>
      </c>
      <c r="H434" s="38" t="str" cm="1">
        <f t="array" ref="H434">IF(H675="","",
H675*LOOKUP($F434,_xlfn._xlws.FILTER($F$454:$F$463,H$454:H$463&lt;&gt;""),_xlfn._xlws.FILTER(H$454:H$463,H$454:H$463&lt;&gt;"")))</f>
        <v/>
      </c>
      <c r="I434" s="38" t="str" cm="1">
        <f t="array" ref="I434">IF(I675="","",
I675*LOOKUP($F434,_xlfn._xlws.FILTER($F$454:$F$463,I$454:I$463&lt;&gt;""),_xlfn._xlws.FILTER(I$454:I$463,I$454:I$463&lt;&gt;"")))</f>
        <v/>
      </c>
      <c r="J434" s="44" t="str">
        <f t="shared" si="29"/>
        <v/>
      </c>
      <c r="K434" s="45" t="str" cm="1">
        <f t="array" ref="K434">IF(M675="","",
M675*LOOKUP($F434,_xlfn._xlws.FILTER($F$468:$F$477,G$468:G$477&lt;&gt;""),_xlfn._xlws.FILTER(G$468:G$477,G$468:G$477&lt;&gt;"")))</f>
        <v/>
      </c>
      <c r="L434" s="41" t="str">
        <f t="shared" si="30"/>
        <v/>
      </c>
      <c r="M434" s="34" t="str">
        <f t="shared" si="32"/>
        <v/>
      </c>
      <c r="N434" s="6"/>
      <c r="O434" s="25">
        <v>51136</v>
      </c>
      <c r="P434" s="32" t="str">
        <f t="shared" ref="P434:P445" si="33">IFERROR((G434*Q$480)/$L434*(100/Q$481),"")</f>
        <v/>
      </c>
      <c r="Q434" s="32" t="str">
        <f t="shared" ref="Q434:Q445" si="34">IFERROR((H434*R$480)/$L434*(100/R$481),"")</f>
        <v/>
      </c>
      <c r="R434" s="32" t="str">
        <f t="shared" ref="R434:R445" si="35">IFERROR((I434*S$480)/$L434*(100/S$481),"")</f>
        <v/>
      </c>
      <c r="S434" s="32" t="str">
        <f t="shared" ref="S434:S445" si="36">IFERROR((J434*T$480)/$L434*(100/T$481),"")</f>
        <v/>
      </c>
      <c r="T434" s="46" t="str">
        <f t="shared" ref="T434:T445" si="37">IFERROR((K434*U$480)/$L434*(100/U$481),"")</f>
        <v/>
      </c>
      <c r="U434" s="32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8" t="str" cm="1">
        <f t="array" ref="G435">IF(G676="","",
G676*LOOKUP($F435,_xlfn._xlws.FILTER($F$454:$F$463,G$454:G$463&lt;&gt;""),_xlfn._xlws.FILTER(G$454:G$463,G$454:G$463&lt;&gt;"")))</f>
        <v/>
      </c>
      <c r="H435" s="38" t="str" cm="1">
        <f t="array" ref="H435">IF(H676="","",
H676*LOOKUP($F435,_xlfn._xlws.FILTER($F$454:$F$463,H$454:H$463&lt;&gt;""),_xlfn._xlws.FILTER(H$454:H$463,H$454:H$463&lt;&gt;"")))</f>
        <v/>
      </c>
      <c r="I435" s="38" t="str" cm="1">
        <f t="array" ref="I435">IF(I676="","",
I676*LOOKUP($F435,_xlfn._xlws.FILTER($F$454:$F$463,I$454:I$463&lt;&gt;""),_xlfn._xlws.FILTER(I$454:I$463,I$454:I$463&lt;&gt;"")))</f>
        <v/>
      </c>
      <c r="J435" s="44" t="str">
        <f t="shared" ref="J435:J445" si="38">IF(J676="","",J676)</f>
        <v/>
      </c>
      <c r="K435" s="45" t="str" cm="1">
        <f t="array" ref="K435">IF(M676="","",
M676*LOOKUP($F435,_xlfn._xlws.FILTER($F$468:$F$477,G$468:G$477&lt;&gt;""),_xlfn._xlws.FILTER(G$468:G$477,G$468:G$477&lt;&gt;"")))</f>
        <v/>
      </c>
      <c r="L435" s="41" t="str">
        <f t="shared" ref="L435:L445" si="39">IF(V676="","",V676)</f>
        <v/>
      </c>
      <c r="M435" s="34" t="str">
        <f t="shared" si="32"/>
        <v/>
      </c>
      <c r="N435" s="6"/>
      <c r="O435" s="25">
        <v>51167</v>
      </c>
      <c r="P435" s="32" t="str">
        <f t="shared" si="33"/>
        <v/>
      </c>
      <c r="Q435" s="32" t="str">
        <f t="shared" si="34"/>
        <v/>
      </c>
      <c r="R435" s="32" t="str">
        <f t="shared" si="35"/>
        <v/>
      </c>
      <c r="S435" s="32" t="str">
        <f t="shared" si="36"/>
        <v/>
      </c>
      <c r="T435" s="46" t="str">
        <f t="shared" si="37"/>
        <v/>
      </c>
      <c r="U435" s="32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8" t="str" cm="1">
        <f t="array" ref="G436">IF(G677="","",
G677*LOOKUP($F436,_xlfn._xlws.FILTER($F$454:$F$463,G$454:G$463&lt;&gt;""),_xlfn._xlws.FILTER(G$454:G$463,G$454:G$463&lt;&gt;"")))</f>
        <v/>
      </c>
      <c r="H436" s="38" t="str" cm="1">
        <f t="array" ref="H436">IF(H677="","",
H677*LOOKUP($F436,_xlfn._xlws.FILTER($F$454:$F$463,H$454:H$463&lt;&gt;""),_xlfn._xlws.FILTER(H$454:H$463,H$454:H$463&lt;&gt;"")))</f>
        <v/>
      </c>
      <c r="I436" s="38" t="str" cm="1">
        <f t="array" ref="I436">IF(I677="","",
I677*LOOKUP($F436,_xlfn._xlws.FILTER($F$454:$F$463,I$454:I$463&lt;&gt;""),_xlfn._xlws.FILTER(I$454:I$463,I$454:I$463&lt;&gt;"")))</f>
        <v/>
      </c>
      <c r="J436" s="44" t="str">
        <f t="shared" si="38"/>
        <v/>
      </c>
      <c r="K436" s="45" t="str" cm="1">
        <f t="array" ref="K436">IF(M677="","",
M677*LOOKUP($F436,_xlfn._xlws.FILTER($F$468:$F$477,G$468:G$477&lt;&gt;""),_xlfn._xlws.FILTER(G$468:G$477,G$468:G$477&lt;&gt;"")))</f>
        <v/>
      </c>
      <c r="L436" s="41" t="str">
        <f t="shared" si="39"/>
        <v/>
      </c>
      <c r="M436" s="34" t="str">
        <f t="shared" si="32"/>
        <v/>
      </c>
      <c r="N436" s="6"/>
      <c r="O436" s="25">
        <v>51196</v>
      </c>
      <c r="P436" s="32" t="str">
        <f t="shared" si="33"/>
        <v/>
      </c>
      <c r="Q436" s="32" t="str">
        <f t="shared" si="34"/>
        <v/>
      </c>
      <c r="R436" s="32" t="str">
        <f t="shared" si="35"/>
        <v/>
      </c>
      <c r="S436" s="32" t="str">
        <f t="shared" si="36"/>
        <v/>
      </c>
      <c r="T436" s="46" t="str">
        <f t="shared" si="37"/>
        <v/>
      </c>
      <c r="U436" s="32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8" t="str" cm="1">
        <f t="array" ref="G437">IF(G678="","",
G678*LOOKUP($F437,_xlfn._xlws.FILTER($F$454:$F$463,G$454:G$463&lt;&gt;""),_xlfn._xlws.FILTER(G$454:G$463,G$454:G$463&lt;&gt;"")))</f>
        <v/>
      </c>
      <c r="H437" s="38" t="str" cm="1">
        <f t="array" ref="H437">IF(H678="","",
H678*LOOKUP($F437,_xlfn._xlws.FILTER($F$454:$F$463,H$454:H$463&lt;&gt;""),_xlfn._xlws.FILTER(H$454:H$463,H$454:H$463&lt;&gt;"")))</f>
        <v/>
      </c>
      <c r="I437" s="38" t="str" cm="1">
        <f t="array" ref="I437">IF(I678="","",
I678*LOOKUP($F437,_xlfn._xlws.FILTER($F$454:$F$463,I$454:I$463&lt;&gt;""),_xlfn._xlws.FILTER(I$454:I$463,I$454:I$463&lt;&gt;"")))</f>
        <v/>
      </c>
      <c r="J437" s="44" t="str">
        <f t="shared" si="38"/>
        <v/>
      </c>
      <c r="K437" s="45" t="str" cm="1">
        <f t="array" ref="K437">IF(M678="","",
M678*LOOKUP($F437,_xlfn._xlws.FILTER($F$468:$F$477,G$468:G$477&lt;&gt;""),_xlfn._xlws.FILTER(G$468:G$477,G$468:G$477&lt;&gt;"")))</f>
        <v/>
      </c>
      <c r="L437" s="41" t="str">
        <f t="shared" si="39"/>
        <v/>
      </c>
      <c r="M437" s="34" t="str">
        <f t="shared" si="32"/>
        <v/>
      </c>
      <c r="N437" s="6"/>
      <c r="O437" s="25">
        <v>51227</v>
      </c>
      <c r="P437" s="32" t="str">
        <f t="shared" si="33"/>
        <v/>
      </c>
      <c r="Q437" s="32" t="str">
        <f t="shared" si="34"/>
        <v/>
      </c>
      <c r="R437" s="32" t="str">
        <f t="shared" si="35"/>
        <v/>
      </c>
      <c r="S437" s="32" t="str">
        <f t="shared" si="36"/>
        <v/>
      </c>
      <c r="T437" s="46" t="str">
        <f t="shared" si="37"/>
        <v/>
      </c>
      <c r="U437" s="32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8" t="str" cm="1">
        <f t="array" ref="G438">IF(G679="","",
G679*LOOKUP($F438,_xlfn._xlws.FILTER($F$454:$F$463,G$454:G$463&lt;&gt;""),_xlfn._xlws.FILTER(G$454:G$463,G$454:G$463&lt;&gt;"")))</f>
        <v/>
      </c>
      <c r="H438" s="38" t="str" cm="1">
        <f t="array" ref="H438">IF(H679="","",
H679*LOOKUP($F438,_xlfn._xlws.FILTER($F$454:$F$463,H$454:H$463&lt;&gt;""),_xlfn._xlws.FILTER(H$454:H$463,H$454:H$463&lt;&gt;"")))</f>
        <v/>
      </c>
      <c r="I438" s="38" t="str" cm="1">
        <f t="array" ref="I438">IF(I679="","",
I679*LOOKUP($F438,_xlfn._xlws.FILTER($F$454:$F$463,I$454:I$463&lt;&gt;""),_xlfn._xlws.FILTER(I$454:I$463,I$454:I$463&lt;&gt;"")))</f>
        <v/>
      </c>
      <c r="J438" s="44" t="str">
        <f t="shared" si="38"/>
        <v/>
      </c>
      <c r="K438" s="45" t="str" cm="1">
        <f t="array" ref="K438">IF(M679="","",
M679*LOOKUP($F438,_xlfn._xlws.FILTER($F$468:$F$477,G$468:G$477&lt;&gt;""),_xlfn._xlws.FILTER(G$468:G$477,G$468:G$477&lt;&gt;"")))</f>
        <v/>
      </c>
      <c r="L438" s="41" t="str">
        <f t="shared" si="39"/>
        <v/>
      </c>
      <c r="M438" s="34" t="str">
        <f t="shared" si="32"/>
        <v/>
      </c>
      <c r="N438" s="6"/>
      <c r="O438" s="25">
        <v>51257</v>
      </c>
      <c r="P438" s="32" t="str">
        <f t="shared" si="33"/>
        <v/>
      </c>
      <c r="Q438" s="32" t="str">
        <f t="shared" si="34"/>
        <v/>
      </c>
      <c r="R438" s="32" t="str">
        <f t="shared" si="35"/>
        <v/>
      </c>
      <c r="S438" s="32" t="str">
        <f t="shared" si="36"/>
        <v/>
      </c>
      <c r="T438" s="46" t="str">
        <f t="shared" si="37"/>
        <v/>
      </c>
      <c r="U438" s="32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8" t="str" cm="1">
        <f t="array" ref="G439">IF(G680="","",
G680*LOOKUP($F439,_xlfn._xlws.FILTER($F$454:$F$463,G$454:G$463&lt;&gt;""),_xlfn._xlws.FILTER(G$454:G$463,G$454:G$463&lt;&gt;"")))</f>
        <v/>
      </c>
      <c r="H439" s="38" t="str" cm="1">
        <f t="array" ref="H439">IF(H680="","",
H680*LOOKUP($F439,_xlfn._xlws.FILTER($F$454:$F$463,H$454:H$463&lt;&gt;""),_xlfn._xlws.FILTER(H$454:H$463,H$454:H$463&lt;&gt;"")))</f>
        <v/>
      </c>
      <c r="I439" s="38" t="str" cm="1">
        <f t="array" ref="I439">IF(I680="","",
I680*LOOKUP($F439,_xlfn._xlws.FILTER($F$454:$F$463,I$454:I$463&lt;&gt;""),_xlfn._xlws.FILTER(I$454:I$463,I$454:I$463&lt;&gt;"")))</f>
        <v/>
      </c>
      <c r="J439" s="44" t="str">
        <f t="shared" si="38"/>
        <v/>
      </c>
      <c r="K439" s="45" t="str" cm="1">
        <f t="array" ref="K439">IF(M680="","",
M680*LOOKUP($F439,_xlfn._xlws.FILTER($F$468:$F$477,G$468:G$477&lt;&gt;""),_xlfn._xlws.FILTER(G$468:G$477,G$468:G$477&lt;&gt;"")))</f>
        <v/>
      </c>
      <c r="L439" s="41" t="str">
        <f t="shared" si="39"/>
        <v/>
      </c>
      <c r="M439" s="34" t="str">
        <f t="shared" si="32"/>
        <v/>
      </c>
      <c r="N439" s="6"/>
      <c r="O439" s="25">
        <v>51288</v>
      </c>
      <c r="P439" s="32" t="str">
        <f t="shared" si="33"/>
        <v/>
      </c>
      <c r="Q439" s="32" t="str">
        <f t="shared" si="34"/>
        <v/>
      </c>
      <c r="R439" s="32" t="str">
        <f t="shared" si="35"/>
        <v/>
      </c>
      <c r="S439" s="32" t="str">
        <f t="shared" si="36"/>
        <v/>
      </c>
      <c r="T439" s="46" t="str">
        <f t="shared" si="37"/>
        <v/>
      </c>
      <c r="U439" s="32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8" t="str" cm="1">
        <f t="array" ref="G440">IF(G681="","",
G681*LOOKUP($F440,_xlfn._xlws.FILTER($F$454:$F$463,G$454:G$463&lt;&gt;""),_xlfn._xlws.FILTER(G$454:G$463,G$454:G$463&lt;&gt;"")))</f>
        <v/>
      </c>
      <c r="H440" s="38" t="str" cm="1">
        <f t="array" ref="H440">IF(H681="","",
H681*LOOKUP($F440,_xlfn._xlws.FILTER($F$454:$F$463,H$454:H$463&lt;&gt;""),_xlfn._xlws.FILTER(H$454:H$463,H$454:H$463&lt;&gt;"")))</f>
        <v/>
      </c>
      <c r="I440" s="38" t="str" cm="1">
        <f t="array" ref="I440">IF(I681="","",
I681*LOOKUP($F440,_xlfn._xlws.FILTER($F$454:$F$463,I$454:I$463&lt;&gt;""),_xlfn._xlws.FILTER(I$454:I$463,I$454:I$463&lt;&gt;"")))</f>
        <v/>
      </c>
      <c r="J440" s="44" t="str">
        <f t="shared" si="38"/>
        <v/>
      </c>
      <c r="K440" s="45" t="str" cm="1">
        <f t="array" ref="K440">IF(M681="","",
M681*LOOKUP($F440,_xlfn._xlws.FILTER($F$468:$F$477,G$468:G$477&lt;&gt;""),_xlfn._xlws.FILTER(G$468:G$477,G$468:G$477&lt;&gt;"")))</f>
        <v/>
      </c>
      <c r="L440" s="41" t="str">
        <f t="shared" si="39"/>
        <v/>
      </c>
      <c r="M440" s="34" t="str">
        <f t="shared" si="32"/>
        <v/>
      </c>
      <c r="N440" s="6"/>
      <c r="O440" s="25">
        <v>51318</v>
      </c>
      <c r="P440" s="32" t="str">
        <f t="shared" si="33"/>
        <v/>
      </c>
      <c r="Q440" s="32" t="str">
        <f t="shared" si="34"/>
        <v/>
      </c>
      <c r="R440" s="32" t="str">
        <f t="shared" si="35"/>
        <v/>
      </c>
      <c r="S440" s="32" t="str">
        <f t="shared" si="36"/>
        <v/>
      </c>
      <c r="T440" s="46" t="str">
        <f t="shared" si="37"/>
        <v/>
      </c>
      <c r="U440" s="32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8" t="str" cm="1">
        <f t="array" ref="G441">IF(G682="","",
G682*LOOKUP($F441,_xlfn._xlws.FILTER($F$454:$F$463,G$454:G$463&lt;&gt;""),_xlfn._xlws.FILTER(G$454:G$463,G$454:G$463&lt;&gt;"")))</f>
        <v/>
      </c>
      <c r="H441" s="38" t="str" cm="1">
        <f t="array" ref="H441">IF(H682="","",
H682*LOOKUP($F441,_xlfn._xlws.FILTER($F$454:$F$463,H$454:H$463&lt;&gt;""),_xlfn._xlws.FILTER(H$454:H$463,H$454:H$463&lt;&gt;"")))</f>
        <v/>
      </c>
      <c r="I441" s="38" t="str" cm="1">
        <f t="array" ref="I441">IF(I682="","",
I682*LOOKUP($F441,_xlfn._xlws.FILTER($F$454:$F$463,I$454:I$463&lt;&gt;""),_xlfn._xlws.FILTER(I$454:I$463,I$454:I$463&lt;&gt;"")))</f>
        <v/>
      </c>
      <c r="J441" s="44" t="str">
        <f t="shared" si="38"/>
        <v/>
      </c>
      <c r="K441" s="45" t="str" cm="1">
        <f t="array" ref="K441">IF(M682="","",
M682*LOOKUP($F441,_xlfn._xlws.FILTER($F$468:$F$477,G$468:G$477&lt;&gt;""),_xlfn._xlws.FILTER(G$468:G$477,G$468:G$477&lt;&gt;"")))</f>
        <v/>
      </c>
      <c r="L441" s="41" t="str">
        <f t="shared" si="39"/>
        <v/>
      </c>
      <c r="M441" s="34" t="str">
        <f t="shared" si="32"/>
        <v/>
      </c>
      <c r="N441" s="6"/>
      <c r="O441" s="25">
        <v>51349</v>
      </c>
      <c r="P441" s="32" t="str">
        <f t="shared" si="33"/>
        <v/>
      </c>
      <c r="Q441" s="32" t="str">
        <f t="shared" si="34"/>
        <v/>
      </c>
      <c r="R441" s="32" t="str">
        <f t="shared" si="35"/>
        <v/>
      </c>
      <c r="S441" s="32" t="str">
        <f t="shared" si="36"/>
        <v/>
      </c>
      <c r="T441" s="46" t="str">
        <f t="shared" si="37"/>
        <v/>
      </c>
      <c r="U441" s="32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8" t="str" cm="1">
        <f t="array" ref="G442">IF(G683="","",
G683*LOOKUP($F442,_xlfn._xlws.FILTER($F$454:$F$463,G$454:G$463&lt;&gt;""),_xlfn._xlws.FILTER(G$454:G$463,G$454:G$463&lt;&gt;"")))</f>
        <v/>
      </c>
      <c r="H442" s="38" t="str" cm="1">
        <f t="array" ref="H442">IF(H683="","",
H683*LOOKUP($F442,_xlfn._xlws.FILTER($F$454:$F$463,H$454:H$463&lt;&gt;""),_xlfn._xlws.FILTER(H$454:H$463,H$454:H$463&lt;&gt;"")))</f>
        <v/>
      </c>
      <c r="I442" s="38" t="str" cm="1">
        <f t="array" ref="I442">IF(I683="","",
I683*LOOKUP($F442,_xlfn._xlws.FILTER($F$454:$F$463,I$454:I$463&lt;&gt;""),_xlfn._xlws.FILTER(I$454:I$463,I$454:I$463&lt;&gt;"")))</f>
        <v/>
      </c>
      <c r="J442" s="44" t="str">
        <f t="shared" si="38"/>
        <v/>
      </c>
      <c r="K442" s="45" t="str" cm="1">
        <f t="array" ref="K442">IF(M683="","",
M683*LOOKUP($F442,_xlfn._xlws.FILTER($F$468:$F$477,G$468:G$477&lt;&gt;""),_xlfn._xlws.FILTER(G$468:G$477,G$468:G$477&lt;&gt;"")))</f>
        <v/>
      </c>
      <c r="L442" s="41" t="str">
        <f t="shared" si="39"/>
        <v/>
      </c>
      <c r="M442" s="34" t="str">
        <f t="shared" si="32"/>
        <v/>
      </c>
      <c r="N442" s="6"/>
      <c r="O442" s="25">
        <v>51380</v>
      </c>
      <c r="P442" s="32" t="str">
        <f t="shared" si="33"/>
        <v/>
      </c>
      <c r="Q442" s="32" t="str">
        <f t="shared" si="34"/>
        <v/>
      </c>
      <c r="R442" s="32" t="str">
        <f t="shared" si="35"/>
        <v/>
      </c>
      <c r="S442" s="32" t="str">
        <f t="shared" si="36"/>
        <v/>
      </c>
      <c r="T442" s="46" t="str">
        <f t="shared" si="37"/>
        <v/>
      </c>
      <c r="U442" s="32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8" t="str" cm="1">
        <f t="array" ref="G443">IF(G684="","",
G684*LOOKUP($F443,_xlfn._xlws.FILTER($F$454:$F$463,G$454:G$463&lt;&gt;""),_xlfn._xlws.FILTER(G$454:G$463,G$454:G$463&lt;&gt;"")))</f>
        <v/>
      </c>
      <c r="H443" s="38" t="str" cm="1">
        <f t="array" ref="H443">IF(H684="","",
H684*LOOKUP($F443,_xlfn._xlws.FILTER($F$454:$F$463,H$454:H$463&lt;&gt;""),_xlfn._xlws.FILTER(H$454:H$463,H$454:H$463&lt;&gt;"")))</f>
        <v/>
      </c>
      <c r="I443" s="38" t="str" cm="1">
        <f t="array" ref="I443">IF(I684="","",
I684*LOOKUP($F443,_xlfn._xlws.FILTER($F$454:$F$463,I$454:I$463&lt;&gt;""),_xlfn._xlws.FILTER(I$454:I$463,I$454:I$463&lt;&gt;"")))</f>
        <v/>
      </c>
      <c r="J443" s="44" t="str">
        <f t="shared" si="38"/>
        <v/>
      </c>
      <c r="K443" s="45" t="str" cm="1">
        <f t="array" ref="K443">IF(M684="","",
M684*LOOKUP($F443,_xlfn._xlws.FILTER($F$468:$F$477,G$468:G$477&lt;&gt;""),_xlfn._xlws.FILTER(G$468:G$477,G$468:G$477&lt;&gt;"")))</f>
        <v/>
      </c>
      <c r="L443" s="41" t="str">
        <f t="shared" si="39"/>
        <v/>
      </c>
      <c r="M443" s="34" t="str">
        <f t="shared" si="32"/>
        <v/>
      </c>
      <c r="N443" s="6"/>
      <c r="O443" s="25">
        <v>51410</v>
      </c>
      <c r="P443" s="32" t="str">
        <f t="shared" si="33"/>
        <v/>
      </c>
      <c r="Q443" s="32" t="str">
        <f t="shared" si="34"/>
        <v/>
      </c>
      <c r="R443" s="32" t="str">
        <f t="shared" si="35"/>
        <v/>
      </c>
      <c r="S443" s="32" t="str">
        <f t="shared" si="36"/>
        <v/>
      </c>
      <c r="T443" s="46" t="str">
        <f t="shared" si="37"/>
        <v/>
      </c>
      <c r="U443" s="32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8" t="str" cm="1">
        <f t="array" ref="G444">IF(G685="","",
G685*LOOKUP($F444,_xlfn._xlws.FILTER($F$454:$F$463,G$454:G$463&lt;&gt;""),_xlfn._xlws.FILTER(G$454:G$463,G$454:G$463&lt;&gt;"")))</f>
        <v/>
      </c>
      <c r="H444" s="38" t="str" cm="1">
        <f t="array" ref="H444">IF(H685="","",
H685*LOOKUP($F444,_xlfn._xlws.FILTER($F$454:$F$463,H$454:H$463&lt;&gt;""),_xlfn._xlws.FILTER(H$454:H$463,H$454:H$463&lt;&gt;"")))</f>
        <v/>
      </c>
      <c r="I444" s="38" t="str" cm="1">
        <f t="array" ref="I444">IF(I685="","",
I685*LOOKUP($F444,_xlfn._xlws.FILTER($F$454:$F$463,I$454:I$463&lt;&gt;""),_xlfn._xlws.FILTER(I$454:I$463,I$454:I$463&lt;&gt;"")))</f>
        <v/>
      </c>
      <c r="J444" s="44" t="str">
        <f t="shared" si="38"/>
        <v/>
      </c>
      <c r="K444" s="45" t="str" cm="1">
        <f t="array" ref="K444">IF(M685="","",
M685*LOOKUP($F444,_xlfn._xlws.FILTER($F$468:$F$477,G$468:G$477&lt;&gt;""),_xlfn._xlws.FILTER(G$468:G$477,G$468:G$477&lt;&gt;"")))</f>
        <v/>
      </c>
      <c r="L444" s="41" t="str">
        <f t="shared" si="39"/>
        <v/>
      </c>
      <c r="M444" s="34" t="str">
        <f t="shared" si="32"/>
        <v/>
      </c>
      <c r="N444" s="6"/>
      <c r="O444" s="25">
        <v>51441</v>
      </c>
      <c r="P444" s="32" t="str">
        <f t="shared" si="33"/>
        <v/>
      </c>
      <c r="Q444" s="32" t="str">
        <f t="shared" si="34"/>
        <v/>
      </c>
      <c r="R444" s="32" t="str">
        <f t="shared" si="35"/>
        <v/>
      </c>
      <c r="S444" s="32" t="str">
        <f t="shared" si="36"/>
        <v/>
      </c>
      <c r="T444" s="46" t="str">
        <f t="shared" si="37"/>
        <v/>
      </c>
      <c r="U444" s="32" t="str">
        <f t="shared" si="40"/>
        <v/>
      </c>
      <c r="V444" s="6"/>
      <c r="W444" s="6"/>
    </row>
    <row r="445" spans="5:23" ht="13.5" hidden="1" customHeight="1">
      <c r="E445" s="6"/>
      <c r="F445" s="47">
        <v>51471</v>
      </c>
      <c r="G445" s="48" t="str" cm="1">
        <f t="array" ref="G445">IF(G686="","",
G686*LOOKUP($F445,_xlfn._xlws.FILTER($F$454:$F$463,G$454:G$463&lt;&gt;""),_xlfn._xlws.FILTER(G$454:G$463,G$454:G$463&lt;&gt;"")))</f>
        <v/>
      </c>
      <c r="H445" s="48" t="str" cm="1">
        <f t="array" ref="H445">IF(H686="","",
H686*LOOKUP($F445,_xlfn._xlws.FILTER($F$454:$F$463,H$454:H$463&lt;&gt;""),_xlfn._xlws.FILTER(H$454:H$463,H$454:H$463&lt;&gt;"")))</f>
        <v/>
      </c>
      <c r="I445" s="48" t="str" cm="1">
        <f t="array" ref="I445">IF(I686="","",
I686*LOOKUP($F445,_xlfn._xlws.FILTER($F$454:$F$463,I$454:I$463&lt;&gt;""),_xlfn._xlws.FILTER(I$454:I$463,I$454:I$463&lt;&gt;"")))</f>
        <v/>
      </c>
      <c r="J445" s="49" t="str">
        <f t="shared" si="38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51" t="str">
        <f t="shared" si="39"/>
        <v/>
      </c>
      <c r="M445" s="52" t="str">
        <f t="shared" si="32"/>
        <v/>
      </c>
      <c r="N445" s="6"/>
      <c r="O445" s="47">
        <v>51471</v>
      </c>
      <c r="P445" s="53" t="str">
        <f t="shared" si="33"/>
        <v/>
      </c>
      <c r="Q445" s="53" t="str">
        <f t="shared" si="34"/>
        <v/>
      </c>
      <c r="R445" s="53" t="str">
        <f t="shared" si="35"/>
        <v/>
      </c>
      <c r="S445" s="53" t="str">
        <f t="shared" si="36"/>
        <v/>
      </c>
      <c r="T445" s="54" t="str">
        <f t="shared" si="37"/>
        <v/>
      </c>
      <c r="U445" s="53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5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5" customFormat="1" ht="15">
      <c r="E450" s="6"/>
      <c r="F450" s="20" t="s">
        <v>81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5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5" customFormat="1">
      <c r="E452" s="6"/>
      <c r="F452" s="21" t="s">
        <v>82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5" customFormat="1">
      <c r="E453" s="6"/>
      <c r="F453" s="56" t="s">
        <v>83</v>
      </c>
      <c r="G453" s="109" t="s">
        <v>69</v>
      </c>
      <c r="H453" s="109" t="s">
        <v>10</v>
      </c>
      <c r="I453" s="109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5" customFormat="1">
      <c r="E454" s="6"/>
      <c r="F454" s="57">
        <v>45292</v>
      </c>
      <c r="G454" s="113">
        <v>1.0101</v>
      </c>
      <c r="H454" s="113">
        <v>1.3126252505010021</v>
      </c>
      <c r="I454" s="113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5" customFormat="1">
      <c r="E455" s="6"/>
      <c r="F455" s="59">
        <v>45536</v>
      </c>
      <c r="G455" s="114">
        <v>1.2977498765432098</v>
      </c>
      <c r="H455" s="114"/>
      <c r="I455" s="11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5" customFormat="1">
      <c r="E456" s="6"/>
      <c r="F456" s="59">
        <v>45689</v>
      </c>
      <c r="G456" s="114"/>
      <c r="H456" s="114"/>
      <c r="I456" s="11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5" customFormat="1">
      <c r="E457" s="6"/>
      <c r="F457" s="59">
        <v>46082</v>
      </c>
      <c r="G457" s="114"/>
      <c r="H457" s="114">
        <v>1.5893124911160985</v>
      </c>
      <c r="I457" s="11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5" customFormat="1">
      <c r="E458" s="6"/>
      <c r="F458" s="59"/>
      <c r="G458" s="114"/>
      <c r="H458" s="114"/>
      <c r="I458" s="11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5" customFormat="1">
      <c r="E459" s="6"/>
      <c r="F459" s="59"/>
      <c r="G459" s="114"/>
      <c r="H459" s="114"/>
      <c r="I459" s="11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5" customFormat="1">
      <c r="E460" s="6"/>
      <c r="F460" s="59"/>
      <c r="G460" s="114"/>
      <c r="H460" s="114"/>
      <c r="I460" s="11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5" customFormat="1">
      <c r="E461" s="6"/>
      <c r="F461" s="59"/>
      <c r="G461" s="114"/>
      <c r="H461" s="114"/>
      <c r="I461" s="11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5" customFormat="1">
      <c r="E462" s="6"/>
      <c r="F462" s="59"/>
      <c r="G462" s="114"/>
      <c r="H462" s="114"/>
      <c r="I462" s="11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5" customFormat="1">
      <c r="E463" s="6"/>
      <c r="F463" s="60"/>
      <c r="G463" s="115"/>
      <c r="H463" s="115"/>
      <c r="I463" s="11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5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5" customFormat="1">
      <c r="E465" s="6"/>
      <c r="F465" s="21" t="s">
        <v>84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5" customFormat="1">
      <c r="E466" s="6"/>
      <c r="F466" s="56" t="s">
        <v>85</v>
      </c>
      <c r="G466" s="24" t="s">
        <v>36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5" customFormat="1">
      <c r="E467" s="6"/>
      <c r="F467" s="62" t="s">
        <v>83</v>
      </c>
      <c r="G467" s="111" t="s">
        <v>36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5" customFormat="1">
      <c r="E468" s="6"/>
      <c r="F468" s="110">
        <v>45292</v>
      </c>
      <c r="G468" s="113">
        <v>1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5" customFormat="1">
      <c r="E469" s="6"/>
      <c r="F469" s="124">
        <v>46082</v>
      </c>
      <c r="G469" s="114">
        <v>1.3951644867221562</v>
      </c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5" customFormat="1">
      <c r="E470" s="6"/>
      <c r="F470" s="3"/>
      <c r="G470" s="114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5" customFormat="1">
      <c r="E471" s="6"/>
      <c r="F471" s="3"/>
      <c r="G471" s="114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5" customFormat="1">
      <c r="E472" s="6"/>
      <c r="F472" s="3"/>
      <c r="G472" s="114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5" customFormat="1">
      <c r="E473" s="6"/>
      <c r="F473" s="3"/>
      <c r="G473" s="114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5" customFormat="1">
      <c r="E474" s="6"/>
      <c r="F474" s="3"/>
      <c r="G474" s="114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5" customFormat="1">
      <c r="E475" s="6"/>
      <c r="F475" s="3"/>
      <c r="G475" s="114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5" customFormat="1">
      <c r="E476" s="6"/>
      <c r="F476" s="3"/>
      <c r="G476" s="114"/>
      <c r="H476" s="6"/>
      <c r="I476" s="6"/>
      <c r="J476" s="6"/>
      <c r="K476" s="6"/>
      <c r="L476" s="6"/>
      <c r="M476" s="6"/>
      <c r="N476" s="21"/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5" customFormat="1">
      <c r="E477" s="6"/>
      <c r="F477" s="61"/>
      <c r="G477" s="115"/>
      <c r="H477" s="6"/>
      <c r="I477" s="6"/>
      <c r="J477" s="6"/>
      <c r="K477" s="6"/>
      <c r="L477" s="6"/>
      <c r="M477" s="6"/>
      <c r="N477" s="21"/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5" customFormat="1">
      <c r="E478" s="6"/>
      <c r="F478" s="6"/>
      <c r="G478" s="6"/>
      <c r="H478" s="6"/>
      <c r="I478" s="6"/>
      <c r="J478" s="6"/>
      <c r="K478" s="6"/>
      <c r="L478" s="6"/>
      <c r="M478" s="6"/>
      <c r="N478" s="21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5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86</v>
      </c>
      <c r="Q479" s="6"/>
      <c r="R479" s="6"/>
      <c r="S479" s="6"/>
      <c r="T479" s="6"/>
      <c r="U479" s="6"/>
      <c r="V479" s="6"/>
      <c r="W479" s="6"/>
    </row>
    <row r="480" spans="5:23" s="55" customFormat="1">
      <c r="E480" s="6"/>
      <c r="F480" s="63"/>
      <c r="G480" s="9"/>
      <c r="H480" s="9"/>
      <c r="I480" s="9"/>
      <c r="J480" s="9"/>
      <c r="K480" s="6"/>
      <c r="L480" s="6"/>
      <c r="M480" s="6"/>
      <c r="N480" s="6"/>
      <c r="O480" s="6"/>
      <c r="P480" s="64" t="s">
        <v>87</v>
      </c>
      <c r="Q480" s="116">
        <v>0.68</v>
      </c>
      <c r="R480" s="116">
        <v>0.09</v>
      </c>
      <c r="S480" s="116">
        <v>0.1</v>
      </c>
      <c r="T480" s="116">
        <v>7.0000000000000007E-2</v>
      </c>
      <c r="U480" s="116">
        <v>0.06</v>
      </c>
      <c r="V480" s="58"/>
      <c r="W480" s="6"/>
    </row>
    <row r="481" spans="5:23" s="55" customFormat="1">
      <c r="E481" s="6"/>
      <c r="F481" s="65" t="s">
        <v>88</v>
      </c>
      <c r="G481" s="9"/>
      <c r="H481" s="9"/>
      <c r="I481" s="9"/>
      <c r="J481" s="9"/>
      <c r="K481" s="6"/>
      <c r="L481" s="65" t="s">
        <v>89</v>
      </c>
      <c r="M481" s="6"/>
      <c r="N481" s="6"/>
      <c r="O481" s="6"/>
      <c r="P481" s="66" t="s">
        <v>90</v>
      </c>
      <c r="Q481" s="117">
        <v>108.6</v>
      </c>
      <c r="R481" s="117">
        <v>115.5</v>
      </c>
      <c r="S481" s="117">
        <v>97.1</v>
      </c>
      <c r="T481" s="117">
        <v>4.7699999999999996</v>
      </c>
      <c r="U481" s="117">
        <v>82.8</v>
      </c>
      <c r="V481" s="61"/>
      <c r="W481" s="6"/>
    </row>
    <row r="482" spans="5:23" s="55" customFormat="1">
      <c r="E482" s="6"/>
      <c r="F482" s="67" t="s">
        <v>3</v>
      </c>
      <c r="G482" s="24" t="s">
        <v>69</v>
      </c>
      <c r="H482" s="68" t="s">
        <v>10</v>
      </c>
      <c r="I482" s="68" t="s">
        <v>11</v>
      </c>
      <c r="J482" s="68" t="s">
        <v>12</v>
      </c>
      <c r="K482" s="63"/>
      <c r="L482" s="67" t="s">
        <v>3</v>
      </c>
      <c r="M482" s="68" t="s">
        <v>36</v>
      </c>
      <c r="N482" s="6"/>
      <c r="O482" s="63"/>
      <c r="P482" s="69" t="s">
        <v>3</v>
      </c>
      <c r="Q482" s="109" t="s">
        <v>69</v>
      </c>
      <c r="R482" s="112" t="s">
        <v>10</v>
      </c>
      <c r="S482" s="112" t="s">
        <v>11</v>
      </c>
      <c r="T482" s="112" t="s">
        <v>12</v>
      </c>
      <c r="U482" s="112" t="s">
        <v>36</v>
      </c>
      <c r="V482" s="112" t="s">
        <v>4</v>
      </c>
      <c r="W482" s="6"/>
    </row>
    <row r="483" spans="5:23" s="55" customFormat="1">
      <c r="E483" s="6"/>
      <c r="F483" s="25">
        <v>45292</v>
      </c>
      <c r="G483" s="30">
        <v>153.5</v>
      </c>
      <c r="H483" s="30">
        <v>117.3</v>
      </c>
      <c r="I483" s="30">
        <v>123.5</v>
      </c>
      <c r="J483" s="30">
        <v>3.51</v>
      </c>
      <c r="K483" s="6"/>
      <c r="L483" s="25">
        <v>45292</v>
      </c>
      <c r="M483" s="26">
        <v>147.80000000000001</v>
      </c>
      <c r="N483" s="6"/>
      <c r="O483" s="6"/>
      <c r="P483" s="70">
        <v>45292</v>
      </c>
      <c r="Q483" s="118">
        <v>42.771961325966871</v>
      </c>
      <c r="R483" s="118">
        <v>33.308174791140736</v>
      </c>
      <c r="S483" s="118">
        <v>28.940862203419272</v>
      </c>
      <c r="T483" s="118">
        <v>-26.415094339622641</v>
      </c>
      <c r="U483" s="118">
        <v>78.502415458937207</v>
      </c>
      <c r="V483" s="118">
        <v>137.83784397696471</v>
      </c>
      <c r="W483" s="6"/>
    </row>
    <row r="484" spans="5:23" s="55" customFormat="1">
      <c r="E484" s="6"/>
      <c r="F484" s="25">
        <v>45323</v>
      </c>
      <c r="G484" s="30">
        <v>153.5</v>
      </c>
      <c r="H484" s="30">
        <v>116.7</v>
      </c>
      <c r="I484" s="30">
        <v>123.3</v>
      </c>
      <c r="J484" s="30">
        <v>3.18</v>
      </c>
      <c r="K484" s="6"/>
      <c r="L484" s="25">
        <v>45323</v>
      </c>
      <c r="M484" s="30">
        <v>150.30000000000001</v>
      </c>
      <c r="N484" s="6"/>
      <c r="O484" s="6"/>
      <c r="P484" s="25">
        <v>45323</v>
      </c>
      <c r="Q484" s="119">
        <v>42.771961325966871</v>
      </c>
      <c r="R484" s="119">
        <v>32.626291544127234</v>
      </c>
      <c r="S484" s="119">
        <v>28.732051090539233</v>
      </c>
      <c r="T484" s="119">
        <v>-33.333333333333329</v>
      </c>
      <c r="U484" s="119">
        <v>81.521739130434796</v>
      </c>
      <c r="V484" s="119">
        <v>137.45247606417558</v>
      </c>
      <c r="W484" s="6"/>
    </row>
    <row r="485" spans="5:23" s="55" customFormat="1">
      <c r="E485" s="6"/>
      <c r="F485" s="25">
        <v>45352</v>
      </c>
      <c r="G485" s="30">
        <v>153.5</v>
      </c>
      <c r="H485" s="30">
        <v>117.8</v>
      </c>
      <c r="I485" s="30">
        <v>122.3</v>
      </c>
      <c r="J485" s="30">
        <v>3.23</v>
      </c>
      <c r="K485" s="6"/>
      <c r="L485" s="25">
        <v>45352</v>
      </c>
      <c r="M485" s="30">
        <v>166.1</v>
      </c>
      <c r="N485" s="6"/>
      <c r="O485" s="6"/>
      <c r="P485" s="25">
        <v>45352</v>
      </c>
      <c r="Q485" s="119">
        <v>42.771961325966871</v>
      </c>
      <c r="R485" s="119">
        <v>33.87641083031864</v>
      </c>
      <c r="S485" s="119">
        <v>27.68799552613908</v>
      </c>
      <c r="T485" s="119">
        <v>-32.285115303983225</v>
      </c>
      <c r="U485" s="119">
        <v>100.60386473429952</v>
      </c>
      <c r="V485" s="119">
        <v>138.67888404177921</v>
      </c>
      <c r="W485" s="6"/>
    </row>
    <row r="486" spans="5:23" s="55" customFormat="1">
      <c r="E486" s="6"/>
      <c r="F486" s="25">
        <v>45383</v>
      </c>
      <c r="G486" s="30">
        <v>154.80000000000001</v>
      </c>
      <c r="H486" s="30">
        <v>118.4</v>
      </c>
      <c r="I486" s="30">
        <v>122.6</v>
      </c>
      <c r="J486" s="30">
        <v>3.38</v>
      </c>
      <c r="K486" s="6"/>
      <c r="L486" s="25">
        <v>45383</v>
      </c>
      <c r="M486" s="30">
        <v>162</v>
      </c>
      <c r="N486" s="6"/>
      <c r="O486" s="6"/>
      <c r="P486" s="25">
        <v>45383</v>
      </c>
      <c r="Q486" s="119">
        <v>43.981104972375704</v>
      </c>
      <c r="R486" s="119">
        <v>34.558294077332171</v>
      </c>
      <c r="S486" s="119">
        <v>28.001212195459129</v>
      </c>
      <c r="T486" s="119">
        <v>-29.140461215932913</v>
      </c>
      <c r="U486" s="119">
        <v>95.652173913043484</v>
      </c>
      <c r="V486" s="119">
        <v>139.51681721738859</v>
      </c>
      <c r="W486" s="6"/>
    </row>
    <row r="487" spans="5:23" s="55" customFormat="1">
      <c r="E487" s="6"/>
      <c r="F487" s="25">
        <v>45413</v>
      </c>
      <c r="G487" s="30">
        <v>154.80000000000001</v>
      </c>
      <c r="H487" s="30">
        <v>118.4</v>
      </c>
      <c r="I487" s="30">
        <v>122.2</v>
      </c>
      <c r="J487" s="30">
        <v>3.39</v>
      </c>
      <c r="K487" s="6"/>
      <c r="L487" s="25">
        <v>45413</v>
      </c>
      <c r="M487" s="30">
        <v>161.1</v>
      </c>
      <c r="N487" s="6"/>
      <c r="O487" s="6"/>
      <c r="P487" s="25">
        <v>45413</v>
      </c>
      <c r="Q487" s="119">
        <v>43.981104972375704</v>
      </c>
      <c r="R487" s="119">
        <v>34.558294077332171</v>
      </c>
      <c r="S487" s="119">
        <v>27.583589969699073</v>
      </c>
      <c r="T487" s="119">
        <v>-28.930817610062888</v>
      </c>
      <c r="U487" s="119">
        <v>94.565217391304344</v>
      </c>
      <c r="V487" s="119">
        <v>139.42451265591916</v>
      </c>
      <c r="W487" s="6"/>
    </row>
    <row r="488" spans="5:23" s="55" customFormat="1">
      <c r="E488" s="6"/>
      <c r="F488" s="25">
        <v>45444</v>
      </c>
      <c r="G488" s="30">
        <v>154.80000000000001</v>
      </c>
      <c r="H488" s="30">
        <v>118.5</v>
      </c>
      <c r="I488" s="30">
        <v>122.7</v>
      </c>
      <c r="J488" s="30">
        <v>3.43</v>
      </c>
      <c r="K488" s="6"/>
      <c r="L488" s="25">
        <v>45444</v>
      </c>
      <c r="M488" s="30">
        <v>127.9</v>
      </c>
      <c r="N488" s="6"/>
      <c r="O488" s="6"/>
      <c r="P488" s="25">
        <v>45444</v>
      </c>
      <c r="Q488" s="119">
        <v>43.981104972375704</v>
      </c>
      <c r="R488" s="119">
        <v>34.671941285167748</v>
      </c>
      <c r="S488" s="119">
        <v>28.105617751899153</v>
      </c>
      <c r="T488" s="119">
        <v>-28.092243186582799</v>
      </c>
      <c r="U488" s="119">
        <v>54.468599033816432</v>
      </c>
      <c r="V488" s="119">
        <v>137.13984679103868</v>
      </c>
      <c r="W488" s="6"/>
    </row>
    <row r="489" spans="5:23" s="55" customFormat="1">
      <c r="E489" s="6"/>
      <c r="F489" s="25">
        <v>45474</v>
      </c>
      <c r="G489" s="30">
        <v>156.1</v>
      </c>
      <c r="H489" s="30">
        <v>118.5</v>
      </c>
      <c r="I489" s="30">
        <v>123.2</v>
      </c>
      <c r="J489" s="30">
        <v>3.49</v>
      </c>
      <c r="K489" s="6"/>
      <c r="L489" s="25">
        <v>45474</v>
      </c>
      <c r="M489" s="30">
        <v>127.9</v>
      </c>
      <c r="N489" s="6"/>
      <c r="O489" s="6"/>
      <c r="P489" s="25">
        <v>45474</v>
      </c>
      <c r="Q489" s="119">
        <v>45.190248618784523</v>
      </c>
      <c r="R489" s="119">
        <v>34.671941285167748</v>
      </c>
      <c r="S489" s="119">
        <v>28.627645534099223</v>
      </c>
      <c r="T489" s="119">
        <v>-26.834381551362675</v>
      </c>
      <c r="U489" s="119">
        <v>54.468599033816432</v>
      </c>
      <c r="V489" s="119">
        <v>138.1023175632821</v>
      </c>
      <c r="W489" s="6"/>
    </row>
    <row r="490" spans="5:23" s="55" customFormat="1">
      <c r="E490" s="6"/>
      <c r="F490" s="25">
        <v>45505</v>
      </c>
      <c r="G490" s="30">
        <v>156.1</v>
      </c>
      <c r="H490" s="30">
        <v>118.5</v>
      </c>
      <c r="I490" s="30">
        <v>123.2</v>
      </c>
      <c r="J490" s="30">
        <v>3.4</v>
      </c>
      <c r="K490" s="6"/>
      <c r="L490" s="25">
        <v>45505</v>
      </c>
      <c r="M490" s="30">
        <v>129.6</v>
      </c>
      <c r="N490" s="6"/>
      <c r="O490" s="6"/>
      <c r="P490" s="25">
        <v>45505</v>
      </c>
      <c r="Q490" s="119">
        <v>45.190248618784523</v>
      </c>
      <c r="R490" s="119">
        <v>34.671941285167748</v>
      </c>
      <c r="S490" s="119">
        <v>28.627645534099223</v>
      </c>
      <c r="T490" s="119">
        <v>-28.721174004192868</v>
      </c>
      <c r="U490" s="119">
        <v>56.521739130434781</v>
      </c>
      <c r="V490" s="119">
        <v>138.09343049738109</v>
      </c>
      <c r="W490" s="6"/>
    </row>
    <row r="491" spans="5:23" s="55" customFormat="1">
      <c r="E491" s="6"/>
      <c r="F491" s="25">
        <v>45536</v>
      </c>
      <c r="G491" s="30">
        <v>121.5</v>
      </c>
      <c r="H491" s="30">
        <v>119.8</v>
      </c>
      <c r="I491" s="30">
        <v>123.4</v>
      </c>
      <c r="J491" s="30">
        <v>3.12</v>
      </c>
      <c r="K491" s="6"/>
      <c r="L491" s="25">
        <v>45536</v>
      </c>
      <c r="M491" s="30">
        <v>130.4</v>
      </c>
      <c r="N491" s="6"/>
      <c r="O491" s="6"/>
      <c r="P491" s="25">
        <v>45536</v>
      </c>
      <c r="Q491" s="119">
        <v>45.190248618784523</v>
      </c>
      <c r="R491" s="119">
        <v>36.14935498703035</v>
      </c>
      <c r="S491" s="119">
        <v>28.836456646979258</v>
      </c>
      <c r="T491" s="119">
        <v>-34.591194968553452</v>
      </c>
      <c r="U491" s="119">
        <v>57.48792270531402</v>
      </c>
      <c r="V491" s="119">
        <v>137.89434838882423</v>
      </c>
      <c r="W491" s="6"/>
    </row>
    <row r="492" spans="5:23" s="55" customFormat="1">
      <c r="E492" s="6"/>
      <c r="F492" s="25">
        <v>45566</v>
      </c>
      <c r="G492" s="30">
        <v>125.5</v>
      </c>
      <c r="H492" s="30">
        <v>119.3</v>
      </c>
      <c r="I492" s="30">
        <v>123.6</v>
      </c>
      <c r="J492" s="30">
        <v>3.05</v>
      </c>
      <c r="K492" s="6"/>
      <c r="L492" s="25">
        <v>45566</v>
      </c>
      <c r="M492" s="30">
        <v>153.4</v>
      </c>
      <c r="N492" s="6"/>
      <c r="O492" s="6"/>
      <c r="P492" s="25">
        <v>45566</v>
      </c>
      <c r="Q492" s="119">
        <v>49.970174499238354</v>
      </c>
      <c r="R492" s="119">
        <v>35.581118947852424</v>
      </c>
      <c r="S492" s="119">
        <v>29.045267759859279</v>
      </c>
      <c r="T492" s="119">
        <v>-36.058700209643604</v>
      </c>
      <c r="U492" s="119">
        <v>85.265700483091805</v>
      </c>
      <c r="V492" s="119">
        <v>142.67837915508517</v>
      </c>
      <c r="W492" s="6"/>
    </row>
    <row r="493" spans="5:23" s="55" customFormat="1">
      <c r="E493" s="6"/>
      <c r="F493" s="25">
        <v>45597</v>
      </c>
      <c r="G493" s="30">
        <v>125.5</v>
      </c>
      <c r="H493" s="30">
        <v>118.9</v>
      </c>
      <c r="I493" s="30">
        <v>123.5</v>
      </c>
      <c r="J493" s="30">
        <v>2.82</v>
      </c>
      <c r="K493" s="6"/>
      <c r="L493" s="25">
        <v>45597</v>
      </c>
      <c r="M493" s="30">
        <v>136.4</v>
      </c>
      <c r="N493" s="6"/>
      <c r="O493" s="6"/>
      <c r="P493" s="25">
        <v>45597</v>
      </c>
      <c r="Q493" s="119">
        <v>49.970174499238354</v>
      </c>
      <c r="R493" s="119">
        <v>35.126530116510096</v>
      </c>
      <c r="S493" s="119">
        <v>28.940862203419272</v>
      </c>
      <c r="T493" s="119">
        <v>-40.880503144654085</v>
      </c>
      <c r="U493" s="119">
        <v>64.734299516908223</v>
      </c>
      <c r="V493" s="119">
        <v>141.05761534119864</v>
      </c>
      <c r="W493" s="6"/>
    </row>
    <row r="494" spans="5:23" s="55" customFormat="1">
      <c r="E494" s="6"/>
      <c r="F494" s="25">
        <v>45627</v>
      </c>
      <c r="G494" s="30">
        <v>125.5</v>
      </c>
      <c r="H494" s="30">
        <v>119.6</v>
      </c>
      <c r="I494" s="30">
        <v>122.9</v>
      </c>
      <c r="J494" s="30">
        <v>2.9</v>
      </c>
      <c r="K494" s="6"/>
      <c r="L494" s="25">
        <v>45627</v>
      </c>
      <c r="M494" s="30">
        <v>162.80000000000001</v>
      </c>
      <c r="N494" s="6"/>
      <c r="O494" s="6"/>
      <c r="P494" s="25">
        <v>45627</v>
      </c>
      <c r="Q494" s="119">
        <v>49.970174499238354</v>
      </c>
      <c r="R494" s="119">
        <v>35.922060571359175</v>
      </c>
      <c r="S494" s="119">
        <v>28.314428864779188</v>
      </c>
      <c r="T494" s="119">
        <v>-39.203354297693913</v>
      </c>
      <c r="U494" s="119">
        <v>96.618357487922722</v>
      </c>
      <c r="V494" s="119">
        <v>143.09701364581912</v>
      </c>
      <c r="W494" s="6"/>
    </row>
    <row r="495" spans="5:23" s="55" customFormat="1">
      <c r="E495" s="6"/>
      <c r="F495" s="25">
        <v>45658</v>
      </c>
      <c r="G495" s="30">
        <v>124.7</v>
      </c>
      <c r="H495" s="30">
        <v>119.2</v>
      </c>
      <c r="I495" s="30">
        <v>123.2</v>
      </c>
      <c r="J495" s="30">
        <v>2.67</v>
      </c>
      <c r="K495" s="6"/>
      <c r="L495" s="25">
        <v>45658</v>
      </c>
      <c r="M495" s="30">
        <v>172.2</v>
      </c>
      <c r="N495" s="6"/>
      <c r="O495" s="6"/>
      <c r="P495" s="25">
        <v>45658</v>
      </c>
      <c r="Q495" s="119">
        <v>49.014189323147576</v>
      </c>
      <c r="R495" s="119">
        <v>35.467471740016848</v>
      </c>
      <c r="S495" s="119">
        <v>28.627645534099223</v>
      </c>
      <c r="T495" s="119">
        <v>-44.025157232704402</v>
      </c>
      <c r="U495" s="119">
        <v>107.97101449275361</v>
      </c>
      <c r="V495" s="119">
        <v>142.78098561302772</v>
      </c>
      <c r="W495" s="6"/>
    </row>
    <row r="496" spans="5:23" s="55" customFormat="1">
      <c r="E496" s="6"/>
      <c r="F496" s="25">
        <v>45689</v>
      </c>
      <c r="G496" s="30">
        <v>124.7</v>
      </c>
      <c r="H496" s="30">
        <v>118.9</v>
      </c>
      <c r="I496" s="30">
        <v>113.8</v>
      </c>
      <c r="J496" s="30">
        <v>2.82</v>
      </c>
      <c r="K496" s="6"/>
      <c r="L496" s="25">
        <v>45689</v>
      </c>
      <c r="M496" s="30">
        <v>163.69999999999999</v>
      </c>
      <c r="N496" s="6"/>
      <c r="O496" s="6"/>
      <c r="P496" s="25">
        <v>45689</v>
      </c>
      <c r="Q496" s="119">
        <v>49.014189323147576</v>
      </c>
      <c r="R496" s="119">
        <v>35.126530116510096</v>
      </c>
      <c r="S496" s="119">
        <v>28.940862203419282</v>
      </c>
      <c r="T496" s="119">
        <v>-40.880503144654085</v>
      </c>
      <c r="U496" s="119">
        <v>97.705314009661819</v>
      </c>
      <c r="V496" s="119">
        <v>142.38580629102211</v>
      </c>
      <c r="W496" s="6"/>
    </row>
    <row r="497" spans="5:23" s="55" customFormat="1">
      <c r="E497" s="6"/>
      <c r="F497" s="25">
        <v>45717</v>
      </c>
      <c r="G497" s="30">
        <v>124.7</v>
      </c>
      <c r="H497" s="30">
        <v>119.6</v>
      </c>
      <c r="I497" s="30">
        <v>113.1</v>
      </c>
      <c r="J497" s="30">
        <v>2.73</v>
      </c>
      <c r="K497" s="6"/>
      <c r="L497" s="25">
        <v>45717</v>
      </c>
      <c r="M497" s="30">
        <v>167.2</v>
      </c>
      <c r="N497" s="6"/>
      <c r="O497" s="6"/>
      <c r="P497" s="25">
        <v>45717</v>
      </c>
      <c r="Q497" s="119">
        <v>49.014189323147576</v>
      </c>
      <c r="R497" s="119">
        <v>35.922060571359175</v>
      </c>
      <c r="S497" s="119">
        <v>28.147728604628469</v>
      </c>
      <c r="T497" s="119">
        <v>-42.767295597484271</v>
      </c>
      <c r="U497" s="119">
        <v>101.93236714975843</v>
      </c>
      <c r="V497" s="119">
        <v>142.49963838878713</v>
      </c>
      <c r="W497" s="6"/>
    </row>
    <row r="498" spans="5:23" s="55" customFormat="1">
      <c r="E498" s="6"/>
      <c r="F498" s="25">
        <v>45748</v>
      </c>
      <c r="G498" s="30">
        <v>125.8</v>
      </c>
      <c r="H498" s="30">
        <v>120.8</v>
      </c>
      <c r="I498" s="30">
        <v>112.9</v>
      </c>
      <c r="J498" s="30">
        <v>2.69</v>
      </c>
      <c r="K498" s="6"/>
      <c r="L498" s="25">
        <v>45748</v>
      </c>
      <c r="M498" s="30">
        <v>182.6</v>
      </c>
      <c r="N498" s="6"/>
      <c r="O498" s="6"/>
      <c r="P498" s="25">
        <v>45748</v>
      </c>
      <c r="Q498" s="119">
        <v>50.328668940272372</v>
      </c>
      <c r="R498" s="119">
        <v>37.285827065386187</v>
      </c>
      <c r="S498" s="119">
        <v>27.921119004973971</v>
      </c>
      <c r="T498" s="119">
        <v>-43.605870020964353</v>
      </c>
      <c r="U498" s="119">
        <v>120.53140096618358</v>
      </c>
      <c r="V498" s="119">
        <v>144.55080437227087</v>
      </c>
      <c r="W498" s="6"/>
    </row>
    <row r="499" spans="5:23" s="55" customFormat="1">
      <c r="E499" s="6"/>
      <c r="F499" s="25">
        <v>45778</v>
      </c>
      <c r="G499" s="30">
        <v>125.8</v>
      </c>
      <c r="H499" s="30">
        <v>120.2</v>
      </c>
      <c r="I499" s="30">
        <v>112.8</v>
      </c>
      <c r="J499" s="30">
        <v>2.75</v>
      </c>
      <c r="K499" s="6"/>
      <c r="L499" s="25">
        <v>45778</v>
      </c>
      <c r="M499" s="30">
        <v>154.4</v>
      </c>
      <c r="N499" s="6"/>
      <c r="O499" s="6"/>
      <c r="P499" s="25">
        <v>45778</v>
      </c>
      <c r="Q499" s="119">
        <v>50.328668940272372</v>
      </c>
      <c r="R499" s="119">
        <v>36.603943818372677</v>
      </c>
      <c r="S499" s="119">
        <v>27.807814205146709</v>
      </c>
      <c r="T499" s="119">
        <v>-42.34800838574423</v>
      </c>
      <c r="U499" s="119">
        <v>86.473429951690832</v>
      </c>
      <c r="V499" s="119">
        <v>142.52267645365276</v>
      </c>
      <c r="W499" s="6"/>
    </row>
    <row r="500" spans="5:23" s="55" customFormat="1">
      <c r="E500" s="6"/>
      <c r="F500" s="25">
        <v>45809</v>
      </c>
      <c r="G500" s="30">
        <v>125.8</v>
      </c>
      <c r="H500" s="30">
        <v>120.3</v>
      </c>
      <c r="I500" s="30">
        <v>114.6</v>
      </c>
      <c r="J500" s="30">
        <v>2.61</v>
      </c>
      <c r="K500" s="6"/>
      <c r="L500" s="25">
        <v>45809</v>
      </c>
      <c r="M500" s="30">
        <v>124.5</v>
      </c>
      <c r="N500" s="6"/>
      <c r="O500" s="6"/>
      <c r="P500" s="25">
        <v>45809</v>
      </c>
      <c r="Q500" s="119">
        <v>50.328668940272372</v>
      </c>
      <c r="R500" s="119">
        <v>36.717591026208254</v>
      </c>
      <c r="S500" s="119">
        <v>29.847300602037347</v>
      </c>
      <c r="T500" s="119">
        <v>-45.283018867924525</v>
      </c>
      <c r="U500" s="119">
        <v>50.362318840579711</v>
      </c>
      <c r="V500" s="119">
        <v>140.36473594162777</v>
      </c>
      <c r="W500" s="6"/>
    </row>
    <row r="501" spans="5:23" s="55" customFormat="1">
      <c r="E501" s="6"/>
      <c r="F501" s="25">
        <v>45839</v>
      </c>
      <c r="G501" s="30">
        <v>126.3</v>
      </c>
      <c r="H501" s="30">
        <v>120.4</v>
      </c>
      <c r="I501" s="30">
        <v>114.9</v>
      </c>
      <c r="J501" s="30">
        <v>2.67</v>
      </c>
      <c r="K501" s="6"/>
      <c r="L501" s="25">
        <v>45839</v>
      </c>
      <c r="M501" s="30">
        <v>123.7</v>
      </c>
      <c r="N501" s="6"/>
      <c r="O501" s="6"/>
      <c r="P501" s="25">
        <v>45839</v>
      </c>
      <c r="Q501" s="119">
        <v>50.926159675329096</v>
      </c>
      <c r="R501" s="119">
        <v>36.831238234043859</v>
      </c>
      <c r="S501" s="119">
        <v>30.187215001519125</v>
      </c>
      <c r="T501" s="119">
        <v>-44.025157232704402</v>
      </c>
      <c r="U501" s="119">
        <v>49.396135265700494</v>
      </c>
      <c r="V501" s="119">
        <v>140.84532863009235</v>
      </c>
      <c r="W501" s="6"/>
    </row>
    <row r="502" spans="5:23" s="55" customFormat="1">
      <c r="E502" s="6"/>
      <c r="F502" s="25">
        <v>45870</v>
      </c>
      <c r="G502" s="30">
        <v>126.3</v>
      </c>
      <c r="H502" s="30">
        <v>120.7</v>
      </c>
      <c r="I502" s="30">
        <v>114.4</v>
      </c>
      <c r="J502" s="30">
        <v>2.75</v>
      </c>
      <c r="K502" s="6"/>
      <c r="L502" s="25">
        <v>45870</v>
      </c>
      <c r="M502" s="30">
        <v>116</v>
      </c>
      <c r="N502" s="6"/>
      <c r="O502" s="6"/>
      <c r="P502" s="25">
        <v>45870</v>
      </c>
      <c r="Q502" s="119">
        <v>50.926159675329096</v>
      </c>
      <c r="R502" s="119">
        <v>37.17217985755061</v>
      </c>
      <c r="S502" s="119">
        <v>29.620691002382831</v>
      </c>
      <c r="T502" s="119">
        <v>-42.34800838574423</v>
      </c>
      <c r="U502" s="119">
        <v>40.096618357487927</v>
      </c>
      <c r="V502" s="119">
        <v>140.37879038108881</v>
      </c>
      <c r="W502" s="6"/>
    </row>
    <row r="503" spans="5:23" s="55" customFormat="1">
      <c r="E503" s="6"/>
      <c r="F503" s="25">
        <v>45901</v>
      </c>
      <c r="G503" s="30">
        <v>126.3</v>
      </c>
      <c r="H503" s="30">
        <v>122.5</v>
      </c>
      <c r="I503" s="30">
        <v>114.8</v>
      </c>
      <c r="J503" s="30">
        <v>2.69</v>
      </c>
      <c r="K503" s="6"/>
      <c r="L503" s="25">
        <v>45901</v>
      </c>
      <c r="M503" s="30">
        <v>132.19999999999999</v>
      </c>
      <c r="N503" s="6"/>
      <c r="O503" s="6"/>
      <c r="P503" s="25">
        <v>45901</v>
      </c>
      <c r="Q503" s="119">
        <v>50.926159675329096</v>
      </c>
      <c r="R503" s="119">
        <v>39.217829598591116</v>
      </c>
      <c r="S503" s="119">
        <v>30.073910201691863</v>
      </c>
      <c r="T503" s="119">
        <v>-43.605870020964353</v>
      </c>
      <c r="U503" s="119">
        <v>59.661835748792257</v>
      </c>
      <c r="V503" s="119">
        <v>141.6940835067262</v>
      </c>
      <c r="W503" s="6"/>
    </row>
    <row r="504" spans="5:23" s="55" customFormat="1">
      <c r="E504" s="6"/>
      <c r="F504" s="25">
        <v>45931</v>
      </c>
      <c r="G504" s="30">
        <v>129.1</v>
      </c>
      <c r="H504" s="30">
        <v>121.7</v>
      </c>
      <c r="I504" s="30">
        <v>113.3</v>
      </c>
      <c r="J504" s="30">
        <v>2.73</v>
      </c>
      <c r="K504" s="6"/>
      <c r="L504" s="25">
        <v>45931</v>
      </c>
      <c r="M504" s="30">
        <v>123.7</v>
      </c>
      <c r="N504" s="6"/>
      <c r="O504" s="6"/>
      <c r="P504" s="25">
        <v>45931</v>
      </c>
      <c r="Q504" s="119">
        <v>54.272107791646775</v>
      </c>
      <c r="R504" s="119">
        <v>38.308651935906468</v>
      </c>
      <c r="S504" s="119">
        <v>28.374338204282989</v>
      </c>
      <c r="T504" s="119">
        <v>-42.767295597484271</v>
      </c>
      <c r="U504" s="119">
        <v>49.396135265700494</v>
      </c>
      <c r="V504" s="119">
        <v>143.16030321709783</v>
      </c>
      <c r="W504" s="6"/>
    </row>
    <row r="505" spans="5:23" s="55" customFormat="1">
      <c r="E505" s="6"/>
      <c r="F505" s="25">
        <v>45962</v>
      </c>
      <c r="G505" s="30">
        <v>129.1</v>
      </c>
      <c r="H505" s="30">
        <v>121.6</v>
      </c>
      <c r="I505" s="30">
        <v>113.3</v>
      </c>
      <c r="J505" s="30">
        <v>2.76</v>
      </c>
      <c r="K505" s="6"/>
      <c r="L505" s="25">
        <v>45962</v>
      </c>
      <c r="M505" s="30">
        <v>116</v>
      </c>
      <c r="N505" s="6"/>
      <c r="O505" s="6"/>
      <c r="P505" s="25">
        <v>45962</v>
      </c>
      <c r="Q505" s="30">
        <v>54.272107791646775</v>
      </c>
      <c r="R505" s="30">
        <v>38.195004728070863</v>
      </c>
      <c r="S505" s="30">
        <v>28.374338204282989</v>
      </c>
      <c r="T505" s="30">
        <v>-42.138364779874216</v>
      </c>
      <c r="U505" s="30">
        <v>40.096618357487927</v>
      </c>
      <c r="V505" s="119">
        <v>142.63612911113256</v>
      </c>
      <c r="W505" s="6"/>
    </row>
    <row r="506" spans="5:23" s="55" customFormat="1">
      <c r="E506" s="6"/>
      <c r="F506" s="25">
        <v>45992</v>
      </c>
      <c r="G506" s="30">
        <v>129.1</v>
      </c>
      <c r="H506" s="30">
        <v>122.1</v>
      </c>
      <c r="I506" s="30">
        <v>114.8</v>
      </c>
      <c r="J506" s="30">
        <v>2.68</v>
      </c>
      <c r="K506" s="6"/>
      <c r="L506" s="25">
        <v>45992</v>
      </c>
      <c r="M506" s="30">
        <v>146.69999999999999</v>
      </c>
      <c r="N506" s="6"/>
      <c r="O506" s="6"/>
      <c r="P506" s="25">
        <v>45992</v>
      </c>
      <c r="Q506" s="30">
        <v>54.272107791646775</v>
      </c>
      <c r="R506" s="30">
        <v>38.763240767248796</v>
      </c>
      <c r="S506" s="30">
        <v>30.073910201691863</v>
      </c>
      <c r="T506" s="30">
        <v>-43.815513626834374</v>
      </c>
      <c r="U506" s="30">
        <v>77.173913043478251</v>
      </c>
      <c r="V506" s="119">
        <v>144.96446481627169</v>
      </c>
      <c r="W506" s="6"/>
    </row>
    <row r="507" spans="5:23" s="55" customFormat="1">
      <c r="E507" s="6"/>
      <c r="F507" s="25">
        <v>46023</v>
      </c>
      <c r="G507" s="30">
        <v>128.69999999999999</v>
      </c>
      <c r="H507" s="30">
        <v>121.7</v>
      </c>
      <c r="I507" s="30">
        <v>114</v>
      </c>
      <c r="J507" s="30">
        <v>2.69</v>
      </c>
      <c r="K507" s="6"/>
      <c r="L507" s="25">
        <v>46023</v>
      </c>
      <c r="M507" s="30">
        <v>145.9</v>
      </c>
      <c r="N507" s="6"/>
      <c r="O507" s="6"/>
      <c r="P507" s="25">
        <v>46023</v>
      </c>
      <c r="Q507" s="30">
        <v>53.794115203601379</v>
      </c>
      <c r="R507" s="30">
        <v>38.308651935906468</v>
      </c>
      <c r="S507" s="30">
        <v>29.167471803073795</v>
      </c>
      <c r="T507" s="30">
        <v>-43.605870020964353</v>
      </c>
      <c r="U507" s="30">
        <v>76.207729468599055</v>
      </c>
      <c r="V507" s="119">
        <v>144.46457705963633</v>
      </c>
      <c r="W507" s="6"/>
    </row>
    <row r="508" spans="5:23" s="55" customFormat="1">
      <c r="E508" s="6"/>
      <c r="F508" s="25">
        <v>46054</v>
      </c>
      <c r="G508" s="30">
        <v>128.69999999999999</v>
      </c>
      <c r="H508" s="30">
        <v>121.2</v>
      </c>
      <c r="I508" s="30">
        <v>113</v>
      </c>
      <c r="J508" s="30">
        <v>2.79</v>
      </c>
      <c r="K508" s="6"/>
      <c r="L508" s="25">
        <v>46054</v>
      </c>
      <c r="M508" s="30">
        <v>140.80000000000001</v>
      </c>
      <c r="N508" s="6"/>
      <c r="O508" s="6"/>
      <c r="P508" s="25">
        <v>46054</v>
      </c>
      <c r="Q508" s="30">
        <v>53.794115203601379</v>
      </c>
      <c r="R508" s="30">
        <v>37.740415896728543</v>
      </c>
      <c r="S508" s="30">
        <v>28.034423804801222</v>
      </c>
      <c r="T508" s="30">
        <v>-41.509433962264147</v>
      </c>
      <c r="U508" s="30">
        <v>70.048309178743978</v>
      </c>
      <c r="V508" s="119">
        <v>144.07731632300079</v>
      </c>
      <c r="W508" s="6"/>
    </row>
    <row r="509" spans="5:23" s="55" customFormat="1">
      <c r="E509" s="6"/>
      <c r="F509" s="25">
        <v>46082</v>
      </c>
      <c r="G509" s="30">
        <v>128.69999999999999</v>
      </c>
      <c r="H509" s="30">
        <v>99.53</v>
      </c>
      <c r="I509" s="30">
        <v>111.9</v>
      </c>
      <c r="J509" s="30">
        <v>2.76</v>
      </c>
      <c r="K509" s="6"/>
      <c r="L509" s="25">
        <v>46082</v>
      </c>
      <c r="M509" s="30">
        <v>110.7</v>
      </c>
      <c r="N509" s="6"/>
      <c r="O509" s="6"/>
      <c r="P509" s="25">
        <v>46082</v>
      </c>
      <c r="Q509" s="30">
        <v>53.794115203601379</v>
      </c>
      <c r="R509" s="30">
        <v>36.956079862151753</v>
      </c>
      <c r="S509" s="30">
        <v>26.78807100670139</v>
      </c>
      <c r="T509" s="30">
        <v>-42.138364779874216</v>
      </c>
      <c r="U509" s="30">
        <v>86.527425942201333</v>
      </c>
      <c r="V509" s="119">
        <v>144.82681264865363</v>
      </c>
      <c r="W509" s="6"/>
    </row>
    <row r="510" spans="5:23" s="55" customFormat="1">
      <c r="E510" s="6"/>
      <c r="F510" s="25">
        <v>46113</v>
      </c>
      <c r="G510" s="30"/>
      <c r="H510" s="30"/>
      <c r="I510" s="30"/>
      <c r="J510" s="30"/>
      <c r="K510" s="6"/>
      <c r="L510" s="25">
        <v>46113</v>
      </c>
      <c r="M510" s="30"/>
      <c r="N510" s="6"/>
      <c r="O510" s="6"/>
      <c r="P510" s="25">
        <v>46113</v>
      </c>
      <c r="Q510" s="30"/>
      <c r="R510" s="30"/>
      <c r="S510" s="30"/>
      <c r="T510" s="30"/>
      <c r="U510" s="30"/>
      <c r="V510" s="119"/>
      <c r="W510" s="6"/>
    </row>
    <row r="511" spans="5:23" s="55" customFormat="1">
      <c r="E511" s="6"/>
      <c r="F511" s="25">
        <v>46143</v>
      </c>
      <c r="G511" s="30"/>
      <c r="H511" s="30"/>
      <c r="I511" s="30"/>
      <c r="J511" s="30"/>
      <c r="K511" s="6"/>
      <c r="L511" s="25">
        <v>46143</v>
      </c>
      <c r="M511" s="30"/>
      <c r="N511" s="6"/>
      <c r="O511" s="6"/>
      <c r="P511" s="25">
        <v>46143</v>
      </c>
      <c r="Q511" s="30"/>
      <c r="R511" s="30"/>
      <c r="S511" s="30"/>
      <c r="T511" s="30"/>
      <c r="U511" s="30"/>
      <c r="V511" s="119"/>
      <c r="W511" s="6"/>
    </row>
    <row r="512" spans="5:23" s="55" customFormat="1">
      <c r="E512" s="6"/>
      <c r="F512" s="25">
        <v>46174</v>
      </c>
      <c r="G512" s="30"/>
      <c r="H512" s="30"/>
      <c r="I512" s="30"/>
      <c r="J512" s="30"/>
      <c r="K512" s="6"/>
      <c r="L512" s="25">
        <v>46174</v>
      </c>
      <c r="M512" s="30"/>
      <c r="N512" s="6"/>
      <c r="O512" s="6"/>
      <c r="P512" s="25">
        <v>46174</v>
      </c>
      <c r="Q512" s="30"/>
      <c r="R512" s="30"/>
      <c r="S512" s="30"/>
      <c r="T512" s="30"/>
      <c r="U512" s="30"/>
      <c r="V512" s="119"/>
      <c r="W512" s="6"/>
    </row>
    <row r="513" spans="5:23" s="55" customFormat="1">
      <c r="E513" s="6"/>
      <c r="F513" s="25">
        <v>46204</v>
      </c>
      <c r="G513" s="30"/>
      <c r="H513" s="30"/>
      <c r="I513" s="30"/>
      <c r="J513" s="30"/>
      <c r="K513" s="6"/>
      <c r="L513" s="25">
        <v>46204</v>
      </c>
      <c r="M513" s="30"/>
      <c r="N513" s="6"/>
      <c r="O513" s="6"/>
      <c r="P513" s="25">
        <v>46204</v>
      </c>
      <c r="Q513" s="30"/>
      <c r="R513" s="30"/>
      <c r="S513" s="30"/>
      <c r="T513" s="30"/>
      <c r="U513" s="30"/>
      <c r="V513" s="119"/>
      <c r="W513" s="6"/>
    </row>
    <row r="514" spans="5:23" s="55" customFormat="1">
      <c r="E514" s="6"/>
      <c r="F514" s="25">
        <v>46235</v>
      </c>
      <c r="G514" s="30"/>
      <c r="H514" s="30"/>
      <c r="I514" s="30"/>
      <c r="J514" s="30"/>
      <c r="K514" s="6"/>
      <c r="L514" s="25">
        <v>46235</v>
      </c>
      <c r="M514" s="30"/>
      <c r="N514" s="6"/>
      <c r="O514" s="6"/>
      <c r="P514" s="25">
        <v>46235</v>
      </c>
      <c r="Q514" s="30"/>
      <c r="R514" s="30"/>
      <c r="S514" s="30"/>
      <c r="T514" s="30"/>
      <c r="U514" s="30"/>
      <c r="V514" s="119"/>
      <c r="W514" s="6"/>
    </row>
    <row r="515" spans="5:23" s="55" customFormat="1">
      <c r="E515" s="6"/>
      <c r="F515" s="25">
        <v>46266</v>
      </c>
      <c r="G515" s="30"/>
      <c r="H515" s="30"/>
      <c r="I515" s="30"/>
      <c r="J515" s="30"/>
      <c r="K515" s="6"/>
      <c r="L515" s="25">
        <v>46266</v>
      </c>
      <c r="M515" s="30"/>
      <c r="N515" s="6"/>
      <c r="O515" s="6"/>
      <c r="P515" s="25">
        <v>46266</v>
      </c>
      <c r="Q515" s="30"/>
      <c r="R515" s="30"/>
      <c r="S515" s="30"/>
      <c r="T515" s="30"/>
      <c r="U515" s="30"/>
      <c r="V515" s="119"/>
      <c r="W515" s="6"/>
    </row>
    <row r="516" spans="5:23" s="55" customFormat="1">
      <c r="E516" s="6"/>
      <c r="F516" s="25">
        <v>46296</v>
      </c>
      <c r="G516" s="30"/>
      <c r="H516" s="30"/>
      <c r="I516" s="30"/>
      <c r="J516" s="30"/>
      <c r="K516" s="6"/>
      <c r="L516" s="25">
        <v>46296</v>
      </c>
      <c r="M516" s="30"/>
      <c r="N516" s="6"/>
      <c r="O516" s="6"/>
      <c r="P516" s="25">
        <v>46296</v>
      </c>
      <c r="Q516" s="30"/>
      <c r="R516" s="30"/>
      <c r="S516" s="30"/>
      <c r="T516" s="30"/>
      <c r="U516" s="30"/>
      <c r="V516" s="119"/>
      <c r="W516" s="6"/>
    </row>
    <row r="517" spans="5:23" s="55" customFormat="1" hidden="1">
      <c r="E517" s="6"/>
      <c r="F517" s="25">
        <v>46327</v>
      </c>
      <c r="G517" s="30"/>
      <c r="H517" s="30"/>
      <c r="I517" s="30"/>
      <c r="J517" s="30"/>
      <c r="K517" s="6"/>
      <c r="L517" s="25">
        <v>46327</v>
      </c>
      <c r="M517" s="30"/>
      <c r="N517" s="6"/>
      <c r="O517" s="6"/>
      <c r="P517" s="25">
        <v>46327</v>
      </c>
      <c r="Q517" s="30"/>
      <c r="R517" s="30"/>
      <c r="S517" s="30"/>
      <c r="T517" s="30"/>
      <c r="U517" s="30"/>
      <c r="V517" s="119"/>
      <c r="W517" s="6"/>
    </row>
    <row r="518" spans="5:23" s="55" customFormat="1" hidden="1">
      <c r="E518" s="6"/>
      <c r="F518" s="25">
        <v>46357</v>
      </c>
      <c r="G518" s="30"/>
      <c r="H518" s="30"/>
      <c r="I518" s="30"/>
      <c r="J518" s="30"/>
      <c r="K518" s="6"/>
      <c r="L518" s="25">
        <v>46357</v>
      </c>
      <c r="M518" s="30"/>
      <c r="N518" s="6"/>
      <c r="O518" s="6"/>
      <c r="P518" s="25">
        <v>46357</v>
      </c>
      <c r="Q518" s="30"/>
      <c r="R518" s="30"/>
      <c r="S518" s="30"/>
      <c r="T518" s="30"/>
      <c r="U518" s="30"/>
      <c r="V518" s="119"/>
      <c r="W518" s="6"/>
    </row>
    <row r="519" spans="5:23" s="55" customFormat="1" hidden="1">
      <c r="E519" s="6"/>
      <c r="F519" s="25">
        <v>46388</v>
      </c>
      <c r="G519" s="30"/>
      <c r="H519" s="30"/>
      <c r="I519" s="30"/>
      <c r="J519" s="30"/>
      <c r="K519" s="6"/>
      <c r="L519" s="25">
        <v>46388</v>
      </c>
      <c r="M519" s="30"/>
      <c r="N519" s="6"/>
      <c r="O519" s="6"/>
      <c r="P519" s="25">
        <v>46388</v>
      </c>
      <c r="Q519" s="30"/>
      <c r="R519" s="30"/>
      <c r="S519" s="30"/>
      <c r="T519" s="30"/>
      <c r="U519" s="30"/>
      <c r="V519" s="119"/>
      <c r="W519" s="6"/>
    </row>
    <row r="520" spans="5:23" s="55" customFormat="1" hidden="1">
      <c r="E520" s="6"/>
      <c r="F520" s="25">
        <v>46419</v>
      </c>
      <c r="G520" s="30"/>
      <c r="H520" s="30"/>
      <c r="I520" s="30"/>
      <c r="J520" s="30"/>
      <c r="K520" s="6"/>
      <c r="L520" s="25">
        <v>46419</v>
      </c>
      <c r="M520" s="30"/>
      <c r="N520" s="6"/>
      <c r="O520" s="6"/>
      <c r="P520" s="25">
        <v>46419</v>
      </c>
      <c r="Q520" s="30"/>
      <c r="R520" s="30"/>
      <c r="S520" s="30"/>
      <c r="T520" s="30"/>
      <c r="U520" s="30"/>
      <c r="V520" s="119"/>
      <c r="W520" s="6"/>
    </row>
    <row r="521" spans="5:23" s="55" customFormat="1" hidden="1">
      <c r="E521" s="6"/>
      <c r="F521" s="25">
        <v>46447</v>
      </c>
      <c r="G521" s="30"/>
      <c r="H521" s="30"/>
      <c r="I521" s="30"/>
      <c r="J521" s="30"/>
      <c r="K521" s="6"/>
      <c r="L521" s="25">
        <v>46447</v>
      </c>
      <c r="M521" s="30"/>
      <c r="N521" s="6"/>
      <c r="O521" s="6"/>
      <c r="P521" s="25">
        <v>46447</v>
      </c>
      <c r="Q521" s="30"/>
      <c r="R521" s="30"/>
      <c r="S521" s="30"/>
      <c r="T521" s="30"/>
      <c r="U521" s="30"/>
      <c r="V521" s="119"/>
      <c r="W521" s="6"/>
    </row>
    <row r="522" spans="5:23" s="55" customFormat="1" hidden="1">
      <c r="E522" s="6"/>
      <c r="F522" s="25">
        <v>46478</v>
      </c>
      <c r="G522" s="30"/>
      <c r="H522" s="30"/>
      <c r="I522" s="30"/>
      <c r="J522" s="30"/>
      <c r="K522" s="6"/>
      <c r="L522" s="25">
        <v>46478</v>
      </c>
      <c r="M522" s="30"/>
      <c r="N522" s="6"/>
      <c r="O522" s="6"/>
      <c r="P522" s="25">
        <v>46478</v>
      </c>
      <c r="Q522" s="30"/>
      <c r="R522" s="30"/>
      <c r="S522" s="30"/>
      <c r="T522" s="30"/>
      <c r="U522" s="30"/>
      <c r="V522" s="119"/>
      <c r="W522" s="6"/>
    </row>
    <row r="523" spans="5:23" s="55" customFormat="1" hidden="1">
      <c r="E523" s="6"/>
      <c r="F523" s="25">
        <v>46508</v>
      </c>
      <c r="G523" s="30"/>
      <c r="H523" s="30"/>
      <c r="I523" s="30"/>
      <c r="J523" s="30"/>
      <c r="K523" s="6"/>
      <c r="L523" s="25">
        <v>46508</v>
      </c>
      <c r="M523" s="30"/>
      <c r="N523" s="6"/>
      <c r="O523" s="6"/>
      <c r="P523" s="25">
        <v>46508</v>
      </c>
      <c r="Q523" s="30"/>
      <c r="R523" s="30"/>
      <c r="S523" s="30"/>
      <c r="T523" s="30"/>
      <c r="U523" s="30"/>
      <c r="V523" s="119"/>
      <c r="W523" s="6"/>
    </row>
    <row r="524" spans="5:23" s="55" customFormat="1" hidden="1">
      <c r="E524" s="6"/>
      <c r="F524" s="25">
        <v>46539</v>
      </c>
      <c r="G524" s="30"/>
      <c r="H524" s="30"/>
      <c r="I524" s="30"/>
      <c r="J524" s="30"/>
      <c r="K524" s="6"/>
      <c r="L524" s="25">
        <v>46539</v>
      </c>
      <c r="M524" s="30"/>
      <c r="N524" s="6"/>
      <c r="O524" s="6"/>
      <c r="P524" s="25">
        <v>46539</v>
      </c>
      <c r="Q524" s="30"/>
      <c r="R524" s="30"/>
      <c r="S524" s="30"/>
      <c r="T524" s="30"/>
      <c r="U524" s="30"/>
      <c r="V524" s="119"/>
      <c r="W524" s="6"/>
    </row>
    <row r="525" spans="5:23" s="55" customFormat="1" hidden="1">
      <c r="E525" s="6"/>
      <c r="F525" s="25">
        <v>46569</v>
      </c>
      <c r="G525" s="30"/>
      <c r="H525" s="30"/>
      <c r="I525" s="30"/>
      <c r="J525" s="30"/>
      <c r="K525" s="6"/>
      <c r="L525" s="25">
        <v>46569</v>
      </c>
      <c r="M525" s="30"/>
      <c r="N525" s="6"/>
      <c r="O525" s="6"/>
      <c r="P525" s="25">
        <v>46569</v>
      </c>
      <c r="Q525" s="30"/>
      <c r="R525" s="30"/>
      <c r="S525" s="30"/>
      <c r="T525" s="30"/>
      <c r="U525" s="30"/>
      <c r="V525" s="119"/>
      <c r="W525" s="6"/>
    </row>
    <row r="526" spans="5:23" s="55" customFormat="1" hidden="1">
      <c r="E526" s="6"/>
      <c r="F526" s="25">
        <v>46600</v>
      </c>
      <c r="G526" s="30"/>
      <c r="H526" s="30"/>
      <c r="I526" s="30"/>
      <c r="J526" s="30"/>
      <c r="K526" s="6"/>
      <c r="L526" s="25">
        <v>46600</v>
      </c>
      <c r="M526" s="30"/>
      <c r="N526" s="6"/>
      <c r="O526" s="6"/>
      <c r="P526" s="25">
        <v>46600</v>
      </c>
      <c r="Q526" s="30"/>
      <c r="R526" s="30"/>
      <c r="S526" s="30"/>
      <c r="T526" s="30"/>
      <c r="U526" s="30"/>
      <c r="V526" s="119"/>
      <c r="W526" s="6"/>
    </row>
    <row r="527" spans="5:23" s="55" customFormat="1" hidden="1">
      <c r="E527" s="6"/>
      <c r="F527" s="25">
        <v>46631</v>
      </c>
      <c r="G527" s="30"/>
      <c r="H527" s="30"/>
      <c r="I527" s="30"/>
      <c r="J527" s="30"/>
      <c r="K527" s="6"/>
      <c r="L527" s="25">
        <v>46631</v>
      </c>
      <c r="M527" s="30"/>
      <c r="N527" s="6"/>
      <c r="O527" s="6"/>
      <c r="P527" s="25">
        <v>46631</v>
      </c>
      <c r="Q527" s="30"/>
      <c r="R527" s="30"/>
      <c r="S527" s="30"/>
      <c r="T527" s="30"/>
      <c r="U527" s="30"/>
      <c r="V527" s="119"/>
      <c r="W527" s="6"/>
    </row>
    <row r="528" spans="5:23" s="55" customFormat="1" hidden="1">
      <c r="E528" s="6"/>
      <c r="F528" s="25">
        <v>46661</v>
      </c>
      <c r="G528" s="30"/>
      <c r="H528" s="30"/>
      <c r="I528" s="30"/>
      <c r="J528" s="30"/>
      <c r="K528" s="6"/>
      <c r="L528" s="25">
        <v>46661</v>
      </c>
      <c r="M528" s="30"/>
      <c r="N528" s="6"/>
      <c r="O528" s="6"/>
      <c r="P528" s="25">
        <v>46661</v>
      </c>
      <c r="Q528" s="30"/>
      <c r="R528" s="30"/>
      <c r="S528" s="30"/>
      <c r="T528" s="30"/>
      <c r="U528" s="30"/>
      <c r="V528" s="119"/>
      <c r="W528" s="6"/>
    </row>
    <row r="529" spans="5:23" s="55" customFormat="1" hidden="1">
      <c r="E529" s="6"/>
      <c r="F529" s="25">
        <v>46692</v>
      </c>
      <c r="G529" s="30"/>
      <c r="H529" s="30"/>
      <c r="I529" s="30"/>
      <c r="J529" s="30"/>
      <c r="K529" s="6"/>
      <c r="L529" s="25">
        <v>46692</v>
      </c>
      <c r="M529" s="30"/>
      <c r="N529" s="6"/>
      <c r="O529" s="6"/>
      <c r="P529" s="25">
        <v>46692</v>
      </c>
      <c r="Q529" s="30"/>
      <c r="R529" s="30"/>
      <c r="S529" s="30"/>
      <c r="T529" s="30"/>
      <c r="U529" s="30"/>
      <c r="V529" s="119"/>
      <c r="W529" s="6"/>
    </row>
    <row r="530" spans="5:23" s="55" customFormat="1" hidden="1">
      <c r="E530" s="6"/>
      <c r="F530" s="25">
        <v>46722</v>
      </c>
      <c r="G530" s="30"/>
      <c r="H530" s="30"/>
      <c r="I530" s="30"/>
      <c r="J530" s="30"/>
      <c r="K530" s="6"/>
      <c r="L530" s="25">
        <v>46722</v>
      </c>
      <c r="M530" s="30"/>
      <c r="N530" s="6"/>
      <c r="O530" s="6"/>
      <c r="P530" s="25">
        <v>46722</v>
      </c>
      <c r="Q530" s="30"/>
      <c r="R530" s="30"/>
      <c r="S530" s="30"/>
      <c r="T530" s="30"/>
      <c r="U530" s="30"/>
      <c r="V530" s="119"/>
      <c r="W530" s="6"/>
    </row>
    <row r="531" spans="5:23" s="55" customFormat="1" hidden="1">
      <c r="E531" s="6"/>
      <c r="F531" s="25">
        <v>46753</v>
      </c>
      <c r="G531" s="30"/>
      <c r="H531" s="30"/>
      <c r="I531" s="30"/>
      <c r="J531" s="30"/>
      <c r="K531" s="6"/>
      <c r="L531" s="25">
        <v>46753</v>
      </c>
      <c r="M531" s="30"/>
      <c r="N531" s="6"/>
      <c r="O531" s="6"/>
      <c r="P531" s="25">
        <v>46753</v>
      </c>
      <c r="Q531" s="30"/>
      <c r="R531" s="30"/>
      <c r="S531" s="30"/>
      <c r="T531" s="30"/>
      <c r="U531" s="30"/>
      <c r="V531" s="119"/>
      <c r="W531" s="6"/>
    </row>
    <row r="532" spans="5:23" s="55" customFormat="1" hidden="1">
      <c r="E532" s="6"/>
      <c r="F532" s="25">
        <v>46784</v>
      </c>
      <c r="G532" s="30"/>
      <c r="H532" s="30"/>
      <c r="I532" s="30"/>
      <c r="J532" s="30"/>
      <c r="K532" s="6"/>
      <c r="L532" s="25">
        <v>46784</v>
      </c>
      <c r="M532" s="30"/>
      <c r="N532" s="6"/>
      <c r="O532" s="6"/>
      <c r="P532" s="25">
        <v>46784</v>
      </c>
      <c r="Q532" s="30"/>
      <c r="R532" s="30"/>
      <c r="S532" s="30"/>
      <c r="T532" s="30"/>
      <c r="U532" s="30"/>
      <c r="V532" s="119"/>
      <c r="W532" s="6"/>
    </row>
    <row r="533" spans="5:23" s="55" customFormat="1" hidden="1">
      <c r="E533" s="6"/>
      <c r="F533" s="25">
        <v>46813</v>
      </c>
      <c r="G533" s="30"/>
      <c r="H533" s="30"/>
      <c r="I533" s="30"/>
      <c r="J533" s="30"/>
      <c r="K533" s="6"/>
      <c r="L533" s="25">
        <v>46813</v>
      </c>
      <c r="M533" s="30"/>
      <c r="N533" s="6"/>
      <c r="O533" s="6"/>
      <c r="P533" s="25">
        <v>46813</v>
      </c>
      <c r="Q533" s="30"/>
      <c r="R533" s="30"/>
      <c r="S533" s="30"/>
      <c r="T533" s="30"/>
      <c r="U533" s="30"/>
      <c r="V533" s="119"/>
      <c r="W533" s="6"/>
    </row>
    <row r="534" spans="5:23" s="55" customFormat="1" hidden="1">
      <c r="E534" s="6"/>
      <c r="F534" s="25">
        <v>46844</v>
      </c>
      <c r="G534" s="30"/>
      <c r="H534" s="30"/>
      <c r="I534" s="30"/>
      <c r="J534" s="30"/>
      <c r="K534" s="6"/>
      <c r="L534" s="25">
        <v>46844</v>
      </c>
      <c r="M534" s="30"/>
      <c r="N534" s="6"/>
      <c r="O534" s="6"/>
      <c r="P534" s="25">
        <v>46844</v>
      </c>
      <c r="Q534" s="30"/>
      <c r="R534" s="30"/>
      <c r="S534" s="30"/>
      <c r="T534" s="30"/>
      <c r="U534" s="30"/>
      <c r="V534" s="119"/>
      <c r="W534" s="6"/>
    </row>
    <row r="535" spans="5:23" s="55" customFormat="1" hidden="1">
      <c r="E535" s="6"/>
      <c r="F535" s="25">
        <v>46874</v>
      </c>
      <c r="G535" s="30"/>
      <c r="H535" s="30"/>
      <c r="I535" s="30"/>
      <c r="J535" s="30"/>
      <c r="K535" s="6"/>
      <c r="L535" s="25">
        <v>46874</v>
      </c>
      <c r="M535" s="30"/>
      <c r="N535" s="6"/>
      <c r="O535" s="6"/>
      <c r="P535" s="25">
        <v>46874</v>
      </c>
      <c r="Q535" s="30"/>
      <c r="R535" s="30"/>
      <c r="S535" s="30"/>
      <c r="T535" s="30"/>
      <c r="U535" s="30"/>
      <c r="V535" s="119"/>
      <c r="W535" s="6"/>
    </row>
    <row r="536" spans="5:23" s="55" customFormat="1" hidden="1">
      <c r="E536" s="6"/>
      <c r="F536" s="25">
        <v>46905</v>
      </c>
      <c r="G536" s="30"/>
      <c r="H536" s="30"/>
      <c r="I536" s="30"/>
      <c r="J536" s="30"/>
      <c r="K536" s="6"/>
      <c r="L536" s="25">
        <v>46905</v>
      </c>
      <c r="M536" s="30"/>
      <c r="N536" s="6"/>
      <c r="O536" s="6"/>
      <c r="P536" s="25">
        <v>46905</v>
      </c>
      <c r="Q536" s="30"/>
      <c r="R536" s="30"/>
      <c r="S536" s="30"/>
      <c r="T536" s="30"/>
      <c r="U536" s="30"/>
      <c r="V536" s="119"/>
      <c r="W536" s="6"/>
    </row>
    <row r="537" spans="5:23" s="55" customFormat="1" hidden="1">
      <c r="E537" s="6"/>
      <c r="F537" s="25">
        <v>46935</v>
      </c>
      <c r="G537" s="30"/>
      <c r="H537" s="30"/>
      <c r="I537" s="30"/>
      <c r="J537" s="30"/>
      <c r="K537" s="6"/>
      <c r="L537" s="25">
        <v>46935</v>
      </c>
      <c r="M537" s="30"/>
      <c r="N537" s="6"/>
      <c r="O537" s="6"/>
      <c r="P537" s="25">
        <v>46935</v>
      </c>
      <c r="Q537" s="30"/>
      <c r="R537" s="30"/>
      <c r="S537" s="30"/>
      <c r="T537" s="30"/>
      <c r="U537" s="30"/>
      <c r="V537" s="119"/>
      <c r="W537" s="6"/>
    </row>
    <row r="538" spans="5:23" s="55" customFormat="1" hidden="1">
      <c r="E538" s="6"/>
      <c r="F538" s="25">
        <v>46966</v>
      </c>
      <c r="G538" s="30"/>
      <c r="H538" s="30"/>
      <c r="I538" s="30"/>
      <c r="J538" s="30"/>
      <c r="K538" s="6"/>
      <c r="L538" s="25">
        <v>46966</v>
      </c>
      <c r="M538" s="30"/>
      <c r="N538" s="6"/>
      <c r="O538" s="6"/>
      <c r="P538" s="25">
        <v>46966</v>
      </c>
      <c r="Q538" s="30"/>
      <c r="R538" s="30"/>
      <c r="S538" s="30"/>
      <c r="T538" s="30"/>
      <c r="U538" s="30"/>
      <c r="V538" s="119"/>
      <c r="W538" s="6"/>
    </row>
    <row r="539" spans="5:23" s="55" customFormat="1" hidden="1">
      <c r="E539" s="6"/>
      <c r="F539" s="25">
        <v>46997</v>
      </c>
      <c r="G539" s="30"/>
      <c r="H539" s="30"/>
      <c r="I539" s="30"/>
      <c r="J539" s="30"/>
      <c r="K539" s="6"/>
      <c r="L539" s="25">
        <v>46997</v>
      </c>
      <c r="M539" s="30"/>
      <c r="N539" s="6"/>
      <c r="O539" s="6"/>
      <c r="P539" s="25">
        <v>46997</v>
      </c>
      <c r="Q539" s="30"/>
      <c r="R539" s="30"/>
      <c r="S539" s="30"/>
      <c r="T539" s="30"/>
      <c r="U539" s="30"/>
      <c r="V539" s="119"/>
      <c r="W539" s="6"/>
    </row>
    <row r="540" spans="5:23" s="55" customFormat="1" hidden="1">
      <c r="E540" s="6"/>
      <c r="F540" s="25">
        <v>47027</v>
      </c>
      <c r="G540" s="30"/>
      <c r="H540" s="30"/>
      <c r="I540" s="30"/>
      <c r="J540" s="30"/>
      <c r="K540" s="6"/>
      <c r="L540" s="25">
        <v>47027</v>
      </c>
      <c r="M540" s="30"/>
      <c r="N540" s="6"/>
      <c r="O540" s="6"/>
      <c r="P540" s="25">
        <v>47027</v>
      </c>
      <c r="Q540" s="30"/>
      <c r="R540" s="30"/>
      <c r="S540" s="30"/>
      <c r="T540" s="30"/>
      <c r="U540" s="30"/>
      <c r="V540" s="119"/>
      <c r="W540" s="6"/>
    </row>
    <row r="541" spans="5:23" s="55" customFormat="1" hidden="1">
      <c r="E541" s="6"/>
      <c r="F541" s="25">
        <v>47058</v>
      </c>
      <c r="G541" s="30"/>
      <c r="H541" s="30"/>
      <c r="I541" s="30"/>
      <c r="J541" s="30"/>
      <c r="K541" s="6"/>
      <c r="L541" s="25">
        <v>47058</v>
      </c>
      <c r="M541" s="30"/>
      <c r="N541" s="6"/>
      <c r="O541" s="6"/>
      <c r="P541" s="25">
        <v>47058</v>
      </c>
      <c r="Q541" s="30"/>
      <c r="R541" s="30"/>
      <c r="S541" s="30"/>
      <c r="T541" s="30"/>
      <c r="U541" s="30"/>
      <c r="V541" s="119"/>
      <c r="W541" s="6"/>
    </row>
    <row r="542" spans="5:23" s="55" customFormat="1" hidden="1">
      <c r="E542" s="6"/>
      <c r="F542" s="25">
        <v>47088</v>
      </c>
      <c r="G542" s="30"/>
      <c r="H542" s="30"/>
      <c r="I542" s="30"/>
      <c r="J542" s="30"/>
      <c r="K542" s="6"/>
      <c r="L542" s="25">
        <v>47088</v>
      </c>
      <c r="M542" s="30"/>
      <c r="N542" s="6"/>
      <c r="O542" s="6"/>
      <c r="P542" s="25">
        <v>47088</v>
      </c>
      <c r="Q542" s="30"/>
      <c r="R542" s="30"/>
      <c r="S542" s="30"/>
      <c r="T542" s="30"/>
      <c r="U542" s="30"/>
      <c r="V542" s="119"/>
      <c r="W542" s="6"/>
    </row>
    <row r="543" spans="5:23" s="55" customFormat="1" hidden="1">
      <c r="E543" s="6"/>
      <c r="F543" s="25">
        <v>47119</v>
      </c>
      <c r="G543" s="30"/>
      <c r="H543" s="30"/>
      <c r="I543" s="30"/>
      <c r="J543" s="30"/>
      <c r="K543" s="6"/>
      <c r="L543" s="25">
        <v>47119</v>
      </c>
      <c r="M543" s="30"/>
      <c r="N543" s="6"/>
      <c r="O543" s="6"/>
      <c r="P543" s="25">
        <v>47119</v>
      </c>
      <c r="Q543" s="30"/>
      <c r="R543" s="30"/>
      <c r="S543" s="30"/>
      <c r="T543" s="30"/>
      <c r="U543" s="30"/>
      <c r="V543" s="119"/>
      <c r="W543" s="6"/>
    </row>
    <row r="544" spans="5:23" s="55" customFormat="1" hidden="1">
      <c r="E544" s="6"/>
      <c r="F544" s="25">
        <v>47150</v>
      </c>
      <c r="G544" s="30"/>
      <c r="H544" s="30"/>
      <c r="I544" s="30"/>
      <c r="J544" s="30"/>
      <c r="K544" s="6"/>
      <c r="L544" s="25">
        <v>47150</v>
      </c>
      <c r="M544" s="30"/>
      <c r="N544" s="6"/>
      <c r="O544" s="6"/>
      <c r="P544" s="25">
        <v>47150</v>
      </c>
      <c r="Q544" s="30"/>
      <c r="R544" s="30"/>
      <c r="S544" s="30"/>
      <c r="T544" s="30"/>
      <c r="U544" s="30"/>
      <c r="V544" s="119"/>
      <c r="W544" s="6"/>
    </row>
    <row r="545" spans="5:23" s="55" customFormat="1" hidden="1">
      <c r="E545" s="6"/>
      <c r="F545" s="25">
        <v>47178</v>
      </c>
      <c r="G545" s="30"/>
      <c r="H545" s="30"/>
      <c r="I545" s="30"/>
      <c r="J545" s="30"/>
      <c r="K545" s="6"/>
      <c r="L545" s="25">
        <v>47178</v>
      </c>
      <c r="M545" s="30"/>
      <c r="N545" s="6"/>
      <c r="O545" s="6"/>
      <c r="P545" s="25">
        <v>47178</v>
      </c>
      <c r="Q545" s="30"/>
      <c r="R545" s="30"/>
      <c r="S545" s="30"/>
      <c r="T545" s="30"/>
      <c r="U545" s="30"/>
      <c r="V545" s="119"/>
      <c r="W545" s="6"/>
    </row>
    <row r="546" spans="5:23" s="55" customFormat="1" hidden="1">
      <c r="E546" s="6"/>
      <c r="F546" s="25">
        <v>47209</v>
      </c>
      <c r="G546" s="30"/>
      <c r="H546" s="30"/>
      <c r="I546" s="30"/>
      <c r="J546" s="30"/>
      <c r="K546" s="6"/>
      <c r="L546" s="25">
        <v>47209</v>
      </c>
      <c r="M546" s="30"/>
      <c r="N546" s="6"/>
      <c r="O546" s="6"/>
      <c r="P546" s="25">
        <v>47209</v>
      </c>
      <c r="Q546" s="30"/>
      <c r="R546" s="30"/>
      <c r="S546" s="30"/>
      <c r="T546" s="30"/>
      <c r="U546" s="30"/>
      <c r="V546" s="119"/>
      <c r="W546" s="6"/>
    </row>
    <row r="547" spans="5:23" s="55" customFormat="1" hidden="1">
      <c r="E547" s="6"/>
      <c r="F547" s="25">
        <v>47239</v>
      </c>
      <c r="G547" s="30"/>
      <c r="H547" s="30"/>
      <c r="I547" s="30"/>
      <c r="J547" s="30"/>
      <c r="K547" s="6"/>
      <c r="L547" s="25">
        <v>47239</v>
      </c>
      <c r="M547" s="30"/>
      <c r="N547" s="6"/>
      <c r="O547" s="6"/>
      <c r="P547" s="25">
        <v>47239</v>
      </c>
      <c r="Q547" s="30"/>
      <c r="R547" s="30"/>
      <c r="S547" s="30"/>
      <c r="T547" s="30"/>
      <c r="U547" s="30"/>
      <c r="V547" s="119"/>
      <c r="W547" s="6"/>
    </row>
    <row r="548" spans="5:23" s="55" customFormat="1" hidden="1">
      <c r="E548" s="6"/>
      <c r="F548" s="25">
        <v>47270</v>
      </c>
      <c r="G548" s="30"/>
      <c r="H548" s="30"/>
      <c r="I548" s="30"/>
      <c r="J548" s="30"/>
      <c r="K548" s="6"/>
      <c r="L548" s="25">
        <v>47270</v>
      </c>
      <c r="M548" s="30"/>
      <c r="N548" s="6"/>
      <c r="O548" s="6"/>
      <c r="P548" s="25">
        <v>47270</v>
      </c>
      <c r="Q548" s="30"/>
      <c r="R548" s="30"/>
      <c r="S548" s="30"/>
      <c r="T548" s="30"/>
      <c r="U548" s="30"/>
      <c r="V548" s="119"/>
      <c r="W548" s="6"/>
    </row>
    <row r="549" spans="5:23" s="55" customFormat="1" hidden="1">
      <c r="E549" s="6"/>
      <c r="F549" s="25">
        <v>47300</v>
      </c>
      <c r="G549" s="30"/>
      <c r="H549" s="30"/>
      <c r="I549" s="30"/>
      <c r="J549" s="30"/>
      <c r="K549" s="6"/>
      <c r="L549" s="25">
        <v>47300</v>
      </c>
      <c r="M549" s="30"/>
      <c r="N549" s="6"/>
      <c r="O549" s="6"/>
      <c r="P549" s="25">
        <v>47300</v>
      </c>
      <c r="Q549" s="30"/>
      <c r="R549" s="30"/>
      <c r="S549" s="30"/>
      <c r="T549" s="30"/>
      <c r="U549" s="30"/>
      <c r="V549" s="119"/>
      <c r="W549" s="6"/>
    </row>
    <row r="550" spans="5:23" s="55" customFormat="1" hidden="1">
      <c r="E550" s="6"/>
      <c r="F550" s="25">
        <v>47331</v>
      </c>
      <c r="G550" s="30"/>
      <c r="H550" s="30"/>
      <c r="I550" s="30"/>
      <c r="J550" s="30"/>
      <c r="K550" s="6"/>
      <c r="L550" s="25">
        <v>47331</v>
      </c>
      <c r="M550" s="30"/>
      <c r="N550" s="6"/>
      <c r="O550" s="6"/>
      <c r="P550" s="25">
        <v>47331</v>
      </c>
      <c r="Q550" s="30"/>
      <c r="R550" s="30"/>
      <c r="S550" s="30"/>
      <c r="T550" s="30"/>
      <c r="U550" s="30"/>
      <c r="V550" s="119"/>
      <c r="W550" s="6"/>
    </row>
    <row r="551" spans="5:23" s="55" customFormat="1" hidden="1">
      <c r="E551" s="6"/>
      <c r="F551" s="25">
        <v>47362</v>
      </c>
      <c r="G551" s="30"/>
      <c r="H551" s="30"/>
      <c r="I551" s="30"/>
      <c r="J551" s="30"/>
      <c r="K551" s="6"/>
      <c r="L551" s="25">
        <v>47362</v>
      </c>
      <c r="M551" s="30"/>
      <c r="N551" s="6"/>
      <c r="O551" s="6"/>
      <c r="P551" s="25">
        <v>47362</v>
      </c>
      <c r="Q551" s="30"/>
      <c r="R551" s="30"/>
      <c r="S551" s="30"/>
      <c r="T551" s="30"/>
      <c r="U551" s="30"/>
      <c r="V551" s="119"/>
      <c r="W551" s="6"/>
    </row>
    <row r="552" spans="5:23" s="55" customFormat="1" hidden="1">
      <c r="E552" s="6"/>
      <c r="F552" s="25">
        <v>47392</v>
      </c>
      <c r="G552" s="30"/>
      <c r="H552" s="30"/>
      <c r="I552" s="30"/>
      <c r="J552" s="30"/>
      <c r="K552" s="6"/>
      <c r="L552" s="25">
        <v>47392</v>
      </c>
      <c r="M552" s="30"/>
      <c r="N552" s="6"/>
      <c r="O552" s="6"/>
      <c r="P552" s="25">
        <v>47392</v>
      </c>
      <c r="Q552" s="30"/>
      <c r="R552" s="30"/>
      <c r="S552" s="30"/>
      <c r="T552" s="30"/>
      <c r="U552" s="30"/>
      <c r="V552" s="119"/>
      <c r="W552" s="6"/>
    </row>
    <row r="553" spans="5:23" s="55" customFormat="1" hidden="1">
      <c r="E553" s="6"/>
      <c r="F553" s="25">
        <v>47423</v>
      </c>
      <c r="G553" s="30"/>
      <c r="H553" s="30"/>
      <c r="I553" s="30"/>
      <c r="J553" s="30"/>
      <c r="K553" s="6"/>
      <c r="L553" s="25">
        <v>47423</v>
      </c>
      <c r="M553" s="30"/>
      <c r="N553" s="6"/>
      <c r="O553" s="6"/>
      <c r="P553" s="25">
        <v>47423</v>
      </c>
      <c r="Q553" s="30"/>
      <c r="R553" s="30"/>
      <c r="S553" s="30"/>
      <c r="T553" s="30"/>
      <c r="U553" s="30"/>
      <c r="V553" s="119"/>
      <c r="W553" s="6"/>
    </row>
    <row r="554" spans="5:23" s="55" customFormat="1" hidden="1">
      <c r="E554" s="6"/>
      <c r="F554" s="25">
        <v>47453</v>
      </c>
      <c r="G554" s="30"/>
      <c r="H554" s="30"/>
      <c r="I554" s="30"/>
      <c r="J554" s="30"/>
      <c r="K554" s="6"/>
      <c r="L554" s="25">
        <v>47453</v>
      </c>
      <c r="M554" s="30"/>
      <c r="N554" s="6"/>
      <c r="O554" s="6"/>
      <c r="P554" s="25">
        <v>47453</v>
      </c>
      <c r="Q554" s="30"/>
      <c r="R554" s="30"/>
      <c r="S554" s="30"/>
      <c r="T554" s="30"/>
      <c r="U554" s="30"/>
      <c r="V554" s="119"/>
      <c r="W554" s="6"/>
    </row>
    <row r="555" spans="5:23" s="55" customFormat="1" hidden="1">
      <c r="E555" s="6"/>
      <c r="F555" s="25">
        <v>47484</v>
      </c>
      <c r="G555" s="30"/>
      <c r="H555" s="30"/>
      <c r="I555" s="30"/>
      <c r="J555" s="30"/>
      <c r="K555" s="6"/>
      <c r="L555" s="25">
        <v>47484</v>
      </c>
      <c r="M555" s="30"/>
      <c r="N555" s="6"/>
      <c r="O555" s="6"/>
      <c r="P555" s="25">
        <v>47484</v>
      </c>
      <c r="Q555" s="30"/>
      <c r="R555" s="30"/>
      <c r="S555" s="30"/>
      <c r="T555" s="30"/>
      <c r="U555" s="30"/>
      <c r="V555" s="119"/>
      <c r="W555" s="6"/>
    </row>
    <row r="556" spans="5:23" s="55" customFormat="1" hidden="1">
      <c r="E556" s="6"/>
      <c r="F556" s="25">
        <v>47515</v>
      </c>
      <c r="G556" s="30"/>
      <c r="H556" s="30"/>
      <c r="I556" s="30"/>
      <c r="J556" s="30"/>
      <c r="K556" s="6"/>
      <c r="L556" s="25">
        <v>47515</v>
      </c>
      <c r="M556" s="30"/>
      <c r="N556" s="6"/>
      <c r="O556" s="6"/>
      <c r="P556" s="25">
        <v>47515</v>
      </c>
      <c r="Q556" s="30"/>
      <c r="R556" s="30"/>
      <c r="S556" s="30"/>
      <c r="T556" s="30"/>
      <c r="U556" s="30"/>
      <c r="V556" s="119"/>
      <c r="W556" s="6"/>
    </row>
    <row r="557" spans="5:23" s="55" customFormat="1" hidden="1">
      <c r="E557" s="6"/>
      <c r="F557" s="25">
        <v>47543</v>
      </c>
      <c r="G557" s="30"/>
      <c r="H557" s="30"/>
      <c r="I557" s="30"/>
      <c r="J557" s="30"/>
      <c r="K557" s="6"/>
      <c r="L557" s="25">
        <v>47543</v>
      </c>
      <c r="M557" s="30"/>
      <c r="N557" s="6"/>
      <c r="O557" s="6"/>
      <c r="P557" s="25">
        <v>47543</v>
      </c>
      <c r="Q557" s="30"/>
      <c r="R557" s="30"/>
      <c r="S557" s="30"/>
      <c r="T557" s="30"/>
      <c r="U557" s="30"/>
      <c r="V557" s="119"/>
      <c r="W557" s="6"/>
    </row>
    <row r="558" spans="5:23" s="55" customFormat="1" hidden="1">
      <c r="E558" s="6"/>
      <c r="F558" s="25">
        <v>47574</v>
      </c>
      <c r="G558" s="30"/>
      <c r="H558" s="30"/>
      <c r="I558" s="30"/>
      <c r="J558" s="30"/>
      <c r="K558" s="6"/>
      <c r="L558" s="25">
        <v>47574</v>
      </c>
      <c r="M558" s="30"/>
      <c r="N558" s="6"/>
      <c r="O558" s="6"/>
      <c r="P558" s="25">
        <v>47574</v>
      </c>
      <c r="Q558" s="30"/>
      <c r="R558" s="30"/>
      <c r="S558" s="30"/>
      <c r="T558" s="30"/>
      <c r="U558" s="30"/>
      <c r="V558" s="119"/>
      <c r="W558" s="6"/>
    </row>
    <row r="559" spans="5:23" s="55" customFormat="1" hidden="1">
      <c r="E559" s="6"/>
      <c r="F559" s="25">
        <v>47604</v>
      </c>
      <c r="G559" s="30"/>
      <c r="H559" s="30"/>
      <c r="I559" s="30"/>
      <c r="J559" s="30"/>
      <c r="K559" s="6"/>
      <c r="L559" s="25">
        <v>47604</v>
      </c>
      <c r="M559" s="30"/>
      <c r="N559" s="6"/>
      <c r="O559" s="6"/>
      <c r="P559" s="25">
        <v>47604</v>
      </c>
      <c r="Q559" s="30"/>
      <c r="R559" s="30"/>
      <c r="S559" s="30"/>
      <c r="T559" s="30"/>
      <c r="U559" s="30"/>
      <c r="V559" s="119"/>
      <c r="W559" s="6"/>
    </row>
    <row r="560" spans="5:23" s="55" customFormat="1" hidden="1">
      <c r="E560" s="6"/>
      <c r="F560" s="25">
        <v>47635</v>
      </c>
      <c r="G560" s="30"/>
      <c r="H560" s="30"/>
      <c r="I560" s="30"/>
      <c r="J560" s="30"/>
      <c r="K560" s="6"/>
      <c r="L560" s="25">
        <v>47635</v>
      </c>
      <c r="M560" s="30"/>
      <c r="N560" s="6"/>
      <c r="O560" s="6"/>
      <c r="P560" s="25">
        <v>47635</v>
      </c>
      <c r="Q560" s="30"/>
      <c r="R560" s="30"/>
      <c r="S560" s="30"/>
      <c r="T560" s="30"/>
      <c r="U560" s="30"/>
      <c r="V560" s="119"/>
      <c r="W560" s="6"/>
    </row>
    <row r="561" spans="5:23" s="55" customFormat="1" hidden="1">
      <c r="E561" s="6"/>
      <c r="F561" s="25">
        <v>47665</v>
      </c>
      <c r="G561" s="30"/>
      <c r="H561" s="30"/>
      <c r="I561" s="30"/>
      <c r="J561" s="30"/>
      <c r="K561" s="6"/>
      <c r="L561" s="25">
        <v>47665</v>
      </c>
      <c r="M561" s="30"/>
      <c r="N561" s="6"/>
      <c r="O561" s="6"/>
      <c r="P561" s="25">
        <v>47665</v>
      </c>
      <c r="Q561" s="30"/>
      <c r="R561" s="30"/>
      <c r="S561" s="30"/>
      <c r="T561" s="30"/>
      <c r="U561" s="30"/>
      <c r="V561" s="119"/>
      <c r="W561" s="6"/>
    </row>
    <row r="562" spans="5:23" s="55" customFormat="1" hidden="1">
      <c r="E562" s="6"/>
      <c r="F562" s="25">
        <v>47696</v>
      </c>
      <c r="G562" s="30"/>
      <c r="H562" s="30"/>
      <c r="I562" s="30"/>
      <c r="J562" s="30"/>
      <c r="K562" s="6"/>
      <c r="L562" s="25">
        <v>47696</v>
      </c>
      <c r="M562" s="30"/>
      <c r="N562" s="6"/>
      <c r="O562" s="6"/>
      <c r="P562" s="25">
        <v>47696</v>
      </c>
      <c r="Q562" s="30"/>
      <c r="R562" s="30"/>
      <c r="S562" s="30"/>
      <c r="T562" s="30"/>
      <c r="U562" s="30"/>
      <c r="V562" s="119"/>
      <c r="W562" s="6"/>
    </row>
    <row r="563" spans="5:23" s="55" customFormat="1" hidden="1">
      <c r="E563" s="6"/>
      <c r="F563" s="25">
        <v>47727</v>
      </c>
      <c r="G563" s="30"/>
      <c r="H563" s="30"/>
      <c r="I563" s="30"/>
      <c r="J563" s="30"/>
      <c r="K563" s="6"/>
      <c r="L563" s="25">
        <v>47727</v>
      </c>
      <c r="M563" s="30"/>
      <c r="N563" s="6"/>
      <c r="O563" s="6"/>
      <c r="P563" s="25">
        <v>47727</v>
      </c>
      <c r="Q563" s="30"/>
      <c r="R563" s="30"/>
      <c r="S563" s="30"/>
      <c r="T563" s="30"/>
      <c r="U563" s="30"/>
      <c r="V563" s="119"/>
      <c r="W563" s="6"/>
    </row>
    <row r="564" spans="5:23" s="55" customFormat="1" hidden="1">
      <c r="E564" s="6"/>
      <c r="F564" s="25">
        <v>47757</v>
      </c>
      <c r="G564" s="30"/>
      <c r="H564" s="30"/>
      <c r="I564" s="30"/>
      <c r="J564" s="30"/>
      <c r="K564" s="6"/>
      <c r="L564" s="25">
        <v>47757</v>
      </c>
      <c r="M564" s="30"/>
      <c r="N564" s="6"/>
      <c r="O564" s="6"/>
      <c r="P564" s="25">
        <v>47757</v>
      </c>
      <c r="Q564" s="30"/>
      <c r="R564" s="30"/>
      <c r="S564" s="30"/>
      <c r="T564" s="30"/>
      <c r="U564" s="30"/>
      <c r="V564" s="119"/>
      <c r="W564" s="6"/>
    </row>
    <row r="565" spans="5:23" s="55" customFormat="1" hidden="1">
      <c r="E565" s="6"/>
      <c r="F565" s="25">
        <v>47788</v>
      </c>
      <c r="G565" s="30"/>
      <c r="H565" s="30"/>
      <c r="I565" s="30"/>
      <c r="J565" s="30"/>
      <c r="K565" s="6"/>
      <c r="L565" s="25">
        <v>47788</v>
      </c>
      <c r="M565" s="30"/>
      <c r="N565" s="6"/>
      <c r="O565" s="6"/>
      <c r="P565" s="25">
        <v>47788</v>
      </c>
      <c r="Q565" s="30"/>
      <c r="R565" s="30"/>
      <c r="S565" s="30"/>
      <c r="T565" s="30"/>
      <c r="U565" s="30"/>
      <c r="V565" s="119"/>
      <c r="W565" s="6"/>
    </row>
    <row r="566" spans="5:23" s="55" customFormat="1" hidden="1">
      <c r="E566" s="6"/>
      <c r="F566" s="25">
        <v>47818</v>
      </c>
      <c r="G566" s="30"/>
      <c r="H566" s="30"/>
      <c r="I566" s="30"/>
      <c r="J566" s="30"/>
      <c r="K566" s="6"/>
      <c r="L566" s="25">
        <v>47818</v>
      </c>
      <c r="M566" s="30"/>
      <c r="N566" s="6"/>
      <c r="O566" s="6"/>
      <c r="P566" s="25">
        <v>47818</v>
      </c>
      <c r="Q566" s="30"/>
      <c r="R566" s="30"/>
      <c r="S566" s="30"/>
      <c r="T566" s="30"/>
      <c r="U566" s="30"/>
      <c r="V566" s="119"/>
      <c r="W566" s="6"/>
    </row>
    <row r="567" spans="5:23" s="55" customFormat="1" hidden="1">
      <c r="E567" s="6"/>
      <c r="F567" s="25">
        <v>47849</v>
      </c>
      <c r="G567" s="30"/>
      <c r="H567" s="30"/>
      <c r="I567" s="30"/>
      <c r="J567" s="30"/>
      <c r="K567" s="6"/>
      <c r="L567" s="25">
        <v>47849</v>
      </c>
      <c r="M567" s="30"/>
      <c r="N567" s="6"/>
      <c r="O567" s="6"/>
      <c r="P567" s="25">
        <v>47849</v>
      </c>
      <c r="Q567" s="30"/>
      <c r="R567" s="30"/>
      <c r="S567" s="30"/>
      <c r="T567" s="30"/>
      <c r="U567" s="30"/>
      <c r="V567" s="119"/>
      <c r="W567" s="6"/>
    </row>
    <row r="568" spans="5:23" s="55" customFormat="1" hidden="1">
      <c r="E568" s="6"/>
      <c r="F568" s="25">
        <v>47880</v>
      </c>
      <c r="G568" s="30"/>
      <c r="H568" s="30"/>
      <c r="I568" s="30"/>
      <c r="J568" s="30"/>
      <c r="K568" s="6"/>
      <c r="L568" s="25">
        <v>47880</v>
      </c>
      <c r="M568" s="30"/>
      <c r="N568" s="6"/>
      <c r="O568" s="6"/>
      <c r="P568" s="25">
        <v>47880</v>
      </c>
      <c r="Q568" s="30"/>
      <c r="R568" s="30"/>
      <c r="S568" s="30"/>
      <c r="T568" s="30"/>
      <c r="U568" s="30"/>
      <c r="V568" s="119"/>
      <c r="W568" s="6"/>
    </row>
    <row r="569" spans="5:23" s="55" customFormat="1" hidden="1">
      <c r="E569" s="6"/>
      <c r="F569" s="25">
        <v>47908</v>
      </c>
      <c r="G569" s="30"/>
      <c r="H569" s="30"/>
      <c r="I569" s="30"/>
      <c r="J569" s="30"/>
      <c r="K569" s="6"/>
      <c r="L569" s="25">
        <v>47908</v>
      </c>
      <c r="M569" s="30"/>
      <c r="N569" s="6"/>
      <c r="O569" s="6"/>
      <c r="P569" s="25">
        <v>47908</v>
      </c>
      <c r="Q569" s="30"/>
      <c r="R569" s="30"/>
      <c r="S569" s="30"/>
      <c r="T569" s="30"/>
      <c r="U569" s="30"/>
      <c r="V569" s="119"/>
      <c r="W569" s="6"/>
    </row>
    <row r="570" spans="5:23" s="55" customFormat="1" hidden="1">
      <c r="E570" s="6"/>
      <c r="F570" s="25">
        <v>47939</v>
      </c>
      <c r="G570" s="30"/>
      <c r="H570" s="30"/>
      <c r="I570" s="30"/>
      <c r="J570" s="30"/>
      <c r="K570" s="6"/>
      <c r="L570" s="25">
        <v>47939</v>
      </c>
      <c r="M570" s="30"/>
      <c r="N570" s="6"/>
      <c r="O570" s="6"/>
      <c r="P570" s="25">
        <v>47939</v>
      </c>
      <c r="Q570" s="30"/>
      <c r="R570" s="30"/>
      <c r="S570" s="30"/>
      <c r="T570" s="30"/>
      <c r="U570" s="30"/>
      <c r="V570" s="119"/>
      <c r="W570" s="6"/>
    </row>
    <row r="571" spans="5:23" s="55" customFormat="1" hidden="1">
      <c r="E571" s="6"/>
      <c r="F571" s="25">
        <v>47969</v>
      </c>
      <c r="G571" s="30"/>
      <c r="H571" s="30"/>
      <c r="I571" s="30"/>
      <c r="J571" s="30"/>
      <c r="K571" s="6"/>
      <c r="L571" s="25">
        <v>47969</v>
      </c>
      <c r="M571" s="30"/>
      <c r="N571" s="6"/>
      <c r="O571" s="6"/>
      <c r="P571" s="25">
        <v>47969</v>
      </c>
      <c r="Q571" s="30"/>
      <c r="R571" s="30"/>
      <c r="S571" s="30"/>
      <c r="T571" s="30"/>
      <c r="U571" s="30"/>
      <c r="V571" s="119"/>
      <c r="W571" s="6"/>
    </row>
    <row r="572" spans="5:23" s="55" customFormat="1" hidden="1">
      <c r="E572" s="6"/>
      <c r="F572" s="25">
        <v>48000</v>
      </c>
      <c r="G572" s="30"/>
      <c r="H572" s="30"/>
      <c r="I572" s="30"/>
      <c r="J572" s="30"/>
      <c r="K572" s="6"/>
      <c r="L572" s="25">
        <v>48000</v>
      </c>
      <c r="M572" s="30"/>
      <c r="N572" s="6"/>
      <c r="O572" s="6"/>
      <c r="P572" s="25">
        <v>48000</v>
      </c>
      <c r="Q572" s="30"/>
      <c r="R572" s="30"/>
      <c r="S572" s="30"/>
      <c r="T572" s="30"/>
      <c r="U572" s="30"/>
      <c r="V572" s="119"/>
      <c r="W572" s="6"/>
    </row>
    <row r="573" spans="5:23" s="55" customFormat="1" hidden="1">
      <c r="E573" s="6"/>
      <c r="F573" s="25">
        <v>48030</v>
      </c>
      <c r="G573" s="30"/>
      <c r="H573" s="30"/>
      <c r="I573" s="30"/>
      <c r="J573" s="30"/>
      <c r="K573" s="6"/>
      <c r="L573" s="25">
        <v>48030</v>
      </c>
      <c r="M573" s="30"/>
      <c r="N573" s="6"/>
      <c r="O573" s="6"/>
      <c r="P573" s="25">
        <v>48030</v>
      </c>
      <c r="Q573" s="30"/>
      <c r="R573" s="30"/>
      <c r="S573" s="30"/>
      <c r="T573" s="30"/>
      <c r="U573" s="30"/>
      <c r="V573" s="119"/>
      <c r="W573" s="6"/>
    </row>
    <row r="574" spans="5:23" s="55" customFormat="1" hidden="1">
      <c r="E574" s="6"/>
      <c r="F574" s="25">
        <v>48061</v>
      </c>
      <c r="G574" s="30"/>
      <c r="H574" s="30"/>
      <c r="I574" s="30"/>
      <c r="J574" s="30"/>
      <c r="K574" s="6"/>
      <c r="L574" s="25">
        <v>48061</v>
      </c>
      <c r="M574" s="30"/>
      <c r="N574" s="6"/>
      <c r="O574" s="6"/>
      <c r="P574" s="25">
        <v>48061</v>
      </c>
      <c r="Q574" s="30"/>
      <c r="R574" s="30"/>
      <c r="S574" s="30"/>
      <c r="T574" s="30"/>
      <c r="U574" s="30"/>
      <c r="V574" s="119"/>
      <c r="W574" s="6"/>
    </row>
    <row r="575" spans="5:23" s="55" customFormat="1" hidden="1">
      <c r="E575" s="6"/>
      <c r="F575" s="25">
        <v>48092</v>
      </c>
      <c r="G575" s="30"/>
      <c r="H575" s="30"/>
      <c r="I575" s="30"/>
      <c r="J575" s="30"/>
      <c r="K575" s="6"/>
      <c r="L575" s="25">
        <v>48092</v>
      </c>
      <c r="M575" s="30"/>
      <c r="N575" s="6"/>
      <c r="O575" s="6"/>
      <c r="P575" s="25">
        <v>48092</v>
      </c>
      <c r="Q575" s="30"/>
      <c r="R575" s="30"/>
      <c r="S575" s="30"/>
      <c r="T575" s="30"/>
      <c r="U575" s="30"/>
      <c r="V575" s="119"/>
      <c r="W575" s="6"/>
    </row>
    <row r="576" spans="5:23" s="55" customFormat="1" hidden="1">
      <c r="E576" s="6"/>
      <c r="F576" s="25">
        <v>48122</v>
      </c>
      <c r="G576" s="30"/>
      <c r="H576" s="30"/>
      <c r="I576" s="30"/>
      <c r="J576" s="30"/>
      <c r="K576" s="6"/>
      <c r="L576" s="25">
        <v>48122</v>
      </c>
      <c r="M576" s="30"/>
      <c r="N576" s="6"/>
      <c r="O576" s="6"/>
      <c r="P576" s="25">
        <v>48122</v>
      </c>
      <c r="Q576" s="30"/>
      <c r="R576" s="30"/>
      <c r="S576" s="30"/>
      <c r="T576" s="30"/>
      <c r="U576" s="30"/>
      <c r="V576" s="119"/>
      <c r="W576" s="6"/>
    </row>
    <row r="577" spans="5:23" s="55" customFormat="1" hidden="1">
      <c r="E577" s="6"/>
      <c r="F577" s="25">
        <v>48153</v>
      </c>
      <c r="G577" s="30"/>
      <c r="H577" s="30"/>
      <c r="I577" s="30"/>
      <c r="J577" s="30"/>
      <c r="K577" s="6"/>
      <c r="L577" s="25">
        <v>48153</v>
      </c>
      <c r="M577" s="30"/>
      <c r="N577" s="6"/>
      <c r="O577" s="6"/>
      <c r="P577" s="25">
        <v>48153</v>
      </c>
      <c r="Q577" s="30"/>
      <c r="R577" s="30"/>
      <c r="S577" s="30"/>
      <c r="T577" s="30"/>
      <c r="U577" s="30"/>
      <c r="V577" s="119"/>
      <c r="W577" s="6"/>
    </row>
    <row r="578" spans="5:23" s="55" customFormat="1" hidden="1">
      <c r="E578" s="6"/>
      <c r="F578" s="25">
        <v>48183</v>
      </c>
      <c r="G578" s="30"/>
      <c r="H578" s="30"/>
      <c r="I578" s="30"/>
      <c r="J578" s="30"/>
      <c r="K578" s="6"/>
      <c r="L578" s="25">
        <v>48183</v>
      </c>
      <c r="M578" s="30"/>
      <c r="N578" s="6"/>
      <c r="O578" s="6"/>
      <c r="P578" s="25">
        <v>48183</v>
      </c>
      <c r="Q578" s="30"/>
      <c r="R578" s="30"/>
      <c r="S578" s="30"/>
      <c r="T578" s="30"/>
      <c r="U578" s="30"/>
      <c r="V578" s="119"/>
      <c r="W578" s="6"/>
    </row>
    <row r="579" spans="5:23" s="55" customFormat="1" hidden="1">
      <c r="E579" s="6"/>
      <c r="F579" s="25">
        <v>48214</v>
      </c>
      <c r="G579" s="30"/>
      <c r="H579" s="30"/>
      <c r="I579" s="30"/>
      <c r="J579" s="30"/>
      <c r="K579" s="6"/>
      <c r="L579" s="25">
        <v>48214</v>
      </c>
      <c r="M579" s="30"/>
      <c r="N579" s="6"/>
      <c r="O579" s="6"/>
      <c r="P579" s="25">
        <v>48214</v>
      </c>
      <c r="Q579" s="30"/>
      <c r="R579" s="30"/>
      <c r="S579" s="30"/>
      <c r="T579" s="30"/>
      <c r="U579" s="30"/>
      <c r="V579" s="119"/>
      <c r="W579" s="6"/>
    </row>
    <row r="580" spans="5:23" s="55" customFormat="1" hidden="1">
      <c r="E580" s="6"/>
      <c r="F580" s="25">
        <v>48245</v>
      </c>
      <c r="G580" s="30"/>
      <c r="H580" s="30"/>
      <c r="I580" s="30"/>
      <c r="J580" s="30"/>
      <c r="K580" s="6"/>
      <c r="L580" s="25">
        <v>48245</v>
      </c>
      <c r="M580" s="30"/>
      <c r="N580" s="6"/>
      <c r="O580" s="6"/>
      <c r="P580" s="25">
        <v>48245</v>
      </c>
      <c r="Q580" s="30"/>
      <c r="R580" s="30"/>
      <c r="S580" s="30"/>
      <c r="T580" s="30"/>
      <c r="U580" s="30"/>
      <c r="V580" s="119"/>
      <c r="W580" s="6"/>
    </row>
    <row r="581" spans="5:23" s="55" customFormat="1" hidden="1">
      <c r="E581" s="6"/>
      <c r="F581" s="25">
        <v>48274</v>
      </c>
      <c r="G581" s="30"/>
      <c r="H581" s="30"/>
      <c r="I581" s="30"/>
      <c r="J581" s="30"/>
      <c r="K581" s="6"/>
      <c r="L581" s="25">
        <v>48274</v>
      </c>
      <c r="M581" s="30"/>
      <c r="N581" s="6"/>
      <c r="O581" s="6"/>
      <c r="P581" s="25">
        <v>48274</v>
      </c>
      <c r="Q581" s="30"/>
      <c r="R581" s="30"/>
      <c r="S581" s="30"/>
      <c r="T581" s="30"/>
      <c r="U581" s="30"/>
      <c r="V581" s="119"/>
      <c r="W581" s="6"/>
    </row>
    <row r="582" spans="5:23" s="55" customFormat="1" hidden="1">
      <c r="E582" s="6"/>
      <c r="F582" s="25">
        <v>48305</v>
      </c>
      <c r="G582" s="30"/>
      <c r="H582" s="30"/>
      <c r="I582" s="30"/>
      <c r="J582" s="30"/>
      <c r="K582" s="6"/>
      <c r="L582" s="25">
        <v>48305</v>
      </c>
      <c r="M582" s="30"/>
      <c r="N582" s="6"/>
      <c r="O582" s="6"/>
      <c r="P582" s="25">
        <v>48305</v>
      </c>
      <c r="Q582" s="30"/>
      <c r="R582" s="30"/>
      <c r="S582" s="30"/>
      <c r="T582" s="30"/>
      <c r="U582" s="30"/>
      <c r="V582" s="119"/>
      <c r="W582" s="6"/>
    </row>
    <row r="583" spans="5:23" s="55" customFormat="1" hidden="1">
      <c r="E583" s="6"/>
      <c r="F583" s="25">
        <v>48335</v>
      </c>
      <c r="G583" s="30"/>
      <c r="H583" s="30"/>
      <c r="I583" s="30"/>
      <c r="J583" s="30"/>
      <c r="K583" s="6"/>
      <c r="L583" s="25">
        <v>48335</v>
      </c>
      <c r="M583" s="30"/>
      <c r="N583" s="6"/>
      <c r="O583" s="6"/>
      <c r="P583" s="25">
        <v>48335</v>
      </c>
      <c r="Q583" s="30"/>
      <c r="R583" s="30"/>
      <c r="S583" s="30"/>
      <c r="T583" s="30"/>
      <c r="U583" s="30"/>
      <c r="V583" s="119"/>
      <c r="W583" s="6"/>
    </row>
    <row r="584" spans="5:23" s="55" customFormat="1" hidden="1">
      <c r="E584" s="6"/>
      <c r="F584" s="25">
        <v>48366</v>
      </c>
      <c r="G584" s="30"/>
      <c r="H584" s="30"/>
      <c r="I584" s="30"/>
      <c r="J584" s="30"/>
      <c r="K584" s="6"/>
      <c r="L584" s="25">
        <v>48366</v>
      </c>
      <c r="M584" s="30"/>
      <c r="N584" s="6"/>
      <c r="O584" s="6"/>
      <c r="P584" s="25">
        <v>48366</v>
      </c>
      <c r="Q584" s="30"/>
      <c r="R584" s="30"/>
      <c r="S584" s="30"/>
      <c r="T584" s="30"/>
      <c r="U584" s="30"/>
      <c r="V584" s="119"/>
      <c r="W584" s="6"/>
    </row>
    <row r="585" spans="5:23" s="55" customFormat="1" hidden="1">
      <c r="E585" s="6"/>
      <c r="F585" s="25">
        <v>48396</v>
      </c>
      <c r="G585" s="30"/>
      <c r="H585" s="30"/>
      <c r="I585" s="30"/>
      <c r="J585" s="30"/>
      <c r="K585" s="6"/>
      <c r="L585" s="25">
        <v>48396</v>
      </c>
      <c r="M585" s="30"/>
      <c r="N585" s="6"/>
      <c r="O585" s="6"/>
      <c r="P585" s="25">
        <v>48396</v>
      </c>
      <c r="Q585" s="30"/>
      <c r="R585" s="30"/>
      <c r="S585" s="30"/>
      <c r="T585" s="30"/>
      <c r="U585" s="30"/>
      <c r="V585" s="119"/>
      <c r="W585" s="6"/>
    </row>
    <row r="586" spans="5:23" s="55" customFormat="1" hidden="1">
      <c r="E586" s="6"/>
      <c r="F586" s="25">
        <v>48427</v>
      </c>
      <c r="G586" s="30"/>
      <c r="H586" s="30"/>
      <c r="I586" s="30"/>
      <c r="J586" s="30"/>
      <c r="K586" s="6"/>
      <c r="L586" s="25">
        <v>48427</v>
      </c>
      <c r="M586" s="30"/>
      <c r="N586" s="6"/>
      <c r="O586" s="6"/>
      <c r="P586" s="25">
        <v>48427</v>
      </c>
      <c r="Q586" s="30"/>
      <c r="R586" s="30"/>
      <c r="S586" s="30"/>
      <c r="T586" s="30"/>
      <c r="U586" s="30"/>
      <c r="V586" s="119"/>
      <c r="W586" s="6"/>
    </row>
    <row r="587" spans="5:23" s="55" customFormat="1" hidden="1">
      <c r="E587" s="6"/>
      <c r="F587" s="25">
        <v>48458</v>
      </c>
      <c r="G587" s="30"/>
      <c r="H587" s="30"/>
      <c r="I587" s="30"/>
      <c r="J587" s="30"/>
      <c r="K587" s="6"/>
      <c r="L587" s="25">
        <v>48458</v>
      </c>
      <c r="M587" s="30"/>
      <c r="N587" s="6"/>
      <c r="O587" s="6"/>
      <c r="P587" s="25">
        <v>48458</v>
      </c>
      <c r="Q587" s="30"/>
      <c r="R587" s="30"/>
      <c r="S587" s="30"/>
      <c r="T587" s="30"/>
      <c r="U587" s="30"/>
      <c r="V587" s="119"/>
      <c r="W587" s="6"/>
    </row>
    <row r="588" spans="5:23" s="55" customFormat="1" hidden="1">
      <c r="E588" s="6"/>
      <c r="F588" s="25">
        <v>48488</v>
      </c>
      <c r="G588" s="30"/>
      <c r="H588" s="30"/>
      <c r="I588" s="30"/>
      <c r="J588" s="30"/>
      <c r="K588" s="6"/>
      <c r="L588" s="25">
        <v>48488</v>
      </c>
      <c r="M588" s="30"/>
      <c r="N588" s="6"/>
      <c r="O588" s="6"/>
      <c r="P588" s="25">
        <v>48488</v>
      </c>
      <c r="Q588" s="30"/>
      <c r="R588" s="30"/>
      <c r="S588" s="30"/>
      <c r="T588" s="30"/>
      <c r="U588" s="30"/>
      <c r="V588" s="119"/>
      <c r="W588" s="6"/>
    </row>
    <row r="589" spans="5:23" s="55" customFormat="1" hidden="1">
      <c r="E589" s="6"/>
      <c r="F589" s="25">
        <v>48519</v>
      </c>
      <c r="G589" s="30"/>
      <c r="H589" s="30"/>
      <c r="I589" s="30"/>
      <c r="J589" s="30"/>
      <c r="K589" s="6"/>
      <c r="L589" s="25">
        <v>48519</v>
      </c>
      <c r="M589" s="30"/>
      <c r="N589" s="6"/>
      <c r="O589" s="6"/>
      <c r="P589" s="25">
        <v>48519</v>
      </c>
      <c r="Q589" s="30"/>
      <c r="R589" s="30"/>
      <c r="S589" s="30"/>
      <c r="T589" s="30"/>
      <c r="U589" s="30"/>
      <c r="V589" s="119"/>
      <c r="W589" s="6"/>
    </row>
    <row r="590" spans="5:23" s="55" customFormat="1" hidden="1">
      <c r="E590" s="6"/>
      <c r="F590" s="25">
        <v>48549</v>
      </c>
      <c r="G590" s="30"/>
      <c r="H590" s="30"/>
      <c r="I590" s="30"/>
      <c r="J590" s="30"/>
      <c r="K590" s="6"/>
      <c r="L590" s="25">
        <v>48549</v>
      </c>
      <c r="M590" s="30"/>
      <c r="N590" s="6"/>
      <c r="O590" s="6"/>
      <c r="P590" s="25">
        <v>48549</v>
      </c>
      <c r="Q590" s="30"/>
      <c r="R590" s="30"/>
      <c r="S590" s="30"/>
      <c r="T590" s="30"/>
      <c r="U590" s="30"/>
      <c r="V590" s="119"/>
      <c r="W590" s="6"/>
    </row>
    <row r="591" spans="5:23" s="55" customFormat="1" hidden="1">
      <c r="E591" s="6"/>
      <c r="F591" s="25">
        <v>48580</v>
      </c>
      <c r="G591" s="30"/>
      <c r="H591" s="30"/>
      <c r="I591" s="30"/>
      <c r="J591" s="30"/>
      <c r="K591" s="6"/>
      <c r="L591" s="25">
        <v>48580</v>
      </c>
      <c r="M591" s="30"/>
      <c r="N591" s="6"/>
      <c r="O591" s="6"/>
      <c r="P591" s="25">
        <v>48580</v>
      </c>
      <c r="Q591" s="30"/>
      <c r="R591" s="30"/>
      <c r="S591" s="30"/>
      <c r="T591" s="30"/>
      <c r="U591" s="30"/>
      <c r="V591" s="119"/>
      <c r="W591" s="6"/>
    </row>
    <row r="592" spans="5:23" s="55" customFormat="1" hidden="1">
      <c r="E592" s="6"/>
      <c r="F592" s="25">
        <v>48611</v>
      </c>
      <c r="G592" s="30"/>
      <c r="H592" s="30"/>
      <c r="I592" s="30"/>
      <c r="J592" s="30"/>
      <c r="K592" s="6"/>
      <c r="L592" s="25">
        <v>48611</v>
      </c>
      <c r="M592" s="30"/>
      <c r="N592" s="6"/>
      <c r="O592" s="6"/>
      <c r="P592" s="25">
        <v>48611</v>
      </c>
      <c r="Q592" s="30"/>
      <c r="R592" s="30"/>
      <c r="S592" s="30"/>
      <c r="T592" s="30"/>
      <c r="U592" s="30"/>
      <c r="V592" s="119"/>
      <c r="W592" s="6"/>
    </row>
    <row r="593" spans="5:23" s="55" customFormat="1" hidden="1">
      <c r="E593" s="6"/>
      <c r="F593" s="25">
        <v>48639</v>
      </c>
      <c r="G593" s="30"/>
      <c r="H593" s="30"/>
      <c r="I593" s="30"/>
      <c r="J593" s="30"/>
      <c r="K593" s="6"/>
      <c r="L593" s="25">
        <v>48639</v>
      </c>
      <c r="M593" s="30"/>
      <c r="N593" s="6"/>
      <c r="O593" s="6"/>
      <c r="P593" s="25">
        <v>48639</v>
      </c>
      <c r="Q593" s="30"/>
      <c r="R593" s="30"/>
      <c r="S593" s="30"/>
      <c r="T593" s="30"/>
      <c r="U593" s="30"/>
      <c r="V593" s="119"/>
      <c r="W593" s="6"/>
    </row>
    <row r="594" spans="5:23" s="55" customFormat="1" hidden="1">
      <c r="E594" s="6"/>
      <c r="F594" s="25">
        <v>48670</v>
      </c>
      <c r="G594" s="30"/>
      <c r="H594" s="30"/>
      <c r="I594" s="30"/>
      <c r="J594" s="30"/>
      <c r="K594" s="6"/>
      <c r="L594" s="25">
        <v>48670</v>
      </c>
      <c r="M594" s="30"/>
      <c r="N594" s="6"/>
      <c r="O594" s="6"/>
      <c r="P594" s="25">
        <v>48670</v>
      </c>
      <c r="Q594" s="30"/>
      <c r="R594" s="30"/>
      <c r="S594" s="30"/>
      <c r="T594" s="30"/>
      <c r="U594" s="30"/>
      <c r="V594" s="119"/>
      <c r="W594" s="6"/>
    </row>
    <row r="595" spans="5:23" s="55" customFormat="1" hidden="1">
      <c r="E595" s="6"/>
      <c r="F595" s="25">
        <v>48700</v>
      </c>
      <c r="G595" s="30"/>
      <c r="H595" s="30"/>
      <c r="I595" s="30"/>
      <c r="J595" s="30"/>
      <c r="K595" s="6"/>
      <c r="L595" s="25">
        <v>48700</v>
      </c>
      <c r="M595" s="30"/>
      <c r="N595" s="6"/>
      <c r="O595" s="6"/>
      <c r="P595" s="25">
        <v>48700</v>
      </c>
      <c r="Q595" s="30"/>
      <c r="R595" s="30"/>
      <c r="S595" s="30"/>
      <c r="T595" s="30"/>
      <c r="U595" s="30"/>
      <c r="V595" s="119"/>
      <c r="W595" s="6"/>
    </row>
    <row r="596" spans="5:23" s="55" customFormat="1" hidden="1">
      <c r="E596" s="6"/>
      <c r="F596" s="25">
        <v>48731</v>
      </c>
      <c r="G596" s="30"/>
      <c r="H596" s="30"/>
      <c r="I596" s="30"/>
      <c r="J596" s="30"/>
      <c r="K596" s="6"/>
      <c r="L596" s="25">
        <v>48731</v>
      </c>
      <c r="M596" s="30"/>
      <c r="N596" s="6"/>
      <c r="O596" s="6"/>
      <c r="P596" s="25">
        <v>48731</v>
      </c>
      <c r="Q596" s="30"/>
      <c r="R596" s="30"/>
      <c r="S596" s="30"/>
      <c r="T596" s="30"/>
      <c r="U596" s="30"/>
      <c r="V596" s="119"/>
      <c r="W596" s="6"/>
    </row>
    <row r="597" spans="5:23" s="55" customFormat="1" hidden="1">
      <c r="E597" s="6"/>
      <c r="F597" s="25">
        <v>48761</v>
      </c>
      <c r="G597" s="30"/>
      <c r="H597" s="30"/>
      <c r="I597" s="30"/>
      <c r="J597" s="30"/>
      <c r="K597" s="6"/>
      <c r="L597" s="25">
        <v>48761</v>
      </c>
      <c r="M597" s="30"/>
      <c r="N597" s="6"/>
      <c r="O597" s="6"/>
      <c r="P597" s="25">
        <v>48761</v>
      </c>
      <c r="Q597" s="30"/>
      <c r="R597" s="30"/>
      <c r="S597" s="30"/>
      <c r="T597" s="30"/>
      <c r="U597" s="30"/>
      <c r="V597" s="119"/>
      <c r="W597" s="6"/>
    </row>
    <row r="598" spans="5:23" s="55" customFormat="1" hidden="1">
      <c r="E598" s="6"/>
      <c r="F598" s="25">
        <v>48792</v>
      </c>
      <c r="G598" s="30"/>
      <c r="H598" s="30"/>
      <c r="I598" s="30"/>
      <c r="J598" s="30"/>
      <c r="K598" s="6"/>
      <c r="L598" s="25">
        <v>48792</v>
      </c>
      <c r="M598" s="30"/>
      <c r="N598" s="6"/>
      <c r="O598" s="6"/>
      <c r="P598" s="25">
        <v>48792</v>
      </c>
      <c r="Q598" s="30"/>
      <c r="R598" s="30"/>
      <c r="S598" s="30"/>
      <c r="T598" s="30"/>
      <c r="U598" s="30"/>
      <c r="V598" s="119"/>
      <c r="W598" s="6"/>
    </row>
    <row r="599" spans="5:23" s="55" customFormat="1" hidden="1">
      <c r="E599" s="6"/>
      <c r="F599" s="25">
        <v>48823</v>
      </c>
      <c r="G599" s="30"/>
      <c r="H599" s="30"/>
      <c r="I599" s="30"/>
      <c r="J599" s="30"/>
      <c r="K599" s="6"/>
      <c r="L599" s="25">
        <v>48823</v>
      </c>
      <c r="M599" s="30"/>
      <c r="N599" s="6"/>
      <c r="O599" s="6"/>
      <c r="P599" s="25">
        <v>48823</v>
      </c>
      <c r="Q599" s="30"/>
      <c r="R599" s="30"/>
      <c r="S599" s="30"/>
      <c r="T599" s="30"/>
      <c r="U599" s="30"/>
      <c r="V599" s="119"/>
      <c r="W599" s="6"/>
    </row>
    <row r="600" spans="5:23" s="55" customFormat="1" hidden="1">
      <c r="E600" s="6"/>
      <c r="F600" s="25">
        <v>48853</v>
      </c>
      <c r="G600" s="30"/>
      <c r="H600" s="30"/>
      <c r="I600" s="30"/>
      <c r="J600" s="30"/>
      <c r="K600" s="6"/>
      <c r="L600" s="25">
        <v>48853</v>
      </c>
      <c r="M600" s="30"/>
      <c r="N600" s="6"/>
      <c r="O600" s="6"/>
      <c r="P600" s="25">
        <v>48853</v>
      </c>
      <c r="Q600" s="30"/>
      <c r="R600" s="30"/>
      <c r="S600" s="30"/>
      <c r="T600" s="30"/>
      <c r="U600" s="30"/>
      <c r="V600" s="119"/>
      <c r="W600" s="6"/>
    </row>
    <row r="601" spans="5:23" s="55" customFormat="1" hidden="1">
      <c r="E601" s="6"/>
      <c r="F601" s="25">
        <v>48884</v>
      </c>
      <c r="G601" s="30"/>
      <c r="H601" s="30"/>
      <c r="I601" s="30"/>
      <c r="J601" s="30"/>
      <c r="K601" s="6"/>
      <c r="L601" s="25">
        <v>48884</v>
      </c>
      <c r="M601" s="30"/>
      <c r="N601" s="6"/>
      <c r="O601" s="6"/>
      <c r="P601" s="25">
        <v>48884</v>
      </c>
      <c r="Q601" s="30"/>
      <c r="R601" s="30"/>
      <c r="S601" s="30"/>
      <c r="T601" s="30"/>
      <c r="U601" s="30"/>
      <c r="V601" s="119"/>
      <c r="W601" s="6"/>
    </row>
    <row r="602" spans="5:23" s="55" customFormat="1" hidden="1">
      <c r="E602" s="6"/>
      <c r="F602" s="25">
        <v>48914</v>
      </c>
      <c r="G602" s="30"/>
      <c r="H602" s="30"/>
      <c r="I602" s="30"/>
      <c r="J602" s="30"/>
      <c r="K602" s="6"/>
      <c r="L602" s="25">
        <v>48914</v>
      </c>
      <c r="M602" s="30"/>
      <c r="N602" s="6"/>
      <c r="O602" s="6"/>
      <c r="P602" s="25">
        <v>48914</v>
      </c>
      <c r="Q602" s="30"/>
      <c r="R602" s="30"/>
      <c r="S602" s="30"/>
      <c r="T602" s="30"/>
      <c r="U602" s="30"/>
      <c r="V602" s="119"/>
      <c r="W602" s="6"/>
    </row>
    <row r="603" spans="5:23" s="55" customFormat="1" hidden="1">
      <c r="E603" s="6"/>
      <c r="F603" s="25">
        <v>48945</v>
      </c>
      <c r="G603" s="30"/>
      <c r="H603" s="30"/>
      <c r="I603" s="30"/>
      <c r="J603" s="30"/>
      <c r="K603" s="6"/>
      <c r="L603" s="25">
        <v>48945</v>
      </c>
      <c r="M603" s="30"/>
      <c r="N603" s="6"/>
      <c r="O603" s="6"/>
      <c r="P603" s="25">
        <v>48945</v>
      </c>
      <c r="Q603" s="30"/>
      <c r="R603" s="30"/>
      <c r="S603" s="30"/>
      <c r="T603" s="30"/>
      <c r="U603" s="30"/>
      <c r="V603" s="119"/>
      <c r="W603" s="6"/>
    </row>
    <row r="604" spans="5:23" s="55" customFormat="1" hidden="1">
      <c r="E604" s="6"/>
      <c r="F604" s="25">
        <v>48976</v>
      </c>
      <c r="G604" s="30"/>
      <c r="H604" s="30"/>
      <c r="I604" s="30"/>
      <c r="J604" s="30"/>
      <c r="K604" s="6"/>
      <c r="L604" s="25">
        <v>48976</v>
      </c>
      <c r="M604" s="30"/>
      <c r="N604" s="6"/>
      <c r="O604" s="6"/>
      <c r="P604" s="25">
        <v>48976</v>
      </c>
      <c r="Q604" s="30"/>
      <c r="R604" s="30"/>
      <c r="S604" s="30"/>
      <c r="T604" s="30"/>
      <c r="U604" s="30"/>
      <c r="V604" s="119"/>
      <c r="W604" s="6"/>
    </row>
    <row r="605" spans="5:23" s="55" customFormat="1" hidden="1">
      <c r="E605" s="6"/>
      <c r="F605" s="25">
        <v>49004</v>
      </c>
      <c r="G605" s="30"/>
      <c r="H605" s="30"/>
      <c r="I605" s="30"/>
      <c r="J605" s="30"/>
      <c r="K605" s="6"/>
      <c r="L605" s="25">
        <v>49004</v>
      </c>
      <c r="M605" s="30"/>
      <c r="N605" s="6"/>
      <c r="O605" s="6"/>
      <c r="P605" s="25">
        <v>49004</v>
      </c>
      <c r="Q605" s="30"/>
      <c r="R605" s="30"/>
      <c r="S605" s="30"/>
      <c r="T605" s="30"/>
      <c r="U605" s="30"/>
      <c r="V605" s="119"/>
      <c r="W605" s="6"/>
    </row>
    <row r="606" spans="5:23" s="55" customFormat="1" hidden="1">
      <c r="E606" s="6"/>
      <c r="F606" s="25">
        <v>49035</v>
      </c>
      <c r="G606" s="30"/>
      <c r="H606" s="30"/>
      <c r="I606" s="30"/>
      <c r="J606" s="30"/>
      <c r="K606" s="6"/>
      <c r="L606" s="25">
        <v>49035</v>
      </c>
      <c r="M606" s="30"/>
      <c r="N606" s="6"/>
      <c r="O606" s="6"/>
      <c r="P606" s="25">
        <v>49035</v>
      </c>
      <c r="Q606" s="30"/>
      <c r="R606" s="30"/>
      <c r="S606" s="30"/>
      <c r="T606" s="30"/>
      <c r="U606" s="30"/>
      <c r="V606" s="119"/>
      <c r="W606" s="6"/>
    </row>
    <row r="607" spans="5:23" s="55" customFormat="1" hidden="1">
      <c r="E607" s="6"/>
      <c r="F607" s="25">
        <v>49065</v>
      </c>
      <c r="G607" s="30"/>
      <c r="H607" s="30"/>
      <c r="I607" s="30"/>
      <c r="J607" s="30"/>
      <c r="K607" s="6"/>
      <c r="L607" s="25">
        <v>49065</v>
      </c>
      <c r="M607" s="30"/>
      <c r="N607" s="6"/>
      <c r="O607" s="6"/>
      <c r="P607" s="25">
        <v>49065</v>
      </c>
      <c r="Q607" s="30"/>
      <c r="R607" s="30"/>
      <c r="S607" s="30"/>
      <c r="T607" s="30"/>
      <c r="U607" s="30"/>
      <c r="V607" s="119"/>
      <c r="W607" s="6"/>
    </row>
    <row r="608" spans="5:23" s="55" customFormat="1" hidden="1">
      <c r="E608" s="6"/>
      <c r="F608" s="25">
        <v>49096</v>
      </c>
      <c r="G608" s="30"/>
      <c r="H608" s="30"/>
      <c r="I608" s="30"/>
      <c r="J608" s="30"/>
      <c r="K608" s="6"/>
      <c r="L608" s="25">
        <v>49096</v>
      </c>
      <c r="M608" s="30"/>
      <c r="N608" s="6"/>
      <c r="O608" s="6"/>
      <c r="P608" s="25">
        <v>49096</v>
      </c>
      <c r="Q608" s="30"/>
      <c r="R608" s="30"/>
      <c r="S608" s="30"/>
      <c r="T608" s="30"/>
      <c r="U608" s="30"/>
      <c r="V608" s="119"/>
      <c r="W608" s="6"/>
    </row>
    <row r="609" spans="5:23" s="55" customFormat="1" hidden="1">
      <c r="E609" s="6"/>
      <c r="F609" s="25">
        <v>49126</v>
      </c>
      <c r="G609" s="30"/>
      <c r="H609" s="30"/>
      <c r="I609" s="30"/>
      <c r="J609" s="30"/>
      <c r="K609" s="6"/>
      <c r="L609" s="25">
        <v>49126</v>
      </c>
      <c r="M609" s="30"/>
      <c r="N609" s="6"/>
      <c r="O609" s="6"/>
      <c r="P609" s="25">
        <v>49126</v>
      </c>
      <c r="Q609" s="30"/>
      <c r="R609" s="30"/>
      <c r="S609" s="30"/>
      <c r="T609" s="30"/>
      <c r="U609" s="30"/>
      <c r="V609" s="119"/>
      <c r="W609" s="6"/>
    </row>
    <row r="610" spans="5:23" s="55" customFormat="1" hidden="1">
      <c r="E610" s="6"/>
      <c r="F610" s="25">
        <v>49157</v>
      </c>
      <c r="G610" s="30"/>
      <c r="H610" s="30"/>
      <c r="I610" s="30"/>
      <c r="J610" s="30"/>
      <c r="K610" s="6"/>
      <c r="L610" s="25">
        <v>49157</v>
      </c>
      <c r="M610" s="30"/>
      <c r="N610" s="6"/>
      <c r="O610" s="6"/>
      <c r="P610" s="25">
        <v>49157</v>
      </c>
      <c r="Q610" s="30"/>
      <c r="R610" s="30"/>
      <c r="S610" s="30"/>
      <c r="T610" s="30"/>
      <c r="U610" s="30"/>
      <c r="V610" s="119"/>
      <c r="W610" s="6"/>
    </row>
    <row r="611" spans="5:23" s="55" customFormat="1" hidden="1">
      <c r="E611" s="6"/>
      <c r="F611" s="25">
        <v>49188</v>
      </c>
      <c r="G611" s="30"/>
      <c r="H611" s="30"/>
      <c r="I611" s="30"/>
      <c r="J611" s="30"/>
      <c r="K611" s="6"/>
      <c r="L611" s="25">
        <v>49188</v>
      </c>
      <c r="M611" s="30"/>
      <c r="N611" s="6"/>
      <c r="O611" s="6"/>
      <c r="P611" s="25">
        <v>49188</v>
      </c>
      <c r="Q611" s="30"/>
      <c r="R611" s="30"/>
      <c r="S611" s="30"/>
      <c r="T611" s="30"/>
      <c r="U611" s="30"/>
      <c r="V611" s="119"/>
      <c r="W611" s="6"/>
    </row>
    <row r="612" spans="5:23" s="55" customFormat="1" hidden="1">
      <c r="E612" s="6"/>
      <c r="F612" s="25">
        <v>49218</v>
      </c>
      <c r="G612" s="30"/>
      <c r="H612" s="30"/>
      <c r="I612" s="30"/>
      <c r="J612" s="30"/>
      <c r="K612" s="6"/>
      <c r="L612" s="25">
        <v>49218</v>
      </c>
      <c r="M612" s="30"/>
      <c r="N612" s="6"/>
      <c r="O612" s="6"/>
      <c r="P612" s="25">
        <v>49218</v>
      </c>
      <c r="Q612" s="30"/>
      <c r="R612" s="30"/>
      <c r="S612" s="30"/>
      <c r="T612" s="30"/>
      <c r="U612" s="30"/>
      <c r="V612" s="119"/>
      <c r="W612" s="6"/>
    </row>
    <row r="613" spans="5:23" s="55" customFormat="1" hidden="1">
      <c r="E613" s="6"/>
      <c r="F613" s="25">
        <v>49249</v>
      </c>
      <c r="G613" s="30"/>
      <c r="H613" s="30"/>
      <c r="I613" s="30"/>
      <c r="J613" s="30"/>
      <c r="K613" s="6"/>
      <c r="L613" s="25">
        <v>49249</v>
      </c>
      <c r="M613" s="30"/>
      <c r="N613" s="6"/>
      <c r="O613" s="6"/>
      <c r="P613" s="25">
        <v>49249</v>
      </c>
      <c r="Q613" s="30"/>
      <c r="R613" s="30"/>
      <c r="S613" s="30"/>
      <c r="T613" s="30"/>
      <c r="U613" s="30"/>
      <c r="V613" s="119"/>
      <c r="W613" s="6"/>
    </row>
    <row r="614" spans="5:23" s="55" customFormat="1" hidden="1">
      <c r="E614" s="6"/>
      <c r="F614" s="25">
        <v>49279</v>
      </c>
      <c r="G614" s="30"/>
      <c r="H614" s="30"/>
      <c r="I614" s="30"/>
      <c r="J614" s="30"/>
      <c r="K614" s="6"/>
      <c r="L614" s="25">
        <v>49279</v>
      </c>
      <c r="M614" s="30"/>
      <c r="N614" s="6"/>
      <c r="O614" s="6"/>
      <c r="P614" s="25">
        <v>49279</v>
      </c>
      <c r="Q614" s="30"/>
      <c r="R614" s="30"/>
      <c r="S614" s="30"/>
      <c r="T614" s="30"/>
      <c r="U614" s="30"/>
      <c r="V614" s="119"/>
      <c r="W614" s="6"/>
    </row>
    <row r="615" spans="5:23" s="55" customFormat="1" hidden="1">
      <c r="E615" s="6"/>
      <c r="F615" s="25">
        <v>49310</v>
      </c>
      <c r="G615" s="30"/>
      <c r="H615" s="30"/>
      <c r="I615" s="30"/>
      <c r="J615" s="30"/>
      <c r="K615" s="6"/>
      <c r="L615" s="25">
        <v>49310</v>
      </c>
      <c r="M615" s="30"/>
      <c r="N615" s="6"/>
      <c r="O615" s="6"/>
      <c r="P615" s="25">
        <v>49310</v>
      </c>
      <c r="Q615" s="30"/>
      <c r="R615" s="30"/>
      <c r="S615" s="30"/>
      <c r="T615" s="30"/>
      <c r="U615" s="30"/>
      <c r="V615" s="119"/>
      <c r="W615" s="6"/>
    </row>
    <row r="616" spans="5:23" s="55" customFormat="1" hidden="1">
      <c r="E616" s="6"/>
      <c r="F616" s="25">
        <v>49341</v>
      </c>
      <c r="G616" s="30"/>
      <c r="H616" s="30"/>
      <c r="I616" s="30"/>
      <c r="J616" s="30"/>
      <c r="K616" s="6"/>
      <c r="L616" s="25">
        <v>49341</v>
      </c>
      <c r="M616" s="30"/>
      <c r="N616" s="6"/>
      <c r="O616" s="6"/>
      <c r="P616" s="25">
        <v>49341</v>
      </c>
      <c r="Q616" s="30"/>
      <c r="R616" s="30"/>
      <c r="S616" s="30"/>
      <c r="T616" s="30"/>
      <c r="U616" s="30"/>
      <c r="V616" s="119"/>
      <c r="W616" s="6"/>
    </row>
    <row r="617" spans="5:23" s="55" customFormat="1" hidden="1">
      <c r="E617" s="6"/>
      <c r="F617" s="25">
        <v>49369</v>
      </c>
      <c r="G617" s="30"/>
      <c r="H617" s="30"/>
      <c r="I617" s="30"/>
      <c r="J617" s="30"/>
      <c r="K617" s="6"/>
      <c r="L617" s="25">
        <v>49369</v>
      </c>
      <c r="M617" s="30"/>
      <c r="N617" s="6"/>
      <c r="O617" s="6"/>
      <c r="P617" s="25">
        <v>49369</v>
      </c>
      <c r="Q617" s="30"/>
      <c r="R617" s="30"/>
      <c r="S617" s="30"/>
      <c r="T617" s="30"/>
      <c r="U617" s="30"/>
      <c r="V617" s="119"/>
      <c r="W617" s="6"/>
    </row>
    <row r="618" spans="5:23" s="55" customFormat="1" hidden="1">
      <c r="E618" s="6"/>
      <c r="F618" s="25">
        <v>49400</v>
      </c>
      <c r="G618" s="30"/>
      <c r="H618" s="30"/>
      <c r="I618" s="30"/>
      <c r="J618" s="30"/>
      <c r="K618" s="6"/>
      <c r="L618" s="25">
        <v>49400</v>
      </c>
      <c r="M618" s="30"/>
      <c r="N618" s="6"/>
      <c r="O618" s="6"/>
      <c r="P618" s="25">
        <v>49400</v>
      </c>
      <c r="Q618" s="30"/>
      <c r="R618" s="30"/>
      <c r="S618" s="30"/>
      <c r="T618" s="30"/>
      <c r="U618" s="30"/>
      <c r="V618" s="119"/>
      <c r="W618" s="6"/>
    </row>
    <row r="619" spans="5:23" s="55" customFormat="1" hidden="1">
      <c r="E619" s="6"/>
      <c r="F619" s="25">
        <v>49430</v>
      </c>
      <c r="G619" s="30"/>
      <c r="H619" s="30"/>
      <c r="I619" s="30"/>
      <c r="J619" s="30"/>
      <c r="K619" s="6"/>
      <c r="L619" s="25">
        <v>49430</v>
      </c>
      <c r="M619" s="30"/>
      <c r="N619" s="6"/>
      <c r="O619" s="6"/>
      <c r="P619" s="25">
        <v>49430</v>
      </c>
      <c r="Q619" s="30"/>
      <c r="R619" s="30"/>
      <c r="S619" s="30"/>
      <c r="T619" s="30"/>
      <c r="U619" s="30"/>
      <c r="V619" s="119"/>
      <c r="W619" s="6"/>
    </row>
    <row r="620" spans="5:23" s="55" customFormat="1" hidden="1">
      <c r="E620" s="6"/>
      <c r="F620" s="25">
        <v>49461</v>
      </c>
      <c r="G620" s="30"/>
      <c r="H620" s="30"/>
      <c r="I620" s="30"/>
      <c r="J620" s="30"/>
      <c r="K620" s="6"/>
      <c r="L620" s="25">
        <v>49461</v>
      </c>
      <c r="M620" s="30"/>
      <c r="N620" s="6"/>
      <c r="O620" s="6"/>
      <c r="P620" s="25">
        <v>49461</v>
      </c>
      <c r="Q620" s="30"/>
      <c r="R620" s="30"/>
      <c r="S620" s="30"/>
      <c r="T620" s="30"/>
      <c r="U620" s="30"/>
      <c r="V620" s="119"/>
      <c r="W620" s="6"/>
    </row>
    <row r="621" spans="5:23" s="55" customFormat="1" hidden="1">
      <c r="E621" s="6"/>
      <c r="F621" s="25">
        <v>49491</v>
      </c>
      <c r="G621" s="30"/>
      <c r="H621" s="30"/>
      <c r="I621" s="30"/>
      <c r="J621" s="30"/>
      <c r="K621" s="6"/>
      <c r="L621" s="25">
        <v>49491</v>
      </c>
      <c r="M621" s="30"/>
      <c r="N621" s="6"/>
      <c r="O621" s="6"/>
      <c r="P621" s="25">
        <v>49491</v>
      </c>
      <c r="Q621" s="30"/>
      <c r="R621" s="30"/>
      <c r="S621" s="30"/>
      <c r="T621" s="30"/>
      <c r="U621" s="30"/>
      <c r="V621" s="119"/>
      <c r="W621" s="6"/>
    </row>
    <row r="622" spans="5:23" s="55" customFormat="1" hidden="1">
      <c r="E622" s="6"/>
      <c r="F622" s="25">
        <v>49522</v>
      </c>
      <c r="G622" s="30"/>
      <c r="H622" s="30"/>
      <c r="I622" s="30"/>
      <c r="J622" s="30"/>
      <c r="K622" s="6"/>
      <c r="L622" s="25">
        <v>49522</v>
      </c>
      <c r="M622" s="30"/>
      <c r="N622" s="6"/>
      <c r="O622" s="6"/>
      <c r="P622" s="25">
        <v>49522</v>
      </c>
      <c r="Q622" s="30"/>
      <c r="R622" s="30"/>
      <c r="S622" s="30"/>
      <c r="T622" s="30"/>
      <c r="U622" s="30"/>
      <c r="V622" s="119"/>
      <c r="W622" s="6"/>
    </row>
    <row r="623" spans="5:23" s="55" customFormat="1" hidden="1">
      <c r="E623" s="6"/>
      <c r="F623" s="25">
        <v>49553</v>
      </c>
      <c r="G623" s="30"/>
      <c r="H623" s="30"/>
      <c r="I623" s="30"/>
      <c r="J623" s="30"/>
      <c r="K623" s="6"/>
      <c r="L623" s="25">
        <v>49553</v>
      </c>
      <c r="M623" s="30"/>
      <c r="N623" s="6"/>
      <c r="O623" s="6"/>
      <c r="P623" s="25">
        <v>49553</v>
      </c>
      <c r="Q623" s="30"/>
      <c r="R623" s="30"/>
      <c r="S623" s="30"/>
      <c r="T623" s="30"/>
      <c r="U623" s="30"/>
      <c r="V623" s="119"/>
      <c r="W623" s="6"/>
    </row>
    <row r="624" spans="5:23" s="55" customFormat="1" hidden="1">
      <c r="E624" s="6"/>
      <c r="F624" s="25">
        <v>49583</v>
      </c>
      <c r="G624" s="30"/>
      <c r="H624" s="30"/>
      <c r="I624" s="30"/>
      <c r="J624" s="30"/>
      <c r="K624" s="6"/>
      <c r="L624" s="25">
        <v>49583</v>
      </c>
      <c r="M624" s="30"/>
      <c r="N624" s="6"/>
      <c r="O624" s="6"/>
      <c r="P624" s="25">
        <v>49583</v>
      </c>
      <c r="Q624" s="30"/>
      <c r="R624" s="30"/>
      <c r="S624" s="30"/>
      <c r="T624" s="30"/>
      <c r="U624" s="30"/>
      <c r="V624" s="119"/>
      <c r="W624" s="6"/>
    </row>
    <row r="625" spans="5:23" s="55" customFormat="1" hidden="1">
      <c r="E625" s="6"/>
      <c r="F625" s="25">
        <v>49614</v>
      </c>
      <c r="G625" s="30"/>
      <c r="H625" s="30"/>
      <c r="I625" s="30"/>
      <c r="J625" s="30"/>
      <c r="K625" s="6"/>
      <c r="L625" s="25">
        <v>49614</v>
      </c>
      <c r="M625" s="30"/>
      <c r="N625" s="6"/>
      <c r="O625" s="6"/>
      <c r="P625" s="25">
        <v>49614</v>
      </c>
      <c r="Q625" s="30"/>
      <c r="R625" s="30"/>
      <c r="S625" s="30"/>
      <c r="T625" s="30"/>
      <c r="U625" s="30"/>
      <c r="V625" s="119"/>
      <c r="W625" s="6"/>
    </row>
    <row r="626" spans="5:23" s="55" customFormat="1" hidden="1">
      <c r="E626" s="6"/>
      <c r="F626" s="25">
        <v>49644</v>
      </c>
      <c r="G626" s="30"/>
      <c r="H626" s="30"/>
      <c r="I626" s="30"/>
      <c r="J626" s="30"/>
      <c r="K626" s="6"/>
      <c r="L626" s="25">
        <v>49644</v>
      </c>
      <c r="M626" s="30"/>
      <c r="N626" s="6"/>
      <c r="O626" s="6"/>
      <c r="P626" s="25">
        <v>49644</v>
      </c>
      <c r="Q626" s="30"/>
      <c r="R626" s="30"/>
      <c r="S626" s="30"/>
      <c r="T626" s="30"/>
      <c r="U626" s="30"/>
      <c r="V626" s="119"/>
      <c r="W626" s="6"/>
    </row>
    <row r="627" spans="5:23" s="55" customFormat="1" hidden="1">
      <c r="E627" s="6"/>
      <c r="F627" s="25">
        <v>49675</v>
      </c>
      <c r="G627" s="30"/>
      <c r="H627" s="30"/>
      <c r="I627" s="30"/>
      <c r="J627" s="30"/>
      <c r="K627" s="6"/>
      <c r="L627" s="25">
        <v>49675</v>
      </c>
      <c r="M627" s="30"/>
      <c r="N627" s="6"/>
      <c r="O627" s="6"/>
      <c r="P627" s="25">
        <v>49675</v>
      </c>
      <c r="Q627" s="30"/>
      <c r="R627" s="30"/>
      <c r="S627" s="30"/>
      <c r="T627" s="30"/>
      <c r="U627" s="30"/>
      <c r="V627" s="119"/>
      <c r="W627" s="6"/>
    </row>
    <row r="628" spans="5:23" s="55" customFormat="1" hidden="1">
      <c r="E628" s="6"/>
      <c r="F628" s="25">
        <v>49706</v>
      </c>
      <c r="G628" s="30"/>
      <c r="H628" s="30"/>
      <c r="I628" s="30"/>
      <c r="J628" s="30"/>
      <c r="K628" s="6"/>
      <c r="L628" s="25">
        <v>49706</v>
      </c>
      <c r="M628" s="30"/>
      <c r="N628" s="6"/>
      <c r="O628" s="6"/>
      <c r="P628" s="25">
        <v>49706</v>
      </c>
      <c r="Q628" s="30"/>
      <c r="R628" s="30"/>
      <c r="S628" s="30"/>
      <c r="T628" s="30"/>
      <c r="U628" s="30"/>
      <c r="V628" s="119"/>
      <c r="W628" s="6"/>
    </row>
    <row r="629" spans="5:23" s="55" customFormat="1" hidden="1">
      <c r="E629" s="6"/>
      <c r="F629" s="25">
        <v>49735</v>
      </c>
      <c r="G629" s="30"/>
      <c r="H629" s="30"/>
      <c r="I629" s="30"/>
      <c r="J629" s="30"/>
      <c r="K629" s="6"/>
      <c r="L629" s="25">
        <v>49735</v>
      </c>
      <c r="M629" s="30"/>
      <c r="N629" s="6"/>
      <c r="O629" s="6"/>
      <c r="P629" s="25">
        <v>49735</v>
      </c>
      <c r="Q629" s="30"/>
      <c r="R629" s="30"/>
      <c r="S629" s="30"/>
      <c r="T629" s="30"/>
      <c r="U629" s="30"/>
      <c r="V629" s="119"/>
      <c r="W629" s="6"/>
    </row>
    <row r="630" spans="5:23" s="55" customFormat="1" hidden="1">
      <c r="E630" s="6"/>
      <c r="F630" s="25">
        <v>49766</v>
      </c>
      <c r="G630" s="30"/>
      <c r="H630" s="30"/>
      <c r="I630" s="30"/>
      <c r="J630" s="30"/>
      <c r="K630" s="6"/>
      <c r="L630" s="25">
        <v>49766</v>
      </c>
      <c r="M630" s="30"/>
      <c r="N630" s="6"/>
      <c r="O630" s="6"/>
      <c r="P630" s="25">
        <v>49766</v>
      </c>
      <c r="Q630" s="30"/>
      <c r="R630" s="30"/>
      <c r="S630" s="30"/>
      <c r="T630" s="30"/>
      <c r="U630" s="30"/>
      <c r="V630" s="119"/>
      <c r="W630" s="6"/>
    </row>
    <row r="631" spans="5:23" s="55" customFormat="1" hidden="1">
      <c r="E631" s="6"/>
      <c r="F631" s="25">
        <v>49796</v>
      </c>
      <c r="G631" s="30"/>
      <c r="H631" s="30"/>
      <c r="I631" s="30"/>
      <c r="J631" s="30"/>
      <c r="K631" s="6"/>
      <c r="L631" s="25">
        <v>49796</v>
      </c>
      <c r="M631" s="30"/>
      <c r="N631" s="6"/>
      <c r="O631" s="6"/>
      <c r="P631" s="25">
        <v>49796</v>
      </c>
      <c r="Q631" s="30"/>
      <c r="R631" s="30"/>
      <c r="S631" s="30"/>
      <c r="T631" s="30"/>
      <c r="U631" s="30"/>
      <c r="V631" s="119"/>
      <c r="W631" s="6"/>
    </row>
    <row r="632" spans="5:23" s="55" customFormat="1" hidden="1">
      <c r="E632" s="6"/>
      <c r="F632" s="25">
        <v>49827</v>
      </c>
      <c r="G632" s="30"/>
      <c r="H632" s="30"/>
      <c r="I632" s="30"/>
      <c r="J632" s="30"/>
      <c r="K632" s="6"/>
      <c r="L632" s="25">
        <v>49827</v>
      </c>
      <c r="M632" s="30"/>
      <c r="N632" s="6"/>
      <c r="O632" s="6"/>
      <c r="P632" s="25">
        <v>49827</v>
      </c>
      <c r="Q632" s="30"/>
      <c r="R632" s="30"/>
      <c r="S632" s="30"/>
      <c r="T632" s="30"/>
      <c r="U632" s="30"/>
      <c r="V632" s="119"/>
      <c r="W632" s="6"/>
    </row>
    <row r="633" spans="5:23" s="55" customFormat="1" hidden="1">
      <c r="E633" s="6"/>
      <c r="F633" s="25">
        <v>49857</v>
      </c>
      <c r="G633" s="30"/>
      <c r="H633" s="30"/>
      <c r="I633" s="30"/>
      <c r="J633" s="30"/>
      <c r="K633" s="6"/>
      <c r="L633" s="25">
        <v>49857</v>
      </c>
      <c r="M633" s="30"/>
      <c r="N633" s="6"/>
      <c r="O633" s="6"/>
      <c r="P633" s="25">
        <v>49857</v>
      </c>
      <c r="Q633" s="30"/>
      <c r="R633" s="30"/>
      <c r="S633" s="30"/>
      <c r="T633" s="30"/>
      <c r="U633" s="30"/>
      <c r="V633" s="119"/>
      <c r="W633" s="6"/>
    </row>
    <row r="634" spans="5:23" s="55" customFormat="1" hidden="1">
      <c r="E634" s="6"/>
      <c r="F634" s="25">
        <v>49888</v>
      </c>
      <c r="G634" s="30"/>
      <c r="H634" s="30"/>
      <c r="I634" s="30"/>
      <c r="J634" s="30"/>
      <c r="K634" s="6"/>
      <c r="L634" s="25">
        <v>49888</v>
      </c>
      <c r="M634" s="30"/>
      <c r="N634" s="6"/>
      <c r="O634" s="6"/>
      <c r="P634" s="25">
        <v>49888</v>
      </c>
      <c r="Q634" s="30"/>
      <c r="R634" s="30"/>
      <c r="S634" s="30"/>
      <c r="T634" s="30"/>
      <c r="U634" s="30"/>
      <c r="V634" s="119"/>
      <c r="W634" s="6"/>
    </row>
    <row r="635" spans="5:23" s="55" customFormat="1" hidden="1">
      <c r="E635" s="6"/>
      <c r="F635" s="25">
        <v>49919</v>
      </c>
      <c r="G635" s="30"/>
      <c r="H635" s="30"/>
      <c r="I635" s="30"/>
      <c r="J635" s="30"/>
      <c r="K635" s="6"/>
      <c r="L635" s="25">
        <v>49919</v>
      </c>
      <c r="M635" s="30"/>
      <c r="N635" s="6"/>
      <c r="O635" s="6"/>
      <c r="P635" s="25">
        <v>49919</v>
      </c>
      <c r="Q635" s="30"/>
      <c r="R635" s="30"/>
      <c r="S635" s="30"/>
      <c r="T635" s="30"/>
      <c r="U635" s="30"/>
      <c r="V635" s="119"/>
      <c r="W635" s="6"/>
    </row>
    <row r="636" spans="5:23" s="55" customFormat="1" hidden="1">
      <c r="E636" s="6"/>
      <c r="F636" s="25">
        <v>49949</v>
      </c>
      <c r="G636" s="30"/>
      <c r="H636" s="30"/>
      <c r="I636" s="30"/>
      <c r="J636" s="30"/>
      <c r="K636" s="6"/>
      <c r="L636" s="25">
        <v>49949</v>
      </c>
      <c r="M636" s="30"/>
      <c r="N636" s="6"/>
      <c r="O636" s="6"/>
      <c r="P636" s="25">
        <v>49949</v>
      </c>
      <c r="Q636" s="30"/>
      <c r="R636" s="30"/>
      <c r="S636" s="30"/>
      <c r="T636" s="30"/>
      <c r="U636" s="30"/>
      <c r="V636" s="119"/>
      <c r="W636" s="6"/>
    </row>
    <row r="637" spans="5:23" s="55" customFormat="1" hidden="1">
      <c r="E637" s="6"/>
      <c r="F637" s="25">
        <v>49980</v>
      </c>
      <c r="G637" s="30"/>
      <c r="H637" s="30"/>
      <c r="I637" s="30"/>
      <c r="J637" s="30"/>
      <c r="K637" s="6"/>
      <c r="L637" s="25">
        <v>49980</v>
      </c>
      <c r="M637" s="30"/>
      <c r="N637" s="6"/>
      <c r="O637" s="6"/>
      <c r="P637" s="25">
        <v>49980</v>
      </c>
      <c r="Q637" s="30"/>
      <c r="R637" s="30"/>
      <c r="S637" s="30"/>
      <c r="T637" s="30"/>
      <c r="U637" s="30"/>
      <c r="V637" s="119"/>
      <c r="W637" s="6"/>
    </row>
    <row r="638" spans="5:23" s="55" customFormat="1" hidden="1">
      <c r="E638" s="6"/>
      <c r="F638" s="25">
        <v>50010</v>
      </c>
      <c r="G638" s="30"/>
      <c r="H638" s="30"/>
      <c r="I638" s="30"/>
      <c r="J638" s="30"/>
      <c r="K638" s="6"/>
      <c r="L638" s="25">
        <v>50010</v>
      </c>
      <c r="M638" s="30"/>
      <c r="N638" s="6"/>
      <c r="O638" s="6"/>
      <c r="P638" s="25">
        <v>50010</v>
      </c>
      <c r="Q638" s="30"/>
      <c r="R638" s="30"/>
      <c r="S638" s="30"/>
      <c r="T638" s="30"/>
      <c r="U638" s="30"/>
      <c r="V638" s="119"/>
      <c r="W638" s="6"/>
    </row>
    <row r="639" spans="5:23" s="55" customFormat="1" hidden="1">
      <c r="E639" s="6"/>
      <c r="F639" s="25">
        <v>50041</v>
      </c>
      <c r="G639" s="30"/>
      <c r="H639" s="30"/>
      <c r="I639" s="30"/>
      <c r="J639" s="30"/>
      <c r="K639" s="6"/>
      <c r="L639" s="25">
        <v>50041</v>
      </c>
      <c r="M639" s="30"/>
      <c r="N639" s="6"/>
      <c r="O639" s="6"/>
      <c r="P639" s="25">
        <v>50041</v>
      </c>
      <c r="Q639" s="30"/>
      <c r="R639" s="30"/>
      <c r="S639" s="30"/>
      <c r="T639" s="30"/>
      <c r="U639" s="30"/>
      <c r="V639" s="119"/>
      <c r="W639" s="6"/>
    </row>
    <row r="640" spans="5:23" s="55" customFormat="1" hidden="1">
      <c r="E640" s="6"/>
      <c r="F640" s="25">
        <v>50072</v>
      </c>
      <c r="G640" s="30"/>
      <c r="H640" s="30"/>
      <c r="I640" s="30"/>
      <c r="J640" s="30"/>
      <c r="K640" s="6"/>
      <c r="L640" s="25">
        <v>50072</v>
      </c>
      <c r="M640" s="30"/>
      <c r="N640" s="6"/>
      <c r="O640" s="6"/>
      <c r="P640" s="25">
        <v>50072</v>
      </c>
      <c r="Q640" s="30"/>
      <c r="R640" s="30"/>
      <c r="S640" s="30"/>
      <c r="T640" s="30"/>
      <c r="U640" s="30"/>
      <c r="V640" s="119"/>
      <c r="W640" s="6"/>
    </row>
    <row r="641" spans="5:23" s="55" customFormat="1" hidden="1">
      <c r="E641" s="6"/>
      <c r="F641" s="25">
        <v>50100</v>
      </c>
      <c r="G641" s="30"/>
      <c r="H641" s="30"/>
      <c r="I641" s="30"/>
      <c r="J641" s="30"/>
      <c r="K641" s="6"/>
      <c r="L641" s="25">
        <v>50100</v>
      </c>
      <c r="M641" s="30"/>
      <c r="N641" s="6"/>
      <c r="O641" s="6"/>
      <c r="P641" s="25">
        <v>50100</v>
      </c>
      <c r="Q641" s="30"/>
      <c r="R641" s="30"/>
      <c r="S641" s="30"/>
      <c r="T641" s="30"/>
      <c r="U641" s="30"/>
      <c r="V641" s="119"/>
      <c r="W641" s="6"/>
    </row>
    <row r="642" spans="5:23" s="55" customFormat="1" hidden="1">
      <c r="E642" s="6"/>
      <c r="F642" s="25">
        <v>50131</v>
      </c>
      <c r="G642" s="30"/>
      <c r="H642" s="30"/>
      <c r="I642" s="30"/>
      <c r="J642" s="30"/>
      <c r="K642" s="6"/>
      <c r="L642" s="25">
        <v>50131</v>
      </c>
      <c r="M642" s="30"/>
      <c r="N642" s="6"/>
      <c r="O642" s="6"/>
      <c r="P642" s="25">
        <v>50131</v>
      </c>
      <c r="Q642" s="30"/>
      <c r="R642" s="30"/>
      <c r="S642" s="30"/>
      <c r="T642" s="30"/>
      <c r="U642" s="30"/>
      <c r="V642" s="119"/>
      <c r="W642" s="6"/>
    </row>
    <row r="643" spans="5:23" s="55" customFormat="1" hidden="1">
      <c r="E643" s="6"/>
      <c r="F643" s="25">
        <v>50161</v>
      </c>
      <c r="G643" s="30"/>
      <c r="H643" s="30"/>
      <c r="I643" s="30"/>
      <c r="J643" s="30"/>
      <c r="K643" s="6"/>
      <c r="L643" s="25">
        <v>50161</v>
      </c>
      <c r="M643" s="30"/>
      <c r="N643" s="6"/>
      <c r="O643" s="6"/>
      <c r="P643" s="25">
        <v>50161</v>
      </c>
      <c r="Q643" s="30"/>
      <c r="R643" s="30"/>
      <c r="S643" s="30"/>
      <c r="T643" s="30"/>
      <c r="U643" s="30"/>
      <c r="V643" s="119"/>
      <c r="W643" s="6"/>
    </row>
    <row r="644" spans="5:23" s="55" customFormat="1" hidden="1">
      <c r="E644" s="6"/>
      <c r="F644" s="25">
        <v>50192</v>
      </c>
      <c r="G644" s="30"/>
      <c r="H644" s="30"/>
      <c r="I644" s="30"/>
      <c r="J644" s="30"/>
      <c r="K644" s="6"/>
      <c r="L644" s="25">
        <v>50192</v>
      </c>
      <c r="M644" s="30"/>
      <c r="N644" s="6"/>
      <c r="O644" s="6"/>
      <c r="P644" s="25">
        <v>50192</v>
      </c>
      <c r="Q644" s="30"/>
      <c r="R644" s="30"/>
      <c r="S644" s="30"/>
      <c r="T644" s="30"/>
      <c r="U644" s="30"/>
      <c r="V644" s="119"/>
      <c r="W644" s="6"/>
    </row>
    <row r="645" spans="5:23" s="55" customFormat="1" hidden="1">
      <c r="E645" s="6"/>
      <c r="F645" s="25">
        <v>50222</v>
      </c>
      <c r="G645" s="30"/>
      <c r="H645" s="30"/>
      <c r="I645" s="30"/>
      <c r="J645" s="30"/>
      <c r="K645" s="6"/>
      <c r="L645" s="25">
        <v>50222</v>
      </c>
      <c r="M645" s="30"/>
      <c r="N645" s="6"/>
      <c r="O645" s="6"/>
      <c r="P645" s="25">
        <v>50222</v>
      </c>
      <c r="Q645" s="30"/>
      <c r="R645" s="30"/>
      <c r="S645" s="30"/>
      <c r="T645" s="30"/>
      <c r="U645" s="30"/>
      <c r="V645" s="119"/>
      <c r="W645" s="6"/>
    </row>
    <row r="646" spans="5:23" s="55" customFormat="1" hidden="1">
      <c r="E646" s="6"/>
      <c r="F646" s="25">
        <v>50253</v>
      </c>
      <c r="G646" s="30"/>
      <c r="H646" s="30"/>
      <c r="I646" s="30"/>
      <c r="J646" s="30"/>
      <c r="K646" s="6"/>
      <c r="L646" s="25">
        <v>50253</v>
      </c>
      <c r="M646" s="30"/>
      <c r="N646" s="6"/>
      <c r="O646" s="6"/>
      <c r="P646" s="25">
        <v>50253</v>
      </c>
      <c r="Q646" s="30"/>
      <c r="R646" s="30"/>
      <c r="S646" s="30"/>
      <c r="T646" s="30"/>
      <c r="U646" s="30"/>
      <c r="V646" s="119"/>
      <c r="W646" s="6"/>
    </row>
    <row r="647" spans="5:23" s="55" customFormat="1" hidden="1">
      <c r="E647" s="6"/>
      <c r="F647" s="25">
        <v>50284</v>
      </c>
      <c r="G647" s="30"/>
      <c r="H647" s="30"/>
      <c r="I647" s="30"/>
      <c r="J647" s="30"/>
      <c r="K647" s="6"/>
      <c r="L647" s="25">
        <v>50284</v>
      </c>
      <c r="M647" s="30"/>
      <c r="N647" s="6"/>
      <c r="O647" s="6"/>
      <c r="P647" s="25">
        <v>50284</v>
      </c>
      <c r="Q647" s="30"/>
      <c r="R647" s="30"/>
      <c r="S647" s="30"/>
      <c r="T647" s="30"/>
      <c r="U647" s="30"/>
      <c r="V647" s="119"/>
      <c r="W647" s="6"/>
    </row>
    <row r="648" spans="5:23" s="55" customFormat="1" hidden="1">
      <c r="E648" s="6"/>
      <c r="F648" s="25">
        <v>50314</v>
      </c>
      <c r="G648" s="30"/>
      <c r="H648" s="30"/>
      <c r="I648" s="30"/>
      <c r="J648" s="30"/>
      <c r="K648" s="6"/>
      <c r="L648" s="25">
        <v>50314</v>
      </c>
      <c r="M648" s="30"/>
      <c r="N648" s="6"/>
      <c r="O648" s="6"/>
      <c r="P648" s="25">
        <v>50314</v>
      </c>
      <c r="Q648" s="30"/>
      <c r="R648" s="30"/>
      <c r="S648" s="30"/>
      <c r="T648" s="30"/>
      <c r="U648" s="30"/>
      <c r="V648" s="119"/>
      <c r="W648" s="6"/>
    </row>
    <row r="649" spans="5:23" s="55" customFormat="1" hidden="1">
      <c r="E649" s="6"/>
      <c r="F649" s="25">
        <v>50345</v>
      </c>
      <c r="G649" s="30"/>
      <c r="H649" s="30"/>
      <c r="I649" s="30"/>
      <c r="J649" s="30"/>
      <c r="K649" s="6"/>
      <c r="L649" s="25">
        <v>50345</v>
      </c>
      <c r="M649" s="30"/>
      <c r="N649" s="6"/>
      <c r="O649" s="6"/>
      <c r="P649" s="25">
        <v>50345</v>
      </c>
      <c r="Q649" s="30"/>
      <c r="R649" s="30"/>
      <c r="S649" s="30"/>
      <c r="T649" s="30"/>
      <c r="U649" s="30"/>
      <c r="V649" s="119"/>
      <c r="W649" s="6"/>
    </row>
    <row r="650" spans="5:23" s="55" customFormat="1" hidden="1">
      <c r="E650" s="6"/>
      <c r="F650" s="25">
        <v>50375</v>
      </c>
      <c r="G650" s="30"/>
      <c r="H650" s="30"/>
      <c r="I650" s="30"/>
      <c r="J650" s="30"/>
      <c r="K650" s="6"/>
      <c r="L650" s="25">
        <v>50375</v>
      </c>
      <c r="M650" s="30"/>
      <c r="N650" s="6"/>
      <c r="O650" s="6"/>
      <c r="P650" s="25">
        <v>50375</v>
      </c>
      <c r="Q650" s="30"/>
      <c r="R650" s="30"/>
      <c r="S650" s="30"/>
      <c r="T650" s="30"/>
      <c r="U650" s="30"/>
      <c r="V650" s="119"/>
      <c r="W650" s="6"/>
    </row>
    <row r="651" spans="5:23" s="55" customFormat="1" hidden="1">
      <c r="E651" s="6"/>
      <c r="F651" s="25">
        <v>50406</v>
      </c>
      <c r="G651" s="30"/>
      <c r="H651" s="30"/>
      <c r="I651" s="30"/>
      <c r="J651" s="30"/>
      <c r="K651" s="6"/>
      <c r="L651" s="25">
        <v>50406</v>
      </c>
      <c r="M651" s="30"/>
      <c r="N651" s="6"/>
      <c r="O651" s="6"/>
      <c r="P651" s="25">
        <v>50406</v>
      </c>
      <c r="Q651" s="30"/>
      <c r="R651" s="30"/>
      <c r="S651" s="30"/>
      <c r="T651" s="30"/>
      <c r="U651" s="30"/>
      <c r="V651" s="119"/>
      <c r="W651" s="6"/>
    </row>
    <row r="652" spans="5:23" s="55" customFormat="1" hidden="1">
      <c r="E652" s="6"/>
      <c r="F652" s="25">
        <v>50437</v>
      </c>
      <c r="G652" s="30"/>
      <c r="H652" s="30"/>
      <c r="I652" s="30"/>
      <c r="J652" s="30"/>
      <c r="K652" s="6"/>
      <c r="L652" s="25">
        <v>50437</v>
      </c>
      <c r="M652" s="30"/>
      <c r="N652" s="6"/>
      <c r="O652" s="6"/>
      <c r="P652" s="25">
        <v>50437</v>
      </c>
      <c r="Q652" s="30"/>
      <c r="R652" s="30"/>
      <c r="S652" s="30"/>
      <c r="T652" s="30"/>
      <c r="U652" s="30"/>
      <c r="V652" s="119"/>
      <c r="W652" s="6"/>
    </row>
    <row r="653" spans="5:23" s="55" customFormat="1" hidden="1">
      <c r="E653" s="6"/>
      <c r="F653" s="25">
        <v>50465</v>
      </c>
      <c r="G653" s="30"/>
      <c r="H653" s="30"/>
      <c r="I653" s="30"/>
      <c r="J653" s="30"/>
      <c r="K653" s="6"/>
      <c r="L653" s="25">
        <v>50465</v>
      </c>
      <c r="M653" s="30"/>
      <c r="N653" s="6"/>
      <c r="O653" s="6"/>
      <c r="P653" s="25">
        <v>50465</v>
      </c>
      <c r="Q653" s="30"/>
      <c r="R653" s="30"/>
      <c r="S653" s="30"/>
      <c r="T653" s="30"/>
      <c r="U653" s="30"/>
      <c r="V653" s="119"/>
      <c r="W653" s="6"/>
    </row>
    <row r="654" spans="5:23" s="55" customFormat="1" hidden="1">
      <c r="E654" s="6"/>
      <c r="F654" s="25">
        <v>50496</v>
      </c>
      <c r="G654" s="30"/>
      <c r="H654" s="30"/>
      <c r="I654" s="30"/>
      <c r="J654" s="30"/>
      <c r="K654" s="6"/>
      <c r="L654" s="25">
        <v>50496</v>
      </c>
      <c r="M654" s="30"/>
      <c r="N654" s="6"/>
      <c r="O654" s="6"/>
      <c r="P654" s="25">
        <v>50496</v>
      </c>
      <c r="Q654" s="30"/>
      <c r="R654" s="30"/>
      <c r="S654" s="30"/>
      <c r="T654" s="30"/>
      <c r="U654" s="30"/>
      <c r="V654" s="119"/>
      <c r="W654" s="6"/>
    </row>
    <row r="655" spans="5:23" s="55" customFormat="1" hidden="1">
      <c r="E655" s="6"/>
      <c r="F655" s="25">
        <v>50526</v>
      </c>
      <c r="G655" s="30"/>
      <c r="H655" s="30"/>
      <c r="I655" s="30"/>
      <c r="J655" s="30"/>
      <c r="K655" s="6"/>
      <c r="L655" s="25">
        <v>50526</v>
      </c>
      <c r="M655" s="30"/>
      <c r="N655" s="6"/>
      <c r="O655" s="6"/>
      <c r="P655" s="25">
        <v>50526</v>
      </c>
      <c r="Q655" s="30"/>
      <c r="R655" s="30"/>
      <c r="S655" s="30"/>
      <c r="T655" s="30"/>
      <c r="U655" s="30"/>
      <c r="V655" s="119"/>
      <c r="W655" s="6"/>
    </row>
    <row r="656" spans="5:23" s="55" customFormat="1" hidden="1">
      <c r="E656" s="6"/>
      <c r="F656" s="25">
        <v>50557</v>
      </c>
      <c r="G656" s="30"/>
      <c r="H656" s="30"/>
      <c r="I656" s="30"/>
      <c r="J656" s="30"/>
      <c r="K656" s="6"/>
      <c r="L656" s="25">
        <v>50557</v>
      </c>
      <c r="M656" s="30"/>
      <c r="N656" s="6"/>
      <c r="O656" s="6"/>
      <c r="P656" s="25">
        <v>50557</v>
      </c>
      <c r="Q656" s="30"/>
      <c r="R656" s="30"/>
      <c r="S656" s="30"/>
      <c r="T656" s="30"/>
      <c r="U656" s="30"/>
      <c r="V656" s="119"/>
      <c r="W656" s="6"/>
    </row>
    <row r="657" spans="5:23" s="55" customFormat="1" hidden="1">
      <c r="E657" s="6"/>
      <c r="F657" s="25">
        <v>50587</v>
      </c>
      <c r="G657" s="30"/>
      <c r="H657" s="30"/>
      <c r="I657" s="30"/>
      <c r="J657" s="30"/>
      <c r="K657" s="6"/>
      <c r="L657" s="25">
        <v>50587</v>
      </c>
      <c r="M657" s="30"/>
      <c r="N657" s="6"/>
      <c r="O657" s="6"/>
      <c r="P657" s="25">
        <v>50587</v>
      </c>
      <c r="Q657" s="30"/>
      <c r="R657" s="30"/>
      <c r="S657" s="30"/>
      <c r="T657" s="30"/>
      <c r="U657" s="30"/>
      <c r="V657" s="119"/>
      <c r="W657" s="6"/>
    </row>
    <row r="658" spans="5:23" s="55" customFormat="1" hidden="1">
      <c r="E658" s="6"/>
      <c r="F658" s="25">
        <v>50618</v>
      </c>
      <c r="G658" s="30"/>
      <c r="H658" s="30"/>
      <c r="I658" s="30"/>
      <c r="J658" s="30"/>
      <c r="K658" s="6"/>
      <c r="L658" s="25">
        <v>50618</v>
      </c>
      <c r="M658" s="30"/>
      <c r="N658" s="6"/>
      <c r="O658" s="6"/>
      <c r="P658" s="25">
        <v>50618</v>
      </c>
      <c r="Q658" s="30"/>
      <c r="R658" s="30"/>
      <c r="S658" s="30"/>
      <c r="T658" s="30"/>
      <c r="U658" s="30"/>
      <c r="V658" s="119"/>
      <c r="W658" s="6"/>
    </row>
    <row r="659" spans="5:23" s="55" customFormat="1" hidden="1">
      <c r="E659" s="6"/>
      <c r="F659" s="25">
        <v>50649</v>
      </c>
      <c r="G659" s="30"/>
      <c r="H659" s="30"/>
      <c r="I659" s="30"/>
      <c r="J659" s="30"/>
      <c r="K659" s="6"/>
      <c r="L659" s="25">
        <v>50649</v>
      </c>
      <c r="M659" s="30"/>
      <c r="N659" s="6"/>
      <c r="O659" s="6"/>
      <c r="P659" s="25">
        <v>50649</v>
      </c>
      <c r="Q659" s="30"/>
      <c r="R659" s="30"/>
      <c r="S659" s="30"/>
      <c r="T659" s="30"/>
      <c r="U659" s="30"/>
      <c r="V659" s="119"/>
      <c r="W659" s="6"/>
    </row>
    <row r="660" spans="5:23" s="55" customFormat="1" hidden="1">
      <c r="E660" s="6"/>
      <c r="F660" s="25">
        <v>50679</v>
      </c>
      <c r="G660" s="30"/>
      <c r="H660" s="30"/>
      <c r="I660" s="30"/>
      <c r="J660" s="30"/>
      <c r="K660" s="6"/>
      <c r="L660" s="25">
        <v>50679</v>
      </c>
      <c r="M660" s="30"/>
      <c r="N660" s="6"/>
      <c r="O660" s="6"/>
      <c r="P660" s="25">
        <v>50679</v>
      </c>
      <c r="Q660" s="30"/>
      <c r="R660" s="30"/>
      <c r="S660" s="30"/>
      <c r="T660" s="30"/>
      <c r="U660" s="30"/>
      <c r="V660" s="119"/>
      <c r="W660" s="6"/>
    </row>
    <row r="661" spans="5:23" s="55" customFormat="1" hidden="1">
      <c r="E661" s="6"/>
      <c r="F661" s="25">
        <v>50710</v>
      </c>
      <c r="G661" s="30"/>
      <c r="H661" s="30"/>
      <c r="I661" s="30"/>
      <c r="J661" s="30"/>
      <c r="K661" s="6"/>
      <c r="L661" s="25">
        <v>50710</v>
      </c>
      <c r="M661" s="30"/>
      <c r="N661" s="6"/>
      <c r="O661" s="6"/>
      <c r="P661" s="25">
        <v>50710</v>
      </c>
      <c r="Q661" s="30"/>
      <c r="R661" s="30"/>
      <c r="S661" s="30"/>
      <c r="T661" s="30"/>
      <c r="U661" s="30"/>
      <c r="V661" s="119"/>
      <c r="W661" s="6"/>
    </row>
    <row r="662" spans="5:23" s="55" customFormat="1" hidden="1">
      <c r="E662" s="6"/>
      <c r="F662" s="25">
        <v>50740</v>
      </c>
      <c r="G662" s="30"/>
      <c r="H662" s="30"/>
      <c r="I662" s="30"/>
      <c r="J662" s="30"/>
      <c r="K662" s="6"/>
      <c r="L662" s="25">
        <v>50740</v>
      </c>
      <c r="M662" s="30"/>
      <c r="N662" s="6"/>
      <c r="O662" s="6"/>
      <c r="P662" s="25">
        <v>50740</v>
      </c>
      <c r="Q662" s="30"/>
      <c r="R662" s="30"/>
      <c r="S662" s="30"/>
      <c r="T662" s="30"/>
      <c r="U662" s="30"/>
      <c r="V662" s="119"/>
      <c r="W662" s="6"/>
    </row>
    <row r="663" spans="5:23" s="55" customFormat="1" hidden="1">
      <c r="E663" s="6"/>
      <c r="F663" s="25">
        <v>50771</v>
      </c>
      <c r="G663" s="30"/>
      <c r="H663" s="30"/>
      <c r="I663" s="30"/>
      <c r="J663" s="30"/>
      <c r="K663" s="6"/>
      <c r="L663" s="25">
        <v>50771</v>
      </c>
      <c r="M663" s="30"/>
      <c r="N663" s="6"/>
      <c r="O663" s="6"/>
      <c r="P663" s="25">
        <v>50771</v>
      </c>
      <c r="Q663" s="30"/>
      <c r="R663" s="30"/>
      <c r="S663" s="30"/>
      <c r="T663" s="30"/>
      <c r="U663" s="30"/>
      <c r="V663" s="119"/>
      <c r="W663" s="6"/>
    </row>
    <row r="664" spans="5:23" s="55" customFormat="1" hidden="1">
      <c r="E664" s="6"/>
      <c r="F664" s="25">
        <v>50802</v>
      </c>
      <c r="G664" s="30"/>
      <c r="H664" s="30"/>
      <c r="I664" s="30"/>
      <c r="J664" s="30"/>
      <c r="K664" s="6"/>
      <c r="L664" s="25">
        <v>50802</v>
      </c>
      <c r="M664" s="30"/>
      <c r="N664" s="6"/>
      <c r="O664" s="6"/>
      <c r="P664" s="25">
        <v>50802</v>
      </c>
      <c r="Q664" s="30"/>
      <c r="R664" s="30"/>
      <c r="S664" s="30"/>
      <c r="T664" s="30"/>
      <c r="U664" s="30"/>
      <c r="V664" s="119"/>
      <c r="W664" s="6"/>
    </row>
    <row r="665" spans="5:23" s="55" customFormat="1" hidden="1">
      <c r="E665" s="6"/>
      <c r="F665" s="25">
        <v>50830</v>
      </c>
      <c r="G665" s="30"/>
      <c r="H665" s="30"/>
      <c r="I665" s="30"/>
      <c r="J665" s="30"/>
      <c r="K665" s="6"/>
      <c r="L665" s="25">
        <v>50830</v>
      </c>
      <c r="M665" s="30"/>
      <c r="N665" s="6"/>
      <c r="O665" s="6"/>
      <c r="P665" s="25">
        <v>50830</v>
      </c>
      <c r="Q665" s="30"/>
      <c r="R665" s="30"/>
      <c r="S665" s="30"/>
      <c r="T665" s="30"/>
      <c r="U665" s="30"/>
      <c r="V665" s="119"/>
      <c r="W665" s="6"/>
    </row>
    <row r="666" spans="5:23" s="55" customFormat="1" hidden="1">
      <c r="E666" s="6"/>
      <c r="F666" s="25">
        <v>50861</v>
      </c>
      <c r="G666" s="30"/>
      <c r="H666" s="30"/>
      <c r="I666" s="30"/>
      <c r="J666" s="30"/>
      <c r="K666" s="6"/>
      <c r="L666" s="25">
        <v>50861</v>
      </c>
      <c r="M666" s="30"/>
      <c r="N666" s="6"/>
      <c r="O666" s="6"/>
      <c r="P666" s="25">
        <v>50861</v>
      </c>
      <c r="Q666" s="30"/>
      <c r="R666" s="30"/>
      <c r="S666" s="30"/>
      <c r="T666" s="30"/>
      <c r="U666" s="30"/>
      <c r="V666" s="119"/>
      <c r="W666" s="6"/>
    </row>
    <row r="667" spans="5:23" s="55" customFormat="1" hidden="1">
      <c r="E667" s="6"/>
      <c r="F667" s="25">
        <v>50891</v>
      </c>
      <c r="G667" s="30"/>
      <c r="H667" s="30"/>
      <c r="I667" s="30"/>
      <c r="J667" s="30"/>
      <c r="K667" s="6"/>
      <c r="L667" s="25">
        <v>50891</v>
      </c>
      <c r="M667" s="30"/>
      <c r="N667" s="6"/>
      <c r="O667" s="6"/>
      <c r="P667" s="25">
        <v>50891</v>
      </c>
      <c r="Q667" s="30"/>
      <c r="R667" s="30"/>
      <c r="S667" s="30"/>
      <c r="T667" s="30"/>
      <c r="U667" s="30"/>
      <c r="V667" s="119"/>
      <c r="W667" s="6"/>
    </row>
    <row r="668" spans="5:23" s="55" customFormat="1" hidden="1">
      <c r="E668" s="6"/>
      <c r="F668" s="25">
        <v>50922</v>
      </c>
      <c r="G668" s="30"/>
      <c r="H668" s="30"/>
      <c r="I668" s="30"/>
      <c r="J668" s="30"/>
      <c r="K668" s="6"/>
      <c r="L668" s="25">
        <v>50922</v>
      </c>
      <c r="M668" s="30"/>
      <c r="N668" s="6"/>
      <c r="O668" s="6"/>
      <c r="P668" s="25">
        <v>50922</v>
      </c>
      <c r="Q668" s="30"/>
      <c r="R668" s="30"/>
      <c r="S668" s="30"/>
      <c r="T668" s="30"/>
      <c r="U668" s="30"/>
      <c r="V668" s="119"/>
      <c r="W668" s="6"/>
    </row>
    <row r="669" spans="5:23" s="55" customFormat="1" hidden="1">
      <c r="E669" s="6"/>
      <c r="F669" s="25">
        <v>50952</v>
      </c>
      <c r="G669" s="30"/>
      <c r="H669" s="30"/>
      <c r="I669" s="30"/>
      <c r="J669" s="30"/>
      <c r="K669" s="6"/>
      <c r="L669" s="25">
        <v>50952</v>
      </c>
      <c r="M669" s="30"/>
      <c r="N669" s="6"/>
      <c r="O669" s="6"/>
      <c r="P669" s="25">
        <v>50952</v>
      </c>
      <c r="Q669" s="30"/>
      <c r="R669" s="30"/>
      <c r="S669" s="30"/>
      <c r="T669" s="30"/>
      <c r="U669" s="30"/>
      <c r="V669" s="119"/>
      <c r="W669" s="6"/>
    </row>
    <row r="670" spans="5:23" s="55" customFormat="1" hidden="1">
      <c r="E670" s="6"/>
      <c r="F670" s="25">
        <v>50983</v>
      </c>
      <c r="G670" s="30"/>
      <c r="H670" s="30"/>
      <c r="I670" s="30"/>
      <c r="J670" s="30"/>
      <c r="K670" s="6"/>
      <c r="L670" s="25">
        <v>50983</v>
      </c>
      <c r="M670" s="30"/>
      <c r="N670" s="6"/>
      <c r="O670" s="6"/>
      <c r="P670" s="25">
        <v>50983</v>
      </c>
      <c r="Q670" s="30"/>
      <c r="R670" s="30"/>
      <c r="S670" s="30"/>
      <c r="T670" s="30"/>
      <c r="U670" s="30"/>
      <c r="V670" s="119"/>
      <c r="W670" s="6"/>
    </row>
    <row r="671" spans="5:23" s="55" customFormat="1" hidden="1">
      <c r="E671" s="6"/>
      <c r="F671" s="25">
        <v>51014</v>
      </c>
      <c r="G671" s="30"/>
      <c r="H671" s="30"/>
      <c r="I671" s="30"/>
      <c r="J671" s="30"/>
      <c r="K671" s="6"/>
      <c r="L671" s="25">
        <v>51014</v>
      </c>
      <c r="M671" s="30"/>
      <c r="N671" s="6"/>
      <c r="O671" s="6"/>
      <c r="P671" s="25">
        <v>51014</v>
      </c>
      <c r="Q671" s="30"/>
      <c r="R671" s="30"/>
      <c r="S671" s="30"/>
      <c r="T671" s="30"/>
      <c r="U671" s="30"/>
      <c r="V671" s="119"/>
      <c r="W671" s="6"/>
    </row>
    <row r="672" spans="5:23" s="55" customFormat="1" hidden="1">
      <c r="E672" s="6"/>
      <c r="F672" s="25">
        <v>51044</v>
      </c>
      <c r="G672" s="30"/>
      <c r="H672" s="30"/>
      <c r="I672" s="30"/>
      <c r="J672" s="30"/>
      <c r="K672" s="6"/>
      <c r="L672" s="25">
        <v>51044</v>
      </c>
      <c r="M672" s="30"/>
      <c r="N672" s="6"/>
      <c r="O672" s="6"/>
      <c r="P672" s="25">
        <v>51044</v>
      </c>
      <c r="Q672" s="30"/>
      <c r="R672" s="30"/>
      <c r="S672" s="30"/>
      <c r="T672" s="30"/>
      <c r="U672" s="30"/>
      <c r="V672" s="119"/>
      <c r="W672" s="6"/>
    </row>
    <row r="673" spans="5:23" s="55" customFormat="1" hidden="1">
      <c r="E673" s="6"/>
      <c r="F673" s="25">
        <v>51075</v>
      </c>
      <c r="G673" s="30"/>
      <c r="H673" s="30"/>
      <c r="I673" s="30"/>
      <c r="J673" s="30"/>
      <c r="K673" s="6"/>
      <c r="L673" s="25">
        <v>51075</v>
      </c>
      <c r="M673" s="30"/>
      <c r="N673" s="6"/>
      <c r="O673" s="6"/>
      <c r="P673" s="25">
        <v>51075</v>
      </c>
      <c r="Q673" s="30"/>
      <c r="R673" s="30"/>
      <c r="S673" s="30"/>
      <c r="T673" s="30"/>
      <c r="U673" s="30"/>
      <c r="V673" s="119"/>
      <c r="W673" s="6"/>
    </row>
    <row r="674" spans="5:23" s="55" customFormat="1" hidden="1">
      <c r="E674" s="6"/>
      <c r="F674" s="25">
        <v>51105</v>
      </c>
      <c r="G674" s="30"/>
      <c r="H674" s="30"/>
      <c r="I674" s="30"/>
      <c r="J674" s="30"/>
      <c r="K674" s="6"/>
      <c r="L674" s="25">
        <v>51105</v>
      </c>
      <c r="M674" s="30"/>
      <c r="N674" s="6"/>
      <c r="O674" s="6"/>
      <c r="P674" s="25">
        <v>51105</v>
      </c>
      <c r="Q674" s="30"/>
      <c r="R674" s="30"/>
      <c r="S674" s="30"/>
      <c r="T674" s="30"/>
      <c r="U674" s="30"/>
      <c r="V674" s="119"/>
      <c r="W674" s="6"/>
    </row>
    <row r="675" spans="5:23" s="55" customFormat="1" hidden="1">
      <c r="E675" s="6"/>
      <c r="F675" s="25">
        <v>51136</v>
      </c>
      <c r="G675" s="30"/>
      <c r="H675" s="30"/>
      <c r="I675" s="30"/>
      <c r="J675" s="30"/>
      <c r="K675" s="6"/>
      <c r="L675" s="25">
        <v>51136</v>
      </c>
      <c r="M675" s="30"/>
      <c r="N675" s="6"/>
      <c r="O675" s="6"/>
      <c r="P675" s="25">
        <v>51136</v>
      </c>
      <c r="Q675" s="30"/>
      <c r="R675" s="30"/>
      <c r="S675" s="30"/>
      <c r="T675" s="30"/>
      <c r="U675" s="30"/>
      <c r="V675" s="119"/>
      <c r="W675" s="6"/>
    </row>
    <row r="676" spans="5:23" s="55" customFormat="1" hidden="1">
      <c r="E676" s="6"/>
      <c r="F676" s="25">
        <v>51167</v>
      </c>
      <c r="G676" s="30"/>
      <c r="H676" s="30"/>
      <c r="I676" s="30"/>
      <c r="J676" s="30"/>
      <c r="K676" s="6"/>
      <c r="L676" s="25">
        <v>51167</v>
      </c>
      <c r="M676" s="30"/>
      <c r="N676" s="6"/>
      <c r="O676" s="6"/>
      <c r="P676" s="25">
        <v>51167</v>
      </c>
      <c r="Q676" s="30"/>
      <c r="R676" s="30"/>
      <c r="S676" s="30"/>
      <c r="T676" s="30"/>
      <c r="U676" s="30"/>
      <c r="V676" s="119"/>
      <c r="W676" s="6"/>
    </row>
    <row r="677" spans="5:23" s="55" customFormat="1" hidden="1">
      <c r="E677" s="6"/>
      <c r="F677" s="25">
        <v>51196</v>
      </c>
      <c r="G677" s="30"/>
      <c r="H677" s="30"/>
      <c r="I677" s="30"/>
      <c r="J677" s="30"/>
      <c r="K677" s="6"/>
      <c r="L677" s="25">
        <v>51196</v>
      </c>
      <c r="M677" s="30"/>
      <c r="N677" s="6"/>
      <c r="O677" s="6"/>
      <c r="P677" s="25">
        <v>51196</v>
      </c>
      <c r="Q677" s="30"/>
      <c r="R677" s="30"/>
      <c r="S677" s="30"/>
      <c r="T677" s="30"/>
      <c r="U677" s="30"/>
      <c r="V677" s="119"/>
      <c r="W677" s="6"/>
    </row>
    <row r="678" spans="5:23" s="55" customFormat="1" hidden="1">
      <c r="E678" s="6"/>
      <c r="F678" s="25">
        <v>51227</v>
      </c>
      <c r="G678" s="30"/>
      <c r="H678" s="30"/>
      <c r="I678" s="30"/>
      <c r="J678" s="30"/>
      <c r="K678" s="6"/>
      <c r="L678" s="25">
        <v>51227</v>
      </c>
      <c r="M678" s="30"/>
      <c r="N678" s="6"/>
      <c r="O678" s="6"/>
      <c r="P678" s="25">
        <v>51227</v>
      </c>
      <c r="Q678" s="30"/>
      <c r="R678" s="30"/>
      <c r="S678" s="30"/>
      <c r="T678" s="30"/>
      <c r="U678" s="30"/>
      <c r="V678" s="119"/>
      <c r="W678" s="6"/>
    </row>
    <row r="679" spans="5:23" s="55" customFormat="1" hidden="1">
      <c r="E679" s="6"/>
      <c r="F679" s="25">
        <v>51257</v>
      </c>
      <c r="G679" s="30"/>
      <c r="H679" s="30"/>
      <c r="I679" s="30"/>
      <c r="J679" s="30"/>
      <c r="K679" s="6"/>
      <c r="L679" s="25">
        <v>51257</v>
      </c>
      <c r="M679" s="30"/>
      <c r="N679" s="6"/>
      <c r="O679" s="6"/>
      <c r="P679" s="25">
        <v>51257</v>
      </c>
      <c r="Q679" s="30"/>
      <c r="R679" s="30"/>
      <c r="S679" s="30"/>
      <c r="T679" s="30"/>
      <c r="U679" s="30"/>
      <c r="V679" s="119"/>
      <c r="W679" s="6"/>
    </row>
    <row r="680" spans="5:23" s="55" customFormat="1" hidden="1">
      <c r="E680" s="6"/>
      <c r="F680" s="25">
        <v>51288</v>
      </c>
      <c r="G680" s="30"/>
      <c r="H680" s="30"/>
      <c r="I680" s="30"/>
      <c r="J680" s="30"/>
      <c r="K680" s="6"/>
      <c r="L680" s="25">
        <v>51288</v>
      </c>
      <c r="M680" s="30"/>
      <c r="N680" s="6"/>
      <c r="O680" s="6"/>
      <c r="P680" s="25">
        <v>51288</v>
      </c>
      <c r="Q680" s="30"/>
      <c r="R680" s="30"/>
      <c r="S680" s="30"/>
      <c r="T680" s="30"/>
      <c r="U680" s="30"/>
      <c r="V680" s="119"/>
      <c r="W680" s="6"/>
    </row>
    <row r="681" spans="5:23" s="55" customFormat="1" hidden="1">
      <c r="E681" s="6"/>
      <c r="F681" s="25">
        <v>51318</v>
      </c>
      <c r="G681" s="30"/>
      <c r="H681" s="30"/>
      <c r="I681" s="30"/>
      <c r="J681" s="30"/>
      <c r="K681" s="6"/>
      <c r="L681" s="25">
        <v>51318</v>
      </c>
      <c r="M681" s="30"/>
      <c r="N681" s="6"/>
      <c r="O681" s="6"/>
      <c r="P681" s="25">
        <v>51318</v>
      </c>
      <c r="Q681" s="30"/>
      <c r="R681" s="30"/>
      <c r="S681" s="30"/>
      <c r="T681" s="30"/>
      <c r="U681" s="30"/>
      <c r="V681" s="119"/>
      <c r="W681" s="6"/>
    </row>
    <row r="682" spans="5:23" s="55" customFormat="1" hidden="1">
      <c r="E682" s="6"/>
      <c r="F682" s="25">
        <v>51349</v>
      </c>
      <c r="G682" s="30"/>
      <c r="H682" s="30"/>
      <c r="I682" s="30"/>
      <c r="J682" s="30"/>
      <c r="K682" s="6"/>
      <c r="L682" s="25">
        <v>51349</v>
      </c>
      <c r="M682" s="30"/>
      <c r="N682" s="6"/>
      <c r="O682" s="6"/>
      <c r="P682" s="25">
        <v>51349</v>
      </c>
      <c r="Q682" s="30"/>
      <c r="R682" s="30"/>
      <c r="S682" s="30"/>
      <c r="T682" s="30"/>
      <c r="U682" s="30"/>
      <c r="V682" s="119"/>
      <c r="W682" s="6"/>
    </row>
    <row r="683" spans="5:23" s="55" customFormat="1" hidden="1">
      <c r="E683" s="6"/>
      <c r="F683" s="25">
        <v>51380</v>
      </c>
      <c r="G683" s="30"/>
      <c r="H683" s="30"/>
      <c r="I683" s="30"/>
      <c r="J683" s="30"/>
      <c r="K683" s="6"/>
      <c r="L683" s="25">
        <v>51380</v>
      </c>
      <c r="M683" s="30"/>
      <c r="N683" s="6"/>
      <c r="O683" s="6"/>
      <c r="P683" s="25">
        <v>51380</v>
      </c>
      <c r="Q683" s="30"/>
      <c r="R683" s="30"/>
      <c r="S683" s="30"/>
      <c r="T683" s="30"/>
      <c r="U683" s="30"/>
      <c r="V683" s="119"/>
      <c r="W683" s="6"/>
    </row>
    <row r="684" spans="5:23" s="55" customFormat="1" hidden="1">
      <c r="E684" s="6"/>
      <c r="F684" s="25">
        <v>51410</v>
      </c>
      <c r="G684" s="30"/>
      <c r="H684" s="30"/>
      <c r="I684" s="30"/>
      <c r="J684" s="30"/>
      <c r="K684" s="6"/>
      <c r="L684" s="25">
        <v>51410</v>
      </c>
      <c r="M684" s="30"/>
      <c r="N684" s="6"/>
      <c r="O684" s="6"/>
      <c r="P684" s="25">
        <v>51410</v>
      </c>
      <c r="Q684" s="30"/>
      <c r="R684" s="30"/>
      <c r="S684" s="30"/>
      <c r="T684" s="30"/>
      <c r="U684" s="30"/>
      <c r="V684" s="119"/>
      <c r="W684" s="6"/>
    </row>
    <row r="685" spans="5:23" s="55" customFormat="1" hidden="1">
      <c r="E685" s="6"/>
      <c r="F685" s="25">
        <v>51441</v>
      </c>
      <c r="G685" s="30"/>
      <c r="H685" s="30"/>
      <c r="I685" s="30"/>
      <c r="J685" s="30"/>
      <c r="K685" s="6"/>
      <c r="L685" s="25">
        <v>51441</v>
      </c>
      <c r="M685" s="30"/>
      <c r="N685" s="6"/>
      <c r="O685" s="6"/>
      <c r="P685" s="25">
        <v>51441</v>
      </c>
      <c r="Q685" s="30"/>
      <c r="R685" s="30"/>
      <c r="S685" s="30"/>
      <c r="T685" s="30"/>
      <c r="U685" s="30"/>
      <c r="V685" s="119"/>
      <c r="W685" s="6"/>
    </row>
    <row r="686" spans="5:23" s="55" customFormat="1" hidden="1">
      <c r="E686" s="6"/>
      <c r="F686" s="47">
        <v>51471</v>
      </c>
      <c r="G686" s="117"/>
      <c r="H686" s="117"/>
      <c r="I686" s="117"/>
      <c r="J686" s="117"/>
      <c r="K686" s="6"/>
      <c r="L686" s="47">
        <v>51471</v>
      </c>
      <c r="M686" s="117"/>
      <c r="N686" s="6"/>
      <c r="O686" s="6"/>
      <c r="P686" s="47">
        <v>51471</v>
      </c>
      <c r="Q686" s="117"/>
      <c r="R686" s="117"/>
      <c r="S686" s="117"/>
      <c r="T686" s="117"/>
      <c r="U686" s="117"/>
      <c r="V686" s="120"/>
      <c r="W686" s="6"/>
    </row>
    <row r="687" spans="5:23" s="55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5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5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5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5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5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5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5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5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/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2" t="s">
        <v>9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35.1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3" t="s">
        <v>7</v>
      </c>
      <c r="G12" s="123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3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3" t="s">
        <v>72</v>
      </c>
      <c r="G20" s="6"/>
      <c r="H20" s="6"/>
      <c r="I20" s="6"/>
      <c r="J20" s="19"/>
      <c r="K20" s="20"/>
      <c r="L20" s="6"/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3" t="s">
        <v>17</v>
      </c>
      <c r="G21" s="9"/>
      <c r="H21" s="6"/>
      <c r="I21" s="6"/>
      <c r="J21" s="6"/>
      <c r="K21" s="6"/>
      <c r="L21" s="6"/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3" t="s">
        <v>91</v>
      </c>
      <c r="G23" s="9"/>
      <c r="H23" s="6"/>
      <c r="I23" s="6"/>
      <c r="J23" s="6"/>
      <c r="K23" s="6"/>
      <c r="L23" s="6"/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3" t="s">
        <v>18</v>
      </c>
      <c r="G24" s="9"/>
      <c r="H24" s="6"/>
      <c r="I24" s="6"/>
      <c r="J24" s="6"/>
      <c r="K24" s="6"/>
      <c r="L24" s="6"/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3" t="s">
        <v>19</v>
      </c>
      <c r="G25" s="9"/>
      <c r="H25" s="6"/>
      <c r="I25" s="6"/>
      <c r="J25" s="6"/>
      <c r="K25" s="6"/>
      <c r="L25" s="6"/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3" t="s">
        <v>79</v>
      </c>
      <c r="G26" s="9"/>
      <c r="H26" s="6"/>
      <c r="I26" s="6"/>
      <c r="J26" s="6"/>
      <c r="K26" s="6"/>
      <c r="L26" s="6"/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3" t="s">
        <v>20</v>
      </c>
      <c r="G27" s="9"/>
      <c r="H27" s="6"/>
      <c r="I27" s="6"/>
      <c r="J27" s="6"/>
      <c r="K27" s="6"/>
      <c r="L27" s="6"/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3" t="s">
        <v>21</v>
      </c>
      <c r="G28" s="9"/>
      <c r="H28" s="6"/>
      <c r="I28" s="6"/>
      <c r="J28" s="6"/>
      <c r="K28" s="6"/>
      <c r="L28" s="6"/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3" t="s">
        <v>22</v>
      </c>
      <c r="G29" s="9"/>
      <c r="H29" s="6"/>
      <c r="I29" s="6"/>
      <c r="J29" s="6"/>
      <c r="K29" s="6"/>
      <c r="L29" s="6"/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74"/>
      <c r="G31" s="9"/>
      <c r="H31" s="6"/>
      <c r="I31" s="6"/>
      <c r="J31" s="6"/>
      <c r="K31" s="6"/>
      <c r="L31" s="6"/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4"/>
      <c r="G33" s="9"/>
      <c r="H33" s="6"/>
      <c r="I33" s="6"/>
      <c r="J33" s="6"/>
      <c r="K33" s="6"/>
      <c r="L33" s="6"/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74"/>
      <c r="G34" s="9"/>
      <c r="H34" s="6"/>
      <c r="I34" s="6"/>
      <c r="J34" s="6"/>
      <c r="K34" s="6"/>
      <c r="L34" s="6"/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5" t="s">
        <v>24</v>
      </c>
      <c r="G36" s="9"/>
      <c r="H36" s="6"/>
      <c r="I36" s="6"/>
      <c r="J36" s="6"/>
      <c r="K36" s="6"/>
      <c r="L36" s="6"/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74"/>
      <c r="G37" s="9"/>
      <c r="H37" s="6"/>
      <c r="I37" s="6"/>
      <c r="J37" s="6"/>
      <c r="K37" s="6"/>
      <c r="L37" s="6"/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6" t="s">
        <v>4</v>
      </c>
      <c r="G38" s="86" t="s">
        <v>25</v>
      </c>
      <c r="H38" s="56"/>
      <c r="I38" s="56"/>
      <c r="J38" s="56" t="s">
        <v>26</v>
      </c>
      <c r="K38" s="56" t="s">
        <v>27</v>
      </c>
      <c r="L38" s="6"/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6"/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94</v>
      </c>
      <c r="H41" s="3"/>
      <c r="I41" s="3"/>
      <c r="J41" s="3" t="s">
        <v>31</v>
      </c>
      <c r="K41" s="3" t="s">
        <v>32</v>
      </c>
      <c r="L41" s="6"/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93</v>
      </c>
      <c r="H42" s="3"/>
      <c r="I42" s="3"/>
      <c r="J42" s="3" t="s">
        <v>31</v>
      </c>
      <c r="K42" s="3" t="s">
        <v>32</v>
      </c>
      <c r="L42" s="6"/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1" t="s">
        <v>12</v>
      </c>
      <c r="G43" s="61" t="s">
        <v>33</v>
      </c>
      <c r="H43" s="61"/>
      <c r="I43" s="61"/>
      <c r="J43" s="61" t="s">
        <v>31</v>
      </c>
      <c r="K43" s="61" t="s">
        <v>32</v>
      </c>
      <c r="L43" s="6"/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5" t="s">
        <v>34</v>
      </c>
      <c r="G46" s="6"/>
      <c r="H46" s="6"/>
      <c r="I46" s="6"/>
      <c r="J46" s="6"/>
      <c r="K46" s="6"/>
      <c r="L46" s="6"/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6" t="s">
        <v>4</v>
      </c>
      <c r="G48" s="86" t="s">
        <v>25</v>
      </c>
      <c r="H48" s="56"/>
      <c r="I48" s="56"/>
      <c r="J48" s="56" t="s">
        <v>26</v>
      </c>
      <c r="K48" s="56" t="s">
        <v>27</v>
      </c>
      <c r="L48" s="6"/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95</v>
      </c>
      <c r="H49" s="3"/>
      <c r="I49" s="3"/>
      <c r="J49" s="3" t="s">
        <v>31</v>
      </c>
      <c r="K49" s="3" t="s">
        <v>32</v>
      </c>
      <c r="L49" s="6"/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36</v>
      </c>
      <c r="G50" s="3" t="s">
        <v>96</v>
      </c>
      <c r="H50" s="3"/>
      <c r="I50" s="3"/>
      <c r="J50" s="3" t="s">
        <v>31</v>
      </c>
      <c r="K50" s="3" t="s">
        <v>32</v>
      </c>
      <c r="L50" s="6"/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6"/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6"/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1" t="s">
        <v>1</v>
      </c>
      <c r="G54" s="61" t="s">
        <v>41</v>
      </c>
      <c r="H54" s="61"/>
      <c r="I54" s="61"/>
      <c r="J54" s="61" t="s">
        <v>31</v>
      </c>
      <c r="K54" s="61" t="s">
        <v>32</v>
      </c>
      <c r="L54" s="6"/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42</v>
      </c>
      <c r="G55" s="87"/>
      <c r="H55" s="87"/>
      <c r="I55" s="6"/>
      <c r="J55" s="6"/>
      <c r="K55" s="6"/>
      <c r="L55" s="6"/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43</v>
      </c>
      <c r="G58" s="9"/>
      <c r="H58" s="6"/>
      <c r="I58" s="6"/>
      <c r="J58" s="6"/>
      <c r="K58" s="6"/>
      <c r="L58" s="6"/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44</v>
      </c>
      <c r="G60" s="9"/>
      <c r="H60" s="6"/>
      <c r="I60" s="6"/>
      <c r="J60" s="6"/>
      <c r="K60" s="6"/>
      <c r="L60" s="6"/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56" t="s">
        <v>3</v>
      </c>
      <c r="G63" s="56" t="s">
        <v>4</v>
      </c>
      <c r="H63" s="56"/>
      <c r="I63" s="56"/>
      <c r="J63" s="56" t="s">
        <v>14</v>
      </c>
      <c r="K63" s="56"/>
      <c r="L63" s="56"/>
      <c r="M63" s="56"/>
      <c r="N63" s="56"/>
      <c r="O63" s="56"/>
      <c r="P63" s="56"/>
      <c r="Q63" s="56"/>
      <c r="R63" s="5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46</v>
      </c>
      <c r="H64" s="3"/>
      <c r="I64" s="3"/>
      <c r="J64" s="88" t="s">
        <v>47</v>
      </c>
      <c r="K64" s="88"/>
      <c r="L64" s="88"/>
      <c r="M64" s="88"/>
      <c r="N64" s="88"/>
      <c r="O64" s="88"/>
      <c r="P64" s="88"/>
      <c r="Q64" s="88"/>
      <c r="R64" s="88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46</v>
      </c>
      <c r="H65" s="3"/>
      <c r="I65" s="3"/>
      <c r="J65" s="89" t="s">
        <v>48</v>
      </c>
      <c r="K65" s="89"/>
      <c r="L65" s="89"/>
      <c r="M65" s="89"/>
      <c r="N65" s="89"/>
      <c r="O65" s="89"/>
      <c r="P65" s="89"/>
      <c r="Q65" s="89"/>
      <c r="R65" s="89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0">
        <v>41699</v>
      </c>
      <c r="G66" s="3" t="s">
        <v>49</v>
      </c>
      <c r="J66" s="89" t="s">
        <v>50</v>
      </c>
      <c r="K66" s="89"/>
      <c r="L66" s="89"/>
      <c r="M66" s="89"/>
      <c r="N66" s="89"/>
      <c r="O66" s="89"/>
      <c r="P66" s="89"/>
      <c r="Q66" s="89"/>
      <c r="R66" s="89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0">
        <v>41944</v>
      </c>
      <c r="G67" s="3" t="s">
        <v>49</v>
      </c>
      <c r="J67" s="91" t="s">
        <v>51</v>
      </c>
      <c r="K67" s="91"/>
      <c r="L67" s="91"/>
      <c r="M67" s="91"/>
      <c r="N67" s="91"/>
      <c r="O67" s="91"/>
      <c r="P67" s="91"/>
      <c r="Q67" s="91"/>
      <c r="R67" s="91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82"/>
      <c r="F68" s="90">
        <v>42339</v>
      </c>
      <c r="G68" s="3" t="s">
        <v>52</v>
      </c>
      <c r="H68" s="3"/>
      <c r="I68" s="3"/>
      <c r="J68" s="91" t="s">
        <v>53</v>
      </c>
      <c r="K68" s="91"/>
      <c r="L68" s="91"/>
      <c r="M68" s="91"/>
      <c r="N68" s="91"/>
      <c r="O68" s="91"/>
      <c r="P68" s="91"/>
      <c r="Q68" s="91"/>
      <c r="R68" s="91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0">
        <v>43525</v>
      </c>
      <c r="G69" s="3" t="s">
        <v>49</v>
      </c>
      <c r="H69" s="3"/>
      <c r="I69" s="3"/>
      <c r="J69" s="91" t="s">
        <v>54</v>
      </c>
      <c r="K69" s="91"/>
      <c r="L69" s="91"/>
      <c r="M69" s="91"/>
      <c r="N69" s="91"/>
      <c r="O69" s="91"/>
      <c r="P69" s="91"/>
      <c r="Q69" s="91"/>
      <c r="R69" s="91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0">
        <v>45536</v>
      </c>
      <c r="G70" s="3" t="s">
        <v>70</v>
      </c>
      <c r="H70" s="3"/>
      <c r="I70" s="3"/>
      <c r="J70" s="91" t="s">
        <v>77</v>
      </c>
      <c r="K70" s="91"/>
      <c r="L70" s="91"/>
      <c r="M70" s="91"/>
      <c r="N70" s="91"/>
      <c r="O70" s="91"/>
      <c r="P70" s="91"/>
      <c r="Q70" s="91"/>
      <c r="R70" s="91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0">
        <v>45717</v>
      </c>
      <c r="G71" s="3" t="s">
        <v>49</v>
      </c>
      <c r="H71" s="3"/>
      <c r="I71" s="3"/>
      <c r="J71" s="91" t="s">
        <v>78</v>
      </c>
      <c r="K71" s="91"/>
      <c r="L71" s="91"/>
      <c r="M71" s="91"/>
      <c r="N71" s="91"/>
      <c r="O71" s="91"/>
      <c r="P71" s="91"/>
      <c r="Q71" s="91"/>
      <c r="R71" s="91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0">
        <v>46082</v>
      </c>
      <c r="G72" s="3" t="s">
        <v>97</v>
      </c>
      <c r="H72" s="3"/>
      <c r="I72" s="3"/>
      <c r="J72" s="91" t="s">
        <v>98</v>
      </c>
      <c r="K72" s="91"/>
      <c r="L72" s="91"/>
      <c r="M72" s="91"/>
      <c r="N72" s="91"/>
      <c r="O72" s="91"/>
      <c r="P72" s="91"/>
      <c r="Q72" s="91"/>
      <c r="R72" s="91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0">
        <v>46082</v>
      </c>
      <c r="G73" s="3" t="s">
        <v>99</v>
      </c>
      <c r="H73" s="3"/>
      <c r="I73" s="3"/>
      <c r="J73" s="91" t="s">
        <v>100</v>
      </c>
      <c r="K73" s="91"/>
      <c r="L73" s="91"/>
      <c r="M73" s="91"/>
      <c r="N73" s="91"/>
      <c r="O73" s="91"/>
      <c r="P73" s="91"/>
      <c r="Q73" s="91"/>
      <c r="R73" s="91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0">
        <v>46082</v>
      </c>
      <c r="G74" s="3" t="s">
        <v>64</v>
      </c>
      <c r="H74" s="3"/>
      <c r="I74" s="3"/>
      <c r="J74" s="91" t="s">
        <v>101</v>
      </c>
      <c r="K74" s="91"/>
      <c r="L74" s="91"/>
      <c r="M74" s="91"/>
      <c r="N74" s="91"/>
      <c r="O74" s="91"/>
      <c r="P74" s="91"/>
      <c r="Q74" s="91"/>
      <c r="R74" s="91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0"/>
      <c r="G75" s="3"/>
      <c r="H75" s="3"/>
      <c r="I75" s="3"/>
      <c r="J75" s="91"/>
      <c r="K75" s="91"/>
      <c r="L75" s="91"/>
      <c r="M75" s="91"/>
      <c r="N75" s="91"/>
      <c r="O75" s="91"/>
      <c r="P75" s="91"/>
      <c r="Q75" s="91"/>
      <c r="R75" s="91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0"/>
      <c r="G76" s="3"/>
      <c r="H76" s="3"/>
      <c r="I76" s="3"/>
      <c r="J76" s="91"/>
      <c r="K76" s="91"/>
      <c r="L76" s="91"/>
      <c r="M76" s="91"/>
      <c r="N76" s="91"/>
      <c r="O76" s="91"/>
      <c r="P76" s="91"/>
      <c r="Q76" s="91"/>
      <c r="R76" s="91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0"/>
      <c r="G77" s="3"/>
      <c r="H77" s="3"/>
      <c r="I77" s="3"/>
      <c r="J77" s="91"/>
      <c r="K77" s="91"/>
      <c r="L77" s="91"/>
      <c r="M77" s="91"/>
      <c r="N77" s="91"/>
      <c r="O77" s="91"/>
      <c r="P77" s="91"/>
      <c r="Q77" s="91"/>
      <c r="R77" s="91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0"/>
      <c r="G78" s="3"/>
      <c r="H78" s="3"/>
      <c r="I78" s="3"/>
      <c r="J78" s="91"/>
      <c r="K78" s="91"/>
      <c r="L78" s="91"/>
      <c r="M78" s="91"/>
      <c r="N78" s="91"/>
      <c r="O78" s="91"/>
      <c r="P78" s="91"/>
      <c r="Q78" s="91"/>
      <c r="R78" s="91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0"/>
      <c r="G79" s="3"/>
      <c r="H79" s="3"/>
      <c r="I79" s="3"/>
      <c r="J79" s="91"/>
      <c r="K79" s="91"/>
      <c r="L79" s="91"/>
      <c r="M79" s="91"/>
      <c r="N79" s="91"/>
      <c r="O79" s="91"/>
      <c r="P79" s="91"/>
      <c r="Q79" s="91"/>
      <c r="R79" s="91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0"/>
      <c r="G80" s="3"/>
      <c r="H80" s="3"/>
      <c r="I80" s="3"/>
      <c r="J80" s="91"/>
      <c r="K80" s="91"/>
      <c r="L80" s="91"/>
      <c r="M80" s="91"/>
      <c r="N80" s="91"/>
      <c r="O80" s="91"/>
      <c r="P80" s="91"/>
      <c r="Q80" s="91"/>
      <c r="R80" s="91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0"/>
      <c r="G81" s="3"/>
      <c r="H81" s="3"/>
      <c r="I81" s="3"/>
      <c r="J81" s="91"/>
      <c r="K81" s="91"/>
      <c r="L81" s="91"/>
      <c r="M81" s="91"/>
      <c r="N81" s="91"/>
      <c r="O81" s="91"/>
      <c r="P81" s="91"/>
      <c r="Q81" s="91"/>
      <c r="R81" s="91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0"/>
      <c r="G82" s="3"/>
      <c r="H82" s="3"/>
      <c r="I82" s="3"/>
      <c r="J82" s="91"/>
      <c r="K82" s="91"/>
      <c r="L82" s="91"/>
      <c r="M82" s="91"/>
      <c r="N82" s="91"/>
      <c r="O82" s="91"/>
      <c r="P82" s="91"/>
      <c r="Q82" s="91"/>
      <c r="R82" s="91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0"/>
      <c r="G83" s="3"/>
      <c r="H83" s="3"/>
      <c r="I83" s="3"/>
      <c r="J83" s="91"/>
      <c r="K83" s="91"/>
      <c r="L83" s="91"/>
      <c r="M83" s="91"/>
      <c r="N83" s="91"/>
      <c r="O83" s="91"/>
      <c r="P83" s="91"/>
      <c r="Q83" s="91"/>
      <c r="R83" s="91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0"/>
      <c r="G84" s="3"/>
      <c r="H84" s="3"/>
      <c r="I84" s="3"/>
      <c r="J84" s="91"/>
      <c r="K84" s="91"/>
      <c r="L84" s="91"/>
      <c r="M84" s="91"/>
      <c r="N84" s="91"/>
      <c r="O84" s="91"/>
      <c r="P84" s="91"/>
      <c r="Q84" s="91"/>
      <c r="R84" s="91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0"/>
      <c r="G85" s="3"/>
      <c r="H85" s="3"/>
      <c r="I85" s="3"/>
      <c r="J85" s="91"/>
      <c r="K85" s="91"/>
      <c r="L85" s="91"/>
      <c r="M85" s="91"/>
      <c r="N85" s="91"/>
      <c r="O85" s="91"/>
      <c r="P85" s="91"/>
      <c r="Q85" s="91"/>
      <c r="R85" s="91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2"/>
      <c r="G86" s="61"/>
      <c r="H86" s="61"/>
      <c r="I86" s="61"/>
      <c r="J86" s="93"/>
      <c r="K86" s="93"/>
      <c r="L86" s="93"/>
      <c r="M86" s="93"/>
      <c r="N86" s="93"/>
      <c r="O86" s="93"/>
      <c r="P86" s="93"/>
      <c r="Q86" s="93"/>
      <c r="R86" s="93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4"/>
      <c r="G87" s="9"/>
      <c r="H87" s="95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4"/>
      <c r="G89" s="9"/>
      <c r="H89" s="95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55</v>
      </c>
      <c r="G90" s="9"/>
      <c r="H90" s="6"/>
      <c r="I90" s="6"/>
      <c r="J90" s="6"/>
      <c r="K90" s="6"/>
      <c r="L90" s="6"/>
      <c r="M90" s="74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74"/>
      <c r="G91" s="9"/>
      <c r="H91" s="6"/>
      <c r="I91" s="6"/>
      <c r="J91" s="6"/>
      <c r="K91" s="6"/>
      <c r="L91" s="6"/>
      <c r="M91" s="74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7" t="s">
        <v>56</v>
      </c>
      <c r="G92" s="9"/>
      <c r="H92" s="6"/>
      <c r="I92" s="6"/>
      <c r="J92" s="6"/>
      <c r="K92" s="6"/>
      <c r="L92" s="6"/>
      <c r="M92" s="74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7" t="s">
        <v>57</v>
      </c>
      <c r="G93" s="6"/>
      <c r="H93" s="6"/>
      <c r="I93" s="6"/>
      <c r="J93" s="6"/>
      <c r="K93" s="6"/>
      <c r="L93" s="6"/>
      <c r="M93" s="74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7"/>
      <c r="G94" s="9"/>
      <c r="H94" s="6"/>
      <c r="I94" s="6"/>
      <c r="J94" s="6"/>
      <c r="K94" s="6"/>
      <c r="L94" s="6"/>
      <c r="M94" s="74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7" t="s">
        <v>58</v>
      </c>
      <c r="G95" s="9"/>
      <c r="H95" s="6"/>
      <c r="I95" s="6"/>
      <c r="J95" s="6"/>
      <c r="K95" s="6"/>
      <c r="L95" s="6"/>
      <c r="M95" s="74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7" t="s">
        <v>59</v>
      </c>
      <c r="G96" s="9"/>
      <c r="H96" s="6"/>
      <c r="I96" s="6"/>
      <c r="J96" s="6"/>
      <c r="K96" s="6"/>
      <c r="L96" s="6"/>
      <c r="M96" s="74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74"/>
      <c r="G97" s="9"/>
      <c r="H97" s="6"/>
      <c r="I97" s="6"/>
      <c r="J97" s="6"/>
      <c r="K97" s="6"/>
      <c r="L97" s="6"/>
      <c r="M97" s="74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8" t="s">
        <v>6</v>
      </c>
      <c r="G98" s="99"/>
      <c r="H98" s="71" t="s">
        <v>60</v>
      </c>
      <c r="I98" s="71" t="s">
        <v>3</v>
      </c>
      <c r="J98" s="71"/>
      <c r="K98" s="100" t="s">
        <v>61</v>
      </c>
      <c r="L98" s="56"/>
      <c r="M98" s="100" t="s">
        <v>62</v>
      </c>
      <c r="N98" s="100" t="s">
        <v>63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64</v>
      </c>
      <c r="G99" s="89"/>
      <c r="H99" s="91" t="s">
        <v>49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64</v>
      </c>
      <c r="G100" s="89"/>
      <c r="H100" s="91" t="s">
        <v>49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64</v>
      </c>
      <c r="G101" s="89"/>
      <c r="H101" s="91" t="s">
        <v>49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64</v>
      </c>
      <c r="G102" s="89"/>
      <c r="H102" s="91" t="s">
        <v>46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64</v>
      </c>
      <c r="G103" s="89"/>
      <c r="H103" s="91" t="s">
        <v>46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65</v>
      </c>
      <c r="G104" s="89"/>
      <c r="H104" s="91" t="s">
        <v>46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65</v>
      </c>
      <c r="G105" s="89"/>
      <c r="H105" s="91" t="s">
        <v>46</v>
      </c>
      <c r="I105" s="102">
        <v>42036</v>
      </c>
      <c r="K105" s="91">
        <v>127.67664000000001</v>
      </c>
      <c r="M105" s="103">
        <v>127.7</v>
      </c>
      <c r="N105" s="91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65</v>
      </c>
      <c r="G106" s="89"/>
      <c r="H106" s="91" t="s">
        <v>46</v>
      </c>
      <c r="I106" s="102">
        <v>42064</v>
      </c>
      <c r="K106" s="91">
        <v>127.67664000000001</v>
      </c>
      <c r="M106" s="103">
        <v>127.7</v>
      </c>
      <c r="N106" s="91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65</v>
      </c>
      <c r="G107" s="89"/>
      <c r="H107" s="91" t="s">
        <v>46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65</v>
      </c>
      <c r="G108" s="89"/>
      <c r="H108" s="91" t="s">
        <v>46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9"/>
      <c r="H109" s="91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9"/>
      <c r="H110" s="91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9"/>
      <c r="H111" s="91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9"/>
      <c r="H112" s="91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9"/>
      <c r="H113" s="91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9"/>
      <c r="H114" s="91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9"/>
      <c r="H115" s="91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9"/>
      <c r="H116" s="91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9"/>
      <c r="H117" s="91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3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3A4E0D-15AA-4D01-9CE4-5FDEA7B03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2025-12-19T08:55:13Z</cp:lastPrinted>
  <dcterms:created xsi:type="dcterms:W3CDTF">2024-09-24T07:20:07Z</dcterms:created>
  <dcterms:modified xsi:type="dcterms:W3CDTF">2026-02-19T12:20:45Z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