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8"/>
  <workbookPr/>
  <mc:AlternateContent xmlns:mc="http://schemas.openxmlformats.org/markup-compatibility/2006">
    <mc:Choice Requires="x15">
      <x15ac:absPath xmlns:x15ac="http://schemas.microsoft.com/office/spreadsheetml/2010/11/ac" url="https://bluecow-my.sharepoint.com/personal/lor_moviatrafik_dk/Documents/TID/Økonomi/NØGLETAL/Nøgletal 2025/Nøgletal 28. marts final/"/>
    </mc:Choice>
  </mc:AlternateContent>
  <xr:revisionPtr revIDLastSave="0" documentId="13_ncr:1_{9EEFC9EE-471C-4651-B732-DAB0584F6290}" xr6:coauthVersionLast="47" xr6:coauthVersionMax="47" xr10:uidLastSave="{00000000-0000-0000-0000-000000000000}"/>
  <bookViews>
    <workbookView xWindow="-120" yWindow="-120" windowWidth="29040" windowHeight="15720" xr2:uid="{9A9EC631-2135-49FB-85D2-4B8690EE7BF5}"/>
  </bookViews>
  <sheets>
    <sheet name="Trafikselskaber Samlet" sheetId="14" r:id="rId1"/>
    <sheet name="BAT" sheetId="8" r:id="rId2"/>
    <sheet name="FynBus" sheetId="9" r:id="rId3"/>
    <sheet name="Cognos_Office_Connection_Cache" sheetId="15" state="veryHidden" r:id="rId4"/>
    <sheet name="Midttrafik " sheetId="10" r:id="rId5"/>
    <sheet name="Movia" sheetId="11" r:id="rId6"/>
    <sheet name="NT" sheetId="12" r:id="rId7"/>
    <sheet name="Sydtrafik" sheetId="13" r:id="rId8"/>
    <sheet name="PL fra KL" sheetId="16" r:id="rId9"/>
  </sheets>
  <definedNames>
    <definedName name="ID" localSheetId="1" hidden="1">"ec89c126-320c-4e8d-a500-1d577c7af54a"</definedName>
    <definedName name="ID" localSheetId="3" hidden="1">"f9193ce8-4f76-4669-81d1-35803a0f0eb3"</definedName>
    <definedName name="ID" localSheetId="2" hidden="1">"ff520e53-4beb-4027-bb02-ab268a87d5e7"</definedName>
    <definedName name="ID" localSheetId="4" hidden="1">"90bc79d4-be4b-4494-80f0-445a513bb742"</definedName>
    <definedName name="ID" localSheetId="5" hidden="1">"aab8b6ce-d275-4268-acab-edfb3b89b201"</definedName>
    <definedName name="ID" localSheetId="6" hidden="1">"d3ec5494-bb3c-495a-81bb-12a5123fb66e"</definedName>
    <definedName name="ID" localSheetId="8" hidden="1">"2ca9cbc2-c645-4983-98ab-e12c658553d0"</definedName>
    <definedName name="ID" localSheetId="7" hidden="1">"9b53ec42-343e-49ff-b65e-d9a74460d946"</definedName>
    <definedName name="ID" localSheetId="0" hidden="1">"0f01b64f-c30e-41bf-83bf-292d1125d44f"</definedName>
    <definedName name="_xlnm.Print_Area" localSheetId="0">'Trafikselskaber Samlet'!$A:$V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29" i="14" l="1"/>
  <c r="AX29" i="14"/>
  <c r="AL13" i="10" l="1"/>
  <c r="O13" i="10"/>
  <c r="N13" i="10"/>
  <c r="M13" i="10"/>
  <c r="L13" i="10"/>
  <c r="K13" i="10"/>
  <c r="J13" i="10"/>
  <c r="I13" i="10"/>
  <c r="H13" i="10"/>
  <c r="H6" i="10" s="1"/>
  <c r="E13" i="10"/>
  <c r="AI12" i="10"/>
  <c r="AH12" i="10"/>
  <c r="AG12" i="10"/>
  <c r="AF12" i="10"/>
  <c r="AE12" i="10"/>
  <c r="AD12" i="10"/>
  <c r="U12" i="10"/>
  <c r="U6" i="10" s="1"/>
  <c r="R12" i="10"/>
  <c r="R6" i="10" s="1"/>
  <c r="N12" i="10"/>
  <c r="K12" i="10"/>
  <c r="J12" i="10"/>
  <c r="Q12" i="10" s="1"/>
  <c r="Q6" i="10" s="1"/>
  <c r="I12" i="10"/>
  <c r="P12" i="10" s="1"/>
  <c r="P6" i="10" s="1"/>
  <c r="G12" i="10"/>
  <c r="F12" i="10"/>
  <c r="F13" i="10" s="1"/>
  <c r="F6" i="10" s="1"/>
  <c r="C12" i="10"/>
  <c r="M11" i="10"/>
  <c r="M12" i="10" s="1"/>
  <c r="T12" i="10" s="1"/>
  <c r="T6" i="10" s="1"/>
  <c r="L11" i="10"/>
  <c r="L12" i="10" s="1"/>
  <c r="S12" i="10" s="1"/>
  <c r="S6" i="10" s="1"/>
  <c r="K11" i="10"/>
  <c r="J11" i="10"/>
  <c r="I11" i="10"/>
  <c r="H11" i="10"/>
  <c r="F11" i="10"/>
  <c r="AO10" i="10"/>
  <c r="AN10" i="10"/>
  <c r="AN11" i="10" s="1"/>
  <c r="AM10" i="10"/>
  <c r="AM13" i="10" s="1"/>
  <c r="AM6" i="10" s="1"/>
  <c r="O10" i="10"/>
  <c r="N10" i="10"/>
  <c r="M10" i="10"/>
  <c r="L10" i="10"/>
  <c r="L6" i="10" s="1"/>
  <c r="K10" i="10"/>
  <c r="J10" i="10"/>
  <c r="I10" i="10"/>
  <c r="H10" i="10"/>
  <c r="G10" i="10"/>
  <c r="F10" i="10"/>
  <c r="E10" i="10"/>
  <c r="D10" i="10"/>
  <c r="D13" i="10" s="1"/>
  <c r="D6" i="10" s="1"/>
  <c r="C10" i="10"/>
  <c r="B10" i="10"/>
  <c r="B12" i="10" s="1"/>
  <c r="O9" i="10"/>
  <c r="O6" i="10" s="1"/>
  <c r="AO6" i="10"/>
  <c r="AN6" i="10"/>
  <c r="AL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N6" i="10"/>
  <c r="M6" i="10"/>
  <c r="K6" i="10"/>
  <c r="J6" i="10"/>
  <c r="I6" i="10"/>
  <c r="G6" i="10"/>
  <c r="E6" i="10"/>
  <c r="C6" i="10"/>
  <c r="B6" i="10"/>
  <c r="AR6" i="10" l="1"/>
  <c r="AY6" i="10" s="1"/>
  <c r="AU6" i="10"/>
  <c r="BB6" i="10" s="1"/>
  <c r="AS6" i="10"/>
  <c r="AZ6" i="10" s="1"/>
  <c r="BG6" i="10"/>
  <c r="AT6" i="10"/>
  <c r="BA6" i="10" s="1"/>
  <c r="BH6" i="10"/>
  <c r="AW6" i="10"/>
  <c r="BD6" i="10" s="1"/>
  <c r="AV6" i="10"/>
  <c r="BC6" i="10" s="1"/>
  <c r="O12" i="10"/>
  <c r="V12" i="10" s="1"/>
  <c r="V6" i="10" s="1"/>
  <c r="BJ6" i="10" l="1"/>
  <c r="BK6" i="10"/>
  <c r="BI6" i="10"/>
  <c r="AX6" i="10"/>
  <c r="BE6" i="10" s="1"/>
  <c r="BF6" i="10"/>
  <c r="BL6" i="10" l="1"/>
  <c r="BL9" i="9" l="1"/>
  <c r="BK9" i="9"/>
  <c r="BJ9" i="9"/>
  <c r="BI9" i="9"/>
  <c r="AZ9" i="9"/>
  <c r="AZ10" i="9" s="1"/>
  <c r="BA9" i="9"/>
  <c r="BB9" i="9"/>
  <c r="BC9" i="9"/>
  <c r="BD9" i="9"/>
  <c r="BE9" i="9"/>
  <c r="AY9" i="9"/>
  <c r="AY10" i="9" s="1"/>
  <c r="AS9" i="9"/>
  <c r="AT9" i="9"/>
  <c r="AU9" i="9"/>
  <c r="AV9" i="9"/>
  <c r="AW9" i="9"/>
  <c r="AX9" i="9"/>
  <c r="AR9" i="9"/>
  <c r="AR10" i="9"/>
  <c r="BF10" i="9" s="1"/>
  <c r="AS10" i="9"/>
  <c r="BG10" i="9" s="1"/>
  <c r="AT10" i="9"/>
  <c r="AU10" i="9"/>
  <c r="BI10" i="9" s="1"/>
  <c r="AV10" i="9"/>
  <c r="AW10" i="9"/>
  <c r="BK10" i="9" s="1"/>
  <c r="AX10" i="9"/>
  <c r="BL10" i="9" s="1"/>
  <c r="BA10" i="9"/>
  <c r="BB10" i="9"/>
  <c r="BC10" i="9"/>
  <c r="BD10" i="9"/>
  <c r="BE10" i="9"/>
  <c r="AQ10" i="9"/>
  <c r="AE10" i="9"/>
  <c r="AF10" i="9"/>
  <c r="AG10" i="9"/>
  <c r="AH10" i="9"/>
  <c r="AI10" i="9"/>
  <c r="AJ10" i="9"/>
  <c r="AK10" i="9"/>
  <c r="AL10" i="9"/>
  <c r="AM10" i="9"/>
  <c r="AN10" i="9"/>
  <c r="AO10" i="9"/>
  <c r="AP10" i="9"/>
  <c r="AD10" i="9"/>
  <c r="P10" i="9"/>
  <c r="Q10" i="9"/>
  <c r="R10" i="9"/>
  <c r="S10" i="9"/>
  <c r="T10" i="9"/>
  <c r="BJ10" i="9" s="1"/>
  <c r="U10" i="9"/>
  <c r="V10" i="9"/>
  <c r="I10" i="9"/>
  <c r="J10" i="9"/>
  <c r="K10" i="9"/>
  <c r="L10" i="9"/>
  <c r="M10" i="9"/>
  <c r="N10" i="9"/>
  <c r="O10" i="9"/>
  <c r="C10" i="9"/>
  <c r="D10" i="9"/>
  <c r="E10" i="9"/>
  <c r="F10" i="9"/>
  <c r="G10" i="9"/>
  <c r="H10" i="9"/>
  <c r="W10" i="9"/>
  <c r="X10" i="9"/>
  <c r="Y10" i="9"/>
  <c r="Z10" i="9"/>
  <c r="AA10" i="9"/>
  <c r="AB10" i="9"/>
  <c r="AC10" i="9"/>
  <c r="B10" i="9"/>
  <c r="V8" i="9"/>
  <c r="AX8" i="9" s="1"/>
  <c r="BL8" i="9" s="1"/>
  <c r="U8" i="9"/>
  <c r="BD8" i="9" s="1"/>
  <c r="T8" i="9"/>
  <c r="BC8" i="9" s="1"/>
  <c r="S8" i="9"/>
  <c r="BB8" i="9" s="1"/>
  <c r="R8" i="9"/>
  <c r="BA8" i="9" s="1"/>
  <c r="Q8" i="9"/>
  <c r="AZ8" i="9" s="1"/>
  <c r="P8" i="9"/>
  <c r="BI7" i="9"/>
  <c r="BE7" i="9"/>
  <c r="BD7" i="9"/>
  <c r="BC7" i="9"/>
  <c r="BB7" i="9"/>
  <c r="BA7" i="9"/>
  <c r="AZ7" i="9"/>
  <c r="AY7" i="9"/>
  <c r="AX7" i="9"/>
  <c r="BL7" i="9" s="1"/>
  <c r="AW7" i="9"/>
  <c r="BK7" i="9" s="1"/>
  <c r="AV7" i="9"/>
  <c r="BJ7" i="9" s="1"/>
  <c r="AU7" i="9"/>
  <c r="AT7" i="9"/>
  <c r="BH7" i="9" s="1"/>
  <c r="AS7" i="9"/>
  <c r="BG7" i="9" s="1"/>
  <c r="AR7" i="9"/>
  <c r="BF7" i="9" s="1"/>
  <c r="BE6" i="9"/>
  <c r="BD6" i="9"/>
  <c r="BC6" i="9"/>
  <c r="BB6" i="9"/>
  <c r="BA6" i="9"/>
  <c r="AZ6" i="9"/>
  <c r="AY6" i="9"/>
  <c r="AX6" i="9"/>
  <c r="BL6" i="9" s="1"/>
  <c r="AW6" i="9"/>
  <c r="BK6" i="9" s="1"/>
  <c r="AV6" i="9"/>
  <c r="BJ6" i="9" s="1"/>
  <c r="AU6" i="9"/>
  <c r="BI6" i="9" s="1"/>
  <c r="AT6" i="9"/>
  <c r="BH6" i="9" s="1"/>
  <c r="AS6" i="9"/>
  <c r="BG6" i="9" s="1"/>
  <c r="AR6" i="9"/>
  <c r="BF6" i="9" s="1"/>
  <c r="BH10" i="9" l="1"/>
  <c r="BE8" i="9"/>
  <c r="AS8" i="9"/>
  <c r="BG8" i="9" s="1"/>
  <c r="AT8" i="9"/>
  <c r="AR8" i="9"/>
  <c r="BF8" i="9" s="1"/>
  <c r="AU8" i="9"/>
  <c r="AV8" i="9"/>
  <c r="AW8" i="9"/>
  <c r="AY8" i="9"/>
  <c r="BH8" i="9"/>
  <c r="BK8" i="9" l="1"/>
  <c r="BI8" i="9"/>
  <c r="BJ8" i="9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AS6" i="13" s="1"/>
  <c r="I6" i="13"/>
  <c r="AR6" i="13" s="1"/>
  <c r="H6" i="13"/>
  <c r="G6" i="13"/>
  <c r="F6" i="13"/>
  <c r="E6" i="13"/>
  <c r="D6" i="13"/>
  <c r="C6" i="13"/>
  <c r="B6" i="13"/>
  <c r="AY6" i="13" l="1"/>
  <c r="BF6" i="13"/>
  <c r="AZ6" i="13"/>
  <c r="BG6" i="13"/>
  <c r="BL6" i="13"/>
  <c r="AT6" i="13"/>
  <c r="BA6" i="13" s="1"/>
  <c r="AU6" i="13"/>
  <c r="BB6" i="13" s="1"/>
  <c r="AV6" i="13"/>
  <c r="BC6" i="13" s="1"/>
  <c r="AW6" i="13"/>
  <c r="BD6" i="13" s="1"/>
  <c r="AX6" i="13"/>
  <c r="BE6" i="13" s="1"/>
  <c r="BJ6" i="13" l="1"/>
  <c r="BK6" i="13"/>
  <c r="BI6" i="13"/>
  <c r="BH6" i="13"/>
  <c r="BC6" i="8" l="1"/>
  <c r="BB6" i="8"/>
  <c r="BA6" i="8"/>
  <c r="AV6" i="8"/>
  <c r="BJ6" i="8" s="1"/>
  <c r="AU6" i="8"/>
  <c r="BI6" i="8" s="1"/>
  <c r="AT6" i="8"/>
  <c r="BH6" i="8" s="1"/>
  <c r="AS6" i="8"/>
  <c r="AZ6" i="8" s="1"/>
  <c r="AR6" i="8"/>
  <c r="AY6" i="8" s="1"/>
  <c r="V6" i="8"/>
  <c r="O6" i="8"/>
  <c r="N6" i="8"/>
  <c r="AW6" i="8" s="1"/>
  <c r="M6" i="8"/>
  <c r="L6" i="8"/>
  <c r="K6" i="8"/>
  <c r="J6" i="8"/>
  <c r="I6" i="8"/>
  <c r="H6" i="8"/>
  <c r="G6" i="8"/>
  <c r="F6" i="8"/>
  <c r="E6" i="8"/>
  <c r="D6" i="8"/>
  <c r="C6" i="8"/>
  <c r="B6" i="8"/>
  <c r="BK6" i="8" l="1"/>
  <c r="BD6" i="8"/>
  <c r="BF6" i="8"/>
  <c r="BG6" i="8"/>
  <c r="AX6" i="8"/>
  <c r="BE6" i="8" s="1"/>
  <c r="BL6" i="8" l="1"/>
  <c r="BE6" i="12" l="1"/>
  <c r="BD6" i="12"/>
  <c r="BC6" i="12"/>
  <c r="BB6" i="12"/>
  <c r="BA6" i="12"/>
  <c r="AX6" i="12"/>
  <c r="BL6" i="12" s="1"/>
  <c r="AW6" i="12"/>
  <c r="BK6" i="12" s="1"/>
  <c r="AV6" i="12"/>
  <c r="BJ6" i="12" s="1"/>
  <c r="AU6" i="12"/>
  <c r="BI6" i="12" s="1"/>
  <c r="AT6" i="12"/>
  <c r="BH6" i="12" s="1"/>
  <c r="AS6" i="12"/>
  <c r="AZ6" i="12" s="1"/>
  <c r="AR6" i="12"/>
  <c r="AY6" i="12" s="1"/>
  <c r="BF6" i="12" l="1"/>
  <c r="BG6" i="12"/>
  <c r="BG23" i="14" l="1"/>
  <c r="BH23" i="14"/>
  <c r="BI23" i="14"/>
  <c r="BJ23" i="14"/>
  <c r="BK23" i="14"/>
  <c r="BL23" i="14"/>
  <c r="BF23" i="14"/>
  <c r="AZ15" i="14"/>
  <c r="BA15" i="14"/>
  <c r="BB15" i="14"/>
  <c r="BC15" i="14"/>
  <c r="BD15" i="14"/>
  <c r="BE15" i="14"/>
  <c r="BE24" i="14" s="1"/>
  <c r="AY15" i="14"/>
  <c r="BB25" i="14"/>
  <c r="BA25" i="14"/>
  <c r="AZ25" i="14"/>
  <c r="AY25" i="14"/>
  <c r="BC23" i="14"/>
  <c r="BB23" i="14"/>
  <c r="BA23" i="14"/>
  <c r="AZ23" i="14"/>
  <c r="BB22" i="14"/>
  <c r="BA20" i="14"/>
  <c r="AZ20" i="14"/>
  <c r="AY20" i="14"/>
  <c r="AS15" i="14"/>
  <c r="AT15" i="14"/>
  <c r="AU15" i="14"/>
  <c r="AV15" i="14"/>
  <c r="AV23" i="14" s="1"/>
  <c r="AW15" i="14"/>
  <c r="AW23" i="14" s="1"/>
  <c r="AX15" i="14"/>
  <c r="AR15" i="14"/>
  <c r="AU25" i="14"/>
  <c r="AT25" i="14"/>
  <c r="AR25" i="14"/>
  <c r="AU23" i="14"/>
  <c r="AT23" i="14"/>
  <c r="AS23" i="14"/>
  <c r="AR23" i="14"/>
  <c r="AX20" i="14"/>
  <c r="AU20" i="14"/>
  <c r="AT20" i="14"/>
  <c r="X15" i="14"/>
  <c r="Y15" i="14"/>
  <c r="Z15" i="14"/>
  <c r="AA15" i="14"/>
  <c r="AB15" i="14"/>
  <c r="AC15" i="14"/>
  <c r="W15" i="14"/>
  <c r="Q15" i="14"/>
  <c r="R15" i="14"/>
  <c r="R20" i="14" s="1"/>
  <c r="BH20" i="14" s="1"/>
  <c r="S15" i="14"/>
  <c r="S25" i="14" s="1"/>
  <c r="BI25" i="14" s="1"/>
  <c r="T15" i="14"/>
  <c r="T25" i="14" s="1"/>
  <c r="U15" i="14"/>
  <c r="U23" i="14" s="1"/>
  <c r="V15" i="14"/>
  <c r="P15" i="14"/>
  <c r="R25" i="14"/>
  <c r="BH25" i="14" s="1"/>
  <c r="Q25" i="14"/>
  <c r="P25" i="14"/>
  <c r="BF25" i="14" s="1"/>
  <c r="V23" i="14"/>
  <c r="S23" i="14"/>
  <c r="R23" i="14"/>
  <c r="Q23" i="14"/>
  <c r="P23" i="14"/>
  <c r="V20" i="14"/>
  <c r="BL20" i="14" s="1"/>
  <c r="O25" i="14"/>
  <c r="J24" i="14"/>
  <c r="I24" i="14"/>
  <c r="O23" i="14"/>
  <c r="N23" i="14"/>
  <c r="M23" i="14"/>
  <c r="L23" i="14"/>
  <c r="K23" i="14"/>
  <c r="J23" i="14"/>
  <c r="I23" i="14"/>
  <c r="N20" i="14"/>
  <c r="M20" i="14"/>
  <c r="L20" i="14"/>
  <c r="K20" i="14"/>
  <c r="J20" i="14"/>
  <c r="J15" i="14"/>
  <c r="K15" i="14"/>
  <c r="L15" i="14"/>
  <c r="M15" i="14"/>
  <c r="N15" i="14"/>
  <c r="O15" i="14"/>
  <c r="I15" i="14"/>
  <c r="C11" i="14"/>
  <c r="D11" i="14"/>
  <c r="E11" i="14"/>
  <c r="F11" i="14"/>
  <c r="G11" i="14"/>
  <c r="H11" i="14"/>
  <c r="I11" i="14"/>
  <c r="I25" i="14" s="1"/>
  <c r="J11" i="14"/>
  <c r="J25" i="14" s="1"/>
  <c r="K11" i="14"/>
  <c r="K25" i="14" s="1"/>
  <c r="L11" i="14"/>
  <c r="L25" i="14" s="1"/>
  <c r="M11" i="14"/>
  <c r="M25" i="14" s="1"/>
  <c r="N11" i="14"/>
  <c r="N25" i="14" s="1"/>
  <c r="O11" i="14"/>
  <c r="P11" i="14"/>
  <c r="Q11" i="14"/>
  <c r="R11" i="14"/>
  <c r="S11" i="14"/>
  <c r="T11" i="14"/>
  <c r="U11" i="14"/>
  <c r="U25" i="14" s="1"/>
  <c r="V11" i="14"/>
  <c r="V25" i="14" s="1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AN11" i="14"/>
  <c r="AO11" i="14"/>
  <c r="AP11" i="14"/>
  <c r="AQ11" i="14"/>
  <c r="AR11" i="14"/>
  <c r="AS11" i="14"/>
  <c r="AT11" i="14"/>
  <c r="AU11" i="14"/>
  <c r="AV11" i="14"/>
  <c r="AV25" i="14" s="1"/>
  <c r="AW11" i="14"/>
  <c r="AX11" i="14"/>
  <c r="AY11" i="14"/>
  <c r="AZ11" i="14"/>
  <c r="BA11" i="14"/>
  <c r="BB11" i="14"/>
  <c r="BC11" i="14"/>
  <c r="BD11" i="14"/>
  <c r="BE11" i="14"/>
  <c r="BE25" i="14" s="1"/>
  <c r="BF11" i="14"/>
  <c r="BG11" i="14"/>
  <c r="BH11" i="14"/>
  <c r="BI11" i="14"/>
  <c r="BJ11" i="14"/>
  <c r="BK11" i="14"/>
  <c r="BL11" i="14"/>
  <c r="C10" i="14"/>
  <c r="D10" i="14"/>
  <c r="E10" i="14"/>
  <c r="F10" i="14"/>
  <c r="G10" i="14"/>
  <c r="H10" i="14"/>
  <c r="I10" i="14"/>
  <c r="J10" i="14"/>
  <c r="K10" i="14"/>
  <c r="K24" i="14" s="1"/>
  <c r="L10" i="14"/>
  <c r="L24" i="14" s="1"/>
  <c r="M10" i="14"/>
  <c r="M24" i="14" s="1"/>
  <c r="N10" i="14"/>
  <c r="N24" i="14" s="1"/>
  <c r="O10" i="14"/>
  <c r="O24" i="14" s="1"/>
  <c r="P10" i="14"/>
  <c r="Q10" i="14"/>
  <c r="Q24" i="14" s="1"/>
  <c r="R10" i="14"/>
  <c r="R24" i="14" s="1"/>
  <c r="S10" i="14"/>
  <c r="S24" i="14" s="1"/>
  <c r="T10" i="14"/>
  <c r="T24" i="14" s="1"/>
  <c r="U10" i="14"/>
  <c r="U24" i="14" s="1"/>
  <c r="V10" i="14"/>
  <c r="V24" i="14" s="1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AN10" i="14"/>
  <c r="AO10" i="14"/>
  <c r="AP10" i="14"/>
  <c r="AQ10" i="14"/>
  <c r="AR10" i="14"/>
  <c r="AR24" i="14" s="1"/>
  <c r="AS10" i="14"/>
  <c r="AS24" i="14" s="1"/>
  <c r="AT10" i="14"/>
  <c r="AT24" i="14" s="1"/>
  <c r="AU10" i="14"/>
  <c r="AU24" i="14" s="1"/>
  <c r="AV10" i="14"/>
  <c r="AV24" i="14" s="1"/>
  <c r="AW10" i="14"/>
  <c r="AW24" i="14" s="1"/>
  <c r="AX10" i="14"/>
  <c r="AY10" i="14"/>
  <c r="AZ10" i="14"/>
  <c r="AZ24" i="14" s="1"/>
  <c r="BA10" i="14"/>
  <c r="BA24" i="14" s="1"/>
  <c r="BB10" i="14"/>
  <c r="BB24" i="14" s="1"/>
  <c r="BC10" i="14"/>
  <c r="BD10" i="14"/>
  <c r="BD24" i="14" s="1"/>
  <c r="BE10" i="14"/>
  <c r="BF10" i="14"/>
  <c r="BG10" i="14"/>
  <c r="BH10" i="14"/>
  <c r="BI10" i="14"/>
  <c r="BJ10" i="14"/>
  <c r="BK10" i="14"/>
  <c r="BL10" i="14"/>
  <c r="B10" i="14"/>
  <c r="C8" i="14"/>
  <c r="D8" i="14"/>
  <c r="E8" i="14"/>
  <c r="F8" i="14"/>
  <c r="G8" i="14"/>
  <c r="H8" i="14"/>
  <c r="I8" i="14"/>
  <c r="I22" i="14" s="1"/>
  <c r="J8" i="14"/>
  <c r="J22" i="14" s="1"/>
  <c r="K8" i="14"/>
  <c r="K22" i="14" s="1"/>
  <c r="L8" i="14"/>
  <c r="L22" i="14" s="1"/>
  <c r="M8" i="14"/>
  <c r="M22" i="14" s="1"/>
  <c r="N8" i="14"/>
  <c r="N22" i="14" s="1"/>
  <c r="O8" i="14"/>
  <c r="O22" i="14" s="1"/>
  <c r="P8" i="14"/>
  <c r="P22" i="14" s="1"/>
  <c r="Q8" i="14"/>
  <c r="Q22" i="14" s="1"/>
  <c r="R8" i="14"/>
  <c r="R22" i="14" s="1"/>
  <c r="S8" i="14"/>
  <c r="S22" i="14" s="1"/>
  <c r="T8" i="14"/>
  <c r="T22" i="14" s="1"/>
  <c r="U8" i="14"/>
  <c r="U22" i="14" s="1"/>
  <c r="V8" i="14"/>
  <c r="V22" i="14" s="1"/>
  <c r="W8" i="14"/>
  <c r="X8" i="14"/>
  <c r="Y8" i="14"/>
  <c r="Z8" i="14"/>
  <c r="AA8" i="14"/>
  <c r="AB8" i="14"/>
  <c r="AC8" i="14"/>
  <c r="AD8" i="14"/>
  <c r="AE8" i="14"/>
  <c r="AF8" i="14"/>
  <c r="AG8" i="14"/>
  <c r="AH8" i="14"/>
  <c r="AI8" i="14"/>
  <c r="AJ8" i="14"/>
  <c r="AK8" i="14"/>
  <c r="AL8" i="14"/>
  <c r="AM8" i="14"/>
  <c r="AN8" i="14"/>
  <c r="AO8" i="14"/>
  <c r="AP8" i="14"/>
  <c r="AQ8" i="14"/>
  <c r="AR8" i="14"/>
  <c r="AR22" i="14" s="1"/>
  <c r="AS8" i="14"/>
  <c r="AS22" i="14" s="1"/>
  <c r="AT8" i="14"/>
  <c r="AT22" i="14" s="1"/>
  <c r="AU8" i="14"/>
  <c r="AU22" i="14" s="1"/>
  <c r="AV8" i="14"/>
  <c r="AW8" i="14"/>
  <c r="AW22" i="14" s="1"/>
  <c r="AX8" i="14"/>
  <c r="AX22" i="14" s="1"/>
  <c r="AY8" i="14"/>
  <c r="AY22" i="14" s="1"/>
  <c r="AZ8" i="14"/>
  <c r="AZ22" i="14" s="1"/>
  <c r="BA8" i="14"/>
  <c r="BA22" i="14" s="1"/>
  <c r="BB8" i="14"/>
  <c r="BC8" i="14"/>
  <c r="BD8" i="14"/>
  <c r="BD22" i="14" s="1"/>
  <c r="BE8" i="14"/>
  <c r="BF8" i="14"/>
  <c r="BG8" i="14"/>
  <c r="BH8" i="14"/>
  <c r="BI8" i="14"/>
  <c r="BJ8" i="14"/>
  <c r="BK8" i="14"/>
  <c r="BL8" i="14"/>
  <c r="B8" i="14"/>
  <c r="C7" i="14"/>
  <c r="D7" i="14"/>
  <c r="E7" i="14"/>
  <c r="F7" i="14"/>
  <c r="G7" i="14"/>
  <c r="H7" i="14"/>
  <c r="I7" i="14"/>
  <c r="J7" i="14"/>
  <c r="J12" i="14" s="1"/>
  <c r="K7" i="14"/>
  <c r="L7" i="14"/>
  <c r="L12" i="14" s="1"/>
  <c r="M7" i="14"/>
  <c r="M12" i="14" s="1"/>
  <c r="N7" i="14"/>
  <c r="O7" i="14"/>
  <c r="P7" i="14"/>
  <c r="P21" i="14" s="1"/>
  <c r="Q7" i="14"/>
  <c r="Q21" i="14" s="1"/>
  <c r="R7" i="14"/>
  <c r="R21" i="14" s="1"/>
  <c r="S7" i="14"/>
  <c r="S21" i="14" s="1"/>
  <c r="T7" i="14"/>
  <c r="T21" i="14" s="1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AI7" i="14"/>
  <c r="AJ7" i="14"/>
  <c r="AK7" i="14"/>
  <c r="AL7" i="14"/>
  <c r="AM7" i="14"/>
  <c r="AN7" i="14"/>
  <c r="AO7" i="14"/>
  <c r="AP7" i="14"/>
  <c r="AQ7" i="14"/>
  <c r="AT7" i="14"/>
  <c r="AT21" i="14" s="1"/>
  <c r="AU7" i="14"/>
  <c r="AU21" i="14" s="1"/>
  <c r="AY7" i="14"/>
  <c r="BF7" i="14"/>
  <c r="BG7" i="14"/>
  <c r="BK7" i="14"/>
  <c r="B7" i="14"/>
  <c r="C6" i="14"/>
  <c r="D6" i="14"/>
  <c r="E6" i="14"/>
  <c r="F6" i="14"/>
  <c r="G6" i="14"/>
  <c r="H6" i="14"/>
  <c r="I6" i="14"/>
  <c r="I20" i="14" s="1"/>
  <c r="J6" i="14"/>
  <c r="K6" i="14"/>
  <c r="L6" i="14"/>
  <c r="M6" i="14"/>
  <c r="N6" i="14"/>
  <c r="O6" i="14"/>
  <c r="O20" i="14" s="1"/>
  <c r="P6" i="14"/>
  <c r="P20" i="14" s="1"/>
  <c r="BF20" i="14" s="1"/>
  <c r="Q6" i="14"/>
  <c r="Q20" i="14" s="1"/>
  <c r="R6" i="14"/>
  <c r="S6" i="14"/>
  <c r="S20" i="14" s="1"/>
  <c r="BI20" i="14" s="1"/>
  <c r="T6" i="14"/>
  <c r="T20" i="14" s="1"/>
  <c r="U6" i="14"/>
  <c r="U20" i="14" s="1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AI6" i="14"/>
  <c r="AJ6" i="14"/>
  <c r="AK6" i="14"/>
  <c r="AL6" i="14"/>
  <c r="AM6" i="14"/>
  <c r="AN6" i="14"/>
  <c r="AO6" i="14"/>
  <c r="AP6" i="14"/>
  <c r="AQ6" i="14"/>
  <c r="AR6" i="14"/>
  <c r="AR20" i="14" s="1"/>
  <c r="AS6" i="14"/>
  <c r="AS20" i="14" s="1"/>
  <c r="AT6" i="14"/>
  <c r="AU6" i="14"/>
  <c r="AV6" i="14"/>
  <c r="AW6" i="14"/>
  <c r="AX6" i="14"/>
  <c r="AY6" i="14"/>
  <c r="AZ6" i="14"/>
  <c r="BA6" i="14"/>
  <c r="BB6" i="14"/>
  <c r="BB20" i="14" s="1"/>
  <c r="BC6" i="14"/>
  <c r="BC20" i="14" s="1"/>
  <c r="BD6" i="14"/>
  <c r="BD20" i="14" s="1"/>
  <c r="BE6" i="14"/>
  <c r="BF6" i="14"/>
  <c r="BG6" i="14"/>
  <c r="BH6" i="14"/>
  <c r="BI6" i="14"/>
  <c r="BJ6" i="14"/>
  <c r="BK6" i="14"/>
  <c r="BL6" i="14"/>
  <c r="B6" i="14"/>
  <c r="BB7" i="14"/>
  <c r="BA7" i="14"/>
  <c r="AZ7" i="14"/>
  <c r="BL7" i="14"/>
  <c r="BJ7" i="14"/>
  <c r="BI7" i="14"/>
  <c r="BH7" i="14"/>
  <c r="K12" i="14" l="1"/>
  <c r="BB12" i="14"/>
  <c r="N12" i="14"/>
  <c r="AY12" i="14"/>
  <c r="O12" i="14"/>
  <c r="BF22" i="14"/>
  <c r="BG22" i="14"/>
  <c r="I12" i="14"/>
  <c r="L21" i="14"/>
  <c r="L26" i="14" s="1"/>
  <c r="BH21" i="14"/>
  <c r="BI21" i="14"/>
  <c r="AZ12" i="14"/>
  <c r="AZ21" i="14"/>
  <c r="BA12" i="14"/>
  <c r="BA21" i="14"/>
  <c r="AS7" i="14"/>
  <c r="AS21" i="14" s="1"/>
  <c r="AS26" i="14" s="1"/>
  <c r="AR7" i="14"/>
  <c r="AR21" i="14" s="1"/>
  <c r="BF21" i="14" s="1"/>
  <c r="I21" i="14"/>
  <c r="I26" i="14" s="1"/>
  <c r="J21" i="14"/>
  <c r="J26" i="14" s="1"/>
  <c r="K21" i="14"/>
  <c r="V21" i="14"/>
  <c r="V26" i="14" s="1"/>
  <c r="BB21" i="14"/>
  <c r="BB26" i="14" s="1"/>
  <c r="AX7" i="14"/>
  <c r="AX21" i="14" s="1"/>
  <c r="M21" i="14"/>
  <c r="M26" i="14" s="1"/>
  <c r="AW7" i="14"/>
  <c r="AW21" i="14" s="1"/>
  <c r="N21" i="14"/>
  <c r="N26" i="14" s="1"/>
  <c r="AY21" i="14"/>
  <c r="AY26" i="14" s="1"/>
  <c r="AV7" i="14"/>
  <c r="AV21" i="14" s="1"/>
  <c r="BJ21" i="14" s="1"/>
  <c r="O21" i="14"/>
  <c r="O26" i="14" s="1"/>
  <c r="BJ25" i="14"/>
  <c r="AS25" i="14"/>
  <c r="BG25" i="14" s="1"/>
  <c r="BD25" i="14"/>
  <c r="BG20" i="14"/>
  <c r="BL22" i="14"/>
  <c r="BH22" i="14"/>
  <c r="BI22" i="14"/>
  <c r="BK22" i="14"/>
  <c r="AC12" i="14"/>
  <c r="AB12" i="14"/>
  <c r="AA12" i="14"/>
  <c r="Z12" i="14"/>
  <c r="X12" i="14"/>
  <c r="W12" i="14"/>
  <c r="Y12" i="14"/>
  <c r="BH24" i="14"/>
  <c r="BG24" i="14"/>
  <c r="AX24" i="14"/>
  <c r="BL24" i="14" s="1"/>
  <c r="K26" i="14"/>
  <c r="BK24" i="14"/>
  <c r="BJ24" i="14"/>
  <c r="BI24" i="14"/>
  <c r="P24" i="14"/>
  <c r="Q26" i="14"/>
  <c r="BC24" i="14"/>
  <c r="AY24" i="14"/>
  <c r="R26" i="14"/>
  <c r="AZ26" i="14"/>
  <c r="BC25" i="14"/>
  <c r="BA26" i="14"/>
  <c r="BE23" i="14"/>
  <c r="BE20" i="14"/>
  <c r="BC22" i="14"/>
  <c r="BE22" i="14"/>
  <c r="AY23" i="14"/>
  <c r="AT26" i="14"/>
  <c r="AX23" i="14"/>
  <c r="AU26" i="14"/>
  <c r="AW25" i="14"/>
  <c r="BK25" i="14" s="1"/>
  <c r="AV20" i="14"/>
  <c r="BJ20" i="14" s="1"/>
  <c r="AX25" i="14"/>
  <c r="BL25" i="14" s="1"/>
  <c r="AW20" i="14"/>
  <c r="AV22" i="14"/>
  <c r="BJ22" i="14" s="1"/>
  <c r="S26" i="14"/>
  <c r="U21" i="14"/>
  <c r="T23" i="14"/>
  <c r="T26" i="14" s="1"/>
  <c r="BD7" i="14"/>
  <c r="BC7" i="14"/>
  <c r="BE7" i="14"/>
  <c r="BG21" i="14" l="1"/>
  <c r="AR26" i="14"/>
  <c r="BE12" i="14"/>
  <c r="BE21" i="14"/>
  <c r="BE26" i="14"/>
  <c r="BE28" i="14" s="1"/>
  <c r="O28" i="14"/>
  <c r="AW26" i="14"/>
  <c r="BL21" i="14"/>
  <c r="BD21" i="14"/>
  <c r="U26" i="14"/>
  <c r="BK26" i="14" s="1"/>
  <c r="BK21" i="14"/>
  <c r="BC12" i="14"/>
  <c r="BC21" i="14"/>
  <c r="BC26" i="14" s="1"/>
  <c r="BK20" i="14"/>
  <c r="BH26" i="14"/>
  <c r="BI26" i="14"/>
  <c r="P26" i="14"/>
  <c r="BF24" i="14"/>
  <c r="BG26" i="14"/>
  <c r="AX26" i="14"/>
  <c r="AV26" i="14"/>
  <c r="BJ26" i="14" s="1"/>
  <c r="BF26" i="14" l="1"/>
  <c r="BL26" i="14"/>
  <c r="AX28" i="14"/>
  <c r="V28" i="14"/>
  <c r="C23" i="14"/>
  <c r="B23" i="14"/>
  <c r="C15" i="14"/>
  <c r="D15" i="14"/>
  <c r="E15" i="14"/>
  <c r="F15" i="14"/>
  <c r="G15" i="14"/>
  <c r="H15" i="14"/>
  <c r="B15" i="14"/>
  <c r="C9" i="14"/>
  <c r="D9" i="14"/>
  <c r="D23" i="14" s="1"/>
  <c r="E9" i="14"/>
  <c r="E23" i="14" s="1"/>
  <c r="F9" i="14"/>
  <c r="F23" i="14" s="1"/>
  <c r="G9" i="14"/>
  <c r="G23" i="14" s="1"/>
  <c r="H9" i="14"/>
  <c r="H23" i="14" s="1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AN9" i="14"/>
  <c r="AO9" i="14"/>
  <c r="AP9" i="14"/>
  <c r="AQ9" i="14"/>
  <c r="AR9" i="14"/>
  <c r="AS9" i="14"/>
  <c r="AT9" i="14"/>
  <c r="AW9" i="14"/>
  <c r="BE9" i="14"/>
  <c r="BH9" i="14"/>
  <c r="BI9" i="14"/>
  <c r="B9" i="14"/>
  <c r="BE6" i="11"/>
  <c r="BD6" i="11"/>
  <c r="BD9" i="14" s="1"/>
  <c r="BC6" i="11"/>
  <c r="BC9" i="14" s="1"/>
  <c r="BB6" i="11"/>
  <c r="BB9" i="14" s="1"/>
  <c r="BA6" i="11"/>
  <c r="BA9" i="14" s="1"/>
  <c r="AX6" i="11"/>
  <c r="BL6" i="11" s="1"/>
  <c r="BL9" i="14" s="1"/>
  <c r="AW6" i="11"/>
  <c r="BK6" i="11" s="1"/>
  <c r="BK9" i="14" s="1"/>
  <c r="AV6" i="11"/>
  <c r="BJ6" i="11" s="1"/>
  <c r="BJ9" i="14" s="1"/>
  <c r="AU6" i="11"/>
  <c r="BI6" i="11" s="1"/>
  <c r="AT6" i="11"/>
  <c r="BH6" i="11" s="1"/>
  <c r="AS6" i="11"/>
  <c r="AZ6" i="11" s="1"/>
  <c r="AZ9" i="14" s="1"/>
  <c r="AR6" i="11"/>
  <c r="AY6" i="11" s="1"/>
  <c r="AY9" i="14" s="1"/>
  <c r="BD23" i="14" l="1"/>
  <c r="BD26" i="14" s="1"/>
  <c r="BD12" i="14"/>
  <c r="AV9" i="14"/>
  <c r="AU9" i="14"/>
  <c r="AX9" i="14"/>
  <c r="BF6" i="11"/>
  <c r="BF9" i="14" s="1"/>
  <c r="BG6" i="11"/>
  <c r="BG9" i="14" s="1"/>
  <c r="AJ15" i="14" l="1"/>
  <c r="AI15" i="14"/>
  <c r="AH15" i="14"/>
  <c r="AG15" i="14"/>
  <c r="AF15" i="14"/>
  <c r="AE15" i="14"/>
  <c r="AD15" i="14"/>
  <c r="M35" i="16"/>
  <c r="M36" i="16" s="1"/>
  <c r="M37" i="16" s="1"/>
  <c r="M38" i="16" s="1"/>
  <c r="M39" i="16" s="1"/>
  <c r="M34" i="16"/>
  <c r="AO15" i="14" l="1"/>
  <c r="AN15" i="14"/>
  <c r="AM15" i="14"/>
  <c r="AL15" i="14"/>
  <c r="AP15" i="14"/>
  <c r="AK15" i="14"/>
  <c r="AQ15" i="14"/>
  <c r="AC20" i="14" l="1"/>
  <c r="AQ25" i="14"/>
  <c r="AK21" i="14"/>
  <c r="AL21" i="14"/>
  <c r="AM21" i="14"/>
  <c r="AN21" i="14"/>
  <c r="AK22" i="14"/>
  <c r="AL22" i="14"/>
  <c r="AM22" i="14"/>
  <c r="AN22" i="14"/>
  <c r="H21" i="14"/>
  <c r="AJ25" i="14"/>
  <c r="AQ24" i="14"/>
  <c r="H24" i="14"/>
  <c r="AQ21" i="14"/>
  <c r="H20" i="14"/>
  <c r="AJ21" i="14" l="1"/>
  <c r="AQ22" i="14"/>
  <c r="AJ22" i="14"/>
  <c r="H22" i="14"/>
  <c r="AJ24" i="14"/>
  <c r="H25" i="14"/>
  <c r="AJ20" i="14"/>
  <c r="AQ20" i="14"/>
  <c r="AQ23" i="14"/>
  <c r="Z24" i="14"/>
  <c r="Y24" i="14"/>
  <c r="X24" i="14"/>
  <c r="W24" i="14"/>
  <c r="AO25" i="14"/>
  <c r="AP25" i="14"/>
  <c r="B11" i="14"/>
  <c r="C25" i="14"/>
  <c r="F25" i="14"/>
  <c r="AF25" i="14"/>
  <c r="AB25" i="14" l="1"/>
  <c r="D25" i="14"/>
  <c r="B25" i="14"/>
  <c r="AC25" i="14"/>
  <c r="AA25" i="14"/>
  <c r="E25" i="14"/>
  <c r="AJ23" i="14"/>
  <c r="H26" i="14"/>
  <c r="V12" i="14"/>
  <c r="AQ26" i="14"/>
  <c r="H12" i="14"/>
  <c r="AQ12" i="14"/>
  <c r="AM25" i="14"/>
  <c r="AN25" i="14"/>
  <c r="G25" i="14"/>
  <c r="AE25" i="14"/>
  <c r="AD25" i="14"/>
  <c r="X25" i="14"/>
  <c r="W25" i="14"/>
  <c r="Y25" i="14"/>
  <c r="Z25" i="14"/>
  <c r="AL25" i="14"/>
  <c r="AK25" i="14"/>
  <c r="AJ26" i="14" l="1"/>
  <c r="AJ12" i="14"/>
  <c r="AX12" i="14" s="1"/>
  <c r="BL12" i="14" s="1"/>
  <c r="AI25" i="14"/>
  <c r="AG25" i="14"/>
  <c r="AH25" i="14"/>
  <c r="AE24" i="14"/>
  <c r="AF24" i="14"/>
  <c r="AG24" i="14"/>
  <c r="AK24" i="14"/>
  <c r="AL24" i="14"/>
  <c r="AM24" i="14"/>
  <c r="AN24" i="14"/>
  <c r="AO24" i="14"/>
  <c r="AP24" i="14"/>
  <c r="AD24" i="14" l="1"/>
  <c r="AC24" i="14"/>
  <c r="AI24" i="14"/>
  <c r="AB24" i="14"/>
  <c r="AH24" i="14"/>
  <c r="AA24" i="14"/>
  <c r="G24" i="14"/>
  <c r="F24" i="14"/>
  <c r="D24" i="14"/>
  <c r="C24" i="14"/>
  <c r="B24" i="14"/>
  <c r="E24" i="14"/>
  <c r="AO23" i="14"/>
  <c r="AP23" i="14"/>
  <c r="AF23" i="14" l="1"/>
  <c r="AE23" i="14"/>
  <c r="AD23" i="14"/>
  <c r="AI23" i="14"/>
  <c r="AH23" i="14"/>
  <c r="AG23" i="14"/>
  <c r="AN23" i="14"/>
  <c r="AK23" i="14"/>
  <c r="AM23" i="14"/>
  <c r="AL23" i="14"/>
  <c r="AC22" i="14"/>
  <c r="AD22" i="14"/>
  <c r="AE22" i="14"/>
  <c r="AF22" i="14"/>
  <c r="AO22" i="14"/>
  <c r="AP22" i="14"/>
  <c r="X23" i="14" l="1"/>
  <c r="W23" i="14"/>
  <c r="Y23" i="14"/>
  <c r="Z23" i="14"/>
  <c r="AA23" i="14"/>
  <c r="AB23" i="14"/>
  <c r="AC23" i="14"/>
  <c r="E22" i="14"/>
  <c r="D22" i="14"/>
  <c r="B22" i="14"/>
  <c r="Y22" i="14"/>
  <c r="F22" i="14"/>
  <c r="Z22" i="14"/>
  <c r="X22" i="14"/>
  <c r="AI22" i="14"/>
  <c r="AG22" i="14"/>
  <c r="C22" i="14"/>
  <c r="W22" i="14"/>
  <c r="AH22" i="14"/>
  <c r="G22" i="14" l="1"/>
  <c r="AD21" i="14" l="1"/>
  <c r="AE21" i="14"/>
  <c r="AF21" i="14"/>
  <c r="AG21" i="14"/>
  <c r="AH21" i="14"/>
  <c r="AI21" i="14"/>
  <c r="AO21" i="14"/>
  <c r="AP21" i="14"/>
  <c r="AB22" i="14" l="1"/>
  <c r="AA22" i="14"/>
  <c r="AC21" i="14"/>
  <c r="AC26" i="14" s="1"/>
  <c r="E21" i="14"/>
  <c r="D21" i="14"/>
  <c r="C21" i="14"/>
  <c r="F21" i="14"/>
  <c r="B21" i="14"/>
  <c r="Z21" i="14"/>
  <c r="X21" i="14"/>
  <c r="AA21" i="14"/>
  <c r="Y21" i="14"/>
  <c r="AB21" i="14"/>
  <c r="W21" i="14"/>
  <c r="AA26" i="14" l="1"/>
  <c r="G21" i="14"/>
  <c r="AN20" i="14"/>
  <c r="AN26" i="14" s="1"/>
  <c r="AN12" i="14"/>
  <c r="AM20" i="14"/>
  <c r="AM26" i="14" s="1"/>
  <c r="AM12" i="14"/>
  <c r="AK20" i="14"/>
  <c r="AK26" i="14" s="1"/>
  <c r="AK12" i="14"/>
  <c r="AI12" i="14"/>
  <c r="AI20" i="14"/>
  <c r="AP12" i="14"/>
  <c r="AP20" i="14"/>
  <c r="AE12" i="14"/>
  <c r="AE20" i="14"/>
  <c r="G20" i="14"/>
  <c r="F20" i="14"/>
  <c r="X20" i="14"/>
  <c r="X26" i="14" s="1"/>
  <c r="D20" i="14"/>
  <c r="E20" i="14"/>
  <c r="Z20" i="14"/>
  <c r="Z26" i="14" s="1"/>
  <c r="W20" i="14"/>
  <c r="W26" i="14" s="1"/>
  <c r="AB20" i="14"/>
  <c r="AB26" i="14" s="1"/>
  <c r="AA20" i="14"/>
  <c r="Y20" i="14"/>
  <c r="Y26" i="14" s="1"/>
  <c r="AL20" i="14" l="1"/>
  <c r="AL26" i="14" s="1"/>
  <c r="AL12" i="14"/>
  <c r="S12" i="14"/>
  <c r="U12" i="14"/>
  <c r="AO12" i="14"/>
  <c r="AO20" i="14"/>
  <c r="T12" i="14"/>
  <c r="G12" i="14"/>
  <c r="AG12" i="14"/>
  <c r="AG20" i="14"/>
  <c r="R12" i="14"/>
  <c r="Q12" i="14"/>
  <c r="AS12" i="14" s="1"/>
  <c r="BG12" i="14" s="1"/>
  <c r="AF12" i="14"/>
  <c r="AF20" i="14"/>
  <c r="E26" i="14"/>
  <c r="AD12" i="14"/>
  <c r="AD20" i="14"/>
  <c r="AI26" i="14"/>
  <c r="P12" i="14"/>
  <c r="AP26" i="14"/>
  <c r="D26" i="14"/>
  <c r="F12" i="14"/>
  <c r="AE26" i="14"/>
  <c r="D12" i="14"/>
  <c r="E12" i="14"/>
  <c r="AU12" i="14" l="1"/>
  <c r="BI12" i="14" s="1"/>
  <c r="AT12" i="14"/>
  <c r="BH12" i="14" s="1"/>
  <c r="AR12" i="14"/>
  <c r="BF12" i="14" s="1"/>
  <c r="AW12" i="14"/>
  <c r="BK12" i="14" s="1"/>
  <c r="AD26" i="14"/>
  <c r="AH12" i="14"/>
  <c r="AV12" i="14" s="1"/>
  <c r="BJ12" i="14" s="1"/>
  <c r="AH20" i="14"/>
  <c r="AO26" i="14"/>
  <c r="AG26" i="14"/>
  <c r="G26" i="14"/>
  <c r="F26" i="14"/>
  <c r="AF26" i="14"/>
  <c r="AH26" i="14" l="1"/>
  <c r="C20" i="14" l="1"/>
  <c r="C26" i="14" l="1"/>
  <c r="B20" i="14"/>
  <c r="C12" i="14"/>
  <c r="B12" i="14" l="1"/>
  <c r="B26" i="14" l="1"/>
  <c r="H2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tc={A262B64F-62AC-4C52-B249-51D38EAA45D0}</author>
  </authors>
  <commentList>
    <comment ref="O13" authorId="0" shapeId="0" xr:uid="{A262B64F-62AC-4C52-B249-51D38EAA45D0}">
      <text>
        <t>[Threaded comment]
Your version of Excel allows you to read this threaded comment; however, any edits to it will get removed if the file is opened in a newer version of Excel. Learn more: https://go.microsoft.com/fwlink/?linkid=870924
Comment:
    Investering er pillet ud</t>
      </text>
    </comment>
  </commentList>
</comments>
</file>

<file path=xl/sharedStrings.xml><?xml version="1.0" encoding="utf-8"?>
<sst xmlns="http://schemas.openxmlformats.org/spreadsheetml/2006/main" count="725" uniqueCount="115">
  <si>
    <t>ØKONOMISKE NØGLETAL FOR TRAFIKSELSKABERNE - TRAFIKSELSKABERNE SAMLET (LØBENDE PRISER)</t>
  </si>
  <si>
    <t>Passagerindtægter (mDKK)</t>
  </si>
  <si>
    <t>Operatørudgifter (mDKK)</t>
  </si>
  <si>
    <t>Supportudgifter/fællesudgifter (mDKK)</t>
  </si>
  <si>
    <t>Pensioner (mDKK)</t>
  </si>
  <si>
    <t>Finansielle poster (mDKK)</t>
  </si>
  <si>
    <t>Statskompensation (mDKK)</t>
  </si>
  <si>
    <t>Samlede udgifter (mDKK)</t>
  </si>
  <si>
    <t>Tilskudsbehov (mDKK)</t>
  </si>
  <si>
    <t>Supportudgifter/fællesudgifters andel af samlede udgifter</t>
  </si>
  <si>
    <t>R 2019</t>
  </si>
  <si>
    <t>R 2020</t>
  </si>
  <si>
    <t>R 2021</t>
  </si>
  <si>
    <t>R 2022</t>
  </si>
  <si>
    <t>R 2023</t>
  </si>
  <si>
    <t>FC 2024</t>
  </si>
  <si>
    <t>B2025</t>
  </si>
  <si>
    <t>BAT</t>
  </si>
  <si>
    <t>Fynbus</t>
  </si>
  <si>
    <t>Midttrafik</t>
  </si>
  <si>
    <t>Movia</t>
  </si>
  <si>
    <t>NT</t>
  </si>
  <si>
    <t>Sydtrafik</t>
  </si>
  <si>
    <t>Total</t>
  </si>
  <si>
    <t>Note: Ud over de opgjorte udgifter afholder trafikselskaberne udgifter til investering i nyt rejsekort. Trafikvirksomhederne som ejer Rejsekort (dvs. incl. DSB og Metroselskabet) har i 2022 fået en låneramme på 550 mio. kr. til dette. Trafikselskabernes andel af lånerammen udgør 263 mio. kr.</t>
  </si>
  <si>
    <t>Pris og lønstigning fra KL akkumuleret</t>
  </si>
  <si>
    <t>Note: Der er herunder brugt pris og lønstigning fra KL til at omregne til faste priser. I trafikselskabernes indeksregulering af operatørbetalingerne har brændstof (diesel, el, gas mv.) højere vægt end i den generelle PL for kommuner og regioner - I fx 2022 hvor priserne på brændstof steg meget, er trafikselskabernes indeks derfor steget mere end PL. Modsat i 2020, hvor brændstofpriserne var lave, steg PL mere end trafikselskabernes indeks.</t>
  </si>
  <si>
    <r>
      <t xml:space="preserve">ØKONOMISKE NØGLETAL FOR TRAFIKSELSKABERNE - HERUNDER TRAFIKSELSKABERNE SAMLET (I </t>
    </r>
    <r>
      <rPr>
        <b/>
        <u/>
        <sz val="12"/>
        <color theme="1"/>
        <rFont val="Calibri"/>
        <family val="2"/>
      </rPr>
      <t>FASTE 2019-PRISER)</t>
    </r>
  </si>
  <si>
    <t>Passagerindtægter mDKK)</t>
  </si>
  <si>
    <t>Tilskudsbehov</t>
  </si>
  <si>
    <t>FYNBUS</t>
  </si>
  <si>
    <t>Busudgifter</t>
  </si>
  <si>
    <t>Flextrafik</t>
  </si>
  <si>
    <t>Åben flextrafik</t>
  </si>
  <si>
    <t>Buskørsel</t>
  </si>
  <si>
    <t>Letbane</t>
  </si>
  <si>
    <t>Tjenestemænd håndteres ved en særskilt afdeling/enhed, dog er lejeindtægten for garageanlæg i Odense med til at finanisere tjenestemænd</t>
  </si>
  <si>
    <t>SPB</t>
  </si>
  <si>
    <t>SPB varetages i fællesskab med ST, men i FB regnskab har vi kun udgifter til fællesudgifter med, da ST håndtere afregning til operatør.</t>
  </si>
  <si>
    <t>Odense Letbane</t>
  </si>
  <si>
    <t>Odense letbane er et driftsselskab for sig selv under Odense Kommune</t>
  </si>
  <si>
    <t>Kontraktbetaling til operatøren</t>
  </si>
  <si>
    <t>Udgifter til drift af selskabskabet Odense Letbane, det er ikke FynBus</t>
  </si>
  <si>
    <t>Letbanen startede medio 2022</t>
  </si>
  <si>
    <t>Ca. 5 årsværk i 2025 i FynBus bruges på "letbane-arbejde". Denne omkostning er indeholdt i buskørsels fællesudgifter.</t>
  </si>
  <si>
    <t>JEG/FB: mener at Odense kommune betaler eller har betalt togene og anlægsarbejdet. Ovenstående er kun drift af letbanen med chauffører.</t>
  </si>
  <si>
    <t>MIDTTRAFIK</t>
  </si>
  <si>
    <t>Rejsekort investering i 2025 er taget ud</t>
  </si>
  <si>
    <t xml:space="preserve">Flextrafik </t>
  </si>
  <si>
    <t>Baner inkl investeringstilskud</t>
  </si>
  <si>
    <t>Bus</t>
  </si>
  <si>
    <t>Andet inkl kontrolafgifter</t>
  </si>
  <si>
    <t>I alt</t>
  </si>
  <si>
    <t>Sydtrafik/Fynbus</t>
  </si>
  <si>
    <t>Investering Rejsekort</t>
  </si>
  <si>
    <t>MOVIA</t>
  </si>
  <si>
    <t>SYDTRAFIK</t>
  </si>
  <si>
    <t>Kommuner</t>
  </si>
  <si>
    <t xml:space="preserve"> </t>
  </si>
  <si>
    <t>Regioner / amter</t>
  </si>
  <si>
    <t>(ny pl)</t>
  </si>
  <si>
    <t>inkl. overførsler</t>
  </si>
  <si>
    <t>ekskl. overførsler</t>
  </si>
  <si>
    <t>service ekskl. overførsler</t>
  </si>
  <si>
    <t>anlæg</t>
  </si>
  <si>
    <t>inkl. medicin</t>
  </si>
  <si>
    <t>ekskl. medicin</t>
  </si>
  <si>
    <t>sundhed ekskl. medicin</t>
  </si>
  <si>
    <t>regional udvikling</t>
  </si>
  <si>
    <t>regional anlæg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</si>
  <si>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</si>
  <si>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</si>
  <si>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</si>
  <si>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</si>
  <si>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</si>
  <si>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</si>
  <si>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</si>
  <si>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</si>
  <si>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</si>
  <si>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</si>
  <si>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</si>
  <si>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</si>
  <si>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</si>
  <si>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</si>
  <si>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</si>
  <si>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</si>
  <si>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</si>
  <si>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</si>
  <si>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 xml:space="preserve">2006-2007 </t>
  </si>
  <si>
    <t>2007-2008</t>
  </si>
  <si>
    <t xml:space="preserve">2008-2009 </t>
  </si>
  <si>
    <t xml:space="preserve">2009-2010 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</si>
  <si>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</si>
  <si>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</si>
  <si>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</si>
  <si>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</si>
  <si>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</si>
  <si>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</si>
  <si>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</si>
  <si>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</si>
  <si>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Akkumuleret PL</t>
  </si>
  <si>
    <t>2018-2019</t>
  </si>
  <si>
    <t>2019-2020</t>
  </si>
  <si>
    <t>2020-2021</t>
  </si>
  <si>
    <t>2021-2022</t>
  </si>
  <si>
    <t>2022-2023</t>
  </si>
  <si>
    <t>2023-2024*</t>
  </si>
  <si>
    <t>2023-2024**</t>
  </si>
  <si>
    <t>2024-2025*</t>
  </si>
  <si>
    <t>2024-2025**</t>
  </si>
  <si>
    <t>Note: I trafikselskabernes indeksregulering af operatørbetalingerne har brændstof (diesel, el, gas mv.) højere vægt end i den generelle PL for kommuner og regioner - I fx 2022 hvor priserne på brændstof steg meget, er trafikselskabernes indeks derfor steget mere end PL. Modsat i 2020, hvor brændstofpriserne var lave, steg PL mere end trafikselskabernes indeks</t>
  </si>
  <si>
    <t>* Skøn fra kommende skrivelse G.1-3, Budgetvejledning 2025</t>
  </si>
  <si>
    <t>** Skøn fra ØA25</t>
  </si>
  <si>
    <t>Det er kun fra 1997 og frem, der er opgørelser af pl ekskl. overførsler og medicin, før er det inkl. disse</t>
  </si>
  <si>
    <t>Fra og med 2009-2010 indførtes der nye pl, fx på hhv. service og anlæg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</si>
</sst>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#,##0_);\-#,##0_);\-_);@"/>
    <numFmt numFmtId="167" formatCode="#,##0.0_);\-#,##0.0_);\-_);@"/>
    <numFmt numFmtId="168" formatCode="#,##0.0_ ;\-#,##0.0\ "/>
    <numFmt numFmtId="169" formatCode="0.0"/>
    <numFmt numFmtId="170" formatCode="_-* #,##0.000_-;\-* #,##0.000_-;_-* &quot;-&quot;??_-;_-@_-"/>
    <numFmt numFmtId="171" formatCode="0.0%"/>
    <numFmt numFmtId="172" formatCode="_-* #,##0.0_-;\-* #,##0.0_-;_-* &quot;-&quot;??_-;_-@_-"/>
    <numFmt numFmtId="173" formatCode="0.00000000%"/>
  </numFmts>
  <fonts count="20">
    <font>
      <sz val="11"/>
      <color theme="1"/>
      <name val="Arial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Arial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2"/>
      <color theme="0" tint="-0.499984740745262"/>
      <name val="Calibri"/>
      <family val="2"/>
    </font>
    <font>
      <sz val="11"/>
      <color theme="1"/>
      <name val="Aptos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11" applyNumberFormat="0" applyFill="0" applyProtection="0">
      <alignment horizontal="center" vertical="center"/>
    </xf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7" fillId="0" borderId="12" applyFont="0" applyFill="0" applyAlignment="0" applyProtection="0"/>
    <xf numFmtId="3" fontId="6" fillId="0" borderId="11" applyNumberFormat="0" applyFill="0" applyAlignment="0" applyProtection="0"/>
    <xf numFmtId="0" fontId="6" fillId="0" borderId="11" applyNumberFormat="0" applyFill="0" applyAlignment="0" applyProtection="0"/>
    <xf numFmtId="3" fontId="6" fillId="0" borderId="11" applyNumberFormat="0" applyFill="0" applyAlignment="0" applyProtection="0"/>
    <xf numFmtId="0" fontId="6" fillId="0" borderId="11" applyNumberFormat="0" applyFill="0" applyAlignment="0" applyProtection="0"/>
    <xf numFmtId="0" fontId="6" fillId="0" borderId="11" applyNumberFormat="0" applyFill="0" applyAlignment="0" applyProtection="0"/>
    <xf numFmtId="0" fontId="6" fillId="0" borderId="11" applyNumberFormat="0" applyFill="0" applyAlignment="0" applyProtection="0"/>
    <xf numFmtId="0" fontId="6" fillId="0" borderId="11" applyNumberFormat="0" applyFill="0" applyAlignment="0" applyProtection="0"/>
    <xf numFmtId="0" fontId="6" fillId="0" borderId="11" applyNumberFormat="0" applyFill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0" applyNumberFormat="0" applyBorder="0" applyAlignment="0" applyProtection="0"/>
    <xf numFmtId="3" fontId="7" fillId="0" borderId="12" applyNumberFormat="0" applyBorder="0" applyAlignment="0" applyProtection="0"/>
    <xf numFmtId="3" fontId="7" fillId="0" borderId="12" applyNumberFormat="0" applyBorder="0" applyAlignment="0" applyProtection="0"/>
    <xf numFmtId="3" fontId="7" fillId="0" borderId="12" applyNumberFormat="0" applyBorder="0" applyAlignment="0" applyProtection="0"/>
    <xf numFmtId="0" fontId="7" fillId="0" borderId="12" applyNumberFormat="0" applyFill="0" applyAlignment="0" applyProtection="0"/>
    <xf numFmtId="0" fontId="7" fillId="0" borderId="12" applyNumberFormat="0" applyFill="0" applyAlignment="0" applyProtection="0"/>
    <xf numFmtId="0" fontId="7" fillId="0" borderId="12">
      <alignment horizontal="right" vertical="center"/>
    </xf>
    <xf numFmtId="3" fontId="7" fillId="3" borderId="12">
      <alignment horizontal="center" vertical="center"/>
    </xf>
    <xf numFmtId="0" fontId="7" fillId="3" borderId="12">
      <alignment horizontal="right" vertical="center"/>
    </xf>
    <xf numFmtId="0" fontId="6" fillId="0" borderId="13">
      <alignment horizontal="left" vertical="center"/>
    </xf>
    <xf numFmtId="0" fontId="6" fillId="0" borderId="14">
      <alignment horizontal="center" vertical="center"/>
    </xf>
    <xf numFmtId="0" fontId="8" fillId="0" borderId="15">
      <alignment horizontal="center" vertical="center"/>
    </xf>
    <xf numFmtId="0" fontId="7" fillId="4" borderId="12"/>
    <xf numFmtId="3" fontId="9" fillId="0" borderId="12"/>
    <xf numFmtId="3" fontId="10" fillId="0" borderId="12"/>
    <xf numFmtId="0" fontId="6" fillId="0" borderId="14">
      <alignment horizontal="left" vertical="top"/>
    </xf>
    <xf numFmtId="0" fontId="11" fillId="0" borderId="12"/>
    <xf numFmtId="0" fontId="6" fillId="0" borderId="14">
      <alignment horizontal="left" vertical="center"/>
    </xf>
    <xf numFmtId="0" fontId="7" fillId="3" borderId="16"/>
    <xf numFmtId="3" fontId="7" fillId="0" borderId="12">
      <alignment horizontal="right" vertical="center"/>
    </xf>
    <xf numFmtId="0" fontId="6" fillId="0" borderId="14">
      <alignment horizontal="right" vertical="center"/>
    </xf>
    <xf numFmtId="0" fontId="7" fillId="0" borderId="15">
      <alignment horizontal="center" vertical="center"/>
    </xf>
    <xf numFmtId="3" fontId="7" fillId="0" borderId="12"/>
    <xf numFmtId="3" fontId="7" fillId="0" borderId="12"/>
    <xf numFmtId="0" fontId="7" fillId="0" borderId="15">
      <alignment horizontal="center" vertical="center" wrapText="1"/>
    </xf>
    <xf numFmtId="0" fontId="12" fillId="0" borderId="15">
      <alignment horizontal="left" vertical="center" indent="1"/>
    </xf>
    <xf numFmtId="0" fontId="13" fillId="0" borderId="12"/>
    <xf numFmtId="0" fontId="6" fillId="0" borderId="13">
      <alignment horizontal="left" vertical="center"/>
    </xf>
    <xf numFmtId="3" fontId="7" fillId="0" borderId="12">
      <alignment horizontal="center" vertical="center"/>
    </xf>
    <xf numFmtId="0" fontId="6" fillId="0" borderId="14">
      <alignment horizontal="center" vertical="center"/>
    </xf>
    <xf numFmtId="0" fontId="6" fillId="0" borderId="14">
      <alignment horizontal="center" vertical="center"/>
    </xf>
    <xf numFmtId="0" fontId="6" fillId="0" borderId="13">
      <alignment horizontal="left" vertical="center"/>
    </xf>
    <xf numFmtId="0" fontId="6" fillId="0" borderId="13">
      <alignment horizontal="left" vertical="center"/>
    </xf>
    <xf numFmtId="0" fontId="14" fillId="0" borderId="12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164" fontId="1" fillId="0" borderId="1" xfId="0" applyNumberFormat="1" applyFont="1" applyBorder="1"/>
    <xf numFmtId="9" fontId="1" fillId="0" borderId="0" xfId="2" applyFont="1" applyBorder="1"/>
    <xf numFmtId="9" fontId="1" fillId="0" borderId="1" xfId="2" applyFont="1" applyBorder="1"/>
    <xf numFmtId="164" fontId="2" fillId="0" borderId="5" xfId="0" applyNumberFormat="1" applyFont="1" applyBorder="1"/>
    <xf numFmtId="164" fontId="2" fillId="0" borderId="4" xfId="0" applyNumberFormat="1" applyFont="1" applyBorder="1"/>
    <xf numFmtId="9" fontId="2" fillId="0" borderId="5" xfId="2" applyFont="1" applyBorder="1"/>
    <xf numFmtId="9" fontId="2" fillId="0" borderId="4" xfId="2" applyFont="1" applyBorder="1"/>
    <xf numFmtId="0" fontId="1" fillId="0" borderId="0" xfId="0" applyFont="1" applyAlignment="1">
      <alignment vertical="center" wrapText="1"/>
    </xf>
    <xf numFmtId="3" fontId="1" fillId="0" borderId="0" xfId="2" applyNumberFormat="1" applyFont="1" applyFill="1" applyBorder="1" applyAlignment="1">
      <alignment vertical="center"/>
    </xf>
    <xf numFmtId="164" fontId="2" fillId="0" borderId="0" xfId="0" applyNumberFormat="1" applyFont="1"/>
    <xf numFmtId="4" fontId="1" fillId="0" borderId="0" xfId="0" applyNumberFormat="1" applyFont="1"/>
    <xf numFmtId="9" fontId="1" fillId="0" borderId="0" xfId="2" applyFont="1"/>
    <xf numFmtId="164" fontId="2" fillId="0" borderId="9" xfId="0" applyNumberFormat="1" applyFont="1" applyBorder="1"/>
    <xf numFmtId="9" fontId="1" fillId="0" borderId="2" xfId="2" applyFont="1" applyBorder="1"/>
    <xf numFmtId="0" fontId="1" fillId="0" borderId="2" xfId="0" applyFont="1" applyBorder="1"/>
    <xf numFmtId="0" fontId="4" fillId="0" borderId="0" xfId="0" applyFont="1"/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1" xfId="0" applyFont="1" applyBorder="1"/>
    <xf numFmtId="166" fontId="4" fillId="0" borderId="0" xfId="0" applyNumberFormat="1" applyFont="1"/>
    <xf numFmtId="166" fontId="4" fillId="0" borderId="1" xfId="0" applyNumberFormat="1" applyFont="1" applyBorder="1"/>
    <xf numFmtId="0" fontId="5" fillId="0" borderId="4" xfId="0" applyFont="1" applyBorder="1"/>
    <xf numFmtId="166" fontId="5" fillId="0" borderId="5" xfId="0" applyNumberFormat="1" applyFont="1" applyBorder="1"/>
    <xf numFmtId="166" fontId="5" fillId="0" borderId="4" xfId="0" applyNumberFormat="1" applyFont="1" applyBorder="1"/>
    <xf numFmtId="166" fontId="5" fillId="0" borderId="9" xfId="0" applyNumberFormat="1" applyFont="1" applyBorder="1"/>
    <xf numFmtId="167" fontId="5" fillId="0" borderId="5" xfId="0" applyNumberFormat="1" applyFont="1" applyBorder="1"/>
    <xf numFmtId="167" fontId="5" fillId="0" borderId="4" xfId="0" applyNumberFormat="1" applyFont="1" applyBorder="1"/>
    <xf numFmtId="0" fontId="4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6" fontId="4" fillId="0" borderId="2" xfId="0" applyNumberFormat="1" applyFont="1" applyBorder="1"/>
    <xf numFmtId="3" fontId="2" fillId="0" borderId="0" xfId="0" applyNumberFormat="1" applyFont="1"/>
    <xf numFmtId="0" fontId="15" fillId="0" borderId="0" xfId="0" applyFont="1"/>
    <xf numFmtId="1" fontId="1" fillId="0" borderId="0" xfId="0" applyNumberFormat="1" applyFont="1"/>
    <xf numFmtId="0" fontId="16" fillId="0" borderId="0" xfId="0" applyFont="1" applyAlignment="1">
      <alignment vertical="center"/>
    </xf>
    <xf numFmtId="167" fontId="5" fillId="0" borderId="9" xfId="0" applyNumberFormat="1" applyFont="1" applyBorder="1"/>
    <xf numFmtId="43" fontId="1" fillId="0" borderId="0" xfId="1" applyFont="1"/>
    <xf numFmtId="0" fontId="17" fillId="0" borderId="0" xfId="0" applyFont="1"/>
    <xf numFmtId="0" fontId="18" fillId="0" borderId="0" xfId="0" applyFont="1"/>
    <xf numFmtId="169" fontId="0" fillId="0" borderId="0" xfId="0" applyNumberFormat="1" applyAlignment="1">
      <alignment horizontal="center"/>
    </xf>
    <xf numFmtId="169" fontId="0" fillId="5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169" fontId="17" fillId="0" borderId="0" xfId="0" applyNumberFormat="1" applyFont="1" applyAlignment="1">
      <alignment horizontal="center"/>
    </xf>
    <xf numFmtId="170" fontId="0" fillId="0" borderId="0" xfId="1" applyNumberFormat="1" applyFont="1"/>
    <xf numFmtId="170" fontId="4" fillId="0" borderId="0" xfId="1" applyNumberFormat="1" applyFont="1"/>
    <xf numFmtId="170" fontId="4" fillId="0" borderId="0" xfId="0" applyNumberFormat="1" applyFont="1"/>
    <xf numFmtId="0" fontId="1" fillId="0" borderId="4" xfId="0" applyFont="1" applyBorder="1"/>
    <xf numFmtId="3" fontId="1" fillId="0" borderId="5" xfId="0" applyNumberFormat="1" applyFont="1" applyBorder="1"/>
    <xf numFmtId="3" fontId="1" fillId="0" borderId="9" xfId="0" applyNumberFormat="1" applyFont="1" applyBorder="1"/>
    <xf numFmtId="3" fontId="1" fillId="0" borderId="4" xfId="0" applyNumberFormat="1" applyFont="1" applyBorder="1"/>
    <xf numFmtId="165" fontId="1" fillId="0" borderId="5" xfId="1" applyNumberFormat="1" applyFont="1" applyBorder="1"/>
    <xf numFmtId="171" fontId="1" fillId="0" borderId="9" xfId="2" applyNumberFormat="1" applyFont="1" applyBorder="1"/>
    <xf numFmtId="171" fontId="1" fillId="0" borderId="5" xfId="2" applyNumberFormat="1" applyFont="1" applyBorder="1"/>
    <xf numFmtId="171" fontId="1" fillId="0" borderId="4" xfId="2" applyNumberFormat="1" applyFont="1" applyBorder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wrapText="1"/>
    </xf>
    <xf numFmtId="0" fontId="5" fillId="2" borderId="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/>
    <xf numFmtId="166" fontId="4" fillId="2" borderId="2" xfId="0" applyNumberFormat="1" applyFont="1" applyFill="1" applyBorder="1"/>
    <xf numFmtId="166" fontId="4" fillId="2" borderId="0" xfId="0" applyNumberFormat="1" applyFont="1" applyFill="1"/>
    <xf numFmtId="166" fontId="4" fillId="2" borderId="1" xfId="0" applyNumberFormat="1" applyFont="1" applyFill="1" applyBorder="1"/>
    <xf numFmtId="167" fontId="4" fillId="2" borderId="17" xfId="0" applyNumberFormat="1" applyFont="1" applyFill="1" applyBorder="1"/>
    <xf numFmtId="167" fontId="4" fillId="2" borderId="10" xfId="0" applyNumberFormat="1" applyFont="1" applyFill="1" applyBorder="1"/>
    <xf numFmtId="167" fontId="4" fillId="2" borderId="6" xfId="0" applyNumberFormat="1" applyFont="1" applyFill="1" applyBorder="1"/>
    <xf numFmtId="171" fontId="4" fillId="2" borderId="17" xfId="2" applyNumberFormat="1" applyFont="1" applyFill="1" applyBorder="1"/>
    <xf numFmtId="171" fontId="4" fillId="2" borderId="10" xfId="2" applyNumberFormat="1" applyFont="1" applyFill="1" applyBorder="1"/>
    <xf numFmtId="171" fontId="4" fillId="2" borderId="6" xfId="2" applyNumberFormat="1" applyFont="1" applyFill="1" applyBorder="1"/>
    <xf numFmtId="167" fontId="4" fillId="2" borderId="2" xfId="0" applyNumberFormat="1" applyFont="1" applyFill="1" applyBorder="1"/>
    <xf numFmtId="167" fontId="4" fillId="2" borderId="0" xfId="0" applyNumberFormat="1" applyFont="1" applyFill="1"/>
    <xf numFmtId="167" fontId="4" fillId="2" borderId="1" xfId="0" applyNumberFormat="1" applyFont="1" applyFill="1" applyBorder="1"/>
    <xf numFmtId="171" fontId="4" fillId="2" borderId="2" xfId="2" applyNumberFormat="1" applyFont="1" applyFill="1" applyBorder="1"/>
    <xf numFmtId="171" fontId="4" fillId="2" borderId="0" xfId="2" applyNumberFormat="1" applyFont="1" applyFill="1"/>
    <xf numFmtId="171" fontId="4" fillId="2" borderId="1" xfId="2" applyNumberFormat="1" applyFont="1" applyFill="1" applyBorder="1"/>
    <xf numFmtId="167" fontId="4" fillId="2" borderId="3" xfId="0" applyNumberFormat="1" applyFont="1" applyFill="1" applyBorder="1"/>
    <xf numFmtId="167" fontId="4" fillId="2" borderId="8" xfId="0" applyNumberFormat="1" applyFont="1" applyFill="1" applyBorder="1"/>
    <xf numFmtId="167" fontId="4" fillId="2" borderId="7" xfId="0" applyNumberFormat="1" applyFont="1" applyFill="1" applyBorder="1"/>
    <xf numFmtId="171" fontId="4" fillId="2" borderId="3" xfId="2" applyNumberFormat="1" applyFont="1" applyFill="1" applyBorder="1"/>
    <xf numFmtId="171" fontId="4" fillId="2" borderId="8" xfId="2" applyNumberFormat="1" applyFont="1" applyFill="1" applyBorder="1"/>
    <xf numFmtId="171" fontId="4" fillId="2" borderId="7" xfId="2" applyNumberFormat="1" applyFont="1" applyFill="1" applyBorder="1"/>
    <xf numFmtId="0" fontId="5" fillId="2" borderId="4" xfId="0" applyFont="1" applyFill="1" applyBorder="1"/>
    <xf numFmtId="166" fontId="5" fillId="2" borderId="9" xfId="0" applyNumberFormat="1" applyFont="1" applyFill="1" applyBorder="1"/>
    <xf numFmtId="166" fontId="5" fillId="2" borderId="5" xfId="0" applyNumberFormat="1" applyFont="1" applyFill="1" applyBorder="1"/>
    <xf numFmtId="166" fontId="5" fillId="2" borderId="4" xfId="0" applyNumberFormat="1" applyFont="1" applyFill="1" applyBorder="1"/>
    <xf numFmtId="167" fontId="5" fillId="2" borderId="5" xfId="0" applyNumberFormat="1" applyFont="1" applyFill="1" applyBorder="1"/>
    <xf numFmtId="167" fontId="5" fillId="2" borderId="4" xfId="0" applyNumberFormat="1" applyFont="1" applyFill="1" applyBorder="1"/>
    <xf numFmtId="171" fontId="5" fillId="2" borderId="5" xfId="2" applyNumberFormat="1" applyFont="1" applyFill="1" applyBorder="1"/>
    <xf numFmtId="171" fontId="5" fillId="2" borderId="4" xfId="2" applyNumberFormat="1" applyFont="1" applyFill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9" xfId="0" applyNumberFormat="1" applyFont="1" applyBorder="1"/>
    <xf numFmtId="171" fontId="4" fillId="0" borderId="2" xfId="2" applyNumberFormat="1" applyFont="1" applyBorder="1"/>
    <xf numFmtId="171" fontId="4" fillId="0" borderId="0" xfId="2" applyNumberFormat="1" applyFont="1" applyBorder="1"/>
    <xf numFmtId="171" fontId="4" fillId="0" borderId="1" xfId="2" applyNumberFormat="1" applyFont="1" applyBorder="1"/>
    <xf numFmtId="171" fontId="4" fillId="0" borderId="0" xfId="2" applyNumberFormat="1" applyFont="1"/>
    <xf numFmtId="165" fontId="1" fillId="0" borderId="9" xfId="1" applyNumberFormat="1" applyFont="1" applyBorder="1"/>
    <xf numFmtId="165" fontId="1" fillId="0" borderId="4" xfId="1" applyNumberFormat="1" applyFont="1" applyBorder="1"/>
    <xf numFmtId="9" fontId="4" fillId="0" borderId="0" xfId="2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165" fontId="1" fillId="0" borderId="0" xfId="1" applyNumberFormat="1" applyFont="1" applyBorder="1"/>
    <xf numFmtId="165" fontId="1" fillId="0" borderId="2" xfId="1" applyNumberFormat="1" applyFont="1" applyBorder="1" applyAlignment="1">
      <alignment horizontal="center"/>
    </xf>
    <xf numFmtId="165" fontId="1" fillId="0" borderId="1" xfId="1" applyNumberFormat="1" applyFont="1" applyBorder="1" applyAlignment="1">
      <alignment horizontal="center"/>
    </xf>
    <xf numFmtId="9" fontId="1" fillId="0" borderId="0" xfId="2" applyFont="1" applyBorder="1" applyAlignment="1">
      <alignment horizontal="center"/>
    </xf>
    <xf numFmtId="172" fontId="1" fillId="0" borderId="0" xfId="1" applyNumberFormat="1" applyFont="1" applyBorder="1" applyAlignment="1">
      <alignment horizontal="center"/>
    </xf>
    <xf numFmtId="172" fontId="1" fillId="0" borderId="0" xfId="1" applyNumberFormat="1" applyFont="1" applyBorder="1"/>
    <xf numFmtId="172" fontId="1" fillId="0" borderId="1" xfId="1" applyNumberFormat="1" applyFont="1" applyBorder="1" applyAlignment="1">
      <alignment horizontal="center"/>
    </xf>
    <xf numFmtId="0" fontId="1" fillId="6" borderId="0" xfId="0" applyFont="1" applyFill="1"/>
    <xf numFmtId="173" fontId="1" fillId="0" borderId="0" xfId="2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/>
    <xf numFmtId="168" fontId="4" fillId="0" borderId="0" xfId="0" applyNumberFormat="1" applyFont="1"/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65">
    <cellStyle name="AF Column - IBM Cognos" xfId="3" xr:uid="{315CF938-000C-4963-8D04-EED359C5CC0D}"/>
    <cellStyle name="AF Data - IBM Cognos" xfId="4" xr:uid="{797459C5-2F8F-4996-B00D-BFEBA47687F7}"/>
    <cellStyle name="AF Data 0 - IBM Cognos" xfId="5" xr:uid="{BD96230A-8FED-4303-A130-527B54F198A9}"/>
    <cellStyle name="AF Data 1 - IBM Cognos" xfId="6" xr:uid="{BD8B354B-9228-4F34-8459-7CCFAB96E504}"/>
    <cellStyle name="AF Data 2 - IBM Cognos" xfId="7" xr:uid="{70D25098-6E77-437F-84DF-4EFC3797D21A}"/>
    <cellStyle name="AF Data 3 - IBM Cognos" xfId="8" xr:uid="{86CD3BF4-843B-4AFA-96B4-88A7589BE706}"/>
    <cellStyle name="AF Data 4 - IBM Cognos" xfId="9" xr:uid="{C74BD414-6B0D-4F0F-BB30-4A423E0F8F69}"/>
    <cellStyle name="AF Data 5 - IBM Cognos" xfId="10" xr:uid="{CC1E00A9-DDEC-49C5-A68B-564257656216}"/>
    <cellStyle name="AF Data Leaf - IBM Cognos" xfId="11" xr:uid="{FC5C8BFB-861F-4E06-B594-7EEE69FBC493}"/>
    <cellStyle name="AF Header - IBM Cognos" xfId="12" xr:uid="{B4043A00-7A31-4D51-90D3-35AC7CED60B5}"/>
    <cellStyle name="AF Header 0 - IBM Cognos" xfId="13" xr:uid="{F92D001F-8095-4E70-ABD9-2BE595FCB500}"/>
    <cellStyle name="AF Header 1 - IBM Cognos" xfId="14" xr:uid="{EE696AE5-5A58-4014-9CE9-B49C357DF064}"/>
    <cellStyle name="AF Header 2 - IBM Cognos" xfId="15" xr:uid="{CF26A7C2-158F-4092-8906-6B13EF365878}"/>
    <cellStyle name="AF Header 3 - IBM Cognos" xfId="16" xr:uid="{3FAA0DA0-8F7E-425D-94B9-2D29883A6C7D}"/>
    <cellStyle name="AF Header 4 - IBM Cognos" xfId="17" xr:uid="{73395518-7ABB-4ED2-B5CD-8BA5FC21B78E}"/>
    <cellStyle name="AF Header 5 - IBM Cognos" xfId="18" xr:uid="{DD25DE5D-1DED-46F9-ACBF-04BEDCC0D449}"/>
    <cellStyle name="AF Header Leaf - IBM Cognos" xfId="19" xr:uid="{7187EE69-2FC3-4A39-ACE0-3C7A869C57C1}"/>
    <cellStyle name="AF Row - IBM Cognos" xfId="20" xr:uid="{C1531089-72E1-4A3D-96C5-BBE8F2DEC001}"/>
    <cellStyle name="AF Row 0 - IBM Cognos" xfId="21" xr:uid="{BB9C3D3E-7682-4F88-B5DA-A0CABCDD69FF}"/>
    <cellStyle name="AF Row 1 - IBM Cognos" xfId="22" xr:uid="{834EBEAC-C38F-47E8-BB57-03DE16F5E369}"/>
    <cellStyle name="AF Row 2 - IBM Cognos" xfId="23" xr:uid="{B3C94DBC-2A63-45F6-8510-15B659AF7150}"/>
    <cellStyle name="AF Row 3 - IBM Cognos" xfId="24" xr:uid="{C52F141B-5AD5-452A-98E3-CDBEBF5EB8DF}"/>
    <cellStyle name="AF Row 4 - IBM Cognos" xfId="25" xr:uid="{09E6BF02-3D26-43E5-97EA-FF693D53E221}"/>
    <cellStyle name="AF Row 5 - IBM Cognos" xfId="26" xr:uid="{04128610-FA3D-4F06-B759-2A60C1D225E8}"/>
    <cellStyle name="AF Row Leaf - IBM Cognos" xfId="27" xr:uid="{BA8A5588-2D1B-4E59-86BB-000440BECAD8}"/>
    <cellStyle name="AF Subnm - IBM Cognos" xfId="28" xr:uid="{EB9985E1-6392-49C7-AF96-1692867323E3}"/>
    <cellStyle name="AF Title - IBM Cognos" xfId="29" xr:uid="{5D03DA5C-68C4-46A8-B613-30984BC56440}"/>
    <cellStyle name="Calculated Column - IBM Cognos" xfId="30" xr:uid="{BFCA8E9A-0CA2-4F82-9F3D-97285A32C2C2}"/>
    <cellStyle name="Calculated Column Name - IBM Cognos" xfId="31" xr:uid="{43F94515-2F45-4B29-992F-734EF6A41C20}"/>
    <cellStyle name="Calculated Row - IBM Cognos" xfId="32" xr:uid="{567FF461-1756-48B9-93F8-F1A44E464D28}"/>
    <cellStyle name="Calculated Row Name - IBM Cognos" xfId="33" xr:uid="{1B52145B-C1C3-40A5-81AF-39791514946B}"/>
    <cellStyle name="Column Name - IBM Cognos" xfId="34" xr:uid="{17B2CB7C-2B71-4C78-9B4B-D89FAB8684F3}"/>
    <cellStyle name="Column Template - IBM Cognos" xfId="35" xr:uid="{8C93B2A6-82E4-4C33-9278-0CE305B3E786}"/>
    <cellStyle name="Differs From Base - IBM Cognos" xfId="36" xr:uid="{4DA118F0-7079-419F-B96B-F1C2AA7A8CF5}"/>
    <cellStyle name="Edit - IBM Cognos" xfId="37" xr:uid="{D793A285-6615-48DA-A3D6-B997DB688195}"/>
    <cellStyle name="Formula - IBM Cognos" xfId="38" xr:uid="{DE131175-B6C7-479D-926A-A91C0E4297C9}"/>
    <cellStyle name="Group Name - IBM Cognos" xfId="39" xr:uid="{628444CF-C80F-45E4-9FC3-B3D127D9B3DA}"/>
    <cellStyle name="Hold Values - IBM Cognos" xfId="40" xr:uid="{35C75799-F3F2-47D8-99D6-EAB3026A4613}"/>
    <cellStyle name="Komma" xfId="1" builtinId="3"/>
    <cellStyle name="Komma 2" xfId="58" xr:uid="{9790E846-FD3A-4FD9-91B4-5989AB0D0BE4}"/>
    <cellStyle name="Komma 2 2" xfId="60" xr:uid="{E022DACE-5D5E-4168-A98F-06B4FD47787F}"/>
    <cellStyle name="Komma 2 2 2" xfId="64" xr:uid="{2F2B3519-F493-475C-93EA-6CAB1DD9E6CE}"/>
    <cellStyle name="Komma 2 3" xfId="62" xr:uid="{942FEC0F-AC71-4534-A952-A4724F4531E7}"/>
    <cellStyle name="Komma 3" xfId="59" xr:uid="{A0069494-BA42-49BE-AB87-FCEF8DCF241B}"/>
    <cellStyle name="Komma 3 2" xfId="63" xr:uid="{E816C4D1-42BF-4777-9334-22100379CD62}"/>
    <cellStyle name="Komma 4" xfId="61" xr:uid="{3827663F-2101-4A64-B608-67DBC6A38E37}"/>
    <cellStyle name="List Name - IBM Cognos" xfId="41" xr:uid="{199D83EC-A27F-49D9-876F-A0B97EFB1E9B}"/>
    <cellStyle name="Locked - IBM Cognos" xfId="42" xr:uid="{6C6DAF47-2A17-4AA1-80DF-53012FF8C37D}"/>
    <cellStyle name="Measure - IBM Cognos" xfId="43" xr:uid="{3686BB6F-609F-4397-ADA1-651A64FA8FB6}"/>
    <cellStyle name="Measure Header - IBM Cognos" xfId="44" xr:uid="{53F50B38-FB75-4C15-9F3D-FF659CE63E56}"/>
    <cellStyle name="Measure Name - IBM Cognos" xfId="45" xr:uid="{5E3902B9-C052-41CA-A8D4-A2A7176ED114}"/>
    <cellStyle name="Measure Summary - IBM Cognos" xfId="46" xr:uid="{3B3C1A78-A68E-4FB4-B141-A82C1239E94F}"/>
    <cellStyle name="Measure Summary TM1 - IBM Cognos" xfId="47" xr:uid="{4E5DA0CD-4954-4C0B-84B9-569B3C0B919C}"/>
    <cellStyle name="Measure Template - IBM Cognos" xfId="48" xr:uid="{6538F78B-616B-40A9-A2E8-61F7EE2ABC16}"/>
    <cellStyle name="More - IBM Cognos" xfId="49" xr:uid="{302CDE46-5BF2-4F89-B342-A0400E461300}"/>
    <cellStyle name="Normal" xfId="0" builtinId="0" customBuiltin="1"/>
    <cellStyle name="Pending Change - IBM Cognos" xfId="50" xr:uid="{77733CEE-B6AD-4DA0-A8C2-E4132B2BA2D7}"/>
    <cellStyle name="Procent" xfId="2" builtinId="5"/>
    <cellStyle name="Row Name - IBM Cognos" xfId="51" xr:uid="{35CD41BB-B733-473A-82D0-11920C66E20D}"/>
    <cellStyle name="Row Template - IBM Cognos" xfId="52" xr:uid="{4BE8B66C-B90E-4136-A935-2DBF8B595365}"/>
    <cellStyle name="Summary Column Name - IBM Cognos" xfId="53" xr:uid="{B0B24250-DC21-4A56-B132-26145C724C86}"/>
    <cellStyle name="Summary Column Name TM1 - IBM Cognos" xfId="54" xr:uid="{46238AD2-2336-46AB-A48B-2A8F5B272345}"/>
    <cellStyle name="Summary Row Name - IBM Cognos" xfId="55" xr:uid="{690EA848-F6B5-4EF2-8F4B-C2F1E657C816}"/>
    <cellStyle name="Summary Row Name TM1 - IBM Cognos" xfId="56" xr:uid="{3A5077A8-228E-4D63-AEFE-75F877E10606}"/>
    <cellStyle name="Unsaved Change - IBM Cognos" xfId="57" xr:uid="{2E2541C3-2E54-4383-B263-C0FEE22429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Passagerindtægter (mDKK)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Samlet'!$B$5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Samlet'!$B$6:$B$11</c:f>
              <c:numCache>
                <c:formatCode>#,##0_);\-#,##0_);\-_);@</c:formatCode>
                <c:ptCount val="6"/>
                <c:pt idx="0">
                  <c:v>29.4</c:v>
                </c:pt>
                <c:pt idx="1">
                  <c:v>204.07900000000001</c:v>
                </c:pt>
                <c:pt idx="2">
                  <c:v>785.5</c:v>
                </c:pt>
                <c:pt idx="3">
                  <c:v>1930.1836005500011</c:v>
                </c:pt>
                <c:pt idx="4">
                  <c:v>382.59403203704477</c:v>
                </c:pt>
                <c:pt idx="5">
                  <c:v>264.5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5-475F-B4FE-A16DDDE9AF01}"/>
            </c:ext>
          </c:extLst>
        </c:ser>
        <c:ser>
          <c:idx val="1"/>
          <c:order val="1"/>
          <c:tx>
            <c:strRef>
              <c:f>'Trafikselskaber Samlet'!$C$5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Samlet'!$C$6:$C$11</c:f>
              <c:numCache>
                <c:formatCode>#,##0_);\-#,##0_);\-_);@</c:formatCode>
                <c:ptCount val="6"/>
                <c:pt idx="0">
                  <c:v>22.4</c:v>
                </c:pt>
                <c:pt idx="1">
                  <c:v>139.02199999999999</c:v>
                </c:pt>
                <c:pt idx="2">
                  <c:v>559.29999999999995</c:v>
                </c:pt>
                <c:pt idx="3">
                  <c:v>1296.4217425500003</c:v>
                </c:pt>
                <c:pt idx="4">
                  <c:v>265.28349840999999</c:v>
                </c:pt>
                <c:pt idx="5">
                  <c:v>200.7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75-475F-B4FE-A16DDDE9AF01}"/>
            </c:ext>
          </c:extLst>
        </c:ser>
        <c:ser>
          <c:idx val="2"/>
          <c:order val="2"/>
          <c:tx>
            <c:strRef>
              <c:f>'Trafikselskaber Samlet'!$D$5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Samlet'!$D$6:$D$11</c:f>
              <c:numCache>
                <c:formatCode>#,##0_);\-#,##0_);\-_);@</c:formatCode>
                <c:ptCount val="6"/>
                <c:pt idx="0">
                  <c:v>22.099999999999998</c:v>
                </c:pt>
                <c:pt idx="1">
                  <c:v>158.54300000000001</c:v>
                </c:pt>
                <c:pt idx="2">
                  <c:v>570</c:v>
                </c:pt>
                <c:pt idx="3">
                  <c:v>1417.6207944300004</c:v>
                </c:pt>
                <c:pt idx="4">
                  <c:v>276.6942626500001</c:v>
                </c:pt>
                <c:pt idx="5">
                  <c:v>177.1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75-475F-B4FE-A16DDDE9AF01}"/>
            </c:ext>
          </c:extLst>
        </c:ser>
        <c:ser>
          <c:idx val="3"/>
          <c:order val="3"/>
          <c:tx>
            <c:strRef>
              <c:f>'Trafikselskaber Samlet'!$E$5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Samlet'!$E$6:$E$11</c:f>
              <c:numCache>
                <c:formatCode>#,##0_);\-#,##0_);\-_);@</c:formatCode>
                <c:ptCount val="6"/>
                <c:pt idx="0">
                  <c:v>24.44</c:v>
                </c:pt>
                <c:pt idx="1">
                  <c:v>191.602</c:v>
                </c:pt>
                <c:pt idx="2">
                  <c:v>770.9</c:v>
                </c:pt>
                <c:pt idx="3">
                  <c:v>1696.1998611799993</c:v>
                </c:pt>
                <c:pt idx="4">
                  <c:v>351.11101701000007</c:v>
                </c:pt>
                <c:pt idx="5">
                  <c:v>246.3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5-475F-B4FE-A16DDDE9AF01}"/>
            </c:ext>
          </c:extLst>
        </c:ser>
        <c:ser>
          <c:idx val="4"/>
          <c:order val="4"/>
          <c:tx>
            <c:strRef>
              <c:f>'Trafikselskaber Samlet'!$F$5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Samlet'!$F$6:$F$11</c:f>
              <c:numCache>
                <c:formatCode>#,##0_);\-#,##0_);\-_);@</c:formatCode>
                <c:ptCount val="6"/>
                <c:pt idx="0">
                  <c:v>26.638999999999999</c:v>
                </c:pt>
                <c:pt idx="1">
                  <c:v>223.26979999999998</c:v>
                </c:pt>
                <c:pt idx="2">
                  <c:v>842.90000000000009</c:v>
                </c:pt>
                <c:pt idx="3">
                  <c:v>1934.6117928200017</c:v>
                </c:pt>
                <c:pt idx="4">
                  <c:v>395.21592520999991</c:v>
                </c:pt>
                <c:pt idx="5">
                  <c:v>259.5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5-475F-B4FE-A16DDDE9AF01}"/>
            </c:ext>
          </c:extLst>
        </c:ser>
        <c:ser>
          <c:idx val="5"/>
          <c:order val="5"/>
          <c:tx>
            <c:strRef>
              <c:f>'Trafikselskaber Samlet'!$G$5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Samlet'!$G$6:$G$11</c:f>
              <c:numCache>
                <c:formatCode>#,##0_);\-#,##0_);\-_);@</c:formatCode>
                <c:ptCount val="6"/>
                <c:pt idx="0">
                  <c:v>26.69</c:v>
                </c:pt>
                <c:pt idx="1">
                  <c:v>232.77799999999999</c:v>
                </c:pt>
                <c:pt idx="2">
                  <c:v>907.2</c:v>
                </c:pt>
                <c:pt idx="3">
                  <c:v>2150.7303658656765</c:v>
                </c:pt>
                <c:pt idx="4">
                  <c:v>416.41034458743047</c:v>
                </c:pt>
                <c:pt idx="5">
                  <c:v>269.59999999999997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5-475F-B4FE-A16DDDE9AF01}"/>
            </c:ext>
          </c:extLst>
        </c:ser>
        <c:ser>
          <c:idx val="6"/>
          <c:order val="6"/>
          <c:tx>
            <c:strRef>
              <c:f>'Trafikselskaber Samlet'!$H$5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Samlet'!$H$6:$H$11</c:f>
              <c:numCache>
                <c:formatCode>#,##0_);\-#,##0_);\-_);@</c:formatCode>
                <c:ptCount val="6"/>
                <c:pt idx="0">
                  <c:v>28.720000000000002</c:v>
                </c:pt>
                <c:pt idx="1">
                  <c:v>248.06900000000002</c:v>
                </c:pt>
                <c:pt idx="2">
                  <c:v>900.5</c:v>
                </c:pt>
                <c:pt idx="3">
                  <c:v>2201.8896495187996</c:v>
                </c:pt>
                <c:pt idx="4">
                  <c:v>439.20106755739187</c:v>
                </c:pt>
                <c:pt idx="5">
                  <c:v>267.89999999999998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5-475F-B4FE-A16DDDE9A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837600"/>
        <c:axId val="442843840"/>
      </c:barChart>
      <c:catAx>
        <c:axId val="44283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2843840"/>
        <c:crosses val="autoZero"/>
        <c:auto val="1"/>
        <c:lblAlgn val="ctr"/>
        <c:lblOffset val="100"/>
        <c:noMultiLvlLbl val="0"/>
      </c:catAx>
      <c:valAx>
        <c:axId val="44284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283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Passagerindtægter (mDKK) i faste priser</a:t>
            </a:r>
          </a:p>
          <a:p>
            <a:pPr>
              <a:defRPr/>
            </a:pPr>
            <a:endParaRPr lang="da-DK"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Samlet'!$B$19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Samlet'!$B$20:$B$25</c:f>
              <c:numCache>
                <c:formatCode>#,##0_);\-#,##0_);\-_);@</c:formatCode>
                <c:ptCount val="6"/>
                <c:pt idx="0">
                  <c:v>29.4</c:v>
                </c:pt>
                <c:pt idx="1">
                  <c:v>204.07900000000001</c:v>
                </c:pt>
                <c:pt idx="2">
                  <c:v>785.5</c:v>
                </c:pt>
                <c:pt idx="3">
                  <c:v>1930.1836005500011</c:v>
                </c:pt>
                <c:pt idx="4">
                  <c:v>382.59403203704477</c:v>
                </c:pt>
                <c:pt idx="5">
                  <c:v>264.5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0C-4C87-8A5C-C92E3B577A7B}"/>
            </c:ext>
          </c:extLst>
        </c:ser>
        <c:ser>
          <c:idx val="1"/>
          <c:order val="1"/>
          <c:tx>
            <c:strRef>
              <c:f>'Trafikselskaber Samlet'!$C$19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Samlet'!$C$20:$C$25</c:f>
              <c:numCache>
                <c:formatCode>#,##0_);\-#,##0_);\-_);@</c:formatCode>
                <c:ptCount val="6"/>
                <c:pt idx="0">
                  <c:v>21.939275220372185</c:v>
                </c:pt>
                <c:pt idx="1">
                  <c:v>136.16258570029385</c:v>
                </c:pt>
                <c:pt idx="2">
                  <c:v>547.79627815866797</c:v>
                </c:pt>
                <c:pt idx="3">
                  <c:v>1269.756848726739</c:v>
                </c:pt>
                <c:pt idx="4">
                  <c:v>259.82712870714988</c:v>
                </c:pt>
                <c:pt idx="5">
                  <c:v>196.57198824681686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0C-4C87-8A5C-C92E3B577A7B}"/>
            </c:ext>
          </c:extLst>
        </c:ser>
        <c:ser>
          <c:idx val="2"/>
          <c:order val="2"/>
          <c:tx>
            <c:strRef>
              <c:f>'Trafikselskaber Samlet'!$D$19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Samlet'!$D$20:$D$25</c:f>
              <c:numCache>
                <c:formatCode>#,##0_);\-#,##0_);\-_);@</c:formatCode>
                <c:ptCount val="6"/>
                <c:pt idx="0">
                  <c:v>21.28362403296747</c:v>
                </c:pt>
                <c:pt idx="1">
                  <c:v>152.68640746872225</c:v>
                </c:pt>
                <c:pt idx="2">
                  <c:v>548.9441492665818</c:v>
                </c:pt>
                <c:pt idx="3">
                  <c:v>1365.2537561070044</c:v>
                </c:pt>
                <c:pt idx="4">
                  <c:v>266.47315196026045</c:v>
                </c:pt>
                <c:pt idx="5">
                  <c:v>170.55791023703796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0C-4C87-8A5C-C92E3B577A7B}"/>
            </c:ext>
          </c:extLst>
        </c:ser>
        <c:ser>
          <c:idx val="3"/>
          <c:order val="3"/>
          <c:tx>
            <c:strRef>
              <c:f>'Trafikselskaber Samlet'!$E$19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Samlet'!$E$20:$E$25</c:f>
              <c:numCache>
                <c:formatCode>#,##0_);\-#,##0_);\-_);@</c:formatCode>
                <c:ptCount val="6"/>
                <c:pt idx="0">
                  <c:v>22.697381123137358</c:v>
                </c:pt>
                <c:pt idx="1">
                  <c:v>177.94040989997399</c:v>
                </c:pt>
                <c:pt idx="2">
                  <c:v>715.93335138406667</c:v>
                </c:pt>
                <c:pt idx="3">
                  <c:v>1575.2575577011098</c:v>
                </c:pt>
                <c:pt idx="4">
                  <c:v>326.07612805271424</c:v>
                </c:pt>
                <c:pt idx="5">
                  <c:v>228.73833758710032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0C-4C87-8A5C-C92E3B577A7B}"/>
            </c:ext>
          </c:extLst>
        </c:ser>
        <c:ser>
          <c:idx val="4"/>
          <c:order val="4"/>
          <c:tx>
            <c:strRef>
              <c:f>'Trafikselskaber Samlet'!$F$19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Samlet'!$F$20:$F$25</c:f>
              <c:numCache>
                <c:formatCode>#,##0_);\-#,##0_);\-_);@</c:formatCode>
                <c:ptCount val="6"/>
                <c:pt idx="0">
                  <c:v>24.065747281488854</c:v>
                </c:pt>
                <c:pt idx="1">
                  <c:v>201.70256324894177</c:v>
                </c:pt>
                <c:pt idx="2">
                  <c:v>761.47822304016506</c:v>
                </c:pt>
                <c:pt idx="3">
                  <c:v>1747.7337172489297</c:v>
                </c:pt>
                <c:pt idx="4">
                  <c:v>357.039174808501</c:v>
                </c:pt>
                <c:pt idx="5">
                  <c:v>234.43302749901864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0C-4C87-8A5C-C92E3B577A7B}"/>
            </c:ext>
          </c:extLst>
        </c:ser>
        <c:ser>
          <c:idx val="5"/>
          <c:order val="5"/>
          <c:tx>
            <c:strRef>
              <c:f>'Trafikselskaber Samlet'!$G$19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Samlet'!$G$20:$G$25</c:f>
              <c:numCache>
                <c:formatCode>#,##0_);\-#,##0_);\-_);@</c:formatCode>
                <c:ptCount val="6"/>
                <c:pt idx="0">
                  <c:v>23.073512750684728</c:v>
                </c:pt>
                <c:pt idx="1">
                  <c:v>201.23664859793516</c:v>
                </c:pt>
                <c:pt idx="2">
                  <c:v>784.2746634477777</c:v>
                </c:pt>
                <c:pt idx="3">
                  <c:v>1859.3070258556206</c:v>
                </c:pt>
                <c:pt idx="4">
                  <c:v>359.98686381997368</c:v>
                </c:pt>
                <c:pt idx="5">
                  <c:v>233.06927829091802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0C-4C87-8A5C-C92E3B577A7B}"/>
            </c:ext>
          </c:extLst>
        </c:ser>
        <c:ser>
          <c:idx val="6"/>
          <c:order val="6"/>
          <c:tx>
            <c:strRef>
              <c:f>'Trafikselskaber Samlet'!$H$19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Samlet'!$H$20:$H$25</c:f>
              <c:numCache>
                <c:formatCode>#,##0_);\-#,##0_);\-_);@</c:formatCode>
                <c:ptCount val="6"/>
                <c:pt idx="0">
                  <c:v>23.896485409229825</c:v>
                </c:pt>
                <c:pt idx="1">
                  <c:v>206.4058927222226</c:v>
                </c:pt>
                <c:pt idx="2">
                  <c:v>749.2613200212902</c:v>
                </c:pt>
                <c:pt idx="3">
                  <c:v>1832.0830042639332</c:v>
                </c:pt>
                <c:pt idx="4">
                  <c:v>365.43739215192812</c:v>
                </c:pt>
                <c:pt idx="5">
                  <c:v>222.90628276924335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0C-4C87-8A5C-C92E3B577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303376"/>
        <c:axId val="561317296"/>
      </c:barChart>
      <c:catAx>
        <c:axId val="56130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317296"/>
        <c:crosses val="autoZero"/>
        <c:auto val="1"/>
        <c:lblAlgn val="ctr"/>
        <c:lblOffset val="100"/>
        <c:noMultiLvlLbl val="0"/>
      </c:catAx>
      <c:valAx>
        <c:axId val="56131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30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1" i="0" u="none" strike="noStrike" baseline="0">
                <a:effectLst/>
              </a:rPr>
              <a:t>Operatørudgifter (mDKK)</a:t>
            </a:r>
            <a:r>
              <a:rPr lang="da-DK" sz="1400" b="0" i="0" u="none" strike="noStrike" baseline="0"/>
              <a:t> 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Samlet'!$I$5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Samlet'!$I$6:$I$11</c:f>
              <c:numCache>
                <c:formatCode>#,##0_);\-#,##0_);\-_);@</c:formatCode>
                <c:ptCount val="6"/>
                <c:pt idx="0">
                  <c:v>53.599999999999994</c:v>
                </c:pt>
                <c:pt idx="1">
                  <c:v>567.88300000000004</c:v>
                </c:pt>
                <c:pt idx="2">
                  <c:v>1887.2999999999997</c:v>
                </c:pt>
                <c:pt idx="3">
                  <c:v>4249.8941053999997</c:v>
                </c:pt>
                <c:pt idx="4">
                  <c:v>1136.2315403188979</c:v>
                </c:pt>
                <c:pt idx="5">
                  <c:v>892.50000000000011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97-4FD6-B2A3-50134759F33D}"/>
            </c:ext>
          </c:extLst>
        </c:ser>
        <c:ser>
          <c:idx val="1"/>
          <c:order val="1"/>
          <c:tx>
            <c:strRef>
              <c:f>'Trafikselskaber Samlet'!$J$5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Samlet'!$J$6:$J$11</c:f>
              <c:numCache>
                <c:formatCode>#,##0_);\-#,##0_);\-_);@</c:formatCode>
                <c:ptCount val="6"/>
                <c:pt idx="0">
                  <c:v>48.65</c:v>
                </c:pt>
                <c:pt idx="1">
                  <c:v>546.596</c:v>
                </c:pt>
                <c:pt idx="2">
                  <c:v>1892.5</c:v>
                </c:pt>
                <c:pt idx="3">
                  <c:v>4154.2948247400018</c:v>
                </c:pt>
                <c:pt idx="4">
                  <c:v>1129.1949063642501</c:v>
                </c:pt>
                <c:pt idx="5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97-4FD6-B2A3-50134759F33D}"/>
            </c:ext>
          </c:extLst>
        </c:ser>
        <c:ser>
          <c:idx val="2"/>
          <c:order val="2"/>
          <c:tx>
            <c:strRef>
              <c:f>'Trafikselskaber Samlet'!$K$5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Samlet'!$K$6:$K$11</c:f>
              <c:numCache>
                <c:formatCode>#,##0_);\-#,##0_);\-_);@</c:formatCode>
                <c:ptCount val="6"/>
                <c:pt idx="0">
                  <c:v>50.9</c:v>
                </c:pt>
                <c:pt idx="1">
                  <c:v>581.34100000000001</c:v>
                </c:pt>
                <c:pt idx="2">
                  <c:v>1996.2</c:v>
                </c:pt>
                <c:pt idx="3">
                  <c:v>4344.1483746199992</c:v>
                </c:pt>
                <c:pt idx="4">
                  <c:v>1208.846907616901</c:v>
                </c:pt>
                <c:pt idx="5">
                  <c:v>860.40000000000009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97-4FD6-B2A3-50134759F33D}"/>
            </c:ext>
          </c:extLst>
        </c:ser>
        <c:ser>
          <c:idx val="3"/>
          <c:order val="3"/>
          <c:tx>
            <c:strRef>
              <c:f>'Trafikselskaber Samlet'!$L$5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Samlet'!$L$6:$L$11</c:f>
              <c:numCache>
                <c:formatCode>#,##0_);\-#,##0_);\-_);@</c:formatCode>
                <c:ptCount val="6"/>
                <c:pt idx="0">
                  <c:v>56.6</c:v>
                </c:pt>
                <c:pt idx="1">
                  <c:v>651.41300000000001</c:v>
                </c:pt>
                <c:pt idx="2">
                  <c:v>2163.6</c:v>
                </c:pt>
                <c:pt idx="3">
                  <c:v>4825.1193493400006</c:v>
                </c:pt>
                <c:pt idx="4">
                  <c:v>1330.3607862299993</c:v>
                </c:pt>
                <c:pt idx="5">
                  <c:v>933.69999999999993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97-4FD6-B2A3-50134759F33D}"/>
            </c:ext>
          </c:extLst>
        </c:ser>
        <c:ser>
          <c:idx val="4"/>
          <c:order val="4"/>
          <c:tx>
            <c:strRef>
              <c:f>'Trafikselskaber Samlet'!$M$5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Samlet'!$M$6:$M$11</c:f>
              <c:numCache>
                <c:formatCode>#,##0_);\-#,##0_);\-_);@</c:formatCode>
                <c:ptCount val="6"/>
                <c:pt idx="0">
                  <c:v>56</c:v>
                </c:pt>
                <c:pt idx="1">
                  <c:v>667.52099999999996</c:v>
                </c:pt>
                <c:pt idx="2">
                  <c:v>2171.7999999999997</c:v>
                </c:pt>
                <c:pt idx="3">
                  <c:v>4898.9099063999984</c:v>
                </c:pt>
                <c:pt idx="4">
                  <c:v>1352.8327608451011</c:v>
                </c:pt>
                <c:pt idx="5">
                  <c:v>971.49999999999977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97-4FD6-B2A3-50134759F33D}"/>
            </c:ext>
          </c:extLst>
        </c:ser>
        <c:ser>
          <c:idx val="5"/>
          <c:order val="5"/>
          <c:tx>
            <c:strRef>
              <c:f>'Trafikselskaber Samlet'!$N$5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Samlet'!$N$6:$N$11</c:f>
              <c:numCache>
                <c:formatCode>#,##0_);\-#,##0_);\-_);@</c:formatCode>
                <c:ptCount val="6"/>
                <c:pt idx="0">
                  <c:v>64.8</c:v>
                </c:pt>
                <c:pt idx="1">
                  <c:v>677.54</c:v>
                </c:pt>
                <c:pt idx="2">
                  <c:v>2250.1</c:v>
                </c:pt>
                <c:pt idx="3">
                  <c:v>4796.9024042419132</c:v>
                </c:pt>
                <c:pt idx="4">
                  <c:v>1385.542696361568</c:v>
                </c:pt>
                <c:pt idx="5">
                  <c:v>990.69999999999993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97-4FD6-B2A3-50134759F33D}"/>
            </c:ext>
          </c:extLst>
        </c:ser>
        <c:ser>
          <c:idx val="6"/>
          <c:order val="6"/>
          <c:tx>
            <c:strRef>
              <c:f>'Trafikselskaber Samlet'!$O$5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Samlet'!$O$6:$O$11</c:f>
              <c:numCache>
                <c:formatCode>#,##0_);\-#,##0_);\-_);@</c:formatCode>
                <c:ptCount val="6"/>
                <c:pt idx="0">
                  <c:v>61.2</c:v>
                </c:pt>
                <c:pt idx="1">
                  <c:v>688.57900000000006</c:v>
                </c:pt>
                <c:pt idx="2">
                  <c:v>2318.9</c:v>
                </c:pt>
                <c:pt idx="3">
                  <c:v>4952.4077208293711</c:v>
                </c:pt>
                <c:pt idx="4">
                  <c:v>1474.6056377862756</c:v>
                </c:pt>
                <c:pt idx="5">
                  <c:v>1002.0999999999999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97-4FD6-B2A3-50134759F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330736"/>
        <c:axId val="561333616"/>
      </c:barChart>
      <c:catAx>
        <c:axId val="561330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333616"/>
        <c:crosses val="autoZero"/>
        <c:auto val="1"/>
        <c:lblAlgn val="ctr"/>
        <c:lblOffset val="100"/>
        <c:noMultiLvlLbl val="0"/>
      </c:catAx>
      <c:valAx>
        <c:axId val="56133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33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Operatørudgifter (mDKK)</a:t>
            </a:r>
            <a:r>
              <a: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i faste priser</a:t>
            </a:r>
          </a:p>
        </c:rich>
      </c:tx>
      <c:layout>
        <c:manualLayout>
          <c:xMode val="edge"/>
          <c:yMode val="edge"/>
          <c:x val="0.23726835708735117"/>
          <c:y val="8.43254017657207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Samlet'!$I$19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Samlet'!$I$20:$I$25</c:f>
              <c:numCache>
                <c:formatCode>#,##0_);\-#,##0_);\-_);@</c:formatCode>
                <c:ptCount val="6"/>
                <c:pt idx="0">
                  <c:v>53.599999999999994</c:v>
                </c:pt>
                <c:pt idx="1">
                  <c:v>567.88300000000004</c:v>
                </c:pt>
                <c:pt idx="2">
                  <c:v>1887.2999999999997</c:v>
                </c:pt>
                <c:pt idx="3">
                  <c:v>4249.8941053999997</c:v>
                </c:pt>
                <c:pt idx="4">
                  <c:v>1136.2315403188979</c:v>
                </c:pt>
                <c:pt idx="5">
                  <c:v>892.50000000000011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C0-4C59-8BD5-3A41A931E012}"/>
            </c:ext>
          </c:extLst>
        </c:ser>
        <c:ser>
          <c:idx val="1"/>
          <c:order val="1"/>
          <c:tx>
            <c:strRef>
              <c:f>'Trafikselskaber Samlet'!$J$19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Samlet'!$J$20:$J$25</c:f>
              <c:numCache>
                <c:formatCode>#,##0_);\-#,##0_);\-_);@</c:formatCode>
                <c:ptCount val="6"/>
                <c:pt idx="0">
                  <c:v>47.64936336924584</c:v>
                </c:pt>
                <c:pt idx="1">
                  <c:v>535.35357492654271</c:v>
                </c:pt>
                <c:pt idx="2">
                  <c:v>1853.5749265426055</c:v>
                </c:pt>
                <c:pt idx="3">
                  <c:v>4068.8489958276223</c:v>
                </c:pt>
                <c:pt idx="4">
                  <c:v>1105.9695459003431</c:v>
                </c:pt>
                <c:pt idx="5">
                  <c:v>845.24975514201776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C0-4C59-8BD5-3A41A931E012}"/>
            </c:ext>
          </c:extLst>
        </c:ser>
        <c:ser>
          <c:idx val="2"/>
          <c:order val="2"/>
          <c:tx>
            <c:strRef>
              <c:f>'Trafikselskaber Samlet'!$K$19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Samlet'!$K$20:$K$25</c:f>
              <c:numCache>
                <c:formatCode>#,##0_);\-#,##0_);\-_);@</c:formatCode>
                <c:ptCount val="6"/>
                <c:pt idx="0">
                  <c:v>49.019749469594764</c:v>
                </c:pt>
                <c:pt idx="1">
                  <c:v>559.8662117171649</c:v>
                </c:pt>
                <c:pt idx="2">
                  <c:v>1922.4601943262294</c:v>
                </c:pt>
                <c:pt idx="3">
                  <c:v>4183.67514700628</c:v>
                </c:pt>
                <c:pt idx="4">
                  <c:v>1164.1919952549088</c:v>
                </c:pt>
                <c:pt idx="5">
                  <c:v>828.61674741924048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C0-4C59-8BD5-3A41A931E012}"/>
            </c:ext>
          </c:extLst>
        </c:ser>
        <c:ser>
          <c:idx val="3"/>
          <c:order val="3"/>
          <c:tx>
            <c:strRef>
              <c:f>'Trafikselskaber Samlet'!$L$19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Samlet'!$L$20:$L$25</c:f>
              <c:numCache>
                <c:formatCode>#,##0_);\-#,##0_);\-_);@</c:formatCode>
                <c:ptCount val="6"/>
                <c:pt idx="0">
                  <c:v>52.564311439016961</c:v>
                </c:pt>
                <c:pt idx="1">
                  <c:v>604.96600366474127</c:v>
                </c:pt>
                <c:pt idx="2">
                  <c:v>2009.3311701317507</c:v>
                </c:pt>
                <c:pt idx="3">
                  <c:v>4481.0790849670429</c:v>
                </c:pt>
                <c:pt idx="4">
                  <c:v>1235.503510488501</c:v>
                </c:pt>
                <c:pt idx="5">
                  <c:v>867.12539912738748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C0-4C59-8BD5-3A41A931E012}"/>
            </c:ext>
          </c:extLst>
        </c:ser>
        <c:ser>
          <c:idx val="4"/>
          <c:order val="4"/>
          <c:tx>
            <c:strRef>
              <c:f>'Trafikselskaber Samlet'!$M$19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Samlet'!$M$20:$M$25</c:f>
              <c:numCache>
                <c:formatCode>#,##0_);\-#,##0_);\-_);@</c:formatCode>
                <c:ptCount val="6"/>
                <c:pt idx="0">
                  <c:v>50.590556994007876</c:v>
                </c:pt>
                <c:pt idx="1">
                  <c:v>603.04034277137737</c:v>
                </c:pt>
                <c:pt idx="2">
                  <c:v>1962.010208564041</c:v>
                </c:pt>
                <c:pt idx="3">
                  <c:v>4425.6889433614087</c:v>
                </c:pt>
                <c:pt idx="4">
                  <c:v>1222.1529087659842</c:v>
                </c:pt>
                <c:pt idx="5">
                  <c:v>877.65582356569007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8C0-4C59-8BD5-3A41A931E012}"/>
            </c:ext>
          </c:extLst>
        </c:ser>
        <c:ser>
          <c:idx val="5"/>
          <c:order val="5"/>
          <c:tx>
            <c:strRef>
              <c:f>'Trafikselskaber Samlet'!$N$19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Samlet'!$N$20:$N$25</c:f>
              <c:numCache>
                <c:formatCode>#,##0_);\-#,##0_);\-_);@</c:formatCode>
                <c:ptCount val="6"/>
                <c:pt idx="0">
                  <c:v>56.019618817698401</c:v>
                </c:pt>
                <c:pt idx="1">
                  <c:v>585.73352675529895</c:v>
                </c:pt>
                <c:pt idx="2">
                  <c:v>1945.2121034213453</c:v>
                </c:pt>
                <c:pt idx="3">
                  <c:v>4146.923521471188</c:v>
                </c:pt>
                <c:pt idx="4">
                  <c:v>1197.8020633614365</c:v>
                </c:pt>
                <c:pt idx="5">
                  <c:v>856.46043769589198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C0-4C59-8BD5-3A41A931E012}"/>
            </c:ext>
          </c:extLst>
        </c:ser>
        <c:ser>
          <c:idx val="6"/>
          <c:order val="6"/>
          <c:tx>
            <c:strRef>
              <c:f>'Trafikselskaber Samlet'!$O$19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Samlet'!$O$20:$O$25</c:f>
              <c:numCache>
                <c:formatCode>#,##0_);\-#,##0_);\-_);@</c:formatCode>
                <c:ptCount val="6"/>
                <c:pt idx="0">
                  <c:v>50.921480050308681</c:v>
                </c:pt>
                <c:pt idx="1">
                  <c:v>572.93238254185462</c:v>
                </c:pt>
                <c:pt idx="2">
                  <c:v>1929.4415047166797</c:v>
                </c:pt>
                <c:pt idx="3">
                  <c:v>4120.6524666210371</c:v>
                </c:pt>
                <c:pt idx="4">
                  <c:v>1226.9461040295184</c:v>
                </c:pt>
                <c:pt idx="5">
                  <c:v>833.79763330742355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C0-4C59-8BD5-3A41A931E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9110351"/>
        <c:axId val="319115151"/>
      </c:barChart>
      <c:catAx>
        <c:axId val="31911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19115151"/>
        <c:crosses val="autoZero"/>
        <c:auto val="1"/>
        <c:lblAlgn val="ctr"/>
        <c:lblOffset val="100"/>
        <c:noMultiLvlLbl val="0"/>
      </c:catAx>
      <c:valAx>
        <c:axId val="319115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19110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7309711286089"/>
          <c:y val="0.92615959463400388"/>
          <c:w val="0.6712753910136261"/>
          <c:h val="6.76791412832437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Supportudgifter/fællesudgifter (mDKK)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Samlet'!$P$5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Samlet'!$P$6:$P$11</c:f>
              <c:numCache>
                <c:formatCode>#,##0_);\-#,##0_);\-_);@</c:formatCode>
                <c:ptCount val="6"/>
                <c:pt idx="0">
                  <c:v>7.6</c:v>
                </c:pt>
                <c:pt idx="1">
                  <c:v>95.457999999999998</c:v>
                </c:pt>
                <c:pt idx="2">
                  <c:v>253.90000000000012</c:v>
                </c:pt>
                <c:pt idx="3">
                  <c:v>566.78858862000004</c:v>
                </c:pt>
                <c:pt idx="4">
                  <c:v>137.63015576999999</c:v>
                </c:pt>
                <c:pt idx="5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99F-8FDD-3CD4DFD0CB6B}"/>
            </c:ext>
          </c:extLst>
        </c:ser>
        <c:ser>
          <c:idx val="1"/>
          <c:order val="1"/>
          <c:tx>
            <c:strRef>
              <c:f>'Trafikselskaber Samlet'!$Q$5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Samlet'!$Q$6:$Q$11</c:f>
              <c:numCache>
                <c:formatCode>#,##0_);\-#,##0_);\-_);@</c:formatCode>
                <c:ptCount val="6"/>
                <c:pt idx="0">
                  <c:v>7.3</c:v>
                </c:pt>
                <c:pt idx="1">
                  <c:v>97.18</c:v>
                </c:pt>
                <c:pt idx="2">
                  <c:v>226.60000000000002</c:v>
                </c:pt>
                <c:pt idx="3">
                  <c:v>575.4363547400003</c:v>
                </c:pt>
                <c:pt idx="4">
                  <c:v>142.04317803999999</c:v>
                </c:pt>
                <c:pt idx="5">
                  <c:v>113.09999999999998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05-499F-8FDD-3CD4DFD0CB6B}"/>
            </c:ext>
          </c:extLst>
        </c:ser>
        <c:ser>
          <c:idx val="2"/>
          <c:order val="2"/>
          <c:tx>
            <c:strRef>
              <c:f>'Trafikselskaber Samlet'!$R$5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Samlet'!$R$6:$R$11</c:f>
              <c:numCache>
                <c:formatCode>#,##0_);\-#,##0_);\-_);@</c:formatCode>
                <c:ptCount val="6"/>
                <c:pt idx="0">
                  <c:v>9.1999999999999993</c:v>
                </c:pt>
                <c:pt idx="1">
                  <c:v>98.774000000000001</c:v>
                </c:pt>
                <c:pt idx="2">
                  <c:v>269.70000000000039</c:v>
                </c:pt>
                <c:pt idx="3">
                  <c:v>613.56112505000021</c:v>
                </c:pt>
                <c:pt idx="4">
                  <c:v>137.55922345000002</c:v>
                </c:pt>
                <c:pt idx="5">
                  <c:v>104.50000000000001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05-499F-8FDD-3CD4DFD0CB6B}"/>
            </c:ext>
          </c:extLst>
        </c:ser>
        <c:ser>
          <c:idx val="3"/>
          <c:order val="3"/>
          <c:tx>
            <c:strRef>
              <c:f>'Trafikselskaber Samlet'!$S$5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Samlet'!$S$6:$S$11</c:f>
              <c:numCache>
                <c:formatCode>#,##0_);\-#,##0_);\-_);@</c:formatCode>
                <c:ptCount val="6"/>
                <c:pt idx="0">
                  <c:v>5.9</c:v>
                </c:pt>
                <c:pt idx="1">
                  <c:v>110.05500000000001</c:v>
                </c:pt>
                <c:pt idx="2">
                  <c:v>263.50000000000028</c:v>
                </c:pt>
                <c:pt idx="3">
                  <c:v>578.72373220000009</c:v>
                </c:pt>
                <c:pt idx="4">
                  <c:v>134.50826977000006</c:v>
                </c:pt>
                <c:pt idx="5">
                  <c:v>117.30000000000001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05-499F-8FDD-3CD4DFD0CB6B}"/>
            </c:ext>
          </c:extLst>
        </c:ser>
        <c:ser>
          <c:idx val="4"/>
          <c:order val="4"/>
          <c:tx>
            <c:strRef>
              <c:f>'Trafikselskaber Samlet'!$T$5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Samlet'!$T$6:$T$11</c:f>
              <c:numCache>
                <c:formatCode>#,##0_);\-#,##0_);\-_);@</c:formatCode>
                <c:ptCount val="6"/>
                <c:pt idx="0">
                  <c:v>7.1</c:v>
                </c:pt>
                <c:pt idx="1">
                  <c:v>120.42099999999999</c:v>
                </c:pt>
                <c:pt idx="2">
                  <c:v>275.59999999999985</c:v>
                </c:pt>
                <c:pt idx="3">
                  <c:v>607.64706450000017</c:v>
                </c:pt>
                <c:pt idx="4">
                  <c:v>146.82994459999998</c:v>
                </c:pt>
                <c:pt idx="5">
                  <c:v>112.9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05-499F-8FDD-3CD4DFD0CB6B}"/>
            </c:ext>
          </c:extLst>
        </c:ser>
        <c:ser>
          <c:idx val="5"/>
          <c:order val="5"/>
          <c:tx>
            <c:strRef>
              <c:f>'Trafikselskaber Samlet'!$U$5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Samlet'!$U$6:$U$11</c:f>
              <c:numCache>
                <c:formatCode>#,##0_);\-#,##0_);\-_);@</c:formatCode>
                <c:ptCount val="6"/>
                <c:pt idx="0">
                  <c:v>7.2</c:v>
                </c:pt>
                <c:pt idx="1">
                  <c:v>126.642</c:v>
                </c:pt>
                <c:pt idx="2">
                  <c:v>279.10000000000002</c:v>
                </c:pt>
                <c:pt idx="3">
                  <c:v>662.71364900000003</c:v>
                </c:pt>
                <c:pt idx="4">
                  <c:v>151.40659999273328</c:v>
                </c:pt>
                <c:pt idx="5">
                  <c:v>121.40000000000002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05-499F-8FDD-3CD4DFD0CB6B}"/>
            </c:ext>
          </c:extLst>
        </c:ser>
        <c:ser>
          <c:idx val="6"/>
          <c:order val="6"/>
          <c:tx>
            <c:strRef>
              <c:f>'Trafikselskaber Samlet'!$V$5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Samlet'!$V$6:$V$11</c:f>
              <c:numCache>
                <c:formatCode>#,##0_);\-#,##0_);\-_);@</c:formatCode>
                <c:ptCount val="6"/>
                <c:pt idx="0">
                  <c:v>7.2</c:v>
                </c:pt>
                <c:pt idx="1">
                  <c:v>124.619</c:v>
                </c:pt>
                <c:pt idx="2">
                  <c:v>297.20000000000016</c:v>
                </c:pt>
                <c:pt idx="3">
                  <c:v>672.39998501363482</c:v>
                </c:pt>
                <c:pt idx="4">
                  <c:v>162.00250410778605</c:v>
                </c:pt>
                <c:pt idx="5">
                  <c:v>129.9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A05-499F-8FDD-3CD4DFD0C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37440"/>
        <c:axId val="218524000"/>
      </c:barChart>
      <c:catAx>
        <c:axId val="21853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24000"/>
        <c:crosses val="autoZero"/>
        <c:auto val="1"/>
        <c:lblAlgn val="ctr"/>
        <c:lblOffset val="100"/>
        <c:noMultiLvlLbl val="0"/>
      </c:catAx>
      <c:valAx>
        <c:axId val="21852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3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Supportudgifter/fællesudgifter (mDKK) i faste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Samlet'!$P$19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Samlet'!$P$20:$P$25</c:f>
              <c:numCache>
                <c:formatCode>#,##0_);\-#,##0_);\-_);@</c:formatCode>
                <c:ptCount val="6"/>
                <c:pt idx="0">
                  <c:v>7.6</c:v>
                </c:pt>
                <c:pt idx="1">
                  <c:v>95.457999999999998</c:v>
                </c:pt>
                <c:pt idx="2">
                  <c:v>253.90000000000012</c:v>
                </c:pt>
                <c:pt idx="3">
                  <c:v>566.78858862000004</c:v>
                </c:pt>
                <c:pt idx="4">
                  <c:v>137.63015576999999</c:v>
                </c:pt>
                <c:pt idx="5">
                  <c:v>114.6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C-447E-B593-499A3BAE5665}"/>
            </c:ext>
          </c:extLst>
        </c:ser>
        <c:ser>
          <c:idx val="1"/>
          <c:order val="1"/>
          <c:tx>
            <c:strRef>
              <c:f>'Trafikselskaber Samlet'!$Q$19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Samlet'!$Q$20:$Q$25</c:f>
              <c:numCache>
                <c:formatCode>#,##0_);\-#,##0_);\-_);@</c:formatCode>
                <c:ptCount val="6"/>
                <c:pt idx="0">
                  <c:v>7.1498530852105784</c:v>
                </c:pt>
                <c:pt idx="1">
                  <c:v>95.181194906953976</c:v>
                </c:pt>
                <c:pt idx="2">
                  <c:v>221.93927522037222</c:v>
                </c:pt>
                <c:pt idx="3">
                  <c:v>563.60073921645483</c:v>
                </c:pt>
                <c:pt idx="4">
                  <c:v>139.12162393731634</c:v>
                </c:pt>
                <c:pt idx="5">
                  <c:v>110.7737512242899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C-447E-B593-499A3BAE5665}"/>
            </c:ext>
          </c:extLst>
        </c:ser>
        <c:ser>
          <c:idx val="2"/>
          <c:order val="2"/>
          <c:tx>
            <c:strRef>
              <c:f>'Trafikselskaber Samlet'!$R$19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Samlet'!$R$20:$R$25</c:f>
              <c:numCache>
                <c:formatCode>#,##0_);\-#,##0_);\-_);@</c:formatCode>
                <c:ptCount val="6"/>
                <c:pt idx="0">
                  <c:v>8.860151181144829</c:v>
                </c:pt>
                <c:pt idx="1">
                  <c:v>95.125279648521683</c:v>
                </c:pt>
                <c:pt idx="2">
                  <c:v>259.73725799508304</c:v>
                </c:pt>
                <c:pt idx="3">
                  <c:v>590.89612248003368</c:v>
                </c:pt>
                <c:pt idx="4">
                  <c:v>132.47777349216122</c:v>
                </c:pt>
                <c:pt idx="5">
                  <c:v>100.63976069887336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C-447E-B593-499A3BAE5665}"/>
            </c:ext>
          </c:extLst>
        </c:ser>
        <c:ser>
          <c:idx val="3"/>
          <c:order val="3"/>
          <c:tx>
            <c:strRef>
              <c:f>'Trafikselskaber Samlet'!$S$19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Samlet'!$S$20:$S$25</c:f>
              <c:numCache>
                <c:formatCode>#,##0_);\-#,##0_);\-_);@</c:formatCode>
                <c:ptCount val="6"/>
                <c:pt idx="0">
                  <c:v>5.4793186835724397</c:v>
                </c:pt>
                <c:pt idx="1">
                  <c:v>102.20786741026522</c:v>
                </c:pt>
                <c:pt idx="2">
                  <c:v>244.71194459683716</c:v>
                </c:pt>
                <c:pt idx="3">
                  <c:v>537.45962007970058</c:v>
                </c:pt>
                <c:pt idx="4">
                  <c:v>124.9175721433497</c:v>
                </c:pt>
                <c:pt idx="5">
                  <c:v>108.93628501407579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C-447E-B593-499A3BAE5665}"/>
            </c:ext>
          </c:extLst>
        </c:ser>
        <c:ser>
          <c:idx val="4"/>
          <c:order val="4"/>
          <c:tx>
            <c:strRef>
              <c:f>'Trafikselskaber Samlet'!$T$19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Samlet'!$T$20:$T$25</c:f>
              <c:numCache>
                <c:formatCode>#,##0_);\-#,##0_);\-_);@</c:formatCode>
                <c:ptCount val="6"/>
                <c:pt idx="0">
                  <c:v>6.4141599045974269</c:v>
                </c:pt>
                <c:pt idx="1">
                  <c:v>108.78866899598968</c:v>
                </c:pt>
                <c:pt idx="2">
                  <c:v>248.97781263479578</c:v>
                </c:pt>
                <c:pt idx="3">
                  <c:v>548.95006158622925</c:v>
                </c:pt>
                <c:pt idx="4">
                  <c:v>132.64658358416639</c:v>
                </c:pt>
                <c:pt idx="5">
                  <c:v>101.99417651113374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BC-447E-B593-499A3BAE5665}"/>
            </c:ext>
          </c:extLst>
        </c:ser>
        <c:ser>
          <c:idx val="5"/>
          <c:order val="5"/>
          <c:tx>
            <c:strRef>
              <c:f>'Trafikselskaber Samlet'!$U$19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Samlet'!$U$20:$U$25</c:f>
              <c:numCache>
                <c:formatCode>#,##0_);\-#,##0_);\-_);@</c:formatCode>
                <c:ptCount val="6"/>
                <c:pt idx="0">
                  <c:v>6.2244020908553779</c:v>
                </c:pt>
                <c:pt idx="1">
                  <c:v>109.48204577640372</c:v>
                </c:pt>
                <c:pt idx="2">
                  <c:v>241.28203104968557</c:v>
                </c:pt>
                <c:pt idx="3">
                  <c:v>572.91614201027744</c:v>
                </c:pt>
                <c:pt idx="4">
                  <c:v>130.89104966167679</c:v>
                </c:pt>
                <c:pt idx="5">
                  <c:v>104.95033525414486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C-447E-B593-499A3BAE5665}"/>
            </c:ext>
          </c:extLst>
        </c:ser>
        <c:ser>
          <c:idx val="6"/>
          <c:order val="6"/>
          <c:tx>
            <c:strRef>
              <c:f>'Trafikselskaber Samlet'!$V$19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Samlet'!$V$20:$V$25</c:f>
              <c:numCache>
                <c:formatCode>#,##0_);\-#,##0_);\-_);@</c:formatCode>
                <c:ptCount val="6"/>
                <c:pt idx="0">
                  <c:v>5.9907623588598442</c:v>
                </c:pt>
                <c:pt idx="1">
                  <c:v>103.68927977760485</c:v>
                </c:pt>
                <c:pt idx="2">
                  <c:v>247.28535736849258</c:v>
                </c:pt>
                <c:pt idx="3">
                  <c:v>559.47062782188982</c:v>
                </c:pt>
                <c:pt idx="4">
                  <c:v>134.79423661805026</c:v>
                </c:pt>
                <c:pt idx="5">
                  <c:v>108.08333755776303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BC-447E-B593-499A3BAE5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12000"/>
        <c:axId val="218501920"/>
      </c:barChart>
      <c:catAx>
        <c:axId val="2185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01920"/>
        <c:crosses val="autoZero"/>
        <c:auto val="1"/>
        <c:lblAlgn val="ctr"/>
        <c:lblOffset val="100"/>
        <c:noMultiLvlLbl val="0"/>
      </c:catAx>
      <c:valAx>
        <c:axId val="21850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Supportudgifter/fællesudgifters andel af samlede udgifter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Samlet'!$BF$5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Samlet'!$BF$6:$BF$11</c:f>
              <c:numCache>
                <c:formatCode>0.0%</c:formatCode>
                <c:ptCount val="6"/>
                <c:pt idx="0">
                  <c:v>0.12418300653594772</c:v>
                </c:pt>
                <c:pt idx="1">
                  <c:v>0.14386930015598978</c:v>
                </c:pt>
                <c:pt idx="2">
                  <c:v>0.11831865417773436</c:v>
                </c:pt>
                <c:pt idx="3">
                  <c:v>0.11648275236559938</c:v>
                </c:pt>
                <c:pt idx="4">
                  <c:v>0.10774693038965139</c:v>
                </c:pt>
                <c:pt idx="5">
                  <c:v>0.11375818939845145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0-4481-8A84-0124964D1EBA}"/>
            </c:ext>
          </c:extLst>
        </c:ser>
        <c:ser>
          <c:idx val="1"/>
          <c:order val="1"/>
          <c:tx>
            <c:strRef>
              <c:f>'Trafikselskaber Samlet'!$BG$5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Samlet'!$BG$6:$BG$11</c:f>
              <c:numCache>
                <c:formatCode>0.0%</c:formatCode>
                <c:ptCount val="6"/>
                <c:pt idx="0">
                  <c:v>0.13047363717605004</c:v>
                </c:pt>
                <c:pt idx="1">
                  <c:v>0.15098455352509624</c:v>
                </c:pt>
                <c:pt idx="2">
                  <c:v>0.10690192008303064</c:v>
                </c:pt>
                <c:pt idx="3">
                  <c:v>0.11974468782204757</c:v>
                </c:pt>
                <c:pt idx="4">
                  <c:v>0.11121808038138226</c:v>
                </c:pt>
                <c:pt idx="5">
                  <c:v>0.11578624078624077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0-4481-8A84-0124964D1EBA}"/>
            </c:ext>
          </c:extLst>
        </c:ser>
        <c:ser>
          <c:idx val="2"/>
          <c:order val="2"/>
          <c:tx>
            <c:strRef>
              <c:f>'Trafikselskaber Samlet'!$BH$5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Samlet'!$BH$6:$BH$11</c:f>
              <c:numCache>
                <c:formatCode>0.0%</c:formatCode>
                <c:ptCount val="6"/>
                <c:pt idx="0">
                  <c:v>0.15307820299500832</c:v>
                </c:pt>
                <c:pt idx="1">
                  <c:v>0.14522448823563142</c:v>
                </c:pt>
                <c:pt idx="2">
                  <c:v>0.1187059859154931</c:v>
                </c:pt>
                <c:pt idx="3">
                  <c:v>0.12283194868738201</c:v>
                </c:pt>
                <c:pt idx="4">
                  <c:v>0.10190801409839699</c:v>
                </c:pt>
                <c:pt idx="5">
                  <c:v>0.10827893482540669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0-4481-8A84-0124964D1EBA}"/>
            </c:ext>
          </c:extLst>
        </c:ser>
        <c:ser>
          <c:idx val="3"/>
          <c:order val="3"/>
          <c:tx>
            <c:strRef>
              <c:f>'Trafikselskaber Samlet'!$BI$5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Samlet'!$BI$6:$BI$11</c:f>
              <c:numCache>
                <c:formatCode>0.0%</c:formatCode>
                <c:ptCount val="6"/>
                <c:pt idx="0">
                  <c:v>9.4400000000000012E-2</c:v>
                </c:pt>
                <c:pt idx="1">
                  <c:v>0.1444399384205905</c:v>
                </c:pt>
                <c:pt idx="2">
                  <c:v>0.10784594605656295</c:v>
                </c:pt>
                <c:pt idx="3">
                  <c:v>0.10633024871490906</c:v>
                </c:pt>
                <c:pt idx="4">
                  <c:v>9.1772221131503059E-2</c:v>
                </c:pt>
                <c:pt idx="5">
                  <c:v>0.11152310325156875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0-4481-8A84-0124964D1EBA}"/>
            </c:ext>
          </c:extLst>
        </c:ser>
        <c:ser>
          <c:idx val="4"/>
          <c:order val="4"/>
          <c:tx>
            <c:strRef>
              <c:f>'Trafikselskaber Samlet'!$BJ$5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Samlet'!$BJ$6:$BJ$11</c:f>
              <c:numCache>
                <c:formatCode>0.0%</c:formatCode>
                <c:ptCount val="6"/>
                <c:pt idx="0">
                  <c:v>0.11251980982567353</c:v>
                </c:pt>
                <c:pt idx="1">
                  <c:v>0.15251968224696785</c:v>
                </c:pt>
                <c:pt idx="2">
                  <c:v>0.11296470877566908</c:v>
                </c:pt>
                <c:pt idx="3">
                  <c:v>0.10939388673340809</c:v>
                </c:pt>
                <c:pt idx="4">
                  <c:v>9.7488200207080711E-2</c:v>
                </c:pt>
                <c:pt idx="5">
                  <c:v>0.10423783584156592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0-4481-8A84-0124964D1EBA}"/>
            </c:ext>
          </c:extLst>
        </c:ser>
        <c:ser>
          <c:idx val="5"/>
          <c:order val="5"/>
          <c:tx>
            <c:strRef>
              <c:f>'Trafikselskaber Samlet'!$BK$5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Samlet'!$BK$6:$BK$11</c:f>
              <c:numCache>
                <c:formatCode>0.0%</c:formatCode>
                <c:ptCount val="6"/>
                <c:pt idx="0">
                  <c:v>0.1</c:v>
                </c:pt>
                <c:pt idx="1">
                  <c:v>0.1575692122783596</c:v>
                </c:pt>
                <c:pt idx="2">
                  <c:v>0.11067930364436691</c:v>
                </c:pt>
                <c:pt idx="3">
                  <c:v>0.12043051397252709</c:v>
                </c:pt>
                <c:pt idx="4">
                  <c:v>9.8279371256554768E-2</c:v>
                </c:pt>
                <c:pt idx="5">
                  <c:v>0.10933981806718907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0-4481-8A84-0124964D1EBA}"/>
            </c:ext>
          </c:extLst>
        </c:ser>
        <c:ser>
          <c:idx val="6"/>
          <c:order val="6"/>
          <c:tx>
            <c:strRef>
              <c:f>'Trafikselskaber Samlet'!$BL$5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Samlet'!$BL$6:$BL$11</c:f>
              <c:numCache>
                <c:formatCode>0.0%</c:formatCode>
                <c:ptCount val="6"/>
                <c:pt idx="0">
                  <c:v>0.10526315789473684</c:v>
                </c:pt>
                <c:pt idx="1">
                  <c:v>0.15320677055927928</c:v>
                </c:pt>
                <c:pt idx="2">
                  <c:v>0.11327514578648479</c:v>
                </c:pt>
                <c:pt idx="3">
                  <c:v>0.11831605743227692</c:v>
                </c:pt>
                <c:pt idx="4">
                  <c:v>9.8584456767615888E-2</c:v>
                </c:pt>
                <c:pt idx="5">
                  <c:v>0.11484395720979579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00-4481-8A84-0124964D1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8536960"/>
        <c:axId val="218525440"/>
      </c:barChart>
      <c:catAx>
        <c:axId val="2185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25440"/>
        <c:crosses val="autoZero"/>
        <c:auto val="1"/>
        <c:lblAlgn val="ctr"/>
        <c:lblOffset val="100"/>
        <c:noMultiLvlLbl val="0"/>
      </c:catAx>
      <c:valAx>
        <c:axId val="21852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1853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Tilskudsbehov (mDKK)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Samlet'!$AY$5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Samlet'!$AY$6:$AY$11</c:f>
              <c:numCache>
                <c:formatCode>#,##0_);\-#,##0_);\-_);@</c:formatCode>
                <c:ptCount val="6"/>
                <c:pt idx="0">
                  <c:v>31.799999999999997</c:v>
                </c:pt>
                <c:pt idx="1">
                  <c:v>459.26199999999994</c:v>
                </c:pt>
                <c:pt idx="2">
                  <c:v>1360.3999999999996</c:v>
                </c:pt>
                <c:pt idx="3">
                  <c:v>2935.6748815799992</c:v>
                </c:pt>
                <c:pt idx="4">
                  <c:v>894.75238769185307</c:v>
                </c:pt>
                <c:pt idx="5">
                  <c:v>742.90000000000009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9-49DF-B755-524A03565292}"/>
            </c:ext>
          </c:extLst>
        </c:ser>
        <c:ser>
          <c:idx val="1"/>
          <c:order val="1"/>
          <c:tx>
            <c:strRef>
              <c:f>'Trafikselskaber Samlet'!$AZ$5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Samlet'!$AZ$6:$AZ$11</c:f>
              <c:numCache>
                <c:formatCode>#,##0_);\-#,##0_);\-_);@</c:formatCode>
                <c:ptCount val="6"/>
                <c:pt idx="0">
                  <c:v>26.349999999999994</c:v>
                </c:pt>
                <c:pt idx="1">
                  <c:v>457.87499999999989</c:v>
                </c:pt>
                <c:pt idx="2">
                  <c:v>1335.3</c:v>
                </c:pt>
                <c:pt idx="3">
                  <c:v>3053.781250330002</c:v>
                </c:pt>
                <c:pt idx="4">
                  <c:v>898.97719738739261</c:v>
                </c:pt>
                <c:pt idx="5">
                  <c:v>730.09999999999991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9-49DF-B755-524A03565292}"/>
            </c:ext>
          </c:extLst>
        </c:ser>
        <c:ser>
          <c:idx val="2"/>
          <c:order val="2"/>
          <c:tx>
            <c:strRef>
              <c:f>'Trafikselskaber Samlet'!$BA$5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Samlet'!$BA$6:$BA$11</c:f>
              <c:numCache>
                <c:formatCode>#,##0_);\-#,##0_);\-_);@</c:formatCode>
                <c:ptCount val="6"/>
                <c:pt idx="0">
                  <c:v>29.099999999999998</c:v>
                </c:pt>
                <c:pt idx="1">
                  <c:v>468.40600000000006</c:v>
                </c:pt>
                <c:pt idx="2">
                  <c:v>1434.7000000000005</c:v>
                </c:pt>
                <c:pt idx="3">
                  <c:v>3113.5485398399987</c:v>
                </c:pt>
                <c:pt idx="4">
                  <c:v>916.88098885680688</c:v>
                </c:pt>
                <c:pt idx="5">
                  <c:v>699.90000000000009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09-49DF-B755-524A03565292}"/>
            </c:ext>
          </c:extLst>
        </c:ser>
        <c:ser>
          <c:idx val="3"/>
          <c:order val="3"/>
          <c:tx>
            <c:strRef>
              <c:f>'Trafikselskaber Samlet'!$BB$5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Samlet'!$BB$6:$BB$11</c:f>
              <c:numCache>
                <c:formatCode>#,##0_);\-#,##0_);\-_);@</c:formatCode>
                <c:ptCount val="6"/>
                <c:pt idx="0">
                  <c:v>34.959999999999994</c:v>
                </c:pt>
                <c:pt idx="1">
                  <c:v>551.66600000000005</c:v>
                </c:pt>
                <c:pt idx="2">
                  <c:v>1609.3000000000002</c:v>
                </c:pt>
                <c:pt idx="3">
                  <c:v>3635.3483584000023</c:v>
                </c:pt>
                <c:pt idx="4">
                  <c:v>1068.4846377099993</c:v>
                </c:pt>
                <c:pt idx="5">
                  <c:v>779.3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09-49DF-B755-524A03565292}"/>
            </c:ext>
          </c:extLst>
        </c:ser>
        <c:ser>
          <c:idx val="4"/>
          <c:order val="4"/>
          <c:tx>
            <c:strRef>
              <c:f>'Trafikselskaber Samlet'!$BC$5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Samlet'!$BC$6:$BC$11</c:f>
              <c:numCache>
                <c:formatCode>#,##0_);\-#,##0_);\-_);@</c:formatCode>
                <c:ptCount val="6"/>
                <c:pt idx="0">
                  <c:v>37.460999999999999</c:v>
                </c:pt>
                <c:pt idx="1">
                  <c:v>553.85619999999994</c:v>
                </c:pt>
                <c:pt idx="2">
                  <c:v>1556.1</c:v>
                </c:pt>
                <c:pt idx="3">
                  <c:v>3537.8363257799965</c:v>
                </c:pt>
                <c:pt idx="4">
                  <c:v>1092.1466694776791</c:v>
                </c:pt>
                <c:pt idx="5">
                  <c:v>814.39999999999964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09-49DF-B755-524A03565292}"/>
            </c:ext>
          </c:extLst>
        </c:ser>
        <c:ser>
          <c:idx val="5"/>
          <c:order val="5"/>
          <c:tx>
            <c:strRef>
              <c:f>'Trafikselskaber Samlet'!$BD$5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Samlet'!$BD$6:$BD$11</c:f>
              <c:numCache>
                <c:formatCode>#,##0_);\-#,##0_);\-_);@</c:formatCode>
                <c:ptCount val="6"/>
                <c:pt idx="0">
                  <c:v>45.31</c:v>
                </c:pt>
                <c:pt idx="1">
                  <c:v>571.75900000000001</c:v>
                </c:pt>
                <c:pt idx="2">
                  <c:v>1614.4999999999998</c:v>
                </c:pt>
                <c:pt idx="3">
                  <c:v>3349.7811833762371</c:v>
                </c:pt>
                <c:pt idx="4">
                  <c:v>1125.1123647068709</c:v>
                </c:pt>
                <c:pt idx="5">
                  <c:v>840.5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09-49DF-B755-524A03565292}"/>
            </c:ext>
          </c:extLst>
        </c:ser>
        <c:ser>
          <c:idx val="6"/>
          <c:order val="6"/>
          <c:tx>
            <c:strRef>
              <c:f>'Trafikselskaber Samlet'!$BE$5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Samlet'!$A$6:$A$11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Samlet'!$BE$6:$BE$11</c:f>
              <c:numCache>
                <c:formatCode>#,##0_);\-#,##0_);\-_);@</c:formatCode>
                <c:ptCount val="6"/>
                <c:pt idx="0">
                  <c:v>39.680000000000007</c:v>
                </c:pt>
                <c:pt idx="1">
                  <c:v>565.12900000000002</c:v>
                </c:pt>
                <c:pt idx="2">
                  <c:v>1723.2000000000003</c:v>
                </c:pt>
                <c:pt idx="3">
                  <c:v>3481.1934383242065</c:v>
                </c:pt>
                <c:pt idx="4">
                  <c:v>1204.0854039566698</c:v>
                </c:pt>
                <c:pt idx="5">
                  <c:v>863.19999999999993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09-49DF-B755-524A0356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967376"/>
        <c:axId val="296974576"/>
      </c:barChart>
      <c:catAx>
        <c:axId val="29696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96974576"/>
        <c:crosses val="autoZero"/>
        <c:auto val="1"/>
        <c:lblAlgn val="ctr"/>
        <c:lblOffset val="100"/>
        <c:noMultiLvlLbl val="0"/>
      </c:catAx>
      <c:valAx>
        <c:axId val="29697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-#,##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9696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Tilskudsbehov (mDKK) i faste priser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'Trafikselskaber Samlet'!$AY$19</c:f>
              <c:strCache>
                <c:ptCount val="1"/>
                <c:pt idx="0">
                  <c:v>R 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Samlet'!$AY$20:$AY$25</c:f>
              <c:numCache>
                <c:formatCode>#,##0.0_);\-#,##0.0_);\-_);@</c:formatCode>
                <c:ptCount val="6"/>
                <c:pt idx="0">
                  <c:v>31.799999999999997</c:v>
                </c:pt>
                <c:pt idx="1">
                  <c:v>459.26199999999994</c:v>
                </c:pt>
                <c:pt idx="2">
                  <c:v>1360.3999999999996</c:v>
                </c:pt>
                <c:pt idx="3">
                  <c:v>2935.6748815799992</c:v>
                </c:pt>
                <c:pt idx="4">
                  <c:v>894.75238769185307</c:v>
                </c:pt>
                <c:pt idx="5">
                  <c:v>742.90000000000009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D-47E3-97F4-E39D0745870D}"/>
            </c:ext>
          </c:extLst>
        </c:ser>
        <c:ser>
          <c:idx val="1"/>
          <c:order val="1"/>
          <c:tx>
            <c:strRef>
              <c:f>'Trafikselskaber Samlet'!$AZ$19</c:f>
              <c:strCache>
                <c:ptCount val="1"/>
                <c:pt idx="0">
                  <c:v>R 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Samlet'!$AZ$20:$AZ$25</c:f>
              <c:numCache>
                <c:formatCode>#,##0.0_);\-#,##0.0_);\-_);@</c:formatCode>
                <c:ptCount val="6"/>
                <c:pt idx="0">
                  <c:v>25.808031341821739</c:v>
                </c:pt>
                <c:pt idx="1">
                  <c:v>448.45739471106754</c:v>
                </c:pt>
                <c:pt idx="2">
                  <c:v>1307.8354554358473</c:v>
                </c:pt>
                <c:pt idx="3">
                  <c:v>2990.9708622233125</c:v>
                </c:pt>
                <c:pt idx="4">
                  <c:v>880.48697099646688</c:v>
                </c:pt>
                <c:pt idx="5">
                  <c:v>715.08325171400588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D-47E3-97F4-E39D0745870D}"/>
            </c:ext>
          </c:extLst>
        </c:ser>
        <c:ser>
          <c:idx val="2"/>
          <c:order val="2"/>
          <c:tx>
            <c:strRef>
              <c:f>'Trafikselskaber Samlet'!$BA$19</c:f>
              <c:strCache>
                <c:ptCount val="1"/>
                <c:pt idx="0">
                  <c:v>R 2021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Samlet'!$BA$20:$BA$25</c:f>
              <c:numCache>
                <c:formatCode>#,##0.0_);\-#,##0.0_);\-_);@</c:formatCode>
                <c:ptCount val="6"/>
                <c:pt idx="0">
                  <c:v>28.025043409925491</c:v>
                </c:pt>
                <c:pt idx="1">
                  <c:v>451.10304066905712</c:v>
                </c:pt>
                <c:pt idx="2">
                  <c:v>1381.7020543030969</c:v>
                </c:pt>
                <c:pt idx="3">
                  <c:v>2998.5337796538179</c:v>
                </c:pt>
                <c:pt idx="4">
                  <c:v>883.01132352053014</c:v>
                </c:pt>
                <c:pt idx="5">
                  <c:v>674.04563170470294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5D-47E3-97F4-E39D0745870D}"/>
            </c:ext>
          </c:extLst>
        </c:ser>
        <c:ser>
          <c:idx val="3"/>
          <c:order val="3"/>
          <c:tx>
            <c:strRef>
              <c:f>'Trafikselskaber Samlet'!$BB$19</c:f>
              <c:strCache>
                <c:ptCount val="1"/>
                <c:pt idx="0">
                  <c:v>R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Samlet'!$BB$20:$BB$25</c:f>
              <c:numCache>
                <c:formatCode>#,##0.0_);\-#,##0.0_);\-_);@</c:formatCode>
                <c:ptCount val="6"/>
                <c:pt idx="0">
                  <c:v>32.467284945371603</c:v>
                </c:pt>
                <c:pt idx="1">
                  <c:v>512.33115608333446</c:v>
                </c:pt>
                <c:pt idx="2">
                  <c:v>1494.55382330053</c:v>
                </c:pt>
                <c:pt idx="3">
                  <c:v>3376.1410477077166</c:v>
                </c:pt>
                <c:pt idx="4">
                  <c:v>992.2996336465302</c:v>
                </c:pt>
                <c:pt idx="5">
                  <c:v>723.73441527254261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5D-47E3-97F4-E39D0745870D}"/>
            </c:ext>
          </c:extLst>
        </c:ser>
        <c:ser>
          <c:idx val="4"/>
          <c:order val="4"/>
          <c:tx>
            <c:strRef>
              <c:f>'Trafikselskaber Samlet'!$BC$19</c:f>
              <c:strCache>
                <c:ptCount val="1"/>
                <c:pt idx="0">
                  <c:v>R 2023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Samlet'!$BC$20:$BC$25</c:f>
              <c:numCache>
                <c:formatCode>#,##0.0_);\-#,##0.0_);\-_);@</c:formatCode>
                <c:ptCount val="6"/>
                <c:pt idx="0">
                  <c:v>33.842372420580872</c:v>
                </c:pt>
                <c:pt idx="1">
                  <c:v>500.35524379615396</c:v>
                </c:pt>
                <c:pt idx="2">
                  <c:v>1405.7851024709937</c:v>
                </c:pt>
                <c:pt idx="3">
                  <c:v>3196.0912549079344</c:v>
                </c:pt>
                <c:pt idx="4">
                  <c:v>986.64836300047159</c:v>
                </c:pt>
                <c:pt idx="5">
                  <c:v>735.73124314142854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5D-47E3-97F4-E39D0745870D}"/>
            </c:ext>
          </c:extLst>
        </c:ser>
        <c:ser>
          <c:idx val="5"/>
          <c:order val="5"/>
          <c:tx>
            <c:strRef>
              <c:f>'Trafikselskaber Samlet'!$BD$19</c:f>
              <c:strCache>
                <c:ptCount val="1"/>
                <c:pt idx="0">
                  <c:v>FC 2024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Samlet'!$BD$20:$BD$25</c:f>
              <c:numCache>
                <c:formatCode>#,##0.0_);\-#,##0.0_);\-_);@</c:formatCode>
                <c:ptCount val="6"/>
                <c:pt idx="0">
                  <c:v>39.170508157869051</c:v>
                </c:pt>
                <c:pt idx="1">
                  <c:v>494.28582153685835</c:v>
                </c:pt>
                <c:pt idx="2">
                  <c:v>1395.7357188452786</c:v>
                </c:pt>
                <c:pt idx="3">
                  <c:v>2895.8868057937575</c:v>
                </c:pt>
                <c:pt idx="4">
                  <c:v>972.6599660178731</c:v>
                </c:pt>
                <c:pt idx="5">
                  <c:v>726.61249407832577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5D-47E3-97F4-E39D0745870D}"/>
            </c:ext>
          </c:extLst>
        </c:ser>
        <c:ser>
          <c:idx val="6"/>
          <c:order val="6"/>
          <c:tx>
            <c:strRef>
              <c:f>'Trafikselskaber Samlet'!$BE$19</c:f>
              <c:strCache>
                <c:ptCount val="1"/>
                <c:pt idx="0">
                  <c:v>B2025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'Trafikselskaber Samlet'!$A$20:$A$25</c:f>
              <c:strCache>
                <c:ptCount val="6"/>
                <c:pt idx="0">
                  <c:v>BAT</c:v>
                </c:pt>
                <c:pt idx="1">
                  <c:v>Fynbus</c:v>
                </c:pt>
                <c:pt idx="2">
                  <c:v>Midttrafik</c:v>
                </c:pt>
                <c:pt idx="3">
                  <c:v>Movia</c:v>
                </c:pt>
                <c:pt idx="4">
                  <c:v>NT</c:v>
                </c:pt>
                <c:pt idx="5">
                  <c:v>Sydtrafik</c:v>
                </c:pt>
              </c:strCache>
            </c:strRef>
          </c:cat>
          <c:val>
            <c:numRef>
              <c:f>'Trafikselskaber Samlet'!$BE$20:$BE$25</c:f>
              <c:numCache>
                <c:formatCode>#,##0.0_);\-#,##0.0_);\-_);@</c:formatCode>
                <c:ptCount val="6"/>
                <c:pt idx="0">
                  <c:v>33.015756999938702</c:v>
                </c:pt>
                <c:pt idx="1">
                  <c:v>470.21576959723683</c:v>
                </c:pt>
                <c:pt idx="2">
                  <c:v>1433.7891245537896</c:v>
                </c:pt>
                <c:pt idx="3">
                  <c:v>2896.5281408642409</c:v>
                </c:pt>
                <c:pt idx="4">
                  <c:v>1001.8596548439122</c:v>
                </c:pt>
                <c:pt idx="5">
                  <c:v>718.22584280108572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05D-47E3-97F4-E39D0745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1273616"/>
        <c:axId val="561271216"/>
      </c:barChart>
      <c:catAx>
        <c:axId val="56127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271216"/>
        <c:crosses val="autoZero"/>
        <c:auto val="1"/>
        <c:lblAlgn val="ctr"/>
        <c:lblOffset val="100"/>
        <c:noMultiLvlLbl val="0"/>
      </c:catAx>
      <c:valAx>
        <c:axId val="5612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-#,##0.0_);\-_)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127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27221</xdr:colOff>
      <xdr:row>28</xdr:row>
      <xdr:rowOff>43220</xdr:rowOff>
    </xdr:from>
    <xdr:to>
      <xdr:col>10</xdr:col>
      <xdr:colOff>287191</xdr:colOff>
      <xdr:row>46</xdr:row>
      <xdr:rowOff>16327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8C95E135-B9F1-47F3-A623-EBB310FA5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488102</xdr:colOff>
      <xdr:row>28</xdr:row>
      <xdr:rowOff>52826</xdr:rowOff>
    </xdr:from>
    <xdr:to>
      <xdr:col>19</xdr:col>
      <xdr:colOff>523954</xdr:colOff>
      <xdr:row>46</xdr:row>
      <xdr:rowOff>106615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D6AA9A39-9290-7CF7-01FC-EC14456B9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31376</xdr:colOff>
      <xdr:row>45</xdr:row>
      <xdr:rowOff>197222</xdr:rowOff>
    </xdr:from>
    <xdr:to>
      <xdr:col>10</xdr:col>
      <xdr:colOff>466164</xdr:colOff>
      <xdr:row>61</xdr:row>
      <xdr:rowOff>17928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9ABBAE1E-9E3F-D9C5-6A02-2BFB11726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537882</xdr:colOff>
      <xdr:row>46</xdr:row>
      <xdr:rowOff>26893</xdr:rowOff>
    </xdr:from>
    <xdr:to>
      <xdr:col>19</xdr:col>
      <xdr:colOff>591670</xdr:colOff>
      <xdr:row>61</xdr:row>
      <xdr:rowOff>80681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29659DB6-92C8-0737-ADEF-C4D5C5078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26892</xdr:colOff>
      <xdr:row>61</xdr:row>
      <xdr:rowOff>188258</xdr:rowOff>
    </xdr:from>
    <xdr:to>
      <xdr:col>10</xdr:col>
      <xdr:colOff>466163</xdr:colOff>
      <xdr:row>76</xdr:row>
      <xdr:rowOff>161364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B1C21CC5-123F-218A-0F8D-C3805EBDA8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515470</xdr:colOff>
      <xdr:row>61</xdr:row>
      <xdr:rowOff>98611</xdr:rowOff>
    </xdr:from>
    <xdr:to>
      <xdr:col>19</xdr:col>
      <xdr:colOff>647700</xdr:colOff>
      <xdr:row>76</xdr:row>
      <xdr:rowOff>76200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FFA1AFC-E04C-724A-74AE-228DC16E2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121968</xdr:colOff>
      <xdr:row>95</xdr:row>
      <xdr:rowOff>65068</xdr:rowOff>
    </xdr:from>
    <xdr:to>
      <xdr:col>11</xdr:col>
      <xdr:colOff>55417</xdr:colOff>
      <xdr:row>112</xdr:row>
      <xdr:rowOff>8659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A252245A-6E07-A498-4576-5F5F7802E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32904</xdr:colOff>
      <xdr:row>77</xdr:row>
      <xdr:rowOff>72736</xdr:rowOff>
    </xdr:from>
    <xdr:to>
      <xdr:col>10</xdr:col>
      <xdr:colOff>552449</xdr:colOff>
      <xdr:row>94</xdr:row>
      <xdr:rowOff>133350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F256D1FF-446C-7444-6691-300038153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57150</xdr:colOff>
      <xdr:row>77</xdr:row>
      <xdr:rowOff>28574</xdr:rowOff>
    </xdr:from>
    <xdr:to>
      <xdr:col>19</xdr:col>
      <xdr:colOff>666750</xdr:colOff>
      <xdr:row>94</xdr:row>
      <xdr:rowOff>171449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666A4772-A8D5-0DF6-C2E0-E1C20FE41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one Litvak" id="{0A054D8E-759C-471E-A0D6-C5E4FA04B2FD}" userId="S::lli@midttrafik.dk::22591b1f-ffa2-4653-a05a-b504584b8a9c" providerId="AD"/>
</personList>
</file>

<file path=xl/theme/theme1.xml><?xml version="1.0" encoding="utf-8"?>
<a:theme xmlns:a="http://schemas.openxmlformats.org/drawingml/2006/main" name="Office-tema">
  <a:themeElements>
    <a:clrScheme name="Movia">
      <a:dk1>
        <a:sysClr val="windowText" lastClr="000000"/>
      </a:dk1>
      <a:lt1>
        <a:sysClr val="window" lastClr="FFFFFF"/>
      </a:lt1>
      <a:dk2>
        <a:srgbClr val="899BBC"/>
      </a:dk2>
      <a:lt2>
        <a:srgbClr val="FFE0A8"/>
      </a:lt2>
      <a:accent1>
        <a:srgbClr val="FFB612"/>
      </a:accent1>
      <a:accent2>
        <a:srgbClr val="BFC3C6"/>
      </a:accent2>
      <a:accent3>
        <a:srgbClr val="00214D"/>
      </a:accent3>
      <a:accent4>
        <a:srgbClr val="BCB295"/>
      </a:accent4>
      <a:accent5>
        <a:srgbClr val="54B948"/>
      </a:accent5>
      <a:accent6>
        <a:srgbClr val="00A5CC"/>
      </a:accent6>
      <a:hlink>
        <a:srgbClr val="00214D"/>
      </a:hlink>
      <a:folHlink>
        <a:srgbClr val="899BBC"/>
      </a:folHlink>
    </a:clrScheme>
    <a:fontScheme name="Movia 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3" dT="2025-03-14T17:56:37.83" personId="{0A054D8E-759C-471E-A0D6-C5E4FA04B2FD}" id="{A262B64F-62AC-4C52-B249-51D38EAA45D0}">
    <text>Investering er pillet ud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A9C21-1AD6-4D40-A78F-CC8A1B838E07}">
  <sheetPr>
    <pageSetUpPr fitToPage="1"/>
  </sheetPr>
  <dimension ref="A2:CE29"/>
  <sheetViews>
    <sheetView showGridLines="0" tabSelected="1" zoomScale="70" zoomScaleNormal="70" workbookViewId="0">
      <pane xSplit="1" topLeftCell="B1" activePane="topRight" state="frozen"/>
      <selection pane="topRight" activeCell="A30" sqref="A30"/>
      <selection activeCell="AL4" sqref="AL4:AW5"/>
    </sheetView>
  </sheetViews>
  <sheetFormatPr defaultColWidth="9" defaultRowHeight="15.75" outlineLevelCol="1"/>
  <cols>
    <col min="1" max="1" width="27.625" style="28" customWidth="1"/>
    <col min="2" max="8" width="10.625" style="28" customWidth="1"/>
    <col min="9" max="15" width="8.625" style="28" customWidth="1"/>
    <col min="16" max="22" width="9.125" style="28" customWidth="1"/>
    <col min="23" max="36" width="8.625" style="28" customWidth="1"/>
    <col min="37" max="43" width="8.625" style="28" customWidth="1" outlineLevel="1"/>
    <col min="44" max="48" width="10.25" style="28" customWidth="1" outlineLevel="1"/>
    <col min="49" max="50" width="8.625" style="28" customWidth="1" outlineLevel="1"/>
    <col min="51" max="57" width="8.625" style="28" customWidth="1"/>
    <col min="58" max="58" width="10.25" style="28" customWidth="1"/>
    <col min="59" max="63" width="8.625" style="28" customWidth="1"/>
    <col min="64" max="64" width="10" style="28" customWidth="1"/>
    <col min="65" max="67" width="6.625" style="28" bestFit="1" customWidth="1"/>
    <col min="68" max="68" width="7.625" style="28" bestFit="1" customWidth="1"/>
    <col min="69" max="73" width="6.625" style="28" bestFit="1" customWidth="1"/>
    <col min="74" max="74" width="7.625" style="28" bestFit="1" customWidth="1"/>
    <col min="75" max="79" width="6.625" style="28" bestFit="1" customWidth="1"/>
    <col min="80" max="80" width="7.625" style="28" bestFit="1" customWidth="1"/>
    <col min="81" max="81" width="6.625" style="28" bestFit="1" customWidth="1"/>
    <col min="82" max="83" width="2.125" style="28" bestFit="1" customWidth="1"/>
    <col min="84" max="16384" width="9" style="28"/>
  </cols>
  <sheetData>
    <row r="2" spans="1:83">
      <c r="A2" s="2" t="s">
        <v>0</v>
      </c>
      <c r="B2" s="29"/>
      <c r="C2" s="29"/>
      <c r="D2" s="29"/>
    </row>
    <row r="3" spans="1:83">
      <c r="A3" s="2"/>
      <c r="B3" s="29"/>
      <c r="C3" s="29"/>
      <c r="D3" s="29"/>
    </row>
    <row r="4" spans="1:83" s="5" customFormat="1" ht="41.1" customHeight="1">
      <c r="A4" s="4"/>
      <c r="B4" s="143" t="s">
        <v>1</v>
      </c>
      <c r="C4" s="144"/>
      <c r="D4" s="144"/>
      <c r="E4" s="144"/>
      <c r="F4" s="144"/>
      <c r="G4" s="144"/>
      <c r="H4" s="145"/>
      <c r="I4" s="143" t="s">
        <v>2</v>
      </c>
      <c r="J4" s="144"/>
      <c r="K4" s="144"/>
      <c r="L4" s="144"/>
      <c r="M4" s="144"/>
      <c r="N4" s="144"/>
      <c r="O4" s="145"/>
      <c r="P4" s="144" t="s">
        <v>3</v>
      </c>
      <c r="Q4" s="144"/>
      <c r="R4" s="144"/>
      <c r="S4" s="144"/>
      <c r="T4" s="144"/>
      <c r="U4" s="144"/>
      <c r="V4" s="144"/>
      <c r="W4" s="143" t="s">
        <v>4</v>
      </c>
      <c r="X4" s="144"/>
      <c r="Y4" s="144"/>
      <c r="Z4" s="144"/>
      <c r="AA4" s="144"/>
      <c r="AB4" s="144"/>
      <c r="AC4" s="145"/>
      <c r="AD4" s="144" t="s">
        <v>5</v>
      </c>
      <c r="AE4" s="144"/>
      <c r="AF4" s="144"/>
      <c r="AG4" s="144"/>
      <c r="AH4" s="144"/>
      <c r="AI4" s="144"/>
      <c r="AJ4" s="144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4" t="s">
        <v>8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</row>
    <row r="5" spans="1:83" s="42" customFormat="1">
      <c r="A5" s="32"/>
      <c r="B5" s="30" t="s">
        <v>10</v>
      </c>
      <c r="C5" s="31" t="s">
        <v>11</v>
      </c>
      <c r="D5" s="31" t="s">
        <v>12</v>
      </c>
      <c r="E5" s="31" t="s">
        <v>13</v>
      </c>
      <c r="F5" s="9" t="s">
        <v>14</v>
      </c>
      <c r="G5" s="9" t="s">
        <v>15</v>
      </c>
      <c r="H5" s="10" t="s">
        <v>16</v>
      </c>
      <c r="I5" s="30" t="s">
        <v>10</v>
      </c>
      <c r="J5" s="31" t="s">
        <v>11</v>
      </c>
      <c r="K5" s="31" t="s">
        <v>12</v>
      </c>
      <c r="L5" s="31" t="s">
        <v>13</v>
      </c>
      <c r="M5" s="9" t="s">
        <v>14</v>
      </c>
      <c r="N5" s="9" t="s">
        <v>15</v>
      </c>
      <c r="O5" s="10" t="s">
        <v>16</v>
      </c>
      <c r="P5" s="31" t="s">
        <v>10</v>
      </c>
      <c r="Q5" s="31" t="s">
        <v>11</v>
      </c>
      <c r="R5" s="31" t="s">
        <v>12</v>
      </c>
      <c r="S5" s="31" t="s">
        <v>13</v>
      </c>
      <c r="T5" s="9" t="s">
        <v>14</v>
      </c>
      <c r="U5" s="9" t="s">
        <v>15</v>
      </c>
      <c r="V5" s="9" t="s">
        <v>16</v>
      </c>
      <c r="W5" s="30" t="s">
        <v>10</v>
      </c>
      <c r="X5" s="31" t="s">
        <v>11</v>
      </c>
      <c r="Y5" s="31" t="s">
        <v>12</v>
      </c>
      <c r="Z5" s="31" t="s">
        <v>13</v>
      </c>
      <c r="AA5" s="9" t="s">
        <v>14</v>
      </c>
      <c r="AB5" s="9" t="s">
        <v>15</v>
      </c>
      <c r="AC5" s="10" t="s">
        <v>16</v>
      </c>
      <c r="AD5" s="31" t="s">
        <v>10</v>
      </c>
      <c r="AE5" s="31" t="s">
        <v>11</v>
      </c>
      <c r="AF5" s="31" t="s">
        <v>12</v>
      </c>
      <c r="AG5" s="31" t="s">
        <v>13</v>
      </c>
      <c r="AH5" s="9" t="s">
        <v>14</v>
      </c>
      <c r="AI5" s="9" t="s">
        <v>15</v>
      </c>
      <c r="AJ5" s="9" t="s">
        <v>16</v>
      </c>
      <c r="AK5" s="30" t="s">
        <v>10</v>
      </c>
      <c r="AL5" s="31" t="s">
        <v>11</v>
      </c>
      <c r="AM5" s="31" t="s">
        <v>12</v>
      </c>
      <c r="AN5" s="31" t="s">
        <v>13</v>
      </c>
      <c r="AO5" s="9" t="s">
        <v>14</v>
      </c>
      <c r="AP5" s="9" t="s">
        <v>15</v>
      </c>
      <c r="AQ5" s="10" t="s">
        <v>16</v>
      </c>
      <c r="AR5" s="30" t="s">
        <v>10</v>
      </c>
      <c r="AS5" s="31" t="s">
        <v>11</v>
      </c>
      <c r="AT5" s="31" t="s">
        <v>12</v>
      </c>
      <c r="AU5" s="31" t="s">
        <v>13</v>
      </c>
      <c r="AV5" s="9" t="s">
        <v>14</v>
      </c>
      <c r="AW5" s="9" t="s">
        <v>15</v>
      </c>
      <c r="AX5" s="10" t="s">
        <v>16</v>
      </c>
      <c r="AY5" s="31" t="s">
        <v>10</v>
      </c>
      <c r="AZ5" s="31" t="s">
        <v>11</v>
      </c>
      <c r="BA5" s="31" t="s">
        <v>12</v>
      </c>
      <c r="BB5" s="31" t="s">
        <v>13</v>
      </c>
      <c r="BC5" s="9" t="s">
        <v>14</v>
      </c>
      <c r="BD5" s="9" t="s">
        <v>15</v>
      </c>
      <c r="BE5" s="9" t="s">
        <v>16</v>
      </c>
      <c r="BF5" s="30" t="s">
        <v>10</v>
      </c>
      <c r="BG5" s="31" t="s">
        <v>11</v>
      </c>
      <c r="BH5" s="31" t="s">
        <v>12</v>
      </c>
      <c r="BI5" s="31" t="s">
        <v>13</v>
      </c>
      <c r="BJ5" s="9" t="s">
        <v>14</v>
      </c>
      <c r="BK5" s="9" t="s">
        <v>15</v>
      </c>
      <c r="BL5" s="10" t="s">
        <v>16</v>
      </c>
    </row>
    <row r="6" spans="1:83">
      <c r="A6" s="33" t="s">
        <v>17</v>
      </c>
      <c r="B6" s="47">
        <f>+BAT!B6</f>
        <v>29.4</v>
      </c>
      <c r="C6" s="34">
        <f>+BAT!C6</f>
        <v>22.4</v>
      </c>
      <c r="D6" s="34">
        <f>+BAT!D6</f>
        <v>22.099999999999998</v>
      </c>
      <c r="E6" s="34">
        <f>+BAT!E6</f>
        <v>24.44</v>
      </c>
      <c r="F6" s="34">
        <f>+BAT!F6</f>
        <v>26.638999999999999</v>
      </c>
      <c r="G6" s="34">
        <f>+BAT!G6</f>
        <v>26.69</v>
      </c>
      <c r="H6" s="35">
        <f>+BAT!H6</f>
        <v>28.720000000000002</v>
      </c>
      <c r="I6" s="47">
        <f>+BAT!I6</f>
        <v>53.599999999999994</v>
      </c>
      <c r="J6" s="34">
        <f>+BAT!J6</f>
        <v>48.65</v>
      </c>
      <c r="K6" s="34">
        <f>+BAT!K6</f>
        <v>50.9</v>
      </c>
      <c r="L6" s="34">
        <f>+BAT!L6</f>
        <v>56.6</v>
      </c>
      <c r="M6" s="34">
        <f>+BAT!M6</f>
        <v>56</v>
      </c>
      <c r="N6" s="34">
        <f>+BAT!N6</f>
        <v>64.8</v>
      </c>
      <c r="O6" s="35">
        <f>+BAT!O6</f>
        <v>61.2</v>
      </c>
      <c r="P6" s="34">
        <f>+BAT!P6</f>
        <v>7.6</v>
      </c>
      <c r="Q6" s="34">
        <f>+BAT!Q6</f>
        <v>7.3</v>
      </c>
      <c r="R6" s="34">
        <f>+BAT!R6</f>
        <v>9.1999999999999993</v>
      </c>
      <c r="S6" s="34">
        <f>+BAT!S6</f>
        <v>5.9</v>
      </c>
      <c r="T6" s="34">
        <f>+BAT!T6</f>
        <v>7.1</v>
      </c>
      <c r="U6" s="34">
        <f>+BAT!U6</f>
        <v>7.2</v>
      </c>
      <c r="V6" s="34">
        <f>+BAT!V6</f>
        <v>7.2</v>
      </c>
      <c r="W6" s="47">
        <f>+BAT!W6</f>
        <v>0</v>
      </c>
      <c r="X6" s="34">
        <f>+BAT!X6</f>
        <v>0</v>
      </c>
      <c r="Y6" s="34">
        <f>+BAT!Y6</f>
        <v>0</v>
      </c>
      <c r="Z6" s="34">
        <f>+BAT!Z6</f>
        <v>0</v>
      </c>
      <c r="AA6" s="34">
        <f>+BAT!AA6</f>
        <v>0</v>
      </c>
      <c r="AB6" s="34">
        <f>+BAT!AB6</f>
        <v>0</v>
      </c>
      <c r="AC6" s="35">
        <f>+BAT!AC6</f>
        <v>0</v>
      </c>
      <c r="AD6" s="34">
        <f>+BAT!AD6</f>
        <v>0</v>
      </c>
      <c r="AE6" s="34">
        <f>+BAT!AE6</f>
        <v>0</v>
      </c>
      <c r="AF6" s="34">
        <f>+BAT!AF6</f>
        <v>0</v>
      </c>
      <c r="AG6" s="34">
        <f>+BAT!AG6</f>
        <v>0</v>
      </c>
      <c r="AH6" s="34">
        <f>+BAT!AH6</f>
        <v>0</v>
      </c>
      <c r="AI6" s="34">
        <f>+BAT!AI6</f>
        <v>0</v>
      </c>
      <c r="AJ6" s="34">
        <f>+BAT!AJ6</f>
        <v>0</v>
      </c>
      <c r="AK6" s="47">
        <f>+BAT!AK6</f>
        <v>0</v>
      </c>
      <c r="AL6" s="34">
        <f>+BAT!AL6</f>
        <v>7.2</v>
      </c>
      <c r="AM6" s="34">
        <f>+BAT!AM6</f>
        <v>8.9</v>
      </c>
      <c r="AN6" s="34">
        <f>+BAT!AN6</f>
        <v>3.1</v>
      </c>
      <c r="AO6" s="34">
        <f>+BAT!AO6</f>
        <v>-1</v>
      </c>
      <c r="AP6" s="34">
        <f>+BAT!AP6</f>
        <v>0</v>
      </c>
      <c r="AQ6" s="35">
        <f>+BAT!AQ6</f>
        <v>0</v>
      </c>
      <c r="AR6" s="47">
        <f>+BAT!AR6</f>
        <v>61.199999999999996</v>
      </c>
      <c r="AS6" s="34">
        <f>+BAT!AS6</f>
        <v>55.949999999999996</v>
      </c>
      <c r="AT6" s="34">
        <f>+BAT!AT6</f>
        <v>60.099999999999994</v>
      </c>
      <c r="AU6" s="34">
        <f>+BAT!AU6</f>
        <v>62.5</v>
      </c>
      <c r="AV6" s="34">
        <f>+BAT!AV6</f>
        <v>63.1</v>
      </c>
      <c r="AW6" s="34">
        <f>+BAT!AW6</f>
        <v>72</v>
      </c>
      <c r="AX6" s="35">
        <f>+BAT!AX6</f>
        <v>68.400000000000006</v>
      </c>
      <c r="AY6" s="34">
        <f>+BAT!AY6</f>
        <v>31.799999999999997</v>
      </c>
      <c r="AZ6" s="34">
        <f>+BAT!AZ6</f>
        <v>26.349999999999994</v>
      </c>
      <c r="BA6" s="34">
        <f>+BAT!BA6</f>
        <v>29.099999999999998</v>
      </c>
      <c r="BB6" s="34">
        <f>+BAT!BB6</f>
        <v>34.959999999999994</v>
      </c>
      <c r="BC6" s="34">
        <f>+BAT!BC6</f>
        <v>37.460999999999999</v>
      </c>
      <c r="BD6" s="34">
        <f>+BAT!BD6</f>
        <v>45.31</v>
      </c>
      <c r="BE6" s="34">
        <f>+BAT!BE6</f>
        <v>39.680000000000007</v>
      </c>
      <c r="BF6" s="114">
        <f>+BAT!BF6</f>
        <v>0.12418300653594772</v>
      </c>
      <c r="BG6" s="115">
        <f>+BAT!BG6</f>
        <v>0.13047363717605004</v>
      </c>
      <c r="BH6" s="115">
        <f>+BAT!BH6</f>
        <v>0.15307820299500832</v>
      </c>
      <c r="BI6" s="115">
        <f>+BAT!BI6</f>
        <v>9.4400000000000012E-2</v>
      </c>
      <c r="BJ6" s="115">
        <f>+BAT!BJ6</f>
        <v>0.11251980982567353</v>
      </c>
      <c r="BK6" s="115">
        <f>+BAT!BK6</f>
        <v>0.1</v>
      </c>
      <c r="BL6" s="116">
        <f>+BAT!BL6</f>
        <v>0.10526315789473684</v>
      </c>
      <c r="CD6" s="34"/>
      <c r="CE6" s="34"/>
    </row>
    <row r="7" spans="1:83">
      <c r="A7" s="33" t="s">
        <v>18</v>
      </c>
      <c r="B7" s="47">
        <f>+FynBus!B10</f>
        <v>204.07900000000001</v>
      </c>
      <c r="C7" s="34">
        <f>+FynBus!C10</f>
        <v>139.02199999999999</v>
      </c>
      <c r="D7" s="34">
        <f>+FynBus!D10</f>
        <v>158.54300000000001</v>
      </c>
      <c r="E7" s="34">
        <f>+FynBus!E10</f>
        <v>191.602</v>
      </c>
      <c r="F7" s="34">
        <f>+FynBus!F10</f>
        <v>223.26979999999998</v>
      </c>
      <c r="G7" s="34">
        <f>+FynBus!G10</f>
        <v>232.77799999999999</v>
      </c>
      <c r="H7" s="35">
        <f>+FynBus!H10</f>
        <v>248.06900000000002</v>
      </c>
      <c r="I7" s="47">
        <f>+FynBus!I10</f>
        <v>567.88300000000004</v>
      </c>
      <c r="J7" s="34">
        <f>+FynBus!J10</f>
        <v>546.596</v>
      </c>
      <c r="K7" s="34">
        <f>+FynBus!K10</f>
        <v>581.34100000000001</v>
      </c>
      <c r="L7" s="34">
        <f>+FynBus!L10</f>
        <v>651.41300000000001</v>
      </c>
      <c r="M7" s="34">
        <f>+FynBus!M10</f>
        <v>667.52099999999996</v>
      </c>
      <c r="N7" s="34">
        <f>+FynBus!N10</f>
        <v>677.54</v>
      </c>
      <c r="O7" s="35">
        <f>+FynBus!O10</f>
        <v>688.57900000000006</v>
      </c>
      <c r="P7" s="34">
        <f>+FynBus!P10</f>
        <v>95.457999999999998</v>
      </c>
      <c r="Q7" s="34">
        <f>+FynBus!Q10</f>
        <v>97.18</v>
      </c>
      <c r="R7" s="34">
        <f>+FynBus!R10</f>
        <v>98.774000000000001</v>
      </c>
      <c r="S7" s="34">
        <f>+FynBus!S10</f>
        <v>110.05500000000001</v>
      </c>
      <c r="T7" s="34">
        <f>+FynBus!T10</f>
        <v>120.42099999999999</v>
      </c>
      <c r="U7" s="34">
        <f>+FynBus!U10</f>
        <v>126.642</v>
      </c>
      <c r="V7" s="34">
        <f>+FynBus!V10</f>
        <v>124.619</v>
      </c>
      <c r="W7" s="47">
        <f>+FynBus!W10</f>
        <v>5.5</v>
      </c>
      <c r="X7" s="34">
        <f>+FynBus!X10</f>
        <v>9.8000000000000007</v>
      </c>
      <c r="Y7" s="34">
        <f>+FynBus!Y10</f>
        <v>9.8000000000000007</v>
      </c>
      <c r="Z7" s="34">
        <f>+FynBus!Z10</f>
        <v>23.2</v>
      </c>
      <c r="AA7" s="34">
        <f>+FynBus!AA10</f>
        <v>7.3</v>
      </c>
      <c r="AB7" s="34">
        <f>+FynBus!AB10</f>
        <v>8.1</v>
      </c>
      <c r="AC7" s="35">
        <f>+FynBus!AC10</f>
        <v>11.9</v>
      </c>
      <c r="AD7" s="34">
        <f>+FynBus!AD10</f>
        <v>0.16400000000000001</v>
      </c>
      <c r="AE7" s="34">
        <f>+FynBus!AE10</f>
        <v>-0.13400000000000001</v>
      </c>
      <c r="AF7" s="34">
        <f>+FynBus!AF10</f>
        <v>3.2000000000000001E-2</v>
      </c>
      <c r="AG7" s="34">
        <f>+FynBus!AG10</f>
        <v>0.47499999999999998</v>
      </c>
      <c r="AH7" s="34">
        <f>+FynBus!AH10</f>
        <v>1.6020000000000001</v>
      </c>
      <c r="AI7" s="34">
        <f>+FynBus!AI10</f>
        <v>-0.45900000000000002</v>
      </c>
      <c r="AJ7" s="34">
        <f>+FynBus!AJ10</f>
        <v>0.20599999999999999</v>
      </c>
      <c r="AK7" s="47">
        <f>+FynBus!AK10</f>
        <v>0</v>
      </c>
      <c r="AL7" s="34">
        <f>+FynBus!AL10</f>
        <v>46.879000000000005</v>
      </c>
      <c r="AM7" s="34">
        <f>+FynBus!AM10</f>
        <v>53.165999999999997</v>
      </c>
      <c r="AN7" s="34">
        <f>+FynBus!AN10</f>
        <v>18.2</v>
      </c>
      <c r="AO7" s="34">
        <f>+FynBus!AO10</f>
        <v>10.816000000000001</v>
      </c>
      <c r="AP7" s="34">
        <f>+FynBus!AP10</f>
        <v>-0.35499999999999998</v>
      </c>
      <c r="AQ7" s="35">
        <f>+FynBus!AQ10</f>
        <v>0</v>
      </c>
      <c r="AR7" s="47">
        <f>+FynBus!AR10</f>
        <v>663.505</v>
      </c>
      <c r="AS7" s="34">
        <f>+FynBus!AS10</f>
        <v>643.64200000000005</v>
      </c>
      <c r="AT7" s="34">
        <f>+FynBus!AT10</f>
        <v>680.14700000000005</v>
      </c>
      <c r="AU7" s="34">
        <f>+FynBus!AU10</f>
        <v>761.9430000000001</v>
      </c>
      <c r="AV7" s="34">
        <f>+FynBus!AV10</f>
        <v>789.5440000000001</v>
      </c>
      <c r="AW7" s="34">
        <f>+FynBus!AW10</f>
        <v>803.72299999999996</v>
      </c>
      <c r="AX7" s="35">
        <f>+FynBus!AX10</f>
        <v>813.404</v>
      </c>
      <c r="AY7" s="34">
        <f>+FynBus!AY10</f>
        <v>459.26199999999994</v>
      </c>
      <c r="AZ7" s="34">
        <f>+FynBus!AZ10</f>
        <v>457.87499999999989</v>
      </c>
      <c r="BA7" s="34">
        <f>+FynBus!BA10</f>
        <v>468.40600000000006</v>
      </c>
      <c r="BB7" s="34">
        <f>+FynBus!BB10</f>
        <v>551.66600000000005</v>
      </c>
      <c r="BC7" s="34">
        <f>+FynBus!BC10</f>
        <v>553.85619999999994</v>
      </c>
      <c r="BD7" s="34">
        <f>+FynBus!BD10</f>
        <v>571.75900000000001</v>
      </c>
      <c r="BE7" s="34">
        <f>+FynBus!BE10</f>
        <v>565.12900000000002</v>
      </c>
      <c r="BF7" s="114">
        <f>+FynBus!BF10</f>
        <v>0.14386930015598978</v>
      </c>
      <c r="BG7" s="115">
        <f>+FynBus!BG10</f>
        <v>0.15098455352509624</v>
      </c>
      <c r="BH7" s="115">
        <f>+FynBus!BH10</f>
        <v>0.14522448823563142</v>
      </c>
      <c r="BI7" s="115">
        <f>+FynBus!BI10</f>
        <v>0.1444399384205905</v>
      </c>
      <c r="BJ7" s="115">
        <f>+FynBus!BJ10</f>
        <v>0.15251968224696785</v>
      </c>
      <c r="BK7" s="115">
        <f>+FynBus!BK10</f>
        <v>0.1575692122783596</v>
      </c>
      <c r="BL7" s="116">
        <f>+FynBus!BL10</f>
        <v>0.15320677055927928</v>
      </c>
      <c r="CD7" s="34"/>
      <c r="CE7" s="34"/>
    </row>
    <row r="8" spans="1:83" ht="16.5" customHeight="1">
      <c r="A8" s="33" t="s">
        <v>19</v>
      </c>
      <c r="B8" s="47">
        <f>+'Midttrafik '!B6</f>
        <v>785.5</v>
      </c>
      <c r="C8" s="34">
        <f>+'Midttrafik '!C6</f>
        <v>559.29999999999995</v>
      </c>
      <c r="D8" s="34">
        <f>+'Midttrafik '!D6</f>
        <v>570</v>
      </c>
      <c r="E8" s="34">
        <f>+'Midttrafik '!E6</f>
        <v>770.9</v>
      </c>
      <c r="F8" s="34">
        <f>+'Midttrafik '!F6</f>
        <v>842.90000000000009</v>
      </c>
      <c r="G8" s="34">
        <f>+'Midttrafik '!G6</f>
        <v>907.2</v>
      </c>
      <c r="H8" s="35">
        <f>+'Midttrafik '!H6</f>
        <v>900.5</v>
      </c>
      <c r="I8" s="47">
        <f>+'Midttrafik '!I6</f>
        <v>1887.2999999999997</v>
      </c>
      <c r="J8" s="34">
        <f>+'Midttrafik '!J6</f>
        <v>1892.5</v>
      </c>
      <c r="K8" s="34">
        <f>+'Midttrafik '!K6</f>
        <v>1996.2</v>
      </c>
      <c r="L8" s="34">
        <f>+'Midttrafik '!L6</f>
        <v>2163.6</v>
      </c>
      <c r="M8" s="34">
        <f>+'Midttrafik '!M6</f>
        <v>2171.7999999999997</v>
      </c>
      <c r="N8" s="34">
        <f>+'Midttrafik '!N6</f>
        <v>2250.1</v>
      </c>
      <c r="O8" s="35">
        <f>+'Midttrafik '!O6</f>
        <v>2318.9</v>
      </c>
      <c r="P8" s="34">
        <f>+'Midttrafik '!P6</f>
        <v>253.90000000000012</v>
      </c>
      <c r="Q8" s="34">
        <f>+'Midttrafik '!Q6</f>
        <v>226.60000000000002</v>
      </c>
      <c r="R8" s="34">
        <f>+'Midttrafik '!R6</f>
        <v>269.70000000000039</v>
      </c>
      <c r="S8" s="34">
        <f>+'Midttrafik '!S6</f>
        <v>263.50000000000028</v>
      </c>
      <c r="T8" s="34">
        <f>+'Midttrafik '!T6</f>
        <v>275.59999999999985</v>
      </c>
      <c r="U8" s="34">
        <f>+'Midttrafik '!U6</f>
        <v>279.10000000000002</v>
      </c>
      <c r="V8" s="34">
        <f>+'Midttrafik '!V6</f>
        <v>297.20000000000016</v>
      </c>
      <c r="W8" s="47">
        <f>+'Midttrafik '!W6</f>
        <v>1.8</v>
      </c>
      <c r="X8" s="34">
        <f>+'Midttrafik '!X6</f>
        <v>1.8</v>
      </c>
      <c r="Y8" s="34">
        <f>+'Midttrafik '!Y6</f>
        <v>1.8</v>
      </c>
      <c r="Z8" s="34">
        <f>+'Midttrafik '!Z6</f>
        <v>2.4</v>
      </c>
      <c r="AA8" s="34">
        <f>+'Midttrafik '!AA6</f>
        <v>2.6</v>
      </c>
      <c r="AB8" s="34">
        <f>+'Midttrafik '!AB6</f>
        <v>2.9</v>
      </c>
      <c r="AC8" s="35">
        <f>+'Midttrafik '!AC6</f>
        <v>7.6</v>
      </c>
      <c r="AD8" s="34">
        <f>+'Midttrafik '!AD6</f>
        <v>2.9</v>
      </c>
      <c r="AE8" s="34">
        <f>+'Midttrafik '!AE6</f>
        <v>-1.2</v>
      </c>
      <c r="AF8" s="34">
        <f>+'Midttrafik '!AF6</f>
        <v>4.3000000000000007</v>
      </c>
      <c r="AG8" s="34">
        <f>+'Midttrafik '!AG6</f>
        <v>13.799999999999999</v>
      </c>
      <c r="AH8" s="34">
        <f>+'Midttrafik '!AH6</f>
        <v>-10.3</v>
      </c>
      <c r="AI8" s="34">
        <f>+'Midttrafik '!AI6</f>
        <v>-10.4</v>
      </c>
      <c r="AJ8" s="34">
        <f>+'Midttrafik '!AJ6</f>
        <v>0</v>
      </c>
      <c r="AK8" s="47">
        <f>+'Midttrafik '!AK6</f>
        <v>0</v>
      </c>
      <c r="AL8" s="34">
        <f>+'Midttrafik '!AL6</f>
        <v>225.1</v>
      </c>
      <c r="AM8" s="34">
        <f>+'Midttrafik '!AM6</f>
        <v>267.3</v>
      </c>
      <c r="AN8" s="34">
        <f>+'Midttrafik '!AN6</f>
        <v>63.1</v>
      </c>
      <c r="AO8" s="34">
        <f>+'Midttrafik '!AO6</f>
        <v>40.700000000000003</v>
      </c>
      <c r="AP8" s="34">
        <f>+'Midttrafik '!AP6</f>
        <v>0</v>
      </c>
      <c r="AQ8" s="35">
        <f>+'Midttrafik '!AQ6</f>
        <v>0</v>
      </c>
      <c r="AR8" s="47">
        <f>+'Midttrafik '!AR6</f>
        <v>2145.8999999999996</v>
      </c>
      <c r="AS8" s="34">
        <f>+'Midttrafik '!AS6</f>
        <v>2119.6999999999998</v>
      </c>
      <c r="AT8" s="34">
        <f>+'Midttrafik '!AT6</f>
        <v>2272.0000000000005</v>
      </c>
      <c r="AU8" s="34">
        <f>+'Midttrafik '!AU6</f>
        <v>2443.3000000000002</v>
      </c>
      <c r="AV8" s="34">
        <f>+'Midttrafik '!AV6</f>
        <v>2439.6999999999998</v>
      </c>
      <c r="AW8" s="34">
        <f>+'Midttrafik '!AW6</f>
        <v>2521.6999999999998</v>
      </c>
      <c r="AX8" s="35">
        <f>+'Midttrafik '!AX6</f>
        <v>2623.7000000000003</v>
      </c>
      <c r="AY8" s="34">
        <f>+'Midttrafik '!AY6</f>
        <v>1360.3999999999996</v>
      </c>
      <c r="AZ8" s="34">
        <f>+'Midttrafik '!AZ6</f>
        <v>1335.3</v>
      </c>
      <c r="BA8" s="34">
        <f>+'Midttrafik '!BA6</f>
        <v>1434.7000000000005</v>
      </c>
      <c r="BB8" s="34">
        <f>+'Midttrafik '!BB6</f>
        <v>1609.3000000000002</v>
      </c>
      <c r="BC8" s="34">
        <f>+'Midttrafik '!BC6</f>
        <v>1556.1</v>
      </c>
      <c r="BD8" s="34">
        <f>+'Midttrafik '!BD6</f>
        <v>1614.4999999999998</v>
      </c>
      <c r="BE8" s="34">
        <f>+'Midttrafik '!BE6</f>
        <v>1723.2000000000003</v>
      </c>
      <c r="BF8" s="114">
        <f>+'Midttrafik '!BF6</f>
        <v>0.11831865417773436</v>
      </c>
      <c r="BG8" s="115">
        <f>+'Midttrafik '!BG6</f>
        <v>0.10690192008303064</v>
      </c>
      <c r="BH8" s="115">
        <f>+'Midttrafik '!BH6</f>
        <v>0.1187059859154931</v>
      </c>
      <c r="BI8" s="115">
        <f>+'Midttrafik '!BI6</f>
        <v>0.10784594605656295</v>
      </c>
      <c r="BJ8" s="115">
        <f>+'Midttrafik '!BJ6</f>
        <v>0.11296470877566908</v>
      </c>
      <c r="BK8" s="115">
        <f>+'Midttrafik '!BK6</f>
        <v>0.11067930364436691</v>
      </c>
      <c r="BL8" s="116">
        <f>+'Midttrafik '!BL6</f>
        <v>0.11327514578648479</v>
      </c>
      <c r="CD8" s="34"/>
      <c r="CE8" s="34"/>
    </row>
    <row r="9" spans="1:83">
      <c r="A9" s="33" t="s">
        <v>20</v>
      </c>
      <c r="B9" s="47">
        <f>+Movia!B6</f>
        <v>1930.1836005500011</v>
      </c>
      <c r="C9" s="34">
        <f>+Movia!C6</f>
        <v>1296.4217425500003</v>
      </c>
      <c r="D9" s="34">
        <f>+Movia!D6</f>
        <v>1417.6207944300004</v>
      </c>
      <c r="E9" s="34">
        <f>+Movia!E6</f>
        <v>1696.1998611799993</v>
      </c>
      <c r="F9" s="34">
        <f>+Movia!F6</f>
        <v>1934.6117928200017</v>
      </c>
      <c r="G9" s="34">
        <f>+Movia!G6</f>
        <v>2150.7303658656765</v>
      </c>
      <c r="H9" s="35">
        <f>+Movia!H6</f>
        <v>2201.8896495187996</v>
      </c>
      <c r="I9" s="47">
        <f>+Movia!I6</f>
        <v>4249.8941053999997</v>
      </c>
      <c r="J9" s="34">
        <f>+Movia!J6</f>
        <v>4154.2948247400018</v>
      </c>
      <c r="K9" s="34">
        <f>+Movia!K6</f>
        <v>4344.1483746199992</v>
      </c>
      <c r="L9" s="34">
        <f>+Movia!L6</f>
        <v>4825.1193493400006</v>
      </c>
      <c r="M9" s="34">
        <f>+Movia!M6</f>
        <v>4898.9099063999984</v>
      </c>
      <c r="N9" s="34">
        <f>+Movia!N6</f>
        <v>4796.9024042419132</v>
      </c>
      <c r="O9" s="35">
        <f>+Movia!O6</f>
        <v>4952.4077208293711</v>
      </c>
      <c r="P9" s="34">
        <f>+Movia!P6</f>
        <v>566.78858862000004</v>
      </c>
      <c r="Q9" s="34">
        <f>+Movia!Q6</f>
        <v>575.4363547400003</v>
      </c>
      <c r="R9" s="34">
        <f>+Movia!R6</f>
        <v>613.56112505000021</v>
      </c>
      <c r="S9" s="34">
        <f>+Movia!S6</f>
        <v>578.72373220000009</v>
      </c>
      <c r="T9" s="34">
        <f>+Movia!T6</f>
        <v>607.64706450000017</v>
      </c>
      <c r="U9" s="34">
        <f>+Movia!U6</f>
        <v>662.71364900000003</v>
      </c>
      <c r="V9" s="34">
        <f>+Movia!V6</f>
        <v>672.39998501363482</v>
      </c>
      <c r="W9" s="47">
        <f>+Movia!W6</f>
        <v>24.208850420000008</v>
      </c>
      <c r="X9" s="34">
        <f>+Movia!X6</f>
        <v>26.486531060000004</v>
      </c>
      <c r="Y9" s="34">
        <f>+Movia!Y6</f>
        <v>27.365421590000004</v>
      </c>
      <c r="Z9" s="34">
        <f>+Movia!Z6</f>
        <v>28.866960069999983</v>
      </c>
      <c r="AA9" s="34">
        <f>+Movia!AA6</f>
        <v>30.193125669999993</v>
      </c>
      <c r="AB9" s="34">
        <f>+Movia!AB6</f>
        <v>33.689000000000014</v>
      </c>
      <c r="AC9" s="35">
        <f>+Movia!AC6</f>
        <v>35.075385999999952</v>
      </c>
      <c r="AD9" s="34">
        <f>+Movia!AD6</f>
        <v>24.966937689999998</v>
      </c>
      <c r="AE9" s="34">
        <f>+Movia!AE6</f>
        <v>49.309492430000027</v>
      </c>
      <c r="AF9" s="34">
        <f>+Movia!AF6</f>
        <v>10.051604100000006</v>
      </c>
      <c r="AG9" s="34">
        <f>+Movia!AG6</f>
        <v>9.9907814799999599</v>
      </c>
      <c r="AH9" s="34">
        <f>+Movia!AH6</f>
        <v>17.921034009999964</v>
      </c>
      <c r="AI9" s="34">
        <f>+Movia!AI6</f>
        <v>9.5664959999999954</v>
      </c>
      <c r="AJ9" s="34">
        <f>+Movia!AJ6</f>
        <v>23.199995999999974</v>
      </c>
      <c r="AK9" s="47">
        <f>+Movia!AK6</f>
        <v>0</v>
      </c>
      <c r="AL9" s="34">
        <f>+Movia!AL6</f>
        <v>455.32421009000001</v>
      </c>
      <c r="AM9" s="34">
        <f>+Movia!AM6</f>
        <v>463.95719109000004</v>
      </c>
      <c r="AN9" s="34">
        <f>+Movia!AN6</f>
        <v>111.15260351000003</v>
      </c>
      <c r="AO9" s="34">
        <f>+Movia!AO6</f>
        <v>82.223011980000024</v>
      </c>
      <c r="AP9" s="34">
        <f>+Movia!AP6</f>
        <v>2.36</v>
      </c>
      <c r="AQ9" s="35">
        <f>+Movia!AQ6</f>
        <v>0</v>
      </c>
      <c r="AR9" s="47">
        <f>+Movia!AR6</f>
        <v>4865.8584821300001</v>
      </c>
      <c r="AS9" s="34">
        <f>+Movia!AS6</f>
        <v>4805.5272029700018</v>
      </c>
      <c r="AT9" s="34">
        <f>+Movia!AT6</f>
        <v>4995.1265253599995</v>
      </c>
      <c r="AU9" s="34">
        <f>+Movia!AU6</f>
        <v>5442.700823090001</v>
      </c>
      <c r="AV9" s="34">
        <f>+Movia!AV6</f>
        <v>5554.6711305799981</v>
      </c>
      <c r="AW9" s="34">
        <f>+Movia!AW6</f>
        <v>5502.8715492419133</v>
      </c>
      <c r="AX9" s="35">
        <f>+Movia!AX6</f>
        <v>5683.0830878430061</v>
      </c>
      <c r="AY9" s="34">
        <f>+Movia!AY6</f>
        <v>2935.6748815799992</v>
      </c>
      <c r="AZ9" s="34">
        <f>+Movia!AZ6</f>
        <v>3053.781250330002</v>
      </c>
      <c r="BA9" s="34">
        <f>+Movia!BA6</f>
        <v>3113.5485398399987</v>
      </c>
      <c r="BB9" s="34">
        <f>+Movia!BB6</f>
        <v>3635.3483584000023</v>
      </c>
      <c r="BC9" s="34">
        <f>+Movia!BC6</f>
        <v>3537.8363257799965</v>
      </c>
      <c r="BD9" s="34">
        <f>+Movia!BD6</f>
        <v>3349.7811833762371</v>
      </c>
      <c r="BE9" s="34">
        <f>+Movia!BE6</f>
        <v>3481.1934383242065</v>
      </c>
      <c r="BF9" s="114">
        <f>+Movia!BF6</f>
        <v>0.11648275236559938</v>
      </c>
      <c r="BG9" s="115">
        <f>+Movia!BG6</f>
        <v>0.11974468782204757</v>
      </c>
      <c r="BH9" s="115">
        <f>+Movia!BH6</f>
        <v>0.12283194868738201</v>
      </c>
      <c r="BI9" s="115">
        <f>+Movia!BI6</f>
        <v>0.10633024871490906</v>
      </c>
      <c r="BJ9" s="115">
        <f>+Movia!BJ6</f>
        <v>0.10939388673340809</v>
      </c>
      <c r="BK9" s="115">
        <f>+Movia!BK6</f>
        <v>0.12043051397252709</v>
      </c>
      <c r="BL9" s="116">
        <f>+Movia!BL6</f>
        <v>0.11831605743227692</v>
      </c>
      <c r="CD9" s="34"/>
      <c r="CE9" s="34"/>
    </row>
    <row r="10" spans="1:83">
      <c r="A10" s="33" t="s">
        <v>21</v>
      </c>
      <c r="B10" s="47">
        <f>+NT!B6</f>
        <v>382.59403203704477</v>
      </c>
      <c r="C10" s="34">
        <f>+NT!C6</f>
        <v>265.28349840999999</v>
      </c>
      <c r="D10" s="34">
        <f>+NT!D6</f>
        <v>276.6942626500001</v>
      </c>
      <c r="E10" s="34">
        <f>+NT!E6</f>
        <v>351.11101701000007</v>
      </c>
      <c r="F10" s="34">
        <f>+NT!F6</f>
        <v>395.21592520999991</v>
      </c>
      <c r="G10" s="34">
        <f>+NT!G6</f>
        <v>416.41034458743047</v>
      </c>
      <c r="H10" s="35">
        <f>+NT!H6</f>
        <v>439.20106755739187</v>
      </c>
      <c r="I10" s="47">
        <f>+NT!I6</f>
        <v>1136.2315403188979</v>
      </c>
      <c r="J10" s="34">
        <f>+NT!J6</f>
        <v>1129.1949063642501</v>
      </c>
      <c r="K10" s="34">
        <f>+NT!K6</f>
        <v>1208.846907616901</v>
      </c>
      <c r="L10" s="34">
        <f>+NT!L6</f>
        <v>1330.3607862299993</v>
      </c>
      <c r="M10" s="34">
        <f>+NT!M6</f>
        <v>1352.8327608451011</v>
      </c>
      <c r="N10" s="34">
        <f>+NT!N6</f>
        <v>1385.542696361568</v>
      </c>
      <c r="O10" s="35">
        <f>+NT!O6</f>
        <v>1474.6056377862756</v>
      </c>
      <c r="P10" s="34">
        <f>+NT!P6</f>
        <v>137.63015576999999</v>
      </c>
      <c r="Q10" s="34">
        <f>+NT!Q6</f>
        <v>142.04317803999999</v>
      </c>
      <c r="R10" s="34">
        <f>+NT!R6</f>
        <v>137.55922345000002</v>
      </c>
      <c r="S10" s="34">
        <f>+NT!S6</f>
        <v>134.50826977000006</v>
      </c>
      <c r="T10" s="34">
        <f>+NT!T6</f>
        <v>146.82994459999998</v>
      </c>
      <c r="U10" s="34">
        <f>+NT!U6</f>
        <v>151.40659999273328</v>
      </c>
      <c r="V10" s="34">
        <f>+NT!V6</f>
        <v>162.00250410778605</v>
      </c>
      <c r="W10" s="47">
        <f>+NT!W6</f>
        <v>0</v>
      </c>
      <c r="X10" s="34">
        <f>+NT!X6</f>
        <v>0</v>
      </c>
      <c r="Y10" s="34">
        <f>+NT!Y6</f>
        <v>0</v>
      </c>
      <c r="Z10" s="34">
        <f>+NT!Z6</f>
        <v>0</v>
      </c>
      <c r="AA10" s="34">
        <f>+NT!AA6</f>
        <v>0</v>
      </c>
      <c r="AB10" s="34">
        <f>+NT!AB6</f>
        <v>0</v>
      </c>
      <c r="AC10" s="35">
        <f>+NT!AC6</f>
        <v>0</v>
      </c>
      <c r="AD10" s="34">
        <f>+NT!AD6</f>
        <v>3.4847236399999999</v>
      </c>
      <c r="AE10" s="34">
        <f>+NT!AE6</f>
        <v>5.9209670100000009</v>
      </c>
      <c r="AF10" s="34">
        <f>+NT!AF6</f>
        <v>3.4310202799999989</v>
      </c>
      <c r="AG10" s="34">
        <f>+NT!AG6</f>
        <v>0.80615717000000009</v>
      </c>
      <c r="AH10" s="34">
        <f>+NT!AH6</f>
        <v>6.4677215000000023</v>
      </c>
      <c r="AI10" s="34">
        <f>+NT!AI6</f>
        <v>3.6242549100000003</v>
      </c>
      <c r="AJ10" s="34">
        <f>+NT!AJ6</f>
        <v>6.6783296200000004</v>
      </c>
      <c r="AK10" s="47">
        <f>+NT!AK6</f>
        <v>0</v>
      </c>
      <c r="AL10" s="34">
        <f>+NT!AL6</f>
        <v>112.89835561685756</v>
      </c>
      <c r="AM10" s="34">
        <f>+NT!AM6</f>
        <v>156.26189984009392</v>
      </c>
      <c r="AN10" s="34">
        <f>+NT!AN6</f>
        <v>46.079558450000007</v>
      </c>
      <c r="AO10" s="34">
        <f>+NT!AO6</f>
        <v>18.767832257421954</v>
      </c>
      <c r="AP10" s="34">
        <f>+NT!AP6</f>
        <v>-0.94915802999999999</v>
      </c>
      <c r="AQ10" s="35">
        <f>+NT!AQ6</f>
        <v>0</v>
      </c>
      <c r="AR10" s="47">
        <f>+NT!AR6</f>
        <v>1277.3464197288979</v>
      </c>
      <c r="AS10" s="34">
        <f>+NT!AS6</f>
        <v>1277.1590514142501</v>
      </c>
      <c r="AT10" s="34">
        <f>+NT!AT6</f>
        <v>1349.837151346901</v>
      </c>
      <c r="AU10" s="34">
        <f>+NT!AU6</f>
        <v>1465.6752131699993</v>
      </c>
      <c r="AV10" s="34">
        <f>+NT!AV6</f>
        <v>1506.1304269451011</v>
      </c>
      <c r="AW10" s="34">
        <f>+NT!AW6</f>
        <v>1540.5735512643014</v>
      </c>
      <c r="AX10" s="35">
        <f>+NT!AX6</f>
        <v>1643.2864715140615</v>
      </c>
      <c r="AY10" s="34">
        <f>+NT!AY6</f>
        <v>894.75238769185307</v>
      </c>
      <c r="AZ10" s="34">
        <f>+NT!AZ6</f>
        <v>898.97719738739261</v>
      </c>
      <c r="BA10" s="34">
        <f>+NT!BA6</f>
        <v>916.88098885680688</v>
      </c>
      <c r="BB10" s="34">
        <f>+NT!BB6</f>
        <v>1068.4846377099993</v>
      </c>
      <c r="BC10" s="34">
        <f>+NT!BC6</f>
        <v>1092.1466694776791</v>
      </c>
      <c r="BD10" s="34">
        <f>+NT!BD6</f>
        <v>1125.1123647068709</v>
      </c>
      <c r="BE10" s="34">
        <f>+NT!BE6</f>
        <v>1204.0854039566698</v>
      </c>
      <c r="BF10" s="114">
        <f>+NT!BF6</f>
        <v>0.10774693038965139</v>
      </c>
      <c r="BG10" s="117">
        <f>+NT!BG6</f>
        <v>0.11121808038138226</v>
      </c>
      <c r="BH10" s="117">
        <f>+NT!BH6</f>
        <v>0.10190801409839699</v>
      </c>
      <c r="BI10" s="117">
        <f>+NT!BI6</f>
        <v>9.1772221131503059E-2</v>
      </c>
      <c r="BJ10" s="117">
        <f>+NT!BJ6</f>
        <v>9.7488200207080711E-2</v>
      </c>
      <c r="BK10" s="117">
        <f>+NT!BK6</f>
        <v>9.8279371256554768E-2</v>
      </c>
      <c r="BL10" s="116">
        <f>+NT!BL6</f>
        <v>9.8584456767615888E-2</v>
      </c>
      <c r="CD10" s="34"/>
      <c r="CE10" s="34"/>
    </row>
    <row r="11" spans="1:83">
      <c r="A11" s="33" t="s">
        <v>22</v>
      </c>
      <c r="B11" s="47">
        <f>+Sydtrafik!B6</f>
        <v>264.5</v>
      </c>
      <c r="C11" s="34">
        <f>+Sydtrafik!C6</f>
        <v>200.7</v>
      </c>
      <c r="D11" s="34">
        <f>+Sydtrafik!D6</f>
        <v>177.1</v>
      </c>
      <c r="E11" s="34">
        <f>+Sydtrafik!E6</f>
        <v>246.3</v>
      </c>
      <c r="F11" s="34">
        <f>+Sydtrafik!F6</f>
        <v>259.5</v>
      </c>
      <c r="G11" s="34">
        <f>+Sydtrafik!G6</f>
        <v>269.59999999999997</v>
      </c>
      <c r="H11" s="35">
        <f>+Sydtrafik!H6</f>
        <v>267.89999999999998</v>
      </c>
      <c r="I11" s="47">
        <f>+Sydtrafik!I6</f>
        <v>892.50000000000011</v>
      </c>
      <c r="J11" s="34">
        <f>+Sydtrafik!J6</f>
        <v>863</v>
      </c>
      <c r="K11" s="34">
        <f>+Sydtrafik!K6</f>
        <v>860.40000000000009</v>
      </c>
      <c r="L11" s="34">
        <f>+Sydtrafik!L6</f>
        <v>933.69999999999993</v>
      </c>
      <c r="M11" s="34">
        <f>+Sydtrafik!M6</f>
        <v>971.49999999999977</v>
      </c>
      <c r="N11" s="34">
        <f>+Sydtrafik!N6</f>
        <v>990.69999999999993</v>
      </c>
      <c r="O11" s="35">
        <f>+Sydtrafik!O6</f>
        <v>1002.0999999999999</v>
      </c>
      <c r="P11" s="34">
        <f>+Sydtrafik!P6</f>
        <v>114.6</v>
      </c>
      <c r="Q11" s="34">
        <f>+Sydtrafik!Q6</f>
        <v>113.09999999999998</v>
      </c>
      <c r="R11" s="34">
        <f>+Sydtrafik!R6</f>
        <v>104.50000000000001</v>
      </c>
      <c r="S11" s="34">
        <f>+Sydtrafik!S6</f>
        <v>117.30000000000001</v>
      </c>
      <c r="T11" s="34">
        <f>+Sydtrafik!T6</f>
        <v>112.9</v>
      </c>
      <c r="U11" s="34">
        <f>+Sydtrafik!U6</f>
        <v>121.40000000000002</v>
      </c>
      <c r="V11" s="34">
        <f>+Sydtrafik!V6</f>
        <v>129.9</v>
      </c>
      <c r="W11" s="47">
        <f>+Sydtrafik!W6</f>
        <v>0</v>
      </c>
      <c r="X11" s="34">
        <f>+Sydtrafik!X6</f>
        <v>0</v>
      </c>
      <c r="Y11" s="34">
        <f>+Sydtrafik!Y6</f>
        <v>0</v>
      </c>
      <c r="Z11" s="34">
        <f>+Sydtrafik!Z6</f>
        <v>0</v>
      </c>
      <c r="AA11" s="34">
        <f>+Sydtrafik!AA6</f>
        <v>0</v>
      </c>
      <c r="AB11" s="34">
        <f>+Sydtrafik!AB6</f>
        <v>0</v>
      </c>
      <c r="AC11" s="35">
        <f>+Sydtrafik!AC6</f>
        <v>0</v>
      </c>
      <c r="AD11" s="34">
        <f>+Sydtrafik!AD6</f>
        <v>0.3</v>
      </c>
      <c r="AE11" s="34">
        <f>+Sydtrafik!AE6</f>
        <v>0.7</v>
      </c>
      <c r="AF11" s="34">
        <f>+Sydtrafik!AF6</f>
        <v>0.2</v>
      </c>
      <c r="AG11" s="34">
        <f>+Sydtrafik!AG6</f>
        <v>0.8</v>
      </c>
      <c r="AH11" s="34">
        <f>+Sydtrafik!AH6</f>
        <v>-1.3</v>
      </c>
      <c r="AI11" s="34">
        <f>+Sydtrafik!AI6</f>
        <v>-1.8</v>
      </c>
      <c r="AJ11" s="34">
        <f>+Sydtrafik!AJ6</f>
        <v>-0.9</v>
      </c>
      <c r="AK11" s="47">
        <f>+Sydtrafik!AK6</f>
        <v>0</v>
      </c>
      <c r="AL11" s="34">
        <f>+Sydtrafik!AL6</f>
        <v>46</v>
      </c>
      <c r="AM11" s="34">
        <f>+Sydtrafik!AM6</f>
        <v>88.1</v>
      </c>
      <c r="AN11" s="34">
        <f>+Sydtrafik!AN6</f>
        <v>26.2</v>
      </c>
      <c r="AO11" s="34">
        <f>+Sydtrafik!AO6</f>
        <v>9.1999999999999993</v>
      </c>
      <c r="AP11" s="34">
        <f>+Sydtrafik!AP6</f>
        <v>0.2</v>
      </c>
      <c r="AQ11" s="35">
        <f>+Sydtrafik!AQ6</f>
        <v>0</v>
      </c>
      <c r="AR11" s="47">
        <f>+Sydtrafik!AR6</f>
        <v>1007.4000000000001</v>
      </c>
      <c r="AS11" s="34">
        <f>+Sydtrafik!AS6</f>
        <v>976.8</v>
      </c>
      <c r="AT11" s="34">
        <f>+Sydtrafik!AT6</f>
        <v>965.10000000000014</v>
      </c>
      <c r="AU11" s="34">
        <f>+Sydtrafik!AU6</f>
        <v>1051.8</v>
      </c>
      <c r="AV11" s="34">
        <f>+Sydtrafik!AV6</f>
        <v>1083.0999999999997</v>
      </c>
      <c r="AW11" s="34">
        <f>+Sydtrafik!AW6</f>
        <v>1110.3</v>
      </c>
      <c r="AX11" s="35">
        <f>+Sydtrafik!AX6</f>
        <v>1131.0999999999999</v>
      </c>
      <c r="AY11" s="34">
        <f>+Sydtrafik!AY6</f>
        <v>742.90000000000009</v>
      </c>
      <c r="AZ11" s="34">
        <f>+Sydtrafik!AZ6</f>
        <v>730.09999999999991</v>
      </c>
      <c r="BA11" s="34">
        <f>+Sydtrafik!BA6</f>
        <v>699.90000000000009</v>
      </c>
      <c r="BB11" s="34">
        <f>+Sydtrafik!BB6</f>
        <v>779.3</v>
      </c>
      <c r="BC11" s="34">
        <f>+Sydtrafik!BC6</f>
        <v>814.39999999999964</v>
      </c>
      <c r="BD11" s="34">
        <f>+Sydtrafik!BD6</f>
        <v>840.5</v>
      </c>
      <c r="BE11" s="34">
        <f>+Sydtrafik!BE6</f>
        <v>863.19999999999993</v>
      </c>
      <c r="BF11" s="114">
        <f>+Sydtrafik!BF6</f>
        <v>0.11375818939845145</v>
      </c>
      <c r="BG11" s="117">
        <f>+Sydtrafik!BG6</f>
        <v>0.11578624078624077</v>
      </c>
      <c r="BH11" s="117">
        <f>+Sydtrafik!BH6</f>
        <v>0.10827893482540669</v>
      </c>
      <c r="BI11" s="117">
        <f>+Sydtrafik!BI6</f>
        <v>0.11152310325156875</v>
      </c>
      <c r="BJ11" s="117">
        <f>+Sydtrafik!BJ6</f>
        <v>0.10423783584156592</v>
      </c>
      <c r="BK11" s="117">
        <f>+Sydtrafik!BK6</f>
        <v>0.10933981806718907</v>
      </c>
      <c r="BL11" s="116">
        <f>+Sydtrafik!BL6</f>
        <v>0.11484395720979579</v>
      </c>
      <c r="CD11" s="34"/>
      <c r="CE11" s="34"/>
    </row>
    <row r="12" spans="1:83" ht="16.5" thickBot="1">
      <c r="A12" s="36" t="s">
        <v>23</v>
      </c>
      <c r="B12" s="39">
        <f t="shared" ref="B12:AP12" si="0">SUBTOTAL(9,B6:B11)</f>
        <v>3596.2566325870457</v>
      </c>
      <c r="C12" s="37">
        <f t="shared" si="0"/>
        <v>2483.1272409600001</v>
      </c>
      <c r="D12" s="37">
        <f t="shared" si="0"/>
        <v>2622.0580570800003</v>
      </c>
      <c r="E12" s="37">
        <f t="shared" si="0"/>
        <v>3280.5528781899993</v>
      </c>
      <c r="F12" s="37">
        <f t="shared" si="0"/>
        <v>3682.1365180300018</v>
      </c>
      <c r="G12" s="37">
        <f t="shared" si="0"/>
        <v>4003.4087104531068</v>
      </c>
      <c r="H12" s="38">
        <f>SUBTOTAL(9,H6:H11)</f>
        <v>4086.2797170761919</v>
      </c>
      <c r="I12" s="37">
        <f>SUM(I6:I11)</f>
        <v>8787.4086457188987</v>
      </c>
      <c r="J12" s="37">
        <f t="shared" ref="J12:O12" si="1">SUM(J6:J11)</f>
        <v>8634.2357311042524</v>
      </c>
      <c r="K12" s="37">
        <f t="shared" si="1"/>
        <v>9041.8362822368999</v>
      </c>
      <c r="L12" s="37">
        <f t="shared" si="1"/>
        <v>9960.7931355700002</v>
      </c>
      <c r="M12" s="37">
        <f t="shared" si="1"/>
        <v>10118.5636672451</v>
      </c>
      <c r="N12" s="37">
        <f t="shared" si="1"/>
        <v>10165.585100603481</v>
      </c>
      <c r="O12" s="37">
        <f t="shared" si="1"/>
        <v>10497.792358615647</v>
      </c>
      <c r="P12" s="37">
        <f t="shared" si="0"/>
        <v>1175.97674439</v>
      </c>
      <c r="Q12" s="37">
        <f t="shared" si="0"/>
        <v>1161.6595327800003</v>
      </c>
      <c r="R12" s="37">
        <f t="shared" si="0"/>
        <v>1233.2943485000005</v>
      </c>
      <c r="S12" s="37">
        <f t="shared" si="0"/>
        <v>1209.9870019700004</v>
      </c>
      <c r="T12" s="37">
        <f t="shared" si="0"/>
        <v>1270.4980091000002</v>
      </c>
      <c r="U12" s="37">
        <f t="shared" si="0"/>
        <v>1348.4622489927333</v>
      </c>
      <c r="V12" s="37">
        <f>SUBTOTAL(9,V6:V11)</f>
        <v>1393.3214891214211</v>
      </c>
      <c r="W12" s="39">
        <f>SUM(W6:W11)</f>
        <v>31.508850420000009</v>
      </c>
      <c r="X12" s="37">
        <f t="shared" ref="X12:AC12" si="2">SUM(X6:X11)</f>
        <v>38.086531060000006</v>
      </c>
      <c r="Y12" s="37">
        <f t="shared" si="2"/>
        <v>38.965421590000005</v>
      </c>
      <c r="Z12" s="37">
        <f t="shared" si="2"/>
        <v>54.466960069999985</v>
      </c>
      <c r="AA12" s="37">
        <f t="shared" si="2"/>
        <v>40.093125669999992</v>
      </c>
      <c r="AB12" s="37">
        <f t="shared" si="2"/>
        <v>44.689000000000014</v>
      </c>
      <c r="AC12" s="38">
        <f t="shared" si="2"/>
        <v>54.575385999999952</v>
      </c>
      <c r="AD12" s="40">
        <f t="shared" si="0"/>
        <v>31.815661329999998</v>
      </c>
      <c r="AE12" s="40">
        <f t="shared" si="0"/>
        <v>54.596459440000025</v>
      </c>
      <c r="AF12" s="40">
        <f t="shared" si="0"/>
        <v>18.014624380000004</v>
      </c>
      <c r="AG12" s="40">
        <f t="shared" si="0"/>
        <v>25.871938649999958</v>
      </c>
      <c r="AH12" s="40">
        <f t="shared" si="0"/>
        <v>14.390755509999966</v>
      </c>
      <c r="AI12" s="40">
        <f t="shared" si="0"/>
        <v>0.53175090999999575</v>
      </c>
      <c r="AJ12" s="40">
        <f>SUBTOTAL(9,AJ6:AJ11)</f>
        <v>29.184325619999974</v>
      </c>
      <c r="AK12" s="52">
        <f t="shared" si="0"/>
        <v>0</v>
      </c>
      <c r="AL12" s="40">
        <f t="shared" si="0"/>
        <v>893.40156570685758</v>
      </c>
      <c r="AM12" s="40">
        <f t="shared" si="0"/>
        <v>1037.6850909300938</v>
      </c>
      <c r="AN12" s="40">
        <f t="shared" si="0"/>
        <v>267.83216196000006</v>
      </c>
      <c r="AO12" s="40">
        <f t="shared" si="0"/>
        <v>160.70684423742199</v>
      </c>
      <c r="AP12" s="40">
        <f t="shared" si="0"/>
        <v>1.2558419699999999</v>
      </c>
      <c r="AQ12" s="41">
        <f>SUBTOTAL(9,AQ6:AQ11)</f>
        <v>0</v>
      </c>
      <c r="AR12" s="118">
        <f>+AD12+W12+P12+I12</f>
        <v>10026.7099018589</v>
      </c>
      <c r="AS12" s="69">
        <f t="shared" ref="AS12:AX12" si="3">+AE12+X12+Q12+J12</f>
        <v>9888.5782543842524</v>
      </c>
      <c r="AT12" s="69">
        <f t="shared" si="3"/>
        <v>10332.1106767069</v>
      </c>
      <c r="AU12" s="69">
        <f t="shared" si="3"/>
        <v>11251.119036260001</v>
      </c>
      <c r="AV12" s="69">
        <f t="shared" si="3"/>
        <v>11443.5455575251</v>
      </c>
      <c r="AW12" s="69">
        <f t="shared" si="3"/>
        <v>11559.268100506215</v>
      </c>
      <c r="AX12" s="119">
        <f t="shared" si="3"/>
        <v>11974.873559357067</v>
      </c>
      <c r="AY12" s="118">
        <f>SUM(AY6:AY11)</f>
        <v>6424.7892692718524</v>
      </c>
      <c r="AZ12" s="69">
        <f t="shared" ref="AZ12:BE12" si="4">SUM(AZ6:AZ11)</f>
        <v>6502.383447717395</v>
      </c>
      <c r="BA12" s="69">
        <f t="shared" si="4"/>
        <v>6662.5355286968061</v>
      </c>
      <c r="BB12" s="69">
        <f t="shared" si="4"/>
        <v>7679.0589961100022</v>
      </c>
      <c r="BC12" s="69">
        <f t="shared" si="4"/>
        <v>7591.8001952576751</v>
      </c>
      <c r="BD12" s="69">
        <f t="shared" si="4"/>
        <v>7546.9625480831073</v>
      </c>
      <c r="BE12" s="119">
        <f t="shared" si="4"/>
        <v>7876.4878422808752</v>
      </c>
      <c r="BF12" s="70">
        <f t="shared" ref="BF12:BL12" si="5">+P12/AR12</f>
        <v>0.11728440893377998</v>
      </c>
      <c r="BG12" s="71">
        <f t="shared" si="5"/>
        <v>0.11747487888513809</v>
      </c>
      <c r="BH12" s="71">
        <f t="shared" si="5"/>
        <v>0.11936518946514829</v>
      </c>
      <c r="BI12" s="71">
        <f t="shared" si="5"/>
        <v>0.10754370281484585</v>
      </c>
      <c r="BJ12" s="71">
        <f t="shared" si="5"/>
        <v>0.11102310929015703</v>
      </c>
      <c r="BK12" s="71">
        <f t="shared" si="5"/>
        <v>0.11665636935384172</v>
      </c>
      <c r="BL12" s="72">
        <f t="shared" si="5"/>
        <v>0.11635375373401677</v>
      </c>
    </row>
    <row r="13" spans="1:83" ht="16.5" thickTop="1">
      <c r="A13" s="51" t="s">
        <v>24</v>
      </c>
      <c r="AS13" s="120"/>
      <c r="AT13" s="120"/>
      <c r="AU13" s="120"/>
      <c r="AV13" s="120"/>
      <c r="AW13" s="120"/>
      <c r="AX13" s="120"/>
    </row>
    <row r="14" spans="1:83">
      <c r="A14" s="51"/>
    </row>
    <row r="15" spans="1:83">
      <c r="A15" s="51" t="s">
        <v>25</v>
      </c>
      <c r="B15" s="64">
        <f>+AD15</f>
        <v>1</v>
      </c>
      <c r="C15" s="64">
        <f t="shared" ref="C15:H15" si="6">+AE15</f>
        <v>1.0209999999999999</v>
      </c>
      <c r="D15" s="64">
        <f t="shared" si="6"/>
        <v>1.0383569999999998</v>
      </c>
      <c r="E15" s="64">
        <f t="shared" si="6"/>
        <v>1.0767762089999997</v>
      </c>
      <c r="F15" s="64">
        <f t="shared" si="6"/>
        <v>1.1069259428519997</v>
      </c>
      <c r="G15" s="64">
        <f t="shared" si="6"/>
        <v>1.1567376102803397</v>
      </c>
      <c r="H15" s="64">
        <f t="shared" si="6"/>
        <v>1.201850377081273</v>
      </c>
      <c r="I15" s="64">
        <f>+B15</f>
        <v>1</v>
      </c>
      <c r="J15" s="64">
        <f t="shared" ref="J15:O15" si="7">+C15</f>
        <v>1.0209999999999999</v>
      </c>
      <c r="K15" s="64">
        <f t="shared" si="7"/>
        <v>1.0383569999999998</v>
      </c>
      <c r="L15" s="64">
        <f t="shared" si="7"/>
        <v>1.0767762089999997</v>
      </c>
      <c r="M15" s="64">
        <f t="shared" si="7"/>
        <v>1.1069259428519997</v>
      </c>
      <c r="N15" s="64">
        <f t="shared" si="7"/>
        <v>1.1567376102803397</v>
      </c>
      <c r="O15" s="64">
        <f t="shared" si="7"/>
        <v>1.201850377081273</v>
      </c>
      <c r="P15" s="64">
        <f>+I15</f>
        <v>1</v>
      </c>
      <c r="Q15" s="64">
        <f t="shared" ref="Q15:V15" si="8">+J15</f>
        <v>1.0209999999999999</v>
      </c>
      <c r="R15" s="64">
        <f t="shared" si="8"/>
        <v>1.0383569999999998</v>
      </c>
      <c r="S15" s="64">
        <f t="shared" si="8"/>
        <v>1.0767762089999997</v>
      </c>
      <c r="T15" s="64">
        <f t="shared" si="8"/>
        <v>1.1069259428519997</v>
      </c>
      <c r="U15" s="64">
        <f t="shared" si="8"/>
        <v>1.1567376102803397</v>
      </c>
      <c r="V15" s="64">
        <f t="shared" si="8"/>
        <v>1.201850377081273</v>
      </c>
      <c r="W15" s="64">
        <f>+P15</f>
        <v>1</v>
      </c>
      <c r="X15" s="64">
        <f t="shared" ref="X15:AC15" si="9">+Q15</f>
        <v>1.0209999999999999</v>
      </c>
      <c r="Y15" s="64">
        <f t="shared" si="9"/>
        <v>1.0383569999999998</v>
      </c>
      <c r="Z15" s="64">
        <f t="shared" si="9"/>
        <v>1.0767762089999997</v>
      </c>
      <c r="AA15" s="64">
        <f t="shared" si="9"/>
        <v>1.1069259428519997</v>
      </c>
      <c r="AB15" s="64">
        <f t="shared" si="9"/>
        <v>1.1567376102803397</v>
      </c>
      <c r="AC15" s="64">
        <f t="shared" si="9"/>
        <v>1.201850377081273</v>
      </c>
      <c r="AD15" s="63">
        <f>+'PL fra KL'!M33</f>
        <v>1</v>
      </c>
      <c r="AE15" s="63">
        <f>+'PL fra KL'!M34</f>
        <v>1.0209999999999999</v>
      </c>
      <c r="AF15" s="63">
        <f>+'PL fra KL'!M35</f>
        <v>1.0383569999999998</v>
      </c>
      <c r="AG15" s="63">
        <f>+'PL fra KL'!M36</f>
        <v>1.0767762089999997</v>
      </c>
      <c r="AH15" s="63">
        <f>+'PL fra KL'!M37</f>
        <v>1.1069259428519997</v>
      </c>
      <c r="AI15" s="63">
        <f>+'PL fra KL'!M38</f>
        <v>1.1567376102803397</v>
      </c>
      <c r="AJ15" s="63">
        <f>+'PL fra KL'!M39</f>
        <v>1.201850377081273</v>
      </c>
      <c r="AK15" s="64">
        <f>+AD15</f>
        <v>1</v>
      </c>
      <c r="AL15" s="64">
        <f t="shared" ref="AL15:AQ15" si="10">+AE15</f>
        <v>1.0209999999999999</v>
      </c>
      <c r="AM15" s="64">
        <f t="shared" si="10"/>
        <v>1.0383569999999998</v>
      </c>
      <c r="AN15" s="64">
        <f t="shared" si="10"/>
        <v>1.0767762089999997</v>
      </c>
      <c r="AO15" s="64">
        <f t="shared" si="10"/>
        <v>1.1069259428519997</v>
      </c>
      <c r="AP15" s="64">
        <f t="shared" si="10"/>
        <v>1.1567376102803397</v>
      </c>
      <c r="AQ15" s="64">
        <f t="shared" si="10"/>
        <v>1.201850377081273</v>
      </c>
      <c r="AR15" s="64">
        <f>+AK15</f>
        <v>1</v>
      </c>
      <c r="AS15" s="64">
        <f t="shared" ref="AS15:AX15" si="11">+AL15</f>
        <v>1.0209999999999999</v>
      </c>
      <c r="AT15" s="64">
        <f t="shared" si="11"/>
        <v>1.0383569999999998</v>
      </c>
      <c r="AU15" s="64">
        <f t="shared" si="11"/>
        <v>1.0767762089999997</v>
      </c>
      <c r="AV15" s="64">
        <f t="shared" si="11"/>
        <v>1.1069259428519997</v>
      </c>
      <c r="AW15" s="64">
        <f t="shared" si="11"/>
        <v>1.1567376102803397</v>
      </c>
      <c r="AX15" s="64">
        <f t="shared" si="11"/>
        <v>1.201850377081273</v>
      </c>
      <c r="AY15" s="64">
        <f>+AR15</f>
        <v>1</v>
      </c>
      <c r="AZ15" s="64">
        <f t="shared" ref="AZ15:BE15" si="12">+AS15</f>
        <v>1.0209999999999999</v>
      </c>
      <c r="BA15" s="64">
        <f t="shared" si="12"/>
        <v>1.0383569999999998</v>
      </c>
      <c r="BB15" s="64">
        <f t="shared" si="12"/>
        <v>1.0767762089999997</v>
      </c>
      <c r="BC15" s="64">
        <f t="shared" si="12"/>
        <v>1.1069259428519997</v>
      </c>
      <c r="BD15" s="64">
        <f t="shared" si="12"/>
        <v>1.1567376102803397</v>
      </c>
      <c r="BE15" s="64">
        <f t="shared" si="12"/>
        <v>1.201850377081273</v>
      </c>
    </row>
    <row r="16" spans="1:83">
      <c r="A16" s="51" t="s">
        <v>26</v>
      </c>
      <c r="AD16" s="63"/>
      <c r="AE16" s="63"/>
      <c r="AF16" s="63"/>
      <c r="AG16" s="63"/>
      <c r="AH16" s="63"/>
      <c r="AI16" s="63"/>
      <c r="AJ16" s="63"/>
      <c r="AK16" s="64"/>
      <c r="AL16" s="64"/>
      <c r="AM16" s="64"/>
      <c r="AN16" s="64"/>
      <c r="AO16" s="64"/>
      <c r="AP16" s="64"/>
      <c r="AQ16" s="64"/>
    </row>
    <row r="17" spans="1:83">
      <c r="A17" s="73" t="s">
        <v>27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</row>
    <row r="18" spans="1:83" s="5" customFormat="1" ht="41.1" customHeight="1">
      <c r="A18" s="75"/>
      <c r="B18" s="140" t="s">
        <v>28</v>
      </c>
      <c r="C18" s="141"/>
      <c r="D18" s="141"/>
      <c r="E18" s="141"/>
      <c r="F18" s="141"/>
      <c r="G18" s="141"/>
      <c r="H18" s="142"/>
      <c r="I18" s="141" t="s">
        <v>2</v>
      </c>
      <c r="J18" s="141"/>
      <c r="K18" s="141"/>
      <c r="L18" s="141"/>
      <c r="M18" s="141"/>
      <c r="N18" s="141"/>
      <c r="O18" s="142"/>
      <c r="P18" s="140" t="s">
        <v>3</v>
      </c>
      <c r="Q18" s="141"/>
      <c r="R18" s="141"/>
      <c r="S18" s="141"/>
      <c r="T18" s="141"/>
      <c r="U18" s="141"/>
      <c r="V18" s="142"/>
      <c r="W18" s="140" t="s">
        <v>4</v>
      </c>
      <c r="X18" s="141"/>
      <c r="Y18" s="141"/>
      <c r="Z18" s="141"/>
      <c r="AA18" s="141"/>
      <c r="AB18" s="141"/>
      <c r="AC18" s="142"/>
      <c r="AD18" s="140" t="s">
        <v>5</v>
      </c>
      <c r="AE18" s="141"/>
      <c r="AF18" s="141"/>
      <c r="AG18" s="141"/>
      <c r="AH18" s="141"/>
      <c r="AI18" s="141"/>
      <c r="AJ18" s="142"/>
      <c r="AK18" s="140" t="s">
        <v>6</v>
      </c>
      <c r="AL18" s="141"/>
      <c r="AM18" s="141"/>
      <c r="AN18" s="141"/>
      <c r="AO18" s="141"/>
      <c r="AP18" s="141"/>
      <c r="AQ18" s="142"/>
      <c r="AR18" s="140" t="s">
        <v>7</v>
      </c>
      <c r="AS18" s="141"/>
      <c r="AT18" s="141"/>
      <c r="AU18" s="141"/>
      <c r="AV18" s="141"/>
      <c r="AW18" s="141"/>
      <c r="AX18" s="142"/>
      <c r="AY18" s="140" t="s">
        <v>8</v>
      </c>
      <c r="AZ18" s="141"/>
      <c r="BA18" s="141"/>
      <c r="BB18" s="141"/>
      <c r="BC18" s="141"/>
      <c r="BD18" s="141"/>
      <c r="BE18" s="141"/>
      <c r="BF18" s="140" t="s">
        <v>9</v>
      </c>
      <c r="BG18" s="141"/>
      <c r="BH18" s="141"/>
      <c r="BI18" s="141"/>
      <c r="BJ18" s="141"/>
      <c r="BK18" s="141"/>
      <c r="BL18" s="142"/>
    </row>
    <row r="19" spans="1:83" s="42" customFormat="1">
      <c r="A19" s="76"/>
      <c r="B19" s="43" t="s">
        <v>10</v>
      </c>
      <c r="C19" s="44" t="s">
        <v>11</v>
      </c>
      <c r="D19" s="44" t="s">
        <v>12</v>
      </c>
      <c r="E19" s="44" t="s">
        <v>13</v>
      </c>
      <c r="F19" s="45" t="s">
        <v>14</v>
      </c>
      <c r="G19" s="45" t="s">
        <v>15</v>
      </c>
      <c r="H19" s="46" t="s">
        <v>16</v>
      </c>
      <c r="I19" s="44" t="s">
        <v>10</v>
      </c>
      <c r="J19" s="44" t="s">
        <v>11</v>
      </c>
      <c r="K19" s="44" t="s">
        <v>12</v>
      </c>
      <c r="L19" s="44" t="s">
        <v>13</v>
      </c>
      <c r="M19" s="45" t="s">
        <v>14</v>
      </c>
      <c r="N19" s="45" t="s">
        <v>15</v>
      </c>
      <c r="O19" s="46" t="s">
        <v>16</v>
      </c>
      <c r="P19" s="43" t="s">
        <v>10</v>
      </c>
      <c r="Q19" s="44" t="s">
        <v>11</v>
      </c>
      <c r="R19" s="44" t="s">
        <v>12</v>
      </c>
      <c r="S19" s="44" t="s">
        <v>13</v>
      </c>
      <c r="T19" s="45" t="s">
        <v>14</v>
      </c>
      <c r="U19" s="45" t="s">
        <v>15</v>
      </c>
      <c r="V19" s="46" t="s">
        <v>16</v>
      </c>
      <c r="W19" s="43" t="s">
        <v>10</v>
      </c>
      <c r="X19" s="44" t="s">
        <v>11</v>
      </c>
      <c r="Y19" s="44" t="s">
        <v>12</v>
      </c>
      <c r="Z19" s="44" t="s">
        <v>13</v>
      </c>
      <c r="AA19" s="45" t="s">
        <v>14</v>
      </c>
      <c r="AB19" s="45" t="s">
        <v>15</v>
      </c>
      <c r="AC19" s="46" t="s">
        <v>16</v>
      </c>
      <c r="AD19" s="44" t="s">
        <v>10</v>
      </c>
      <c r="AE19" s="44" t="s">
        <v>11</v>
      </c>
      <c r="AF19" s="44" t="s">
        <v>12</v>
      </c>
      <c r="AG19" s="44" t="s">
        <v>13</v>
      </c>
      <c r="AH19" s="45" t="s">
        <v>14</v>
      </c>
      <c r="AI19" s="45" t="s">
        <v>15</v>
      </c>
      <c r="AJ19" s="46" t="s">
        <v>16</v>
      </c>
      <c r="AK19" s="43" t="s">
        <v>10</v>
      </c>
      <c r="AL19" s="44" t="s">
        <v>11</v>
      </c>
      <c r="AM19" s="44" t="s">
        <v>12</v>
      </c>
      <c r="AN19" s="44" t="s">
        <v>13</v>
      </c>
      <c r="AO19" s="45" t="s">
        <v>14</v>
      </c>
      <c r="AP19" s="45" t="s">
        <v>15</v>
      </c>
      <c r="AQ19" s="46" t="s">
        <v>16</v>
      </c>
      <c r="AR19" s="43" t="s">
        <v>10</v>
      </c>
      <c r="AS19" s="44" t="s">
        <v>11</v>
      </c>
      <c r="AT19" s="44" t="s">
        <v>12</v>
      </c>
      <c r="AU19" s="44" t="s">
        <v>13</v>
      </c>
      <c r="AV19" s="45" t="s">
        <v>14</v>
      </c>
      <c r="AW19" s="45" t="s">
        <v>15</v>
      </c>
      <c r="AX19" s="46" t="s">
        <v>16</v>
      </c>
      <c r="AY19" s="44" t="s">
        <v>10</v>
      </c>
      <c r="AZ19" s="44" t="s">
        <v>11</v>
      </c>
      <c r="BA19" s="44" t="s">
        <v>12</v>
      </c>
      <c r="BB19" s="44" t="s">
        <v>13</v>
      </c>
      <c r="BC19" s="45" t="s">
        <v>14</v>
      </c>
      <c r="BD19" s="45" t="s">
        <v>15</v>
      </c>
      <c r="BE19" s="46" t="s">
        <v>16</v>
      </c>
      <c r="BF19" s="77" t="s">
        <v>10</v>
      </c>
      <c r="BG19" s="78" t="s">
        <v>11</v>
      </c>
      <c r="BH19" s="78" t="s">
        <v>12</v>
      </c>
      <c r="BI19" s="78" t="s">
        <v>13</v>
      </c>
      <c r="BJ19" s="79" t="s">
        <v>14</v>
      </c>
      <c r="BK19" s="79" t="s">
        <v>15</v>
      </c>
      <c r="BL19" s="80" t="s">
        <v>16</v>
      </c>
    </row>
    <row r="20" spans="1:83">
      <c r="A20" s="81" t="s">
        <v>17</v>
      </c>
      <c r="B20" s="82">
        <f t="shared" ref="B20:H20" si="13">+B6/B$15</f>
        <v>29.4</v>
      </c>
      <c r="C20" s="83">
        <f t="shared" si="13"/>
        <v>21.939275220372185</v>
      </c>
      <c r="D20" s="83">
        <f t="shared" si="13"/>
        <v>21.28362403296747</v>
      </c>
      <c r="E20" s="83">
        <f t="shared" si="13"/>
        <v>22.697381123137358</v>
      </c>
      <c r="F20" s="83">
        <f t="shared" si="13"/>
        <v>24.065747281488854</v>
      </c>
      <c r="G20" s="83">
        <f t="shared" si="13"/>
        <v>23.073512750684728</v>
      </c>
      <c r="H20" s="84">
        <f t="shared" si="13"/>
        <v>23.896485409229825</v>
      </c>
      <c r="I20" s="82">
        <f t="shared" ref="I20:O20" si="14">+I6/I$15</f>
        <v>53.599999999999994</v>
      </c>
      <c r="J20" s="83">
        <f t="shared" si="14"/>
        <v>47.64936336924584</v>
      </c>
      <c r="K20" s="83">
        <f t="shared" si="14"/>
        <v>49.019749469594764</v>
      </c>
      <c r="L20" s="83">
        <f t="shared" si="14"/>
        <v>52.564311439016961</v>
      </c>
      <c r="M20" s="83">
        <f t="shared" si="14"/>
        <v>50.590556994007876</v>
      </c>
      <c r="N20" s="83">
        <f t="shared" si="14"/>
        <v>56.019618817698401</v>
      </c>
      <c r="O20" s="84">
        <f t="shared" si="14"/>
        <v>50.921480050308681</v>
      </c>
      <c r="P20" s="82">
        <f t="shared" ref="P20:V20" si="15">+P6/P$15</f>
        <v>7.6</v>
      </c>
      <c r="Q20" s="83">
        <f t="shared" si="15"/>
        <v>7.1498530852105784</v>
      </c>
      <c r="R20" s="83">
        <f t="shared" si="15"/>
        <v>8.860151181144829</v>
      </c>
      <c r="S20" s="83">
        <f t="shared" si="15"/>
        <v>5.4793186835724397</v>
      </c>
      <c r="T20" s="83">
        <f t="shared" si="15"/>
        <v>6.4141599045974269</v>
      </c>
      <c r="U20" s="83">
        <f t="shared" si="15"/>
        <v>6.2244020908553779</v>
      </c>
      <c r="V20" s="84">
        <f t="shared" si="15"/>
        <v>5.9907623588598442</v>
      </c>
      <c r="W20" s="82">
        <f t="shared" ref="W20:W25" si="16">+W6</f>
        <v>0</v>
      </c>
      <c r="X20" s="83">
        <f t="shared" ref="X20:AC20" si="17">+X6</f>
        <v>0</v>
      </c>
      <c r="Y20" s="83">
        <f t="shared" si="17"/>
        <v>0</v>
      </c>
      <c r="Z20" s="83">
        <f t="shared" si="17"/>
        <v>0</v>
      </c>
      <c r="AA20" s="83">
        <f t="shared" si="17"/>
        <v>0</v>
      </c>
      <c r="AB20" s="83">
        <f t="shared" si="17"/>
        <v>0</v>
      </c>
      <c r="AC20" s="84">
        <f t="shared" si="17"/>
        <v>0</v>
      </c>
      <c r="AD20" s="85">
        <f t="shared" ref="AD20:AD25" si="18">+AD6/AD$15</f>
        <v>0</v>
      </c>
      <c r="AE20" s="86">
        <f t="shared" ref="AE20:AJ20" si="19">+AE6/AE$15</f>
        <v>0</v>
      </c>
      <c r="AF20" s="86">
        <f t="shared" si="19"/>
        <v>0</v>
      </c>
      <c r="AG20" s="86">
        <f t="shared" si="19"/>
        <v>0</v>
      </c>
      <c r="AH20" s="86">
        <f t="shared" si="19"/>
        <v>0</v>
      </c>
      <c r="AI20" s="86">
        <f t="shared" si="19"/>
        <v>0</v>
      </c>
      <c r="AJ20" s="87">
        <f t="shared" si="19"/>
        <v>0</v>
      </c>
      <c r="AK20" s="85">
        <f>+AK6/AK$15</f>
        <v>0</v>
      </c>
      <c r="AL20" s="86">
        <f t="shared" ref="AL20:AQ20" si="20">+AL6/AL$15</f>
        <v>7.051909892262489</v>
      </c>
      <c r="AM20" s="86">
        <f t="shared" si="20"/>
        <v>8.57123320784663</v>
      </c>
      <c r="AN20" s="86">
        <f t="shared" si="20"/>
        <v>2.8789640540804342</v>
      </c>
      <c r="AO20" s="86">
        <f t="shared" si="20"/>
        <v>-0.90340280346442636</v>
      </c>
      <c r="AP20" s="86">
        <f t="shared" si="20"/>
        <v>0</v>
      </c>
      <c r="AQ20" s="87">
        <f t="shared" si="20"/>
        <v>0</v>
      </c>
      <c r="AR20" s="85">
        <f>+AR6/AR$15</f>
        <v>61.199999999999996</v>
      </c>
      <c r="AS20" s="86">
        <f t="shared" ref="AS20:AX20" si="21">+AS6/AS$15</f>
        <v>54.799216454456413</v>
      </c>
      <c r="AT20" s="86">
        <f t="shared" si="21"/>
        <v>57.879900650739593</v>
      </c>
      <c r="AU20" s="86">
        <f t="shared" si="21"/>
        <v>58.043630122589398</v>
      </c>
      <c r="AV20" s="86">
        <f t="shared" si="21"/>
        <v>57.004716898605309</v>
      </c>
      <c r="AW20" s="86">
        <f t="shared" si="21"/>
        <v>62.244020908553779</v>
      </c>
      <c r="AX20" s="87">
        <f t="shared" si="21"/>
        <v>56.912242409168528</v>
      </c>
      <c r="AY20" s="85">
        <f>+AY6/AY$15</f>
        <v>31.799999999999997</v>
      </c>
      <c r="AZ20" s="86">
        <f t="shared" ref="AZ20:BE20" si="22">+AZ6/AZ$15</f>
        <v>25.808031341821739</v>
      </c>
      <c r="BA20" s="86">
        <f t="shared" si="22"/>
        <v>28.025043409925491</v>
      </c>
      <c r="BB20" s="86">
        <f t="shared" si="22"/>
        <v>32.467284945371603</v>
      </c>
      <c r="BC20" s="86">
        <f t="shared" si="22"/>
        <v>33.842372420580872</v>
      </c>
      <c r="BD20" s="86">
        <f t="shared" si="22"/>
        <v>39.170508157869051</v>
      </c>
      <c r="BE20" s="87">
        <f t="shared" si="22"/>
        <v>33.015756999938702</v>
      </c>
      <c r="BF20" s="88">
        <f t="shared" ref="BF20:BF26" si="23">+P20/AR20</f>
        <v>0.12418300653594772</v>
      </c>
      <c r="BG20" s="89">
        <f t="shared" ref="BG20:BL26" si="24">+Q20/AS20</f>
        <v>0.13047363717605007</v>
      </c>
      <c r="BH20" s="89">
        <f t="shared" si="24"/>
        <v>0.15307820299500832</v>
      </c>
      <c r="BI20" s="89">
        <f t="shared" si="24"/>
        <v>9.4400000000000012E-2</v>
      </c>
      <c r="BJ20" s="89">
        <f t="shared" si="24"/>
        <v>0.11251980982567351</v>
      </c>
      <c r="BK20" s="89">
        <f t="shared" si="24"/>
        <v>0.1</v>
      </c>
      <c r="BL20" s="90">
        <f t="shared" si="24"/>
        <v>0.10526315789473682</v>
      </c>
      <c r="CD20" s="34"/>
      <c r="CE20" s="34"/>
    </row>
    <row r="21" spans="1:83">
      <c r="A21" s="81" t="s">
        <v>18</v>
      </c>
      <c r="B21" s="82">
        <f t="shared" ref="B21:H21" si="25">+B7/B$15</f>
        <v>204.07900000000001</v>
      </c>
      <c r="C21" s="83">
        <f t="shared" si="25"/>
        <v>136.16258570029385</v>
      </c>
      <c r="D21" s="83">
        <f t="shared" si="25"/>
        <v>152.68640746872225</v>
      </c>
      <c r="E21" s="83">
        <f t="shared" si="25"/>
        <v>177.94040989997399</v>
      </c>
      <c r="F21" s="83">
        <f t="shared" si="25"/>
        <v>201.70256324894177</v>
      </c>
      <c r="G21" s="83">
        <f t="shared" si="25"/>
        <v>201.23664859793516</v>
      </c>
      <c r="H21" s="84">
        <f t="shared" si="25"/>
        <v>206.4058927222226</v>
      </c>
      <c r="I21" s="82">
        <f t="shared" ref="I21:O21" si="26">+I7/I$15</f>
        <v>567.88300000000004</v>
      </c>
      <c r="J21" s="83">
        <f t="shared" si="26"/>
        <v>535.35357492654271</v>
      </c>
      <c r="K21" s="83">
        <f t="shared" si="26"/>
        <v>559.8662117171649</v>
      </c>
      <c r="L21" s="83">
        <f t="shared" si="26"/>
        <v>604.96600366474127</v>
      </c>
      <c r="M21" s="83">
        <f t="shared" si="26"/>
        <v>603.04034277137737</v>
      </c>
      <c r="N21" s="83">
        <f t="shared" si="26"/>
        <v>585.73352675529895</v>
      </c>
      <c r="O21" s="84">
        <f t="shared" si="26"/>
        <v>572.93238254185462</v>
      </c>
      <c r="P21" s="82">
        <f t="shared" ref="P21:V21" si="27">+P7/P$15</f>
        <v>95.457999999999998</v>
      </c>
      <c r="Q21" s="83">
        <f t="shared" si="27"/>
        <v>95.181194906953976</v>
      </c>
      <c r="R21" s="83">
        <f t="shared" si="27"/>
        <v>95.125279648521683</v>
      </c>
      <c r="S21" s="83">
        <f t="shared" si="27"/>
        <v>102.20786741026522</v>
      </c>
      <c r="T21" s="83">
        <f t="shared" si="27"/>
        <v>108.78866899598968</v>
      </c>
      <c r="U21" s="83">
        <f t="shared" si="27"/>
        <v>109.48204577640372</v>
      </c>
      <c r="V21" s="84">
        <f t="shared" si="27"/>
        <v>103.68927977760485</v>
      </c>
      <c r="W21" s="82">
        <f t="shared" si="16"/>
        <v>5.5</v>
      </c>
      <c r="X21" s="83">
        <f t="shared" ref="X21:AC25" si="28">+X7</f>
        <v>9.8000000000000007</v>
      </c>
      <c r="Y21" s="83">
        <f t="shared" si="28"/>
        <v>9.8000000000000007</v>
      </c>
      <c r="Z21" s="83">
        <f t="shared" si="28"/>
        <v>23.2</v>
      </c>
      <c r="AA21" s="83">
        <f t="shared" si="28"/>
        <v>7.3</v>
      </c>
      <c r="AB21" s="83">
        <f t="shared" si="28"/>
        <v>8.1</v>
      </c>
      <c r="AC21" s="84">
        <f t="shared" si="28"/>
        <v>11.9</v>
      </c>
      <c r="AD21" s="91">
        <f t="shared" si="18"/>
        <v>0.16400000000000001</v>
      </c>
      <c r="AE21" s="92">
        <f t="shared" ref="AE21:AJ25" si="29">+AE7/AE$15</f>
        <v>-0.13124387855044076</v>
      </c>
      <c r="AF21" s="92">
        <f t="shared" si="29"/>
        <v>3.0817917151808105E-2</v>
      </c>
      <c r="AG21" s="92">
        <f t="shared" si="29"/>
        <v>0.44113158893167942</v>
      </c>
      <c r="AH21" s="92">
        <f t="shared" si="29"/>
        <v>1.4472512911500111</v>
      </c>
      <c r="AI21" s="92">
        <f t="shared" si="29"/>
        <v>-0.39680563329203039</v>
      </c>
      <c r="AJ21" s="93">
        <f t="shared" si="29"/>
        <v>0.17140236748960108</v>
      </c>
      <c r="AK21" s="91">
        <f t="shared" ref="AK21:AQ21" si="30">+AK7/AK$15</f>
        <v>0</v>
      </c>
      <c r="AL21" s="92">
        <f t="shared" si="30"/>
        <v>45.914789422135172</v>
      </c>
      <c r="AM21" s="92">
        <f t="shared" si="30"/>
        <v>51.202043227907176</v>
      </c>
      <c r="AN21" s="92">
        <f t="shared" si="30"/>
        <v>16.902305091698032</v>
      </c>
      <c r="AO21" s="92">
        <f t="shared" si="30"/>
        <v>9.7712047222712357</v>
      </c>
      <c r="AP21" s="92">
        <f t="shared" si="30"/>
        <v>-0.30689760309078601</v>
      </c>
      <c r="AQ21" s="93">
        <f t="shared" si="30"/>
        <v>0</v>
      </c>
      <c r="AR21" s="91">
        <f t="shared" ref="AR21:AX21" si="31">+AR7/AR$15</f>
        <v>663.505</v>
      </c>
      <c r="AS21" s="92">
        <f t="shared" si="31"/>
        <v>630.40352595494619</v>
      </c>
      <c r="AT21" s="92">
        <f t="shared" si="31"/>
        <v>655.02230928283836</v>
      </c>
      <c r="AU21" s="92">
        <f t="shared" si="31"/>
        <v>707.61500266393818</v>
      </c>
      <c r="AV21" s="92">
        <f t="shared" si="31"/>
        <v>713.2762630585172</v>
      </c>
      <c r="AW21" s="92">
        <f t="shared" si="31"/>
        <v>694.81876689841067</v>
      </c>
      <c r="AX21" s="93">
        <f t="shared" si="31"/>
        <v>676.79306468694904</v>
      </c>
      <c r="AY21" s="91">
        <f t="shared" ref="AY21:BE21" si="32">+AY7/AY$15</f>
        <v>459.26199999999994</v>
      </c>
      <c r="AZ21" s="92">
        <f t="shared" si="32"/>
        <v>448.45739471106754</v>
      </c>
      <c r="BA21" s="92">
        <f t="shared" si="32"/>
        <v>451.10304066905712</v>
      </c>
      <c r="BB21" s="92">
        <f t="shared" si="32"/>
        <v>512.33115608333446</v>
      </c>
      <c r="BC21" s="92">
        <f t="shared" si="32"/>
        <v>500.35524379615396</v>
      </c>
      <c r="BD21" s="92">
        <f t="shared" si="32"/>
        <v>494.28582153685835</v>
      </c>
      <c r="BE21" s="93">
        <f t="shared" si="32"/>
        <v>470.21576959723683</v>
      </c>
      <c r="BF21" s="94">
        <f t="shared" si="23"/>
        <v>0.14386930015598978</v>
      </c>
      <c r="BG21" s="95">
        <f t="shared" si="24"/>
        <v>0.15098455352509624</v>
      </c>
      <c r="BH21" s="95">
        <f t="shared" si="24"/>
        <v>0.14522448823563142</v>
      </c>
      <c r="BI21" s="95">
        <f t="shared" si="24"/>
        <v>0.14443993842059052</v>
      </c>
      <c r="BJ21" s="95">
        <f t="shared" si="24"/>
        <v>0.15251968224696782</v>
      </c>
      <c r="BK21" s="95">
        <f t="shared" si="24"/>
        <v>0.1575692122783596</v>
      </c>
      <c r="BL21" s="96">
        <f t="shared" si="24"/>
        <v>0.15320677055927925</v>
      </c>
      <c r="CD21" s="34"/>
      <c r="CE21" s="34"/>
    </row>
    <row r="22" spans="1:83">
      <c r="A22" s="81" t="s">
        <v>19</v>
      </c>
      <c r="B22" s="82">
        <f t="shared" ref="B22:H22" si="33">+B8/B$15</f>
        <v>785.5</v>
      </c>
      <c r="C22" s="83">
        <f t="shared" si="33"/>
        <v>547.79627815866797</v>
      </c>
      <c r="D22" s="83">
        <f t="shared" si="33"/>
        <v>548.9441492665818</v>
      </c>
      <c r="E22" s="83">
        <f t="shared" si="33"/>
        <v>715.93335138406667</v>
      </c>
      <c r="F22" s="83">
        <f t="shared" si="33"/>
        <v>761.47822304016506</v>
      </c>
      <c r="G22" s="83">
        <f t="shared" si="33"/>
        <v>784.2746634477777</v>
      </c>
      <c r="H22" s="84">
        <f t="shared" si="33"/>
        <v>749.2613200212902</v>
      </c>
      <c r="I22" s="82">
        <f t="shared" ref="I22:O22" si="34">+I8/I$15</f>
        <v>1887.2999999999997</v>
      </c>
      <c r="J22" s="83">
        <f t="shared" si="34"/>
        <v>1853.5749265426055</v>
      </c>
      <c r="K22" s="83">
        <f t="shared" si="34"/>
        <v>1922.4601943262294</v>
      </c>
      <c r="L22" s="83">
        <f t="shared" si="34"/>
        <v>2009.3311701317507</v>
      </c>
      <c r="M22" s="83">
        <f t="shared" si="34"/>
        <v>1962.010208564041</v>
      </c>
      <c r="N22" s="83">
        <f t="shared" si="34"/>
        <v>1945.2121034213453</v>
      </c>
      <c r="O22" s="84">
        <f t="shared" si="34"/>
        <v>1929.4415047166797</v>
      </c>
      <c r="P22" s="82">
        <f t="shared" ref="P22:V22" si="35">+P8/P$15</f>
        <v>253.90000000000012</v>
      </c>
      <c r="Q22" s="83">
        <f t="shared" si="35"/>
        <v>221.93927522037222</v>
      </c>
      <c r="R22" s="83">
        <f t="shared" si="35"/>
        <v>259.73725799508304</v>
      </c>
      <c r="S22" s="83">
        <f t="shared" si="35"/>
        <v>244.71194459683716</v>
      </c>
      <c r="T22" s="83">
        <f t="shared" si="35"/>
        <v>248.97781263479578</v>
      </c>
      <c r="U22" s="83">
        <f t="shared" si="35"/>
        <v>241.28203104968557</v>
      </c>
      <c r="V22" s="84">
        <f t="shared" si="35"/>
        <v>247.28535736849258</v>
      </c>
      <c r="W22" s="82">
        <f t="shared" si="16"/>
        <v>1.8</v>
      </c>
      <c r="X22" s="83">
        <f t="shared" si="28"/>
        <v>1.8</v>
      </c>
      <c r="Y22" s="83">
        <f t="shared" si="28"/>
        <v>1.8</v>
      </c>
      <c r="Z22" s="83">
        <f t="shared" si="28"/>
        <v>2.4</v>
      </c>
      <c r="AA22" s="83">
        <f t="shared" si="28"/>
        <v>2.6</v>
      </c>
      <c r="AB22" s="83">
        <f t="shared" si="28"/>
        <v>2.9</v>
      </c>
      <c r="AC22" s="84">
        <f t="shared" si="28"/>
        <v>7.6</v>
      </c>
      <c r="AD22" s="91">
        <f t="shared" si="18"/>
        <v>2.9</v>
      </c>
      <c r="AE22" s="92">
        <f t="shared" si="29"/>
        <v>-1.1753183153770814</v>
      </c>
      <c r="AF22" s="92">
        <f t="shared" si="29"/>
        <v>4.1411576172742146</v>
      </c>
      <c r="AG22" s="92">
        <f t="shared" si="29"/>
        <v>12.816033531067738</v>
      </c>
      <c r="AH22" s="92">
        <f t="shared" si="29"/>
        <v>-9.3050488756835925</v>
      </c>
      <c r="AI22" s="92">
        <f t="shared" si="29"/>
        <v>-8.9908030201244351</v>
      </c>
      <c r="AJ22" s="93">
        <f t="shared" si="29"/>
        <v>0</v>
      </c>
      <c r="AK22" s="91">
        <f t="shared" ref="AK22:AQ22" si="36">+AK8/AK$15</f>
        <v>0</v>
      </c>
      <c r="AL22" s="92">
        <f t="shared" si="36"/>
        <v>220.47012732615084</v>
      </c>
      <c r="AM22" s="92">
        <f t="shared" si="36"/>
        <v>257.42591420869707</v>
      </c>
      <c r="AN22" s="92">
        <f t="shared" si="36"/>
        <v>58.600848971766254</v>
      </c>
      <c r="AO22" s="92">
        <f t="shared" si="36"/>
        <v>36.768494101002155</v>
      </c>
      <c r="AP22" s="92">
        <f t="shared" si="36"/>
        <v>0</v>
      </c>
      <c r="AQ22" s="93">
        <f t="shared" si="36"/>
        <v>0</v>
      </c>
      <c r="AR22" s="91">
        <f t="shared" ref="AR22:AX22" si="37">+AR8/AR$15</f>
        <v>2145.8999999999996</v>
      </c>
      <c r="AS22" s="92">
        <f t="shared" si="37"/>
        <v>2076.1018609206662</v>
      </c>
      <c r="AT22" s="92">
        <f t="shared" si="37"/>
        <v>2188.0721177783757</v>
      </c>
      <c r="AU22" s="92">
        <f t="shared" si="37"/>
        <v>2269.088023656363</v>
      </c>
      <c r="AV22" s="92">
        <f t="shared" si="37"/>
        <v>2204.0318196121607</v>
      </c>
      <c r="AW22" s="92">
        <f t="shared" si="37"/>
        <v>2180.0103822930564</v>
      </c>
      <c r="AX22" s="93">
        <f t="shared" si="37"/>
        <v>2183.0504445750798</v>
      </c>
      <c r="AY22" s="91">
        <f t="shared" ref="AY22:BE22" si="38">+AY8/AY$15</f>
        <v>1360.3999999999996</v>
      </c>
      <c r="AZ22" s="92">
        <f t="shared" si="38"/>
        <v>1307.8354554358473</v>
      </c>
      <c r="BA22" s="92">
        <f t="shared" si="38"/>
        <v>1381.7020543030969</v>
      </c>
      <c r="BB22" s="92">
        <f t="shared" si="38"/>
        <v>1494.55382330053</v>
      </c>
      <c r="BC22" s="92">
        <f t="shared" si="38"/>
        <v>1405.7851024709937</v>
      </c>
      <c r="BD22" s="92">
        <f t="shared" si="38"/>
        <v>1395.7357188452786</v>
      </c>
      <c r="BE22" s="93">
        <f t="shared" si="38"/>
        <v>1433.7891245537896</v>
      </c>
      <c r="BF22" s="94">
        <f t="shared" si="23"/>
        <v>0.11831865417773436</v>
      </c>
      <c r="BG22" s="95">
        <f t="shared" si="24"/>
        <v>0.10690192008303062</v>
      </c>
      <c r="BH22" s="95">
        <f t="shared" si="24"/>
        <v>0.11870598591549311</v>
      </c>
      <c r="BI22" s="95">
        <f t="shared" si="24"/>
        <v>0.10784594605656295</v>
      </c>
      <c r="BJ22" s="95">
        <f t="shared" si="24"/>
        <v>0.1129647087756691</v>
      </c>
      <c r="BK22" s="95">
        <f t="shared" si="24"/>
        <v>0.1106793036443669</v>
      </c>
      <c r="BL22" s="96">
        <f t="shared" si="24"/>
        <v>0.11327514578648479</v>
      </c>
      <c r="CD22" s="34"/>
      <c r="CE22" s="34"/>
    </row>
    <row r="23" spans="1:83">
      <c r="A23" s="81" t="s">
        <v>20</v>
      </c>
      <c r="B23" s="82">
        <f t="shared" ref="B23:H23" si="39">+B9/B$15</f>
        <v>1930.1836005500011</v>
      </c>
      <c r="C23" s="83">
        <f t="shared" si="39"/>
        <v>1269.756848726739</v>
      </c>
      <c r="D23" s="83">
        <f t="shared" si="39"/>
        <v>1365.2537561070044</v>
      </c>
      <c r="E23" s="83">
        <f t="shared" si="39"/>
        <v>1575.2575577011098</v>
      </c>
      <c r="F23" s="83">
        <f t="shared" si="39"/>
        <v>1747.7337172489297</v>
      </c>
      <c r="G23" s="83">
        <f t="shared" si="39"/>
        <v>1859.3070258556206</v>
      </c>
      <c r="H23" s="84">
        <f t="shared" si="39"/>
        <v>1832.0830042639332</v>
      </c>
      <c r="I23" s="82">
        <f t="shared" ref="I23:O23" si="40">+I9/I$15</f>
        <v>4249.8941053999997</v>
      </c>
      <c r="J23" s="83">
        <f t="shared" si="40"/>
        <v>4068.8489958276223</v>
      </c>
      <c r="K23" s="83">
        <f t="shared" si="40"/>
        <v>4183.67514700628</v>
      </c>
      <c r="L23" s="83">
        <f t="shared" si="40"/>
        <v>4481.0790849670429</v>
      </c>
      <c r="M23" s="83">
        <f t="shared" si="40"/>
        <v>4425.6889433614087</v>
      </c>
      <c r="N23" s="83">
        <f t="shared" si="40"/>
        <v>4146.923521471188</v>
      </c>
      <c r="O23" s="84">
        <f t="shared" si="40"/>
        <v>4120.6524666210371</v>
      </c>
      <c r="P23" s="82">
        <f t="shared" ref="P23:V23" si="41">+P9/P$15</f>
        <v>566.78858862000004</v>
      </c>
      <c r="Q23" s="83">
        <f t="shared" si="41"/>
        <v>563.60073921645483</v>
      </c>
      <c r="R23" s="83">
        <f t="shared" si="41"/>
        <v>590.89612248003368</v>
      </c>
      <c r="S23" s="83">
        <f t="shared" si="41"/>
        <v>537.45962007970058</v>
      </c>
      <c r="T23" s="83">
        <f t="shared" si="41"/>
        <v>548.95006158622925</v>
      </c>
      <c r="U23" s="83">
        <f t="shared" si="41"/>
        <v>572.91614201027744</v>
      </c>
      <c r="V23" s="84">
        <f t="shared" si="41"/>
        <v>559.47062782188982</v>
      </c>
      <c r="W23" s="82">
        <f t="shared" si="16"/>
        <v>24.208850420000008</v>
      </c>
      <c r="X23" s="83">
        <f t="shared" si="28"/>
        <v>26.486531060000004</v>
      </c>
      <c r="Y23" s="83">
        <f t="shared" si="28"/>
        <v>27.365421590000004</v>
      </c>
      <c r="Z23" s="83">
        <f t="shared" si="28"/>
        <v>28.866960069999983</v>
      </c>
      <c r="AA23" s="83">
        <f t="shared" si="28"/>
        <v>30.193125669999993</v>
      </c>
      <c r="AB23" s="83">
        <f t="shared" si="28"/>
        <v>33.689000000000014</v>
      </c>
      <c r="AC23" s="84">
        <f t="shared" si="28"/>
        <v>35.075385999999952</v>
      </c>
      <c r="AD23" s="91">
        <f t="shared" si="18"/>
        <v>24.966937689999998</v>
      </c>
      <c r="AE23" s="92">
        <f t="shared" si="29"/>
        <v>48.295291312438813</v>
      </c>
      <c r="AF23" s="92">
        <f t="shared" si="29"/>
        <v>9.6802969498929645</v>
      </c>
      <c r="AG23" s="92">
        <f t="shared" si="29"/>
        <v>9.2784195977717427</v>
      </c>
      <c r="AH23" s="92">
        <f t="shared" si="29"/>
        <v>16.189912365615299</v>
      </c>
      <c r="AI23" s="92">
        <f t="shared" si="29"/>
        <v>8.2702385700777192</v>
      </c>
      <c r="AJ23" s="93">
        <f t="shared" si="29"/>
        <v>19.303564272569275</v>
      </c>
      <c r="AK23" s="91">
        <f t="shared" ref="AK23:AQ23" si="42">+AK9/AK$15</f>
        <v>0</v>
      </c>
      <c r="AL23" s="92">
        <f t="shared" si="42"/>
        <v>445.95906962781589</v>
      </c>
      <c r="AM23" s="92">
        <f t="shared" si="42"/>
        <v>446.81857115616322</v>
      </c>
      <c r="AN23" s="92">
        <f t="shared" si="42"/>
        <v>103.22720968475639</v>
      </c>
      <c r="AO23" s="92">
        <f t="shared" si="42"/>
        <v>74.280499532021139</v>
      </c>
      <c r="AP23" s="92">
        <f t="shared" si="42"/>
        <v>2.0402206853359295</v>
      </c>
      <c r="AQ23" s="93">
        <f t="shared" si="42"/>
        <v>0</v>
      </c>
      <c r="AR23" s="91">
        <f t="shared" ref="AR23:AX23" si="43">+AR9/AR$15</f>
        <v>4865.8584821300001</v>
      </c>
      <c r="AS23" s="92">
        <f t="shared" si="43"/>
        <v>4706.6867805778666</v>
      </c>
      <c r="AT23" s="92">
        <f t="shared" si="43"/>
        <v>4810.6061069169855</v>
      </c>
      <c r="AU23" s="92">
        <f t="shared" si="43"/>
        <v>5054.6258150935819</v>
      </c>
      <c r="AV23" s="92">
        <f t="shared" si="43"/>
        <v>5018.1054716888848</v>
      </c>
      <c r="AW23" s="92">
        <f t="shared" si="43"/>
        <v>4757.2340523347139</v>
      </c>
      <c r="AX23" s="93">
        <f t="shared" si="43"/>
        <v>4728.611145128174</v>
      </c>
      <c r="AY23" s="91">
        <f t="shared" ref="AY23:BE23" si="44">+AY9/AY$15</f>
        <v>2935.6748815799992</v>
      </c>
      <c r="AZ23" s="92">
        <f t="shared" si="44"/>
        <v>2990.9708622233125</v>
      </c>
      <c r="BA23" s="92">
        <f t="shared" si="44"/>
        <v>2998.5337796538179</v>
      </c>
      <c r="BB23" s="92">
        <f t="shared" si="44"/>
        <v>3376.1410477077166</v>
      </c>
      <c r="BC23" s="92">
        <f t="shared" si="44"/>
        <v>3196.0912549079344</v>
      </c>
      <c r="BD23" s="92">
        <f t="shared" si="44"/>
        <v>2895.8868057937575</v>
      </c>
      <c r="BE23" s="93">
        <f t="shared" si="44"/>
        <v>2896.5281408642409</v>
      </c>
      <c r="BF23" s="94">
        <f t="shared" si="23"/>
        <v>0.11648275236559938</v>
      </c>
      <c r="BG23" s="95">
        <f t="shared" si="24"/>
        <v>0.11974468782204759</v>
      </c>
      <c r="BH23" s="95">
        <f t="shared" si="24"/>
        <v>0.12283194868738201</v>
      </c>
      <c r="BI23" s="95">
        <f t="shared" si="24"/>
        <v>0.10633024871490908</v>
      </c>
      <c r="BJ23" s="95">
        <f t="shared" si="24"/>
        <v>0.10939388673340809</v>
      </c>
      <c r="BK23" s="95">
        <f t="shared" si="24"/>
        <v>0.12043051397252709</v>
      </c>
      <c r="BL23" s="96">
        <f t="shared" si="24"/>
        <v>0.11831605743227692</v>
      </c>
      <c r="CD23" s="34"/>
      <c r="CE23" s="34"/>
    </row>
    <row r="24" spans="1:83">
      <c r="A24" s="81" t="s">
        <v>21</v>
      </c>
      <c r="B24" s="82">
        <f t="shared" ref="B24:H24" si="45">+B10/B$15</f>
        <v>382.59403203704477</v>
      </c>
      <c r="C24" s="83">
        <f t="shared" si="45"/>
        <v>259.82712870714988</v>
      </c>
      <c r="D24" s="83">
        <f t="shared" si="45"/>
        <v>266.47315196026045</v>
      </c>
      <c r="E24" s="83">
        <f t="shared" si="45"/>
        <v>326.07612805271424</v>
      </c>
      <c r="F24" s="83">
        <f t="shared" si="45"/>
        <v>357.039174808501</v>
      </c>
      <c r="G24" s="83">
        <f t="shared" si="45"/>
        <v>359.98686381997368</v>
      </c>
      <c r="H24" s="84">
        <f t="shared" si="45"/>
        <v>365.43739215192812</v>
      </c>
      <c r="I24" s="82">
        <f t="shared" ref="I24:O24" si="46">+I10/I$15</f>
        <v>1136.2315403188979</v>
      </c>
      <c r="J24" s="83">
        <f t="shared" si="46"/>
        <v>1105.9695459003431</v>
      </c>
      <c r="K24" s="83">
        <f t="shared" si="46"/>
        <v>1164.1919952549088</v>
      </c>
      <c r="L24" s="83">
        <f t="shared" si="46"/>
        <v>1235.503510488501</v>
      </c>
      <c r="M24" s="83">
        <f t="shared" si="46"/>
        <v>1222.1529087659842</v>
      </c>
      <c r="N24" s="83">
        <f t="shared" si="46"/>
        <v>1197.8020633614365</v>
      </c>
      <c r="O24" s="84">
        <f t="shared" si="46"/>
        <v>1226.9461040295184</v>
      </c>
      <c r="P24" s="82">
        <f t="shared" ref="P24:V24" si="47">+P10/P$15</f>
        <v>137.63015576999999</v>
      </c>
      <c r="Q24" s="83">
        <f t="shared" si="47"/>
        <v>139.12162393731634</v>
      </c>
      <c r="R24" s="83">
        <f t="shared" si="47"/>
        <v>132.47777349216122</v>
      </c>
      <c r="S24" s="83">
        <f t="shared" si="47"/>
        <v>124.9175721433497</v>
      </c>
      <c r="T24" s="83">
        <f t="shared" si="47"/>
        <v>132.64658358416639</v>
      </c>
      <c r="U24" s="83">
        <f t="shared" si="47"/>
        <v>130.89104966167679</v>
      </c>
      <c r="V24" s="84">
        <f t="shared" si="47"/>
        <v>134.79423661805026</v>
      </c>
      <c r="W24" s="82">
        <f t="shared" si="16"/>
        <v>0</v>
      </c>
      <c r="X24" s="83">
        <f t="shared" si="28"/>
        <v>0</v>
      </c>
      <c r="Y24" s="83">
        <f t="shared" si="28"/>
        <v>0</v>
      </c>
      <c r="Z24" s="83">
        <f t="shared" si="28"/>
        <v>0</v>
      </c>
      <c r="AA24" s="83">
        <f t="shared" si="28"/>
        <v>0</v>
      </c>
      <c r="AB24" s="83">
        <f t="shared" si="28"/>
        <v>0</v>
      </c>
      <c r="AC24" s="84">
        <f t="shared" si="28"/>
        <v>0</v>
      </c>
      <c r="AD24" s="91">
        <f t="shared" si="18"/>
        <v>3.4847236399999999</v>
      </c>
      <c r="AE24" s="92">
        <f t="shared" si="29"/>
        <v>5.7991841429970634</v>
      </c>
      <c r="AF24" s="92">
        <f t="shared" si="29"/>
        <v>3.3042780854754192</v>
      </c>
      <c r="AG24" s="92">
        <f t="shared" si="29"/>
        <v>0.74867661753845482</v>
      </c>
      <c r="AH24" s="92">
        <f t="shared" si="29"/>
        <v>5.8429577351271469</v>
      </c>
      <c r="AI24" s="92">
        <f t="shared" si="29"/>
        <v>3.1331694221662323</v>
      </c>
      <c r="AJ24" s="93">
        <f t="shared" si="29"/>
        <v>5.5567063482714953</v>
      </c>
      <c r="AK24" s="91">
        <f t="shared" ref="AK24:AQ24" si="48">+AK10/AK$15</f>
        <v>0</v>
      </c>
      <c r="AL24" s="92">
        <f t="shared" si="48"/>
        <v>110.57625427703974</v>
      </c>
      <c r="AM24" s="92">
        <f t="shared" si="48"/>
        <v>150.48957135175471</v>
      </c>
      <c r="AN24" s="92">
        <f t="shared" si="48"/>
        <v>42.793997550144631</v>
      </c>
      <c r="AO24" s="92">
        <f t="shared" si="48"/>
        <v>16.954912276305087</v>
      </c>
      <c r="AP24" s="92">
        <f t="shared" si="48"/>
        <v>-0.82054739256724607</v>
      </c>
      <c r="AQ24" s="93">
        <f t="shared" si="48"/>
        <v>0</v>
      </c>
      <c r="AR24" s="91">
        <f t="shared" ref="AR24:AX24" si="49">+AR10/AR$15</f>
        <v>1277.3464197288979</v>
      </c>
      <c r="AS24" s="92">
        <f t="shared" si="49"/>
        <v>1250.8903539806565</v>
      </c>
      <c r="AT24" s="92">
        <f t="shared" si="49"/>
        <v>1299.9740468325454</v>
      </c>
      <c r="AU24" s="92">
        <f t="shared" si="49"/>
        <v>1361.169759249389</v>
      </c>
      <c r="AV24" s="92">
        <f t="shared" si="49"/>
        <v>1360.6424500852779</v>
      </c>
      <c r="AW24" s="92">
        <f t="shared" si="49"/>
        <v>1331.8262824452795</v>
      </c>
      <c r="AX24" s="93">
        <f t="shared" si="49"/>
        <v>1367.2970469958402</v>
      </c>
      <c r="AY24" s="91">
        <f t="shared" ref="AY24:BE24" si="50">+AY10/AY$15</f>
        <v>894.75238769185307</v>
      </c>
      <c r="AZ24" s="92">
        <f t="shared" si="50"/>
        <v>880.48697099646688</v>
      </c>
      <c r="BA24" s="92">
        <f t="shared" si="50"/>
        <v>883.01132352053014</v>
      </c>
      <c r="BB24" s="92">
        <f t="shared" si="50"/>
        <v>992.2996336465302</v>
      </c>
      <c r="BC24" s="92">
        <f t="shared" si="50"/>
        <v>986.64836300047159</v>
      </c>
      <c r="BD24" s="92">
        <f t="shared" si="50"/>
        <v>972.6599660178731</v>
      </c>
      <c r="BE24" s="93">
        <f t="shared" si="50"/>
        <v>1001.8596548439122</v>
      </c>
      <c r="BF24" s="94">
        <f t="shared" si="23"/>
        <v>0.10774693038965139</v>
      </c>
      <c r="BG24" s="95">
        <f t="shared" si="24"/>
        <v>0.11121808038138224</v>
      </c>
      <c r="BH24" s="95">
        <f t="shared" si="24"/>
        <v>0.10190801409839699</v>
      </c>
      <c r="BI24" s="95">
        <f t="shared" si="24"/>
        <v>9.1772221131503059E-2</v>
      </c>
      <c r="BJ24" s="95">
        <f t="shared" si="24"/>
        <v>9.7488200207080711E-2</v>
      </c>
      <c r="BK24" s="95">
        <f t="shared" si="24"/>
        <v>9.8279371256554768E-2</v>
      </c>
      <c r="BL24" s="96">
        <f t="shared" si="24"/>
        <v>9.8584456767615875E-2</v>
      </c>
      <c r="CD24" s="34"/>
      <c r="CE24" s="34"/>
    </row>
    <row r="25" spans="1:83">
      <c r="A25" s="81" t="s">
        <v>22</v>
      </c>
      <c r="B25" s="82">
        <f t="shared" ref="B25:H25" si="51">+B11/B$15</f>
        <v>264.5</v>
      </c>
      <c r="C25" s="83">
        <f t="shared" si="51"/>
        <v>196.57198824681686</v>
      </c>
      <c r="D25" s="83">
        <f t="shared" si="51"/>
        <v>170.55791023703796</v>
      </c>
      <c r="E25" s="83">
        <f t="shared" si="51"/>
        <v>228.73833758710032</v>
      </c>
      <c r="F25" s="83">
        <f t="shared" si="51"/>
        <v>234.43302749901864</v>
      </c>
      <c r="G25" s="83">
        <f t="shared" si="51"/>
        <v>233.06927829091802</v>
      </c>
      <c r="H25" s="84">
        <f t="shared" si="51"/>
        <v>222.90628276924335</v>
      </c>
      <c r="I25" s="82">
        <f t="shared" ref="I25:O25" si="52">+I11/I$15</f>
        <v>892.50000000000011</v>
      </c>
      <c r="J25" s="83">
        <f t="shared" si="52"/>
        <v>845.24975514201776</v>
      </c>
      <c r="K25" s="83">
        <f t="shared" si="52"/>
        <v>828.61674741924048</v>
      </c>
      <c r="L25" s="83">
        <f t="shared" si="52"/>
        <v>867.12539912738748</v>
      </c>
      <c r="M25" s="83">
        <f t="shared" si="52"/>
        <v>877.65582356569007</v>
      </c>
      <c r="N25" s="83">
        <f t="shared" si="52"/>
        <v>856.46043769589198</v>
      </c>
      <c r="O25" s="84">
        <f t="shared" si="52"/>
        <v>833.79763330742355</v>
      </c>
      <c r="P25" s="82">
        <f t="shared" ref="P25:V25" si="53">+P11/P$15</f>
        <v>114.6</v>
      </c>
      <c r="Q25" s="83">
        <f t="shared" si="53"/>
        <v>110.7737512242899</v>
      </c>
      <c r="R25" s="83">
        <f t="shared" si="53"/>
        <v>100.63976069887336</v>
      </c>
      <c r="S25" s="83">
        <f t="shared" si="53"/>
        <v>108.93628501407579</v>
      </c>
      <c r="T25" s="83">
        <f t="shared" si="53"/>
        <v>101.99417651113374</v>
      </c>
      <c r="U25" s="83">
        <f t="shared" si="53"/>
        <v>104.95033525414486</v>
      </c>
      <c r="V25" s="84">
        <f t="shared" si="53"/>
        <v>108.08333755776303</v>
      </c>
      <c r="W25" s="82">
        <f t="shared" si="16"/>
        <v>0</v>
      </c>
      <c r="X25" s="83">
        <f t="shared" si="28"/>
        <v>0</v>
      </c>
      <c r="Y25" s="83">
        <f t="shared" si="28"/>
        <v>0</v>
      </c>
      <c r="Z25" s="83">
        <f t="shared" si="28"/>
        <v>0</v>
      </c>
      <c r="AA25" s="83">
        <f t="shared" si="28"/>
        <v>0</v>
      </c>
      <c r="AB25" s="83">
        <f t="shared" si="28"/>
        <v>0</v>
      </c>
      <c r="AC25" s="84">
        <f t="shared" si="28"/>
        <v>0</v>
      </c>
      <c r="AD25" s="97">
        <f t="shared" si="18"/>
        <v>0.3</v>
      </c>
      <c r="AE25" s="98">
        <f t="shared" si="29"/>
        <v>0.68560235063663078</v>
      </c>
      <c r="AF25" s="98">
        <f t="shared" si="29"/>
        <v>0.19261198219880066</v>
      </c>
      <c r="AG25" s="98">
        <f t="shared" si="29"/>
        <v>0.74295846556914436</v>
      </c>
      <c r="AH25" s="98">
        <f t="shared" si="29"/>
        <v>-1.1744236445037544</v>
      </c>
      <c r="AI25" s="98">
        <f t="shared" si="29"/>
        <v>-1.5561005227138445</v>
      </c>
      <c r="AJ25" s="99">
        <f t="shared" si="29"/>
        <v>-0.74884529485748053</v>
      </c>
      <c r="AK25" s="97">
        <f t="shared" ref="AK25:AQ25" si="54">+AK11/AK$15</f>
        <v>0</v>
      </c>
      <c r="AL25" s="98">
        <f t="shared" si="54"/>
        <v>45.053868756121453</v>
      </c>
      <c r="AM25" s="98">
        <f t="shared" si="54"/>
        <v>84.845578158571684</v>
      </c>
      <c r="AN25" s="98">
        <f t="shared" si="54"/>
        <v>24.331889747389475</v>
      </c>
      <c r="AO25" s="98">
        <f t="shared" si="54"/>
        <v>8.3113057918727229</v>
      </c>
      <c r="AP25" s="98">
        <f t="shared" si="54"/>
        <v>0.17290005807931608</v>
      </c>
      <c r="AQ25" s="99">
        <f t="shared" si="54"/>
        <v>0</v>
      </c>
      <c r="AR25" s="97">
        <f t="shared" ref="AR25:AX25" si="55">+AR11/AR$15</f>
        <v>1007.4000000000001</v>
      </c>
      <c r="AS25" s="98">
        <f t="shared" si="55"/>
        <v>956.70910871694423</v>
      </c>
      <c r="AT25" s="98">
        <f t="shared" si="55"/>
        <v>929.44912010031271</v>
      </c>
      <c r="AU25" s="98">
        <f t="shared" si="55"/>
        <v>976.80464260703241</v>
      </c>
      <c r="AV25" s="98">
        <f t="shared" si="55"/>
        <v>978.47557643231994</v>
      </c>
      <c r="AW25" s="98">
        <f t="shared" si="55"/>
        <v>959.85467242732307</v>
      </c>
      <c r="AX25" s="99">
        <f t="shared" si="55"/>
        <v>941.13212557032909</v>
      </c>
      <c r="AY25" s="97">
        <f t="shared" ref="AY25:BE25" si="56">+AY11/AY$15</f>
        <v>742.90000000000009</v>
      </c>
      <c r="AZ25" s="98">
        <f t="shared" si="56"/>
        <v>715.08325171400588</v>
      </c>
      <c r="BA25" s="98">
        <f t="shared" si="56"/>
        <v>674.04563170470294</v>
      </c>
      <c r="BB25" s="98">
        <f t="shared" si="56"/>
        <v>723.73441527254261</v>
      </c>
      <c r="BC25" s="98">
        <f t="shared" si="56"/>
        <v>735.73124314142854</v>
      </c>
      <c r="BD25" s="98">
        <f t="shared" si="56"/>
        <v>726.61249407832577</v>
      </c>
      <c r="BE25" s="99">
        <f t="shared" si="56"/>
        <v>718.22584280108572</v>
      </c>
      <c r="BF25" s="100">
        <f t="shared" si="23"/>
        <v>0.11375818939845145</v>
      </c>
      <c r="BG25" s="101">
        <f t="shared" si="24"/>
        <v>0.11578624078624077</v>
      </c>
      <c r="BH25" s="101">
        <f t="shared" si="24"/>
        <v>0.10827893482540669</v>
      </c>
      <c r="BI25" s="101">
        <f t="shared" si="24"/>
        <v>0.11152310325156875</v>
      </c>
      <c r="BJ25" s="101">
        <f t="shared" si="24"/>
        <v>0.10423783584156592</v>
      </c>
      <c r="BK25" s="101">
        <f t="shared" si="24"/>
        <v>0.10933981806718907</v>
      </c>
      <c r="BL25" s="102">
        <f t="shared" si="24"/>
        <v>0.11484395720979579</v>
      </c>
      <c r="CD25" s="34"/>
      <c r="CE25" s="34"/>
    </row>
    <row r="26" spans="1:83" ht="16.5" thickBot="1">
      <c r="A26" s="103" t="s">
        <v>23</v>
      </c>
      <c r="B26" s="104">
        <f t="shared" ref="B26:H26" si="57">SUBTOTAL(9,B20:B25)</f>
        <v>3596.2566325870457</v>
      </c>
      <c r="C26" s="105">
        <f t="shared" si="57"/>
        <v>2432.05410476004</v>
      </c>
      <c r="D26" s="105">
        <f t="shared" si="57"/>
        <v>2525.1989990725742</v>
      </c>
      <c r="E26" s="105">
        <f t="shared" si="57"/>
        <v>3046.6431657481025</v>
      </c>
      <c r="F26" s="105">
        <f t="shared" si="57"/>
        <v>3326.4524531270454</v>
      </c>
      <c r="G26" s="105">
        <f t="shared" si="57"/>
        <v>3460.94799276291</v>
      </c>
      <c r="H26" s="106">
        <f t="shared" si="57"/>
        <v>3399.9903773378473</v>
      </c>
      <c r="I26" s="104">
        <f t="shared" ref="I26:O26" si="58">SUBTOTAL(9,I20:I25)</f>
        <v>8787.4086457188987</v>
      </c>
      <c r="J26" s="105">
        <f t="shared" si="58"/>
        <v>8456.6461617083769</v>
      </c>
      <c r="K26" s="105">
        <f t="shared" si="58"/>
        <v>8707.8300451934174</v>
      </c>
      <c r="L26" s="105">
        <f t="shared" si="58"/>
        <v>9250.5694798184413</v>
      </c>
      <c r="M26" s="105">
        <f t="shared" si="58"/>
        <v>9141.1387840225088</v>
      </c>
      <c r="N26" s="105">
        <f t="shared" si="58"/>
        <v>8788.15127152286</v>
      </c>
      <c r="O26" s="106">
        <f t="shared" si="58"/>
        <v>8734.6915712668215</v>
      </c>
      <c r="P26" s="104">
        <f t="shared" ref="P26:V26" si="59">SUBTOTAL(9,P20:P25)</f>
        <v>1175.97674439</v>
      </c>
      <c r="Q26" s="105">
        <f t="shared" si="59"/>
        <v>1137.7664375905979</v>
      </c>
      <c r="R26" s="105">
        <f t="shared" si="59"/>
        <v>1187.7363454958177</v>
      </c>
      <c r="S26" s="105">
        <f t="shared" si="59"/>
        <v>1123.7126079278009</v>
      </c>
      <c r="T26" s="105">
        <f t="shared" si="59"/>
        <v>1147.7714632169123</v>
      </c>
      <c r="U26" s="105">
        <f t="shared" si="59"/>
        <v>1165.7460058430438</v>
      </c>
      <c r="V26" s="106">
        <f t="shared" si="59"/>
        <v>1159.3136015026605</v>
      </c>
      <c r="W26" s="104">
        <f>SUM(W20:W25)</f>
        <v>31.508850420000009</v>
      </c>
      <c r="X26" s="105">
        <f t="shared" ref="X26:AC26" si="60">SUM(X20:X25)</f>
        <v>38.086531060000006</v>
      </c>
      <c r="Y26" s="105">
        <f t="shared" si="60"/>
        <v>38.965421590000005</v>
      </c>
      <c r="Z26" s="105">
        <f t="shared" si="60"/>
        <v>54.466960069999985</v>
      </c>
      <c r="AA26" s="105">
        <f t="shared" si="60"/>
        <v>40.093125669999992</v>
      </c>
      <c r="AB26" s="105">
        <f t="shared" si="60"/>
        <v>44.689000000000014</v>
      </c>
      <c r="AC26" s="106">
        <f t="shared" si="60"/>
        <v>54.575385999999952</v>
      </c>
      <c r="AD26" s="107">
        <f t="shared" ref="AD26:AQ26" si="61">SUBTOTAL(9,AD20:AD25)</f>
        <v>31.815661329999998</v>
      </c>
      <c r="AE26" s="107">
        <f t="shared" si="61"/>
        <v>53.473515612144986</v>
      </c>
      <c r="AF26" s="107">
        <f t="shared" si="61"/>
        <v>17.34916255199321</v>
      </c>
      <c r="AG26" s="107">
        <f t="shared" si="61"/>
        <v>24.027219800878758</v>
      </c>
      <c r="AH26" s="107">
        <f t="shared" si="61"/>
        <v>13.00064887170511</v>
      </c>
      <c r="AI26" s="107">
        <f t="shared" si="61"/>
        <v>0.45969881611364105</v>
      </c>
      <c r="AJ26" s="108">
        <f t="shared" si="61"/>
        <v>24.282827693472889</v>
      </c>
      <c r="AK26" s="107">
        <f t="shared" si="61"/>
        <v>0</v>
      </c>
      <c r="AL26" s="107">
        <f t="shared" si="61"/>
        <v>875.02601930152559</v>
      </c>
      <c r="AM26" s="107">
        <f t="shared" si="61"/>
        <v>999.3529113109405</v>
      </c>
      <c r="AN26" s="107">
        <f t="shared" si="61"/>
        <v>248.73521509983522</v>
      </c>
      <c r="AO26" s="107">
        <f t="shared" si="61"/>
        <v>145.1830136200079</v>
      </c>
      <c r="AP26" s="107">
        <f t="shared" si="61"/>
        <v>1.0856757477572136</v>
      </c>
      <c r="AQ26" s="108">
        <f t="shared" si="61"/>
        <v>0</v>
      </c>
      <c r="AR26" s="107">
        <f t="shared" ref="AR26:AX26" si="62">SUBTOTAL(9,AR20:AR25)</f>
        <v>10021.209901858898</v>
      </c>
      <c r="AS26" s="107">
        <f t="shared" si="62"/>
        <v>9675.5908466055371</v>
      </c>
      <c r="AT26" s="107">
        <f t="shared" si="62"/>
        <v>9941.003601561797</v>
      </c>
      <c r="AU26" s="107">
        <f t="shared" si="62"/>
        <v>10427.346873392893</v>
      </c>
      <c r="AV26" s="107">
        <f t="shared" si="62"/>
        <v>10331.536297775765</v>
      </c>
      <c r="AW26" s="107">
        <f t="shared" si="62"/>
        <v>9985.9881773073375</v>
      </c>
      <c r="AX26" s="108">
        <f t="shared" si="62"/>
        <v>9953.7960693655423</v>
      </c>
      <c r="AY26" s="107">
        <f t="shared" ref="AY26:BE26" si="63">SUBTOTAL(9,AY20:AY25)</f>
        <v>6424.7892692718524</v>
      </c>
      <c r="AZ26" s="107">
        <f t="shared" si="63"/>
        <v>6368.6419664225223</v>
      </c>
      <c r="BA26" s="107">
        <f t="shared" si="63"/>
        <v>6416.4208732611296</v>
      </c>
      <c r="BB26" s="107">
        <f t="shared" si="63"/>
        <v>7131.5273609560254</v>
      </c>
      <c r="BC26" s="107">
        <f t="shared" si="63"/>
        <v>6858.4535797375629</v>
      </c>
      <c r="BD26" s="107">
        <f t="shared" si="63"/>
        <v>6524.3513144299623</v>
      </c>
      <c r="BE26" s="108">
        <f t="shared" si="63"/>
        <v>6553.6342896602036</v>
      </c>
      <c r="BF26" s="109">
        <f t="shared" si="23"/>
        <v>0.11734877883077378</v>
      </c>
      <c r="BG26" s="109">
        <f t="shared" si="24"/>
        <v>0.11759141696134842</v>
      </c>
      <c r="BH26" s="109">
        <f t="shared" si="24"/>
        <v>0.11947851475571505</v>
      </c>
      <c r="BI26" s="109">
        <f t="shared" si="24"/>
        <v>0.10776591798198833</v>
      </c>
      <c r="BJ26" s="109">
        <f t="shared" si="24"/>
        <v>0.11109397771404156</v>
      </c>
      <c r="BK26" s="109">
        <f t="shared" si="24"/>
        <v>0.11673817204111495</v>
      </c>
      <c r="BL26" s="110">
        <f t="shared" si="24"/>
        <v>0.11646949499705347</v>
      </c>
    </row>
    <row r="27" spans="1:83" ht="16.5" thickTop="1">
      <c r="A27" s="51" t="s">
        <v>24</v>
      </c>
    </row>
    <row r="28" spans="1:83">
      <c r="H28" s="120">
        <f>+H26/B26-1</f>
        <v>-5.4575152804934857E-2</v>
      </c>
      <c r="O28" s="120">
        <f>+O26/I26-1</f>
        <v>-5.999160455313568E-3</v>
      </c>
      <c r="V28" s="120">
        <f>+V26/P26-1</f>
        <v>-1.4169619396668387E-2</v>
      </c>
      <c r="AX28" s="120">
        <f>+AX26/AR26-1</f>
        <v>-6.7271151042201938E-3</v>
      </c>
      <c r="BE28" s="117">
        <f>+BE26/AY26-1</f>
        <v>2.0054357425322022E-2</v>
      </c>
    </row>
    <row r="29" spans="1:83">
      <c r="AX29" s="117">
        <f>+AX26/AW26-1</f>
        <v>-3.2237278244481304E-3</v>
      </c>
      <c r="BE29" s="117">
        <f>+BE26/BD26-1</f>
        <v>4.4882584978946927E-3</v>
      </c>
    </row>
  </sheetData>
  <mergeCells count="18">
    <mergeCell ref="AK4:AQ4"/>
    <mergeCell ref="AR4:AX4"/>
    <mergeCell ref="AY4:BE4"/>
    <mergeCell ref="BF4:BL4"/>
    <mergeCell ref="B4:H4"/>
    <mergeCell ref="I4:O4"/>
    <mergeCell ref="P4:V4"/>
    <mergeCell ref="W4:AC4"/>
    <mergeCell ref="AD4:AJ4"/>
    <mergeCell ref="AK18:AQ18"/>
    <mergeCell ref="AR18:AX18"/>
    <mergeCell ref="AY18:BE18"/>
    <mergeCell ref="BF18:BL18"/>
    <mergeCell ref="B18:H18"/>
    <mergeCell ref="I18:O18"/>
    <mergeCell ref="P18:V18"/>
    <mergeCell ref="W18:AC18"/>
    <mergeCell ref="AD18:AJ18"/>
  </mergeCells>
  <pageMargins left="0.70866141732283472" right="0.70866141732283472" top="0.74803149606299213" bottom="0.74803149606299213" header="0.31496062992125984" footer="0.31496062992125984"/>
  <pageSetup paperSize="8" fitToWidth="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27245-9741-4515-BC4F-354AEA119D6A}">
  <sheetPr>
    <pageSetUpPr fitToPage="1"/>
  </sheetPr>
  <dimension ref="A1:BS14"/>
  <sheetViews>
    <sheetView zoomScale="85" zoomScaleNormal="85" workbookViewId="0">
      <pane xSplit="1" ySplit="5" topLeftCell="J6" activePane="bottomRight" state="frozen"/>
      <selection pane="bottomRight" activeCell="Q16" sqref="Q16"/>
      <selection pane="bottomLeft" activeCell="BN14" sqref="BN14"/>
      <selection pane="topRight" activeCell="BN14" sqref="BN14"/>
    </sheetView>
  </sheetViews>
  <sheetFormatPr defaultColWidth="9" defaultRowHeight="15.75" outlineLevelCol="1"/>
  <cols>
    <col min="1" max="1" width="29.125" style="1" customWidth="1"/>
    <col min="2" max="2" width="10.625" style="1" customWidth="1"/>
    <col min="3" max="3" width="10.125" style="1" customWidth="1"/>
    <col min="4" max="8" width="10.625" style="1" customWidth="1"/>
    <col min="9" max="15" width="8.625" style="1" customWidth="1"/>
    <col min="16" max="22" width="12.625" style="1" customWidth="1"/>
    <col min="23" max="36" width="8.625" style="1" customWidth="1"/>
    <col min="37" max="50" width="8.625" style="1" customWidth="1" outlineLevel="1"/>
    <col min="51" max="72" width="8.625" style="1" customWidth="1"/>
    <col min="73" max="73" width="14.5" style="1" customWidth="1"/>
    <col min="74" max="85" width="8.625" style="1" customWidth="1"/>
    <col min="86" max="16384" width="9" style="1"/>
  </cols>
  <sheetData>
    <row r="1" spans="1:71">
      <c r="BM1" s="1" t="s">
        <v>17</v>
      </c>
    </row>
    <row r="2" spans="1:71">
      <c r="A2" s="2" t="s">
        <v>17</v>
      </c>
      <c r="B2" s="2"/>
      <c r="C2" s="2"/>
      <c r="D2" s="2"/>
    </row>
    <row r="4" spans="1:71" s="5" customFormat="1" ht="41.1" customHeight="1">
      <c r="A4" s="4"/>
      <c r="B4" s="143" t="s">
        <v>28</v>
      </c>
      <c r="C4" s="144"/>
      <c r="D4" s="144"/>
      <c r="E4" s="144"/>
      <c r="F4" s="144"/>
      <c r="G4" s="144"/>
      <c r="H4" s="144"/>
      <c r="I4" s="143" t="s">
        <v>2</v>
      </c>
      <c r="J4" s="144"/>
      <c r="K4" s="144"/>
      <c r="L4" s="144"/>
      <c r="M4" s="144"/>
      <c r="N4" s="144"/>
      <c r="O4" s="145"/>
      <c r="P4" s="143" t="s">
        <v>3</v>
      </c>
      <c r="Q4" s="144"/>
      <c r="R4" s="144"/>
      <c r="S4" s="144"/>
      <c r="T4" s="144"/>
      <c r="U4" s="144"/>
      <c r="V4" s="145"/>
      <c r="W4" s="143" t="s">
        <v>4</v>
      </c>
      <c r="X4" s="144"/>
      <c r="Y4" s="144"/>
      <c r="Z4" s="144"/>
      <c r="AA4" s="144"/>
      <c r="AB4" s="144"/>
      <c r="AC4" s="145"/>
      <c r="AD4" s="143" t="s">
        <v>5</v>
      </c>
      <c r="AE4" s="144"/>
      <c r="AF4" s="144"/>
      <c r="AG4" s="144"/>
      <c r="AH4" s="144"/>
      <c r="AI4" s="144"/>
      <c r="AJ4" s="145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3" t="s">
        <v>29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  <c r="BM4" s="1"/>
      <c r="BN4" s="1"/>
      <c r="BO4" s="1"/>
      <c r="BP4" s="1"/>
      <c r="BQ4" s="1"/>
      <c r="BR4" s="1"/>
      <c r="BS4" s="1"/>
    </row>
    <row r="5" spans="1:71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</row>
    <row r="6" spans="1:71" ht="16.5" thickBot="1">
      <c r="A6" s="65" t="s">
        <v>23</v>
      </c>
      <c r="B6" s="113">
        <f>29.2+0.2</f>
        <v>29.4</v>
      </c>
      <c r="C6" s="112">
        <f>22.2+0.2</f>
        <v>22.4</v>
      </c>
      <c r="D6" s="112">
        <f>29.4-7.5+0.2</f>
        <v>22.099999999999998</v>
      </c>
      <c r="E6" s="112">
        <f>24.1+0.34</f>
        <v>24.44</v>
      </c>
      <c r="F6" s="66">
        <f>26.579+0.06</f>
        <v>26.638999999999999</v>
      </c>
      <c r="G6" s="112">
        <f>26.3+0.39</f>
        <v>26.69</v>
      </c>
      <c r="H6" s="111">
        <f>28.3+0.42</f>
        <v>28.720000000000002</v>
      </c>
      <c r="I6" s="112">
        <f>52.3+1.3</f>
        <v>53.599999999999994</v>
      </c>
      <c r="J6" s="112">
        <f>46.8+0.65+1.2</f>
        <v>48.65</v>
      </c>
      <c r="K6" s="112">
        <f>49.6+1.3</f>
        <v>50.9</v>
      </c>
      <c r="L6" s="112">
        <f>54.7+1.9</f>
        <v>56.6</v>
      </c>
      <c r="M6" s="66">
        <f>53.9+2.1</f>
        <v>56</v>
      </c>
      <c r="N6" s="112">
        <f>61.3+3.5</f>
        <v>64.8</v>
      </c>
      <c r="O6" s="111">
        <f>57.7+3.5</f>
        <v>61.2</v>
      </c>
      <c r="P6" s="112">
        <v>7.6</v>
      </c>
      <c r="Q6" s="112">
        <v>7.3</v>
      </c>
      <c r="R6" s="112">
        <v>9.1999999999999993</v>
      </c>
      <c r="S6" s="112">
        <v>5.9</v>
      </c>
      <c r="T6" s="112">
        <v>7.1</v>
      </c>
      <c r="U6" s="112">
        <v>7.2</v>
      </c>
      <c r="V6" s="111">
        <f>7.8-0.6</f>
        <v>7.2</v>
      </c>
      <c r="W6" s="66"/>
      <c r="X6" s="66"/>
      <c r="Y6" s="66"/>
      <c r="Z6" s="66"/>
      <c r="AA6" s="66"/>
      <c r="AB6" s="66"/>
      <c r="AC6" s="68"/>
      <c r="AD6" s="66"/>
      <c r="AE6" s="66"/>
      <c r="AF6" s="66"/>
      <c r="AG6" s="66"/>
      <c r="AH6" s="66"/>
      <c r="AI6" s="66"/>
      <c r="AJ6" s="68"/>
      <c r="AK6" s="69">
        <v>0</v>
      </c>
      <c r="AL6" s="69">
        <v>7.2</v>
      </c>
      <c r="AM6" s="69">
        <v>8.9</v>
      </c>
      <c r="AN6" s="69">
        <v>3.1</v>
      </c>
      <c r="AO6" s="69">
        <v>-1</v>
      </c>
      <c r="AP6" s="69">
        <v>0</v>
      </c>
      <c r="AQ6" s="69">
        <v>0</v>
      </c>
      <c r="AR6" s="69">
        <f>+AD6+W6+P6+I6</f>
        <v>61.199999999999996</v>
      </c>
      <c r="AS6" s="69">
        <f t="shared" ref="AS6:AX6" si="0">+AE6+X6+Q6+J6</f>
        <v>55.949999999999996</v>
      </c>
      <c r="AT6" s="69">
        <f t="shared" si="0"/>
        <v>60.099999999999994</v>
      </c>
      <c r="AU6" s="69">
        <f t="shared" si="0"/>
        <v>62.5</v>
      </c>
      <c r="AV6" s="69">
        <f t="shared" si="0"/>
        <v>63.1</v>
      </c>
      <c r="AW6" s="69">
        <f t="shared" si="0"/>
        <v>72</v>
      </c>
      <c r="AX6" s="69">
        <f t="shared" si="0"/>
        <v>68.400000000000006</v>
      </c>
      <c r="AY6" s="69">
        <f>+AR6-AK6-B6</f>
        <v>31.799999999999997</v>
      </c>
      <c r="AZ6" s="69">
        <f t="shared" ref="AZ6:BE6" si="1">+AS6-AL6-C6</f>
        <v>26.349999999999994</v>
      </c>
      <c r="BA6" s="69">
        <f t="shared" si="1"/>
        <v>29.099999999999998</v>
      </c>
      <c r="BB6" s="69">
        <f t="shared" si="1"/>
        <v>34.959999999999994</v>
      </c>
      <c r="BC6" s="69">
        <f t="shared" si="1"/>
        <v>37.460999999999999</v>
      </c>
      <c r="BD6" s="69">
        <f t="shared" si="1"/>
        <v>45.31</v>
      </c>
      <c r="BE6" s="69">
        <f t="shared" si="1"/>
        <v>39.680000000000007</v>
      </c>
      <c r="BF6" s="70">
        <f>+P6/AR6</f>
        <v>0.12418300653594772</v>
      </c>
      <c r="BG6" s="71">
        <f t="shared" ref="BG6:BL6" si="2">+Q6/AS6</f>
        <v>0.13047363717605004</v>
      </c>
      <c r="BH6" s="71">
        <f t="shared" si="2"/>
        <v>0.15307820299500832</v>
      </c>
      <c r="BI6" s="71">
        <f t="shared" si="2"/>
        <v>9.4400000000000012E-2</v>
      </c>
      <c r="BJ6" s="71">
        <f t="shared" si="2"/>
        <v>0.11251980982567353</v>
      </c>
      <c r="BK6" s="71">
        <f t="shared" si="2"/>
        <v>0.1</v>
      </c>
      <c r="BL6" s="72">
        <f t="shared" si="2"/>
        <v>0.10526315789473684</v>
      </c>
    </row>
    <row r="7" spans="1:71" ht="16.5" thickTop="1"/>
    <row r="14" spans="1:71">
      <c r="B14" s="27"/>
    </row>
  </sheetData>
  <mergeCells count="9">
    <mergeCell ref="AY4:BE4"/>
    <mergeCell ref="BF4:BL4"/>
    <mergeCell ref="W4:AC4"/>
    <mergeCell ref="AD4:AJ4"/>
    <mergeCell ref="B4:H4"/>
    <mergeCell ref="I4:O4"/>
    <mergeCell ref="P4:V4"/>
    <mergeCell ref="AK4:AQ4"/>
    <mergeCell ref="AR4:AX4"/>
  </mergeCells>
  <pageMargins left="0.70866141732283472" right="0.70866141732283472" top="0.74803149606299213" bottom="0.74803149606299213" header="0.31496062992125984" footer="0.31496062992125984"/>
  <pageSetup paperSize="8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DFA6-76B4-4EF0-B539-68C93827FABF}">
  <sheetPr>
    <pageSetUpPr fitToPage="1"/>
  </sheetPr>
  <dimension ref="A2:DF35"/>
  <sheetViews>
    <sheetView view="pageBreakPreview" zoomScaleNormal="130" zoomScaleSheetLayoutView="100" workbookViewId="0">
      <pane xSplit="1" ySplit="5" topLeftCell="B6" activePane="bottomRight" state="frozen"/>
      <selection pane="bottomRight" activeCell="AC15" sqref="AC15"/>
      <selection pane="bottomLeft" activeCell="A6" sqref="A6"/>
      <selection pane="topRight" activeCell="B1" sqref="B1"/>
    </sheetView>
  </sheetViews>
  <sheetFormatPr defaultColWidth="28.125" defaultRowHeight="15.75" outlineLevelCol="1"/>
  <cols>
    <col min="1" max="1" width="21.625" style="1" customWidth="1"/>
    <col min="2" max="8" width="10.625" style="1" customWidth="1"/>
    <col min="9" max="15" width="8.625" style="1" customWidth="1"/>
    <col min="16" max="22" width="12.625" style="1" customWidth="1"/>
    <col min="23" max="43" width="8.625" style="1" customWidth="1"/>
    <col min="44" max="57" width="8.625" style="1" customWidth="1" outlineLevel="1"/>
    <col min="58" max="58" width="11.625" style="1" bestFit="1" customWidth="1"/>
    <col min="59" max="85" width="8.625" style="1" customWidth="1"/>
    <col min="86" max="89" width="6.625" style="1" bestFit="1" customWidth="1"/>
    <col min="90" max="90" width="7.625" style="1" bestFit="1" customWidth="1"/>
    <col min="91" max="91" width="12.5" style="1" bestFit="1" customWidth="1"/>
    <col min="92" max="92" width="6.625" style="1" customWidth="1"/>
    <col min="93" max="109" width="28.125" style="1"/>
    <col min="110" max="110" width="8" style="1" bestFit="1" customWidth="1"/>
    <col min="111" max="16384" width="28.125" style="1"/>
  </cols>
  <sheetData>
    <row r="2" spans="1:110">
      <c r="A2" s="2" t="s">
        <v>30</v>
      </c>
      <c r="B2" s="2"/>
      <c r="C2" s="2"/>
      <c r="D2" s="2"/>
    </row>
    <row r="3" spans="1:110">
      <c r="AU3" s="1" t="s">
        <v>31</v>
      </c>
    </row>
    <row r="4" spans="1:110" s="5" customFormat="1" ht="41.1" customHeight="1">
      <c r="A4" s="4"/>
      <c r="B4" s="143" t="s">
        <v>28</v>
      </c>
      <c r="C4" s="144"/>
      <c r="D4" s="144"/>
      <c r="E4" s="144"/>
      <c r="F4" s="144"/>
      <c r="G4" s="144"/>
      <c r="H4" s="144"/>
      <c r="I4" s="143" t="s">
        <v>2</v>
      </c>
      <c r="J4" s="144"/>
      <c r="K4" s="144"/>
      <c r="L4" s="144"/>
      <c r="M4" s="144"/>
      <c r="N4" s="144"/>
      <c r="O4" s="145"/>
      <c r="P4" s="143" t="s">
        <v>3</v>
      </c>
      <c r="Q4" s="144"/>
      <c r="R4" s="144"/>
      <c r="S4" s="144"/>
      <c r="T4" s="144"/>
      <c r="U4" s="144"/>
      <c r="V4" s="145"/>
      <c r="W4" s="143" t="s">
        <v>4</v>
      </c>
      <c r="X4" s="144"/>
      <c r="Y4" s="144"/>
      <c r="Z4" s="144"/>
      <c r="AA4" s="144"/>
      <c r="AB4" s="144"/>
      <c r="AC4" s="145"/>
      <c r="AD4" s="143" t="s">
        <v>5</v>
      </c>
      <c r="AE4" s="144"/>
      <c r="AF4" s="144"/>
      <c r="AG4" s="144"/>
      <c r="AH4" s="144"/>
      <c r="AI4" s="144"/>
      <c r="AJ4" s="145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3" t="s">
        <v>29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  <c r="BM4" s="143"/>
      <c r="BN4" s="144"/>
      <c r="BO4" s="144"/>
      <c r="BP4" s="144"/>
      <c r="BQ4" s="144"/>
      <c r="BR4" s="144"/>
      <c r="BS4" s="145"/>
      <c r="BT4" s="143"/>
      <c r="BU4" s="144"/>
      <c r="BV4" s="144"/>
      <c r="BW4" s="144"/>
      <c r="BX4" s="144"/>
      <c r="BY4" s="144"/>
      <c r="BZ4" s="145"/>
      <c r="CA4" s="143"/>
      <c r="CB4" s="144"/>
      <c r="CC4" s="144"/>
      <c r="CD4" s="144"/>
      <c r="CE4" s="144"/>
      <c r="CF4" s="144"/>
      <c r="CG4" s="145"/>
      <c r="CH4" s="143"/>
      <c r="CI4" s="144"/>
      <c r="CJ4" s="144"/>
      <c r="CK4" s="144"/>
      <c r="CL4" s="144"/>
      <c r="CM4" s="144"/>
      <c r="CN4" s="145"/>
    </row>
    <row r="5" spans="1:110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  <c r="BM5" s="7"/>
      <c r="BN5" s="8"/>
      <c r="BO5" s="8"/>
      <c r="BP5" s="9"/>
      <c r="BQ5" s="9"/>
      <c r="BR5" s="9"/>
      <c r="BS5" s="10"/>
      <c r="BT5" s="7"/>
      <c r="BU5" s="8"/>
      <c r="BV5" s="8"/>
      <c r="BW5" s="9"/>
      <c r="BX5" s="9"/>
      <c r="BY5" s="9"/>
      <c r="BZ5" s="10"/>
      <c r="CA5" s="7"/>
      <c r="CB5" s="8"/>
      <c r="CC5" s="8"/>
      <c r="CD5" s="9"/>
      <c r="CE5" s="9"/>
      <c r="CF5" s="9"/>
      <c r="CG5" s="10"/>
      <c r="CH5" s="7"/>
      <c r="CI5" s="8"/>
      <c r="CJ5" s="8"/>
      <c r="CK5" s="9"/>
      <c r="CL5" s="9"/>
      <c r="CM5" s="9"/>
      <c r="CN5" s="10"/>
    </row>
    <row r="6" spans="1:110">
      <c r="A6" s="3" t="s">
        <v>32</v>
      </c>
      <c r="B6" s="124">
        <v>5.6719999999999997</v>
      </c>
      <c r="C6" s="125">
        <v>4.7240000000000002</v>
      </c>
      <c r="D6" s="125">
        <v>5.72</v>
      </c>
      <c r="E6" s="124">
        <v>6.3040000000000003</v>
      </c>
      <c r="F6" s="124">
        <v>6.9630000000000001</v>
      </c>
      <c r="G6" s="124">
        <v>7.98</v>
      </c>
      <c r="H6" s="124">
        <v>7.7640000000000002</v>
      </c>
      <c r="I6" s="126">
        <v>66.471999999999994</v>
      </c>
      <c r="J6" s="125">
        <v>47.451999999999998</v>
      </c>
      <c r="K6" s="125">
        <v>61.314</v>
      </c>
      <c r="L6" s="124">
        <v>76.007000000000005</v>
      </c>
      <c r="M6" s="124">
        <v>84.781999999999996</v>
      </c>
      <c r="N6" s="124">
        <v>93.477999999999994</v>
      </c>
      <c r="O6" s="127">
        <v>88.299000000000007</v>
      </c>
      <c r="P6" s="124">
        <v>12.125999999999999</v>
      </c>
      <c r="Q6" s="125">
        <v>11.523999999999999</v>
      </c>
      <c r="R6" s="125">
        <v>13.329000000000001</v>
      </c>
      <c r="S6" s="124">
        <v>16.04</v>
      </c>
      <c r="T6" s="124">
        <v>16.463000000000001</v>
      </c>
      <c r="U6" s="124">
        <v>16.442</v>
      </c>
      <c r="V6" s="127">
        <v>15.179</v>
      </c>
      <c r="W6" s="124"/>
      <c r="X6" s="125"/>
      <c r="Y6" s="125"/>
      <c r="Z6" s="124"/>
      <c r="AA6" s="124"/>
      <c r="AB6" s="124"/>
      <c r="AC6" s="127"/>
      <c r="AD6" s="124"/>
      <c r="AE6" s="125"/>
      <c r="AF6" s="125"/>
      <c r="AG6" s="124"/>
      <c r="AH6" s="124"/>
      <c r="AI6" s="124"/>
      <c r="AJ6" s="127"/>
      <c r="AK6" s="124">
        <v>0</v>
      </c>
      <c r="AL6" s="125">
        <v>-14.855</v>
      </c>
      <c r="AM6" s="125">
        <v>-10.077999999999999</v>
      </c>
      <c r="AN6" s="124">
        <v>0</v>
      </c>
      <c r="AO6" s="124">
        <v>1.3</v>
      </c>
      <c r="AP6" s="124">
        <v>0.08</v>
      </c>
      <c r="AQ6" s="124"/>
      <c r="AR6" s="125">
        <f t="shared" ref="AR6:AX9" si="0">+I6+P6+AD6</f>
        <v>78.597999999999999</v>
      </c>
      <c r="AS6" s="125">
        <f t="shared" si="0"/>
        <v>58.975999999999999</v>
      </c>
      <c r="AT6" s="125">
        <f t="shared" si="0"/>
        <v>74.643000000000001</v>
      </c>
      <c r="AU6" s="125">
        <f t="shared" si="0"/>
        <v>92.046999999999997</v>
      </c>
      <c r="AV6" s="125">
        <f t="shared" si="0"/>
        <v>101.245</v>
      </c>
      <c r="AW6" s="125">
        <f t="shared" si="0"/>
        <v>109.91999999999999</v>
      </c>
      <c r="AX6" s="125">
        <f t="shared" si="0"/>
        <v>103.47800000000001</v>
      </c>
      <c r="AY6" s="125">
        <f t="shared" ref="AY6:BA9" si="1">+I6-B6+P6-AK6</f>
        <v>72.926000000000002</v>
      </c>
      <c r="AZ6" s="125">
        <f t="shared" si="1"/>
        <v>69.106999999999999</v>
      </c>
      <c r="BA6" s="125">
        <f t="shared" si="1"/>
        <v>79.001000000000005</v>
      </c>
      <c r="BB6" s="125">
        <f t="shared" ref="BB6:BE9" si="2">+L6-E6+S6-AN6</f>
        <v>85.742999999999995</v>
      </c>
      <c r="BC6" s="125">
        <f t="shared" si="2"/>
        <v>92.982000000000014</v>
      </c>
      <c r="BD6" s="125">
        <f t="shared" si="2"/>
        <v>101.86</v>
      </c>
      <c r="BE6" s="125">
        <f t="shared" si="2"/>
        <v>95.714000000000013</v>
      </c>
      <c r="BF6" s="128">
        <f t="shared" ref="BF6:BI8" si="3">+P6/AR6</f>
        <v>0.1542787348278582</v>
      </c>
      <c r="BG6" s="128">
        <f t="shared" si="3"/>
        <v>0.19540151926207269</v>
      </c>
      <c r="BH6" s="128">
        <f t="shared" si="3"/>
        <v>0.17856999316747721</v>
      </c>
      <c r="BI6" s="128">
        <f t="shared" si="3"/>
        <v>0.17425880256825318</v>
      </c>
      <c r="BJ6" s="128">
        <f t="shared" ref="BJ6:BL8" si="4">+T6/AV6</f>
        <v>0.16260556076843302</v>
      </c>
      <c r="BK6" s="128">
        <f t="shared" si="4"/>
        <v>0.14958151382823873</v>
      </c>
      <c r="BL6" s="128">
        <f t="shared" si="4"/>
        <v>0.1466881849281973</v>
      </c>
      <c r="BM6" s="122"/>
      <c r="BN6" s="2"/>
      <c r="BO6" s="2"/>
      <c r="BP6" s="121"/>
      <c r="BQ6" s="121"/>
      <c r="BR6" s="121"/>
      <c r="BS6" s="123"/>
      <c r="BT6" s="121"/>
      <c r="BU6" s="2"/>
      <c r="BV6" s="2"/>
      <c r="BW6" s="121"/>
      <c r="BX6" s="121"/>
      <c r="BY6" s="121"/>
      <c r="BZ6" s="123"/>
      <c r="CA6" s="121"/>
      <c r="CB6" s="2"/>
      <c r="CC6" s="2"/>
      <c r="CD6" s="121"/>
      <c r="CE6" s="121"/>
      <c r="CF6" s="121"/>
      <c r="CG6" s="123"/>
      <c r="CH6" s="121"/>
      <c r="CI6" s="2"/>
      <c r="CJ6" s="2"/>
      <c r="CK6" s="121"/>
      <c r="CL6" s="121"/>
      <c r="CM6" s="121"/>
      <c r="CN6" s="123"/>
    </row>
    <row r="7" spans="1:110">
      <c r="A7" s="3" t="s">
        <v>33</v>
      </c>
      <c r="B7" s="124">
        <v>2.609</v>
      </c>
      <c r="C7" s="125">
        <v>2.5710000000000002</v>
      </c>
      <c r="D7" s="125">
        <v>2.78</v>
      </c>
      <c r="E7" s="124">
        <v>3.0110000000000001</v>
      </c>
      <c r="F7" s="124">
        <v>3.4769999999999999</v>
      </c>
      <c r="G7" s="124">
        <v>4.07</v>
      </c>
      <c r="H7" s="124">
        <v>4.048</v>
      </c>
      <c r="I7" s="126">
        <v>14.19</v>
      </c>
      <c r="J7" s="125">
        <v>7.4059999999999997</v>
      </c>
      <c r="K7" s="125">
        <v>8.5530000000000008</v>
      </c>
      <c r="L7" s="124">
        <v>8.8859999999999992</v>
      </c>
      <c r="M7" s="124">
        <v>12.007</v>
      </c>
      <c r="N7" s="124">
        <v>15.14</v>
      </c>
      <c r="O7" s="127">
        <v>15.497999999999999</v>
      </c>
      <c r="P7" s="124">
        <v>5.5449999999999999</v>
      </c>
      <c r="Q7" s="125">
        <v>6.492</v>
      </c>
      <c r="R7" s="125">
        <v>4.8520000000000003</v>
      </c>
      <c r="S7" s="124">
        <v>4.0199999999999996</v>
      </c>
      <c r="T7" s="124">
        <v>4.5869999999999997</v>
      </c>
      <c r="U7" s="124">
        <v>4.9459999999999997</v>
      </c>
      <c r="V7" s="127">
        <v>4.8959999999999999</v>
      </c>
      <c r="W7" s="124"/>
      <c r="X7" s="125"/>
      <c r="Y7" s="125"/>
      <c r="Z7" s="124"/>
      <c r="AA7" s="124"/>
      <c r="AB7" s="124"/>
      <c r="AC7" s="127"/>
      <c r="AD7" s="124"/>
      <c r="AE7" s="125"/>
      <c r="AF7" s="125"/>
      <c r="AG7" s="124"/>
      <c r="AH7" s="124"/>
      <c r="AI7" s="124"/>
      <c r="AJ7" s="127"/>
      <c r="AK7" s="124">
        <v>0</v>
      </c>
      <c r="AL7" s="125">
        <v>-6.6829999999999998</v>
      </c>
      <c r="AM7" s="125">
        <v>-3.1850000000000001</v>
      </c>
      <c r="AN7" s="124"/>
      <c r="AO7" s="124"/>
      <c r="AP7" s="124">
        <v>0</v>
      </c>
      <c r="AQ7" s="124"/>
      <c r="AR7" s="125">
        <f t="shared" si="0"/>
        <v>19.734999999999999</v>
      </c>
      <c r="AS7" s="125">
        <f t="shared" si="0"/>
        <v>13.898</v>
      </c>
      <c r="AT7" s="125">
        <f t="shared" si="0"/>
        <v>13.405000000000001</v>
      </c>
      <c r="AU7" s="125">
        <f t="shared" si="0"/>
        <v>12.905999999999999</v>
      </c>
      <c r="AV7" s="125">
        <f t="shared" si="0"/>
        <v>16.594000000000001</v>
      </c>
      <c r="AW7" s="125">
        <f t="shared" si="0"/>
        <v>20.085999999999999</v>
      </c>
      <c r="AX7" s="125">
        <f t="shared" si="0"/>
        <v>20.393999999999998</v>
      </c>
      <c r="AY7" s="125">
        <f t="shared" si="1"/>
        <v>17.125999999999998</v>
      </c>
      <c r="AZ7" s="125">
        <f t="shared" si="1"/>
        <v>18.009999999999998</v>
      </c>
      <c r="BA7" s="125">
        <f t="shared" si="1"/>
        <v>13.810000000000002</v>
      </c>
      <c r="BB7" s="125">
        <f t="shared" si="2"/>
        <v>9.8949999999999996</v>
      </c>
      <c r="BC7" s="125">
        <f t="shared" si="2"/>
        <v>13.116999999999999</v>
      </c>
      <c r="BD7" s="125">
        <f t="shared" si="2"/>
        <v>16.015999999999998</v>
      </c>
      <c r="BE7" s="125">
        <f t="shared" si="2"/>
        <v>16.346</v>
      </c>
      <c r="BF7" s="128">
        <f t="shared" si="3"/>
        <v>0.28097289080314164</v>
      </c>
      <c r="BG7" s="128">
        <f t="shared" si="3"/>
        <v>0.46711757087350697</v>
      </c>
      <c r="BH7" s="128">
        <f t="shared" si="3"/>
        <v>0.36195449459157031</v>
      </c>
      <c r="BI7" s="128">
        <f t="shared" si="3"/>
        <v>0.31148303114830311</v>
      </c>
      <c r="BJ7" s="128">
        <f t="shared" si="4"/>
        <v>0.27642521393274672</v>
      </c>
      <c r="BK7" s="128">
        <f t="shared" si="4"/>
        <v>0.24624116299910387</v>
      </c>
      <c r="BL7" s="128">
        <f t="shared" si="4"/>
        <v>0.24007060900264784</v>
      </c>
      <c r="BM7" s="122"/>
      <c r="BN7" s="2"/>
      <c r="BO7" s="2"/>
      <c r="BP7" s="121"/>
      <c r="BQ7" s="121"/>
      <c r="BR7" s="121"/>
      <c r="BS7" s="123"/>
      <c r="BT7" s="121"/>
      <c r="BU7" s="2"/>
      <c r="BV7" s="2"/>
      <c r="BW7" s="121"/>
      <c r="BX7" s="121"/>
      <c r="BY7" s="121"/>
      <c r="BZ7" s="123"/>
      <c r="CA7" s="121"/>
      <c r="CB7" s="2"/>
      <c r="CC7" s="2"/>
      <c r="CD7" s="121"/>
      <c r="CE7" s="121"/>
      <c r="CF7" s="121"/>
      <c r="CG7" s="123"/>
      <c r="CH7" s="121"/>
      <c r="CI7" s="2"/>
      <c r="CJ7" s="2"/>
      <c r="CK7" s="121"/>
      <c r="CL7" s="121"/>
      <c r="CM7" s="121"/>
      <c r="CN7" s="123"/>
    </row>
    <row r="8" spans="1:110">
      <c r="A8" s="3" t="s">
        <v>34</v>
      </c>
      <c r="B8" s="124">
        <v>195.798</v>
      </c>
      <c r="C8" s="125">
        <v>131.727</v>
      </c>
      <c r="D8" s="125">
        <v>150.04300000000001</v>
      </c>
      <c r="E8" s="124">
        <v>155.78700000000001</v>
      </c>
      <c r="F8" s="124">
        <v>161.02979999999999</v>
      </c>
      <c r="G8" s="124">
        <v>163.828</v>
      </c>
      <c r="H8" s="124">
        <v>177.25700000000001</v>
      </c>
      <c r="I8" s="126">
        <v>487.221</v>
      </c>
      <c r="J8" s="125">
        <v>491.738</v>
      </c>
      <c r="K8" s="125">
        <v>511.47399999999999</v>
      </c>
      <c r="L8" s="124">
        <v>544.72</v>
      </c>
      <c r="M8" s="124">
        <v>522.83199999999999</v>
      </c>
      <c r="N8" s="124">
        <v>520.22199999999998</v>
      </c>
      <c r="O8" s="127">
        <v>534.08199999999999</v>
      </c>
      <c r="P8" s="124">
        <f>77.951-AD8</f>
        <v>77.786999999999992</v>
      </c>
      <c r="Q8" s="125">
        <f>79.03-AE8</f>
        <v>79.164000000000001</v>
      </c>
      <c r="R8" s="125">
        <f>80.625-AF8</f>
        <v>80.593000000000004</v>
      </c>
      <c r="S8" s="124">
        <f>84.57-AG8</f>
        <v>84.094999999999999</v>
      </c>
      <c r="T8" s="124">
        <f>84.193-AH8</f>
        <v>82.590999999999994</v>
      </c>
      <c r="U8" s="124">
        <f>86.835-AI8</f>
        <v>87.293999999999997</v>
      </c>
      <c r="V8" s="127">
        <f>83.75-AJ8</f>
        <v>83.543999999999997</v>
      </c>
      <c r="W8" s="124">
        <v>5.5</v>
      </c>
      <c r="X8" s="125">
        <v>9.8000000000000007</v>
      </c>
      <c r="Y8" s="125">
        <v>9.8000000000000007</v>
      </c>
      <c r="Z8" s="124">
        <v>23.2</v>
      </c>
      <c r="AA8" s="124">
        <v>7.3</v>
      </c>
      <c r="AB8" s="124">
        <v>8.1</v>
      </c>
      <c r="AC8" s="127">
        <v>11.9</v>
      </c>
      <c r="AD8" s="129">
        <v>0.16400000000000001</v>
      </c>
      <c r="AE8" s="130">
        <v>-0.13400000000000001</v>
      </c>
      <c r="AF8" s="130">
        <v>3.2000000000000001E-2</v>
      </c>
      <c r="AG8" s="129">
        <v>0.47499999999999998</v>
      </c>
      <c r="AH8" s="129">
        <v>1.6020000000000001</v>
      </c>
      <c r="AI8" s="129">
        <v>-0.45900000000000002</v>
      </c>
      <c r="AJ8" s="131">
        <v>0.20599999999999999</v>
      </c>
      <c r="AK8" s="124">
        <v>0</v>
      </c>
      <c r="AL8" s="125">
        <v>68.417000000000002</v>
      </c>
      <c r="AM8" s="125">
        <v>66.429000000000002</v>
      </c>
      <c r="AN8" s="124">
        <v>18.2</v>
      </c>
      <c r="AO8" s="124">
        <v>8.266</v>
      </c>
      <c r="AP8" s="124">
        <v>-0.435</v>
      </c>
      <c r="AQ8" s="124"/>
      <c r="AR8" s="125">
        <f>+I8+P8+AD8</f>
        <v>565.17200000000003</v>
      </c>
      <c r="AS8" s="125">
        <f t="shared" si="0"/>
        <v>570.76800000000003</v>
      </c>
      <c r="AT8" s="125">
        <f>+K8+R8+AF8</f>
        <v>592.09900000000005</v>
      </c>
      <c r="AU8" s="125">
        <f t="shared" si="0"/>
        <v>629.29000000000008</v>
      </c>
      <c r="AV8" s="125">
        <f t="shared" si="0"/>
        <v>607.02499999999998</v>
      </c>
      <c r="AW8" s="125">
        <f t="shared" si="0"/>
        <v>607.05700000000002</v>
      </c>
      <c r="AX8" s="125">
        <f t="shared" si="0"/>
        <v>617.83199999999999</v>
      </c>
      <c r="AY8" s="125">
        <f t="shared" si="1"/>
        <v>369.21</v>
      </c>
      <c r="AZ8" s="125">
        <f t="shared" si="1"/>
        <v>370.75799999999992</v>
      </c>
      <c r="BA8" s="125">
        <f t="shared" si="1"/>
        <v>375.59500000000003</v>
      </c>
      <c r="BB8" s="125">
        <f t="shared" si="2"/>
        <v>454.82800000000003</v>
      </c>
      <c r="BC8" s="125">
        <f t="shared" si="2"/>
        <v>436.12719999999996</v>
      </c>
      <c r="BD8" s="125">
        <f t="shared" si="2"/>
        <v>444.12299999999999</v>
      </c>
      <c r="BE8" s="125">
        <f t="shared" si="2"/>
        <v>440.36899999999997</v>
      </c>
      <c r="BF8" s="128">
        <f t="shared" si="3"/>
        <v>0.13763420693169512</v>
      </c>
      <c r="BG8" s="128">
        <f t="shared" si="3"/>
        <v>0.13869733411824067</v>
      </c>
      <c r="BH8" s="128">
        <f t="shared" si="3"/>
        <v>0.13611406200652254</v>
      </c>
      <c r="BI8" s="128">
        <f t="shared" si="3"/>
        <v>0.13363473120500879</v>
      </c>
      <c r="BJ8" s="128">
        <f t="shared" si="4"/>
        <v>0.13605864667847287</v>
      </c>
      <c r="BK8" s="128">
        <f>+U8/AW8</f>
        <v>0.14379868776737603</v>
      </c>
      <c r="BL8" s="128">
        <f t="shared" si="4"/>
        <v>0.1352212251874296</v>
      </c>
      <c r="BM8" s="122"/>
      <c r="BN8" s="2"/>
      <c r="BO8" s="2"/>
      <c r="BP8" s="121"/>
      <c r="BQ8" s="121"/>
      <c r="BR8" s="121"/>
      <c r="BS8" s="123"/>
      <c r="BT8" s="121"/>
      <c r="BU8" s="2"/>
      <c r="BV8" s="2"/>
      <c r="BW8" s="121"/>
      <c r="BX8" s="121"/>
      <c r="BY8" s="121"/>
      <c r="BZ8" s="123"/>
      <c r="CA8" s="121"/>
      <c r="CB8" s="2"/>
      <c r="CC8" s="2"/>
      <c r="CD8" s="121"/>
      <c r="CE8" s="121"/>
      <c r="CF8" s="121"/>
      <c r="CG8" s="123"/>
      <c r="CH8" s="121"/>
      <c r="CI8" s="2"/>
      <c r="CJ8" s="2"/>
      <c r="CK8" s="121"/>
      <c r="CL8" s="121"/>
      <c r="CM8" s="121"/>
      <c r="CN8" s="123"/>
    </row>
    <row r="9" spans="1:110">
      <c r="A9" s="3" t="s">
        <v>35</v>
      </c>
      <c r="B9" s="124"/>
      <c r="C9" s="125"/>
      <c r="D9" s="125"/>
      <c r="E9" s="1">
        <v>26.5</v>
      </c>
      <c r="F9" s="1">
        <v>51.8</v>
      </c>
      <c r="G9" s="1">
        <v>56.9</v>
      </c>
      <c r="H9" s="1">
        <v>59</v>
      </c>
      <c r="I9" s="124"/>
      <c r="J9" s="125"/>
      <c r="K9" s="125"/>
      <c r="L9" s="12">
        <v>21.8</v>
      </c>
      <c r="M9" s="12">
        <v>47.9</v>
      </c>
      <c r="N9" s="12">
        <v>48.7</v>
      </c>
      <c r="O9" s="13">
        <v>50.7</v>
      </c>
      <c r="P9" s="124"/>
      <c r="Q9" s="125"/>
      <c r="R9" s="125"/>
      <c r="S9" s="125">
        <v>5.9</v>
      </c>
      <c r="T9" s="1">
        <v>16.78</v>
      </c>
      <c r="U9" s="1">
        <v>17.96</v>
      </c>
      <c r="V9" s="1">
        <v>21</v>
      </c>
      <c r="W9" s="124"/>
      <c r="X9" s="125"/>
      <c r="Y9" s="125"/>
      <c r="Z9" s="124"/>
      <c r="AA9" s="124"/>
      <c r="AB9" s="124"/>
      <c r="AC9" s="124"/>
      <c r="AD9" s="129"/>
      <c r="AE9" s="130"/>
      <c r="AF9" s="130"/>
      <c r="AG9" s="129"/>
      <c r="AH9" s="129"/>
      <c r="AI9" s="129"/>
      <c r="AJ9" s="129"/>
      <c r="AK9" s="124"/>
      <c r="AL9" s="125"/>
      <c r="AM9" s="125"/>
      <c r="AN9" s="124"/>
      <c r="AO9" s="1">
        <v>1.25</v>
      </c>
      <c r="AP9" s="124"/>
      <c r="AQ9" s="124"/>
      <c r="AR9" s="125">
        <f>+I9+P9+AD9</f>
        <v>0</v>
      </c>
      <c r="AS9" s="125">
        <f t="shared" si="0"/>
        <v>0</v>
      </c>
      <c r="AT9" s="125">
        <f>+K9+R9+AF9</f>
        <v>0</v>
      </c>
      <c r="AU9" s="125">
        <f t="shared" si="0"/>
        <v>27.700000000000003</v>
      </c>
      <c r="AV9" s="125">
        <f t="shared" si="0"/>
        <v>64.680000000000007</v>
      </c>
      <c r="AW9" s="125">
        <f t="shared" si="0"/>
        <v>66.66</v>
      </c>
      <c r="AX9" s="125">
        <f t="shared" si="0"/>
        <v>71.7</v>
      </c>
      <c r="AY9" s="125">
        <f t="shared" si="1"/>
        <v>0</v>
      </c>
      <c r="AZ9" s="125">
        <f t="shared" si="1"/>
        <v>0</v>
      </c>
      <c r="BA9" s="125">
        <f t="shared" si="1"/>
        <v>0</v>
      </c>
      <c r="BB9" s="125">
        <f t="shared" si="2"/>
        <v>1.2000000000000011</v>
      </c>
      <c r="BC9" s="125">
        <f t="shared" si="2"/>
        <v>11.630000000000003</v>
      </c>
      <c r="BD9" s="125">
        <f t="shared" si="2"/>
        <v>9.7600000000000051</v>
      </c>
      <c r="BE9" s="125">
        <f t="shared" si="2"/>
        <v>12.700000000000003</v>
      </c>
      <c r="BF9" s="133"/>
      <c r="BG9" s="128"/>
      <c r="BH9" s="128"/>
      <c r="BI9" s="128">
        <f>+S9/AU9</f>
        <v>0.21299638989169675</v>
      </c>
      <c r="BJ9" s="128">
        <f>+T9/AV9</f>
        <v>0.25943104514533083</v>
      </c>
      <c r="BK9" s="128">
        <f>+U9/AW9</f>
        <v>0.26942694269426948</v>
      </c>
      <c r="BL9" s="128">
        <f>+V9/AX9</f>
        <v>0.29288702928870292</v>
      </c>
      <c r="BM9" s="122"/>
      <c r="BN9" s="2"/>
      <c r="BO9" s="2"/>
      <c r="BP9" s="121"/>
      <c r="BQ9" s="121"/>
      <c r="BR9" s="121"/>
      <c r="BS9" s="123"/>
      <c r="BT9" s="121"/>
      <c r="BU9" s="2"/>
      <c r="BV9" s="2"/>
      <c r="BW9" s="121"/>
      <c r="BX9" s="121"/>
      <c r="BY9" s="121"/>
      <c r="BZ9" s="123"/>
      <c r="CA9" s="121"/>
      <c r="CB9" s="2"/>
      <c r="CC9" s="2"/>
      <c r="CD9" s="121"/>
      <c r="CE9" s="121"/>
      <c r="CF9" s="121"/>
      <c r="CG9" s="123"/>
      <c r="CH9" s="121"/>
      <c r="CI9" s="2"/>
      <c r="CJ9" s="2"/>
      <c r="CK9" s="121"/>
      <c r="CL9" s="121"/>
      <c r="CM9" s="121"/>
      <c r="CN9" s="123"/>
    </row>
    <row r="10" spans="1:110" ht="16.5" thickBot="1">
      <c r="A10" s="65" t="s">
        <v>23</v>
      </c>
      <c r="B10" s="66">
        <f>+B8+B7+B6+B9</f>
        <v>204.07900000000001</v>
      </c>
      <c r="C10" s="66">
        <f t="shared" ref="C10:H10" si="5">+C8+C7+C6+C9</f>
        <v>139.02199999999999</v>
      </c>
      <c r="D10" s="66">
        <f t="shared" si="5"/>
        <v>158.54300000000001</v>
      </c>
      <c r="E10" s="66">
        <f t="shared" si="5"/>
        <v>191.602</v>
      </c>
      <c r="F10" s="66">
        <f t="shared" si="5"/>
        <v>223.26979999999998</v>
      </c>
      <c r="G10" s="66">
        <f t="shared" si="5"/>
        <v>232.77799999999999</v>
      </c>
      <c r="H10" s="66">
        <f t="shared" si="5"/>
        <v>248.06900000000002</v>
      </c>
      <c r="I10" s="66">
        <f t="shared" ref="I10:V10" si="6">+I8+I7+I6+I9</f>
        <v>567.88300000000004</v>
      </c>
      <c r="J10" s="66">
        <f t="shared" si="6"/>
        <v>546.596</v>
      </c>
      <c r="K10" s="66">
        <f t="shared" si="6"/>
        <v>581.34100000000001</v>
      </c>
      <c r="L10" s="66">
        <f t="shared" si="6"/>
        <v>651.41300000000001</v>
      </c>
      <c r="M10" s="66">
        <f t="shared" si="6"/>
        <v>667.52099999999996</v>
      </c>
      <c r="N10" s="66">
        <f t="shared" si="6"/>
        <v>677.54</v>
      </c>
      <c r="O10" s="66">
        <f t="shared" si="6"/>
        <v>688.57900000000006</v>
      </c>
      <c r="P10" s="66">
        <f t="shared" si="6"/>
        <v>95.457999999999998</v>
      </c>
      <c r="Q10" s="66">
        <f t="shared" si="6"/>
        <v>97.18</v>
      </c>
      <c r="R10" s="66">
        <f t="shared" si="6"/>
        <v>98.774000000000001</v>
      </c>
      <c r="S10" s="66">
        <f t="shared" si="6"/>
        <v>110.05500000000001</v>
      </c>
      <c r="T10" s="66">
        <f t="shared" si="6"/>
        <v>120.42099999999999</v>
      </c>
      <c r="U10" s="66">
        <f t="shared" si="6"/>
        <v>126.642</v>
      </c>
      <c r="V10" s="66">
        <f t="shared" si="6"/>
        <v>124.619</v>
      </c>
      <c r="W10" s="66">
        <f t="shared" ref="W10:AC10" si="7">+W8+W7+W6</f>
        <v>5.5</v>
      </c>
      <c r="X10" s="66">
        <f t="shared" si="7"/>
        <v>9.8000000000000007</v>
      </c>
      <c r="Y10" s="66">
        <f t="shared" si="7"/>
        <v>9.8000000000000007</v>
      </c>
      <c r="Z10" s="66">
        <f t="shared" si="7"/>
        <v>23.2</v>
      </c>
      <c r="AA10" s="66">
        <f t="shared" si="7"/>
        <v>7.3</v>
      </c>
      <c r="AB10" s="66">
        <f t="shared" si="7"/>
        <v>8.1</v>
      </c>
      <c r="AC10" s="66">
        <f t="shared" si="7"/>
        <v>11.9</v>
      </c>
      <c r="AD10" s="66">
        <f t="shared" ref="AD10:BE10" si="8">+AD8+AD7+AD6+AD9</f>
        <v>0.16400000000000001</v>
      </c>
      <c r="AE10" s="66">
        <f t="shared" si="8"/>
        <v>-0.13400000000000001</v>
      </c>
      <c r="AF10" s="66">
        <f t="shared" si="8"/>
        <v>3.2000000000000001E-2</v>
      </c>
      <c r="AG10" s="66">
        <f t="shared" si="8"/>
        <v>0.47499999999999998</v>
      </c>
      <c r="AH10" s="66">
        <f t="shared" si="8"/>
        <v>1.6020000000000001</v>
      </c>
      <c r="AI10" s="66">
        <f t="shared" si="8"/>
        <v>-0.45900000000000002</v>
      </c>
      <c r="AJ10" s="66">
        <f t="shared" si="8"/>
        <v>0.20599999999999999</v>
      </c>
      <c r="AK10" s="66">
        <f t="shared" si="8"/>
        <v>0</v>
      </c>
      <c r="AL10" s="66">
        <f t="shared" si="8"/>
        <v>46.879000000000005</v>
      </c>
      <c r="AM10" s="66">
        <f t="shared" si="8"/>
        <v>53.165999999999997</v>
      </c>
      <c r="AN10" s="66">
        <f t="shared" si="8"/>
        <v>18.2</v>
      </c>
      <c r="AO10" s="66">
        <f t="shared" si="8"/>
        <v>10.816000000000001</v>
      </c>
      <c r="AP10" s="66">
        <f t="shared" si="8"/>
        <v>-0.35499999999999998</v>
      </c>
      <c r="AQ10" s="66">
        <f t="shared" si="8"/>
        <v>0</v>
      </c>
      <c r="AR10" s="66">
        <f t="shared" si="8"/>
        <v>663.505</v>
      </c>
      <c r="AS10" s="66">
        <f t="shared" si="8"/>
        <v>643.64200000000005</v>
      </c>
      <c r="AT10" s="66">
        <f t="shared" si="8"/>
        <v>680.14700000000005</v>
      </c>
      <c r="AU10" s="66">
        <f t="shared" si="8"/>
        <v>761.9430000000001</v>
      </c>
      <c r="AV10" s="66">
        <f t="shared" si="8"/>
        <v>789.5440000000001</v>
      </c>
      <c r="AW10" s="66">
        <f t="shared" si="8"/>
        <v>803.72299999999996</v>
      </c>
      <c r="AX10" s="66">
        <f t="shared" si="8"/>
        <v>813.404</v>
      </c>
      <c r="AY10" s="66">
        <f t="shared" si="8"/>
        <v>459.26199999999994</v>
      </c>
      <c r="AZ10" s="66">
        <f t="shared" si="8"/>
        <v>457.87499999999989</v>
      </c>
      <c r="BA10" s="66">
        <f t="shared" si="8"/>
        <v>468.40600000000006</v>
      </c>
      <c r="BB10" s="66">
        <f t="shared" si="8"/>
        <v>551.66600000000005</v>
      </c>
      <c r="BC10" s="66">
        <f t="shared" si="8"/>
        <v>553.85619999999994</v>
      </c>
      <c r="BD10" s="66">
        <f t="shared" si="8"/>
        <v>571.75900000000001</v>
      </c>
      <c r="BE10" s="66">
        <f t="shared" si="8"/>
        <v>565.12900000000002</v>
      </c>
      <c r="BF10" s="70">
        <f>+P10/AR10</f>
        <v>0.14386930015598978</v>
      </c>
      <c r="BG10" s="71">
        <f>+Q10/AS10</f>
        <v>0.15098455352509624</v>
      </c>
      <c r="BH10" s="71">
        <f>+R10/AT10</f>
        <v>0.14522448823563142</v>
      </c>
      <c r="BI10" s="71">
        <f>+S10/AU10</f>
        <v>0.1444399384205905</v>
      </c>
      <c r="BJ10" s="71">
        <f>+T10/AV10</f>
        <v>0.15251968224696785</v>
      </c>
      <c r="BK10" s="71">
        <f>+U10/AW10</f>
        <v>0.1575692122783596</v>
      </c>
      <c r="BL10" s="72">
        <f>+V10/AX10</f>
        <v>0.15320677055927928</v>
      </c>
      <c r="BM10" s="26"/>
      <c r="BN10" s="14"/>
      <c r="BO10" s="14"/>
      <c r="BP10" s="14"/>
      <c r="BQ10" s="14"/>
      <c r="BR10" s="14"/>
      <c r="BS10" s="15"/>
      <c r="BT10" s="12"/>
      <c r="BU10" s="12"/>
      <c r="BV10" s="12"/>
      <c r="BW10" s="12"/>
      <c r="BX10" s="12"/>
      <c r="BY10" s="12"/>
      <c r="BZ10" s="13"/>
      <c r="CA10" s="12"/>
      <c r="CB10" s="12"/>
      <c r="CC10" s="12"/>
      <c r="CD10" s="12"/>
      <c r="CE10" s="12"/>
      <c r="CF10" s="12"/>
      <c r="CG10" s="13"/>
      <c r="CH10" s="12"/>
      <c r="CI10" s="12"/>
      <c r="CJ10" s="12"/>
      <c r="CK10" s="12"/>
      <c r="CL10" s="12"/>
      <c r="CM10" s="12"/>
      <c r="CN10" s="13"/>
      <c r="DF10" s="12"/>
    </row>
    <row r="11" spans="1:110" ht="16.5" thickTop="1">
      <c r="BM11" s="24"/>
      <c r="BN11" s="24"/>
      <c r="BO11" s="24"/>
      <c r="BP11" s="24"/>
      <c r="BQ11" s="24"/>
      <c r="BR11" s="24"/>
      <c r="BS11" s="24"/>
    </row>
    <row r="12" spans="1:11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 s="1" t="s">
        <v>36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 s="24"/>
      <c r="BN12" s="24"/>
      <c r="BO12" s="24"/>
      <c r="BP12" s="24"/>
      <c r="BQ12" s="24"/>
      <c r="BR12" s="24"/>
      <c r="BS12" s="24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</row>
    <row r="13" spans="1:110">
      <c r="A13" s="1" t="s">
        <v>37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">
        <v>6.82</v>
      </c>
      <c r="Q13" s="1">
        <v>7.391</v>
      </c>
      <c r="R13" s="1">
        <v>7.1989999999999998</v>
      </c>
      <c r="S13" s="1">
        <v>7.9859999999999998</v>
      </c>
      <c r="T13" s="1">
        <v>7.891</v>
      </c>
      <c r="U13" s="1">
        <v>7.2789999999999999</v>
      </c>
      <c r="V13" s="1">
        <v>7.367</v>
      </c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 s="24"/>
      <c r="BN13" s="24"/>
      <c r="BO13" s="24"/>
      <c r="BP13" s="24"/>
      <c r="BQ13" s="24"/>
      <c r="BR13" s="24"/>
      <c r="BS13" s="24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</row>
    <row r="14" spans="1:110">
      <c r="A14" s="1" t="s">
        <v>38</v>
      </c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 s="24"/>
      <c r="BN14" s="24"/>
      <c r="BO14" s="24"/>
      <c r="BP14" s="24"/>
      <c r="BQ14" s="24"/>
      <c r="BR14" s="24"/>
      <c r="BS14" s="2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</row>
    <row r="15" spans="1:11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 s="24"/>
      <c r="BN15" s="24"/>
      <c r="BO15" s="24"/>
      <c r="BP15" s="24"/>
      <c r="BQ15" s="24"/>
      <c r="BR15" s="24"/>
      <c r="BS15" s="24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</row>
    <row r="16" spans="1:110">
      <c r="A16" s="1" t="s">
        <v>39</v>
      </c>
      <c r="B16"/>
      <c r="C16"/>
      <c r="D16"/>
      <c r="E16" s="1">
        <v>26.5</v>
      </c>
      <c r="F16" s="1">
        <v>51.8</v>
      </c>
      <c r="G16" s="1">
        <v>56.9</v>
      </c>
      <c r="H16" s="1">
        <v>59</v>
      </c>
      <c r="I16"/>
      <c r="J16"/>
      <c r="K16"/>
      <c r="L16" s="12">
        <v>21.8</v>
      </c>
      <c r="M16" s="12">
        <v>47.9</v>
      </c>
      <c r="N16" s="12">
        <v>48.7</v>
      </c>
      <c r="O16" s="13">
        <v>50.7</v>
      </c>
      <c r="P16"/>
      <c r="Q16"/>
      <c r="R16"/>
      <c r="S16" s="132">
        <v>5.9</v>
      </c>
      <c r="T16" s="1">
        <v>16.78</v>
      </c>
      <c r="U16" s="1">
        <v>17.96</v>
      </c>
      <c r="V16" s="1">
        <v>21</v>
      </c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 s="1">
        <v>1.25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 s="24"/>
      <c r="BN16" s="24"/>
      <c r="BO16" s="24"/>
      <c r="BP16" s="24"/>
      <c r="BQ16" s="24"/>
      <c r="BR16" s="24"/>
      <c r="BS16" s="24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</row>
    <row r="17" spans="1:110">
      <c r="A17" s="1" t="s">
        <v>40</v>
      </c>
      <c r="B17"/>
      <c r="C17"/>
      <c r="D17"/>
      <c r="E17"/>
      <c r="F17"/>
      <c r="G17"/>
      <c r="H17"/>
      <c r="I17"/>
      <c r="J17"/>
      <c r="K17"/>
      <c r="L17" s="1" t="s">
        <v>41</v>
      </c>
      <c r="M17"/>
      <c r="N17"/>
      <c r="O17"/>
      <c r="P17"/>
      <c r="Q17"/>
      <c r="R17"/>
      <c r="S17" s="1" t="s">
        <v>42</v>
      </c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 s="24"/>
      <c r="BN17" s="24"/>
      <c r="BO17" s="24"/>
      <c r="BP17" s="24"/>
      <c r="BQ17" s="24"/>
      <c r="BR17" s="24"/>
      <c r="BS17" s="24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</row>
    <row r="18" spans="1:110">
      <c r="A18" s="1" t="s">
        <v>43</v>
      </c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 s="24"/>
      <c r="BN18" s="24"/>
      <c r="BO18" s="24"/>
      <c r="BP18" s="24"/>
      <c r="BQ18" s="24"/>
      <c r="BR18" s="24"/>
      <c r="BS18" s="24"/>
    </row>
    <row r="19" spans="1:110">
      <c r="A19" s="1" t="s">
        <v>44</v>
      </c>
      <c r="B19"/>
      <c r="C19"/>
      <c r="D19"/>
      <c r="E19"/>
      <c r="F19"/>
      <c r="G19"/>
      <c r="H19"/>
      <c r="I19"/>
      <c r="J19"/>
      <c r="K19"/>
      <c r="L19" s="1" t="s">
        <v>45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 s="24"/>
      <c r="BN19" s="24"/>
      <c r="BO19" s="24"/>
      <c r="BP19" s="24"/>
      <c r="BQ19" s="24"/>
      <c r="BR19" s="24"/>
      <c r="BS19" s="24"/>
    </row>
    <row r="20" spans="1:110">
      <c r="BM20" s="24"/>
      <c r="BN20" s="24"/>
      <c r="BO20" s="24"/>
      <c r="BP20" s="24"/>
      <c r="BQ20" s="24"/>
      <c r="BR20" s="24"/>
      <c r="BS20" s="24"/>
    </row>
    <row r="21" spans="1:110">
      <c r="BM21" s="24"/>
      <c r="BN21" s="24"/>
      <c r="BO21" s="24"/>
      <c r="BP21" s="24"/>
      <c r="BQ21" s="24"/>
      <c r="BR21" s="24"/>
      <c r="BS21" s="24"/>
    </row>
    <row r="22" spans="1:110" ht="23.25" customHeight="1">
      <c r="A22" s="49"/>
      <c r="B22" s="49"/>
      <c r="C22" s="49"/>
      <c r="D22" s="49"/>
      <c r="E22" s="49"/>
      <c r="F22" s="49"/>
      <c r="AB22" s="20"/>
      <c r="AC22" s="20"/>
      <c r="AE22" s="50"/>
      <c r="AF22" s="50"/>
      <c r="AG22" s="50"/>
      <c r="AH22" s="50"/>
      <c r="AI22" s="50"/>
      <c r="AJ22" s="50"/>
      <c r="AY22" s="2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46"/>
      <c r="BN22" s="146"/>
      <c r="BO22" s="146"/>
      <c r="BP22" s="146"/>
      <c r="BQ22" s="146"/>
      <c r="BR22" s="146"/>
      <c r="BS22" s="146"/>
    </row>
    <row r="23" spans="1:110" ht="18" customHeight="1">
      <c r="A23" s="49"/>
      <c r="B23" s="49"/>
      <c r="C23" s="49"/>
      <c r="D23" s="49"/>
      <c r="E23" s="49"/>
      <c r="F23" s="49"/>
      <c r="BM23" s="146"/>
      <c r="BN23" s="146"/>
      <c r="BO23" s="146"/>
      <c r="BP23" s="146"/>
      <c r="BQ23" s="146"/>
      <c r="BR23" s="146"/>
      <c r="BS23" s="146"/>
    </row>
    <row r="24" spans="1:110" ht="20.25" customHeight="1">
      <c r="A24" s="49"/>
      <c r="B24" s="49"/>
      <c r="C24" s="49"/>
      <c r="D24" s="49"/>
      <c r="E24" s="49"/>
      <c r="F24" s="49"/>
      <c r="BM24" s="146"/>
      <c r="BN24" s="146"/>
      <c r="BO24" s="146"/>
      <c r="BP24" s="146"/>
      <c r="BQ24" s="146"/>
      <c r="BR24" s="146"/>
      <c r="BS24" s="146"/>
    </row>
    <row r="25" spans="1:110">
      <c r="A25" s="49"/>
      <c r="B25" s="49"/>
      <c r="C25" s="49"/>
      <c r="D25" s="49"/>
      <c r="E25" s="49"/>
      <c r="F25" s="49"/>
      <c r="BL25" s="3"/>
      <c r="BM25" s="24"/>
      <c r="BN25" s="24"/>
      <c r="BO25" s="24"/>
      <c r="BP25" s="24"/>
      <c r="BQ25" s="24"/>
      <c r="BR25" s="24"/>
      <c r="BS25" s="24"/>
    </row>
    <row r="26" spans="1:110">
      <c r="A26" s="49"/>
      <c r="B26" s="49"/>
      <c r="C26" s="49"/>
      <c r="D26" s="49"/>
      <c r="E26" s="49"/>
      <c r="F26" s="49"/>
      <c r="BM26" s="24"/>
      <c r="BN26" s="24"/>
      <c r="BO26" s="24"/>
      <c r="BP26" s="24"/>
      <c r="BQ26" s="24"/>
      <c r="BR26" s="24"/>
      <c r="BS26" s="24"/>
    </row>
    <row r="27" spans="1:110">
      <c r="A27" s="49"/>
      <c r="B27" s="49"/>
      <c r="C27" s="49"/>
      <c r="D27" s="49"/>
      <c r="E27" s="49"/>
      <c r="F27" s="49"/>
      <c r="BM27" s="24"/>
      <c r="BN27" s="24"/>
      <c r="BO27" s="24"/>
      <c r="BP27" s="24"/>
      <c r="BQ27" s="24"/>
      <c r="BR27" s="24"/>
      <c r="BS27" s="24"/>
    </row>
    <row r="28" spans="1:110">
      <c r="A28" s="49"/>
      <c r="B28" s="49"/>
      <c r="C28" s="49"/>
      <c r="D28" s="49"/>
      <c r="E28" s="49"/>
      <c r="F28" s="49"/>
      <c r="BM28" s="24"/>
      <c r="BN28" s="24"/>
      <c r="BO28" s="24"/>
      <c r="BP28" s="24"/>
      <c r="BQ28" s="24"/>
      <c r="BR28" s="24"/>
      <c r="BS28" s="24"/>
    </row>
    <row r="29" spans="1:110">
      <c r="A29" s="49"/>
      <c r="B29" s="49"/>
      <c r="C29" s="49"/>
      <c r="D29" s="49"/>
      <c r="E29" s="49"/>
      <c r="F29" s="49"/>
    </row>
    <row r="30" spans="1:110">
      <c r="A30" s="49"/>
      <c r="B30" s="49"/>
      <c r="C30" s="49"/>
      <c r="D30" s="49"/>
      <c r="E30" s="49"/>
      <c r="F30" s="49"/>
      <c r="BM30" s="24"/>
      <c r="BN30" s="24"/>
      <c r="BO30" s="24"/>
      <c r="BP30" s="24"/>
      <c r="BQ30" s="24"/>
      <c r="BR30" s="24"/>
      <c r="BS30" s="24"/>
    </row>
    <row r="31" spans="1:110">
      <c r="A31" s="49"/>
      <c r="B31" s="49"/>
      <c r="C31" s="49"/>
      <c r="D31" s="49"/>
      <c r="E31" s="49"/>
      <c r="F31" s="49"/>
    </row>
    <row r="32" spans="1:110"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2:17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2:17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2:17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</sheetData>
  <mergeCells count="14">
    <mergeCell ref="BT4:BZ4"/>
    <mergeCell ref="CA4:CG4"/>
    <mergeCell ref="CH4:CN4"/>
    <mergeCell ref="AK4:AQ4"/>
    <mergeCell ref="AR4:AX4"/>
    <mergeCell ref="AY4:BE4"/>
    <mergeCell ref="BF4:BL4"/>
    <mergeCell ref="BM4:BS4"/>
    <mergeCell ref="BM22:BS24"/>
    <mergeCell ref="I4:O4"/>
    <mergeCell ref="P4:V4"/>
    <mergeCell ref="B4:H4"/>
    <mergeCell ref="W4:AC4"/>
    <mergeCell ref="AD4:AJ4"/>
  </mergeCells>
  <pageMargins left="0.7" right="0.7" top="0.75" bottom="0.75" header="0.3" footer="0.3"/>
  <pageSetup paperSize="8" scale="2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72CA-3B60-4669-AF54-6D12B80A2E39}">
  <dimension ref="A1"/>
  <sheetViews>
    <sheetView workbookViewId="0"/>
  </sheetViews>
  <sheetFormatPr defaultRowHeight="14.25"/>
  <sheetData/>
  <pageMargins left="0.7" right="0.7" top="0.75" bottom="0.75" header="0.3" footer="0.3"/>
  <customProperties>
    <customPr name="CafeStyleVersion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FD7EE-758D-48D9-A7AE-E80ABA80A33F}">
  <sheetPr>
    <pageSetUpPr fitToPage="1"/>
  </sheetPr>
  <dimension ref="A3:CO16"/>
  <sheetViews>
    <sheetView zoomScale="85" zoomScaleNormal="85" workbookViewId="0">
      <pane xSplit="1" ySplit="5" topLeftCell="B6" activePane="bottomRight" state="frozen"/>
      <selection pane="bottomRight" sqref="A1:XFD1048576"/>
      <selection pane="bottomLeft" activeCell="AI16" sqref="AI16"/>
      <selection pane="topRight" activeCell="AI16" sqref="AI16"/>
    </sheetView>
  </sheetViews>
  <sheetFormatPr defaultColWidth="9" defaultRowHeight="15.75" outlineLevelCol="1"/>
  <cols>
    <col min="1" max="1" width="29.75" style="28" bestFit="1" customWidth="1"/>
    <col min="2" max="8" width="10.625" style="28" customWidth="1"/>
    <col min="9" max="15" width="8.625" style="28" customWidth="1"/>
    <col min="16" max="22" width="12.625" style="28" customWidth="1"/>
    <col min="23" max="43" width="8.625" style="28" customWidth="1"/>
    <col min="44" max="57" width="8.625" style="28" customWidth="1" outlineLevel="1"/>
    <col min="58" max="85" width="8.625" style="28" customWidth="1"/>
    <col min="86" max="89" width="7" style="28" bestFit="1" customWidth="1"/>
    <col min="90" max="90" width="8" style="28" bestFit="1" customWidth="1"/>
    <col min="91" max="91" width="7" style="28" bestFit="1" customWidth="1"/>
    <col min="92" max="93" width="7" style="28" customWidth="1"/>
    <col min="94" max="95" width="9" style="28"/>
    <col min="96" max="101" width="5.75" style="28" bestFit="1" customWidth="1"/>
    <col min="102" max="107" width="2.25" style="28" bestFit="1" customWidth="1"/>
    <col min="108" max="16384" width="9" style="28"/>
  </cols>
  <sheetData>
    <row r="3" spans="1:93">
      <c r="A3" s="29" t="s">
        <v>46</v>
      </c>
      <c r="B3" s="29"/>
      <c r="C3" s="29"/>
      <c r="D3" s="29"/>
    </row>
    <row r="4" spans="1:93" s="139" customFormat="1" ht="41.1" customHeight="1">
      <c r="A4" s="137"/>
      <c r="B4" s="147" t="s">
        <v>28</v>
      </c>
      <c r="C4" s="148"/>
      <c r="D4" s="148"/>
      <c r="E4" s="148"/>
      <c r="F4" s="148"/>
      <c r="G4" s="148"/>
      <c r="H4" s="148"/>
      <c r="I4" s="147" t="s">
        <v>2</v>
      </c>
      <c r="J4" s="148"/>
      <c r="K4" s="148"/>
      <c r="L4" s="148"/>
      <c r="M4" s="148"/>
      <c r="N4" s="148"/>
      <c r="O4" s="149"/>
      <c r="P4" s="147" t="s">
        <v>3</v>
      </c>
      <c r="Q4" s="148"/>
      <c r="R4" s="148"/>
      <c r="S4" s="148"/>
      <c r="T4" s="148"/>
      <c r="U4" s="148"/>
      <c r="V4" s="149"/>
      <c r="W4" s="147" t="s">
        <v>4</v>
      </c>
      <c r="X4" s="148"/>
      <c r="Y4" s="148"/>
      <c r="Z4" s="148"/>
      <c r="AA4" s="148"/>
      <c r="AB4" s="148"/>
      <c r="AC4" s="149"/>
      <c r="AD4" s="147" t="s">
        <v>5</v>
      </c>
      <c r="AE4" s="148"/>
      <c r="AF4" s="148"/>
      <c r="AG4" s="148"/>
      <c r="AH4" s="148"/>
      <c r="AI4" s="148"/>
      <c r="AJ4" s="149"/>
      <c r="AK4" s="147" t="s">
        <v>6</v>
      </c>
      <c r="AL4" s="148"/>
      <c r="AM4" s="148"/>
      <c r="AN4" s="148"/>
      <c r="AO4" s="148"/>
      <c r="AP4" s="148"/>
      <c r="AQ4" s="149"/>
      <c r="AR4" s="147" t="s">
        <v>7</v>
      </c>
      <c r="AS4" s="148"/>
      <c r="AT4" s="148"/>
      <c r="AU4" s="148"/>
      <c r="AV4" s="148"/>
      <c r="AW4" s="148"/>
      <c r="AX4" s="149"/>
      <c r="AY4" s="147" t="s">
        <v>29</v>
      </c>
      <c r="AZ4" s="148"/>
      <c r="BA4" s="148"/>
      <c r="BB4" s="148"/>
      <c r="BC4" s="148"/>
      <c r="BD4" s="148"/>
      <c r="BE4" s="148"/>
      <c r="BF4" s="147" t="s">
        <v>9</v>
      </c>
      <c r="BG4" s="148"/>
      <c r="BH4" s="148"/>
      <c r="BI4" s="148"/>
      <c r="BJ4" s="148"/>
      <c r="BK4" s="148"/>
      <c r="BL4" s="149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138"/>
    </row>
    <row r="5" spans="1:93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  <c r="CO5" s="134"/>
    </row>
    <row r="6" spans="1:93" ht="16.5" thickBot="1">
      <c r="A6" s="65" t="s">
        <v>23</v>
      </c>
      <c r="B6" s="66">
        <f>B13</f>
        <v>785.5</v>
      </c>
      <c r="C6" s="66">
        <f t="shared" ref="C6:H6" si="0">C13</f>
        <v>559.29999999999995</v>
      </c>
      <c r="D6" s="66">
        <f t="shared" si="0"/>
        <v>570</v>
      </c>
      <c r="E6" s="66">
        <f t="shared" si="0"/>
        <v>770.9</v>
      </c>
      <c r="F6" s="66">
        <f t="shared" si="0"/>
        <v>842.90000000000009</v>
      </c>
      <c r="G6" s="66">
        <f t="shared" si="0"/>
        <v>907.2</v>
      </c>
      <c r="H6" s="66">
        <f t="shared" si="0"/>
        <v>900.5</v>
      </c>
      <c r="I6" s="67">
        <f t="shared" ref="I6:O6" si="1">I9+I10+I11-I15</f>
        <v>1887.2999999999997</v>
      </c>
      <c r="J6" s="67">
        <f t="shared" si="1"/>
        <v>1892.5</v>
      </c>
      <c r="K6" s="67">
        <f t="shared" si="1"/>
        <v>1996.2</v>
      </c>
      <c r="L6" s="67">
        <f t="shared" si="1"/>
        <v>2163.6</v>
      </c>
      <c r="M6" s="67">
        <f t="shared" si="1"/>
        <v>2171.7999999999997</v>
      </c>
      <c r="N6" s="67">
        <f t="shared" si="1"/>
        <v>2250.1</v>
      </c>
      <c r="O6" s="67">
        <f t="shared" si="1"/>
        <v>2318.9</v>
      </c>
      <c r="P6" s="66">
        <f>P12</f>
        <v>253.90000000000012</v>
      </c>
      <c r="Q6" s="66">
        <f t="shared" ref="Q6:V6" si="2">Q12</f>
        <v>226.60000000000002</v>
      </c>
      <c r="R6" s="66">
        <f t="shared" si="2"/>
        <v>269.70000000000039</v>
      </c>
      <c r="S6" s="66">
        <f t="shared" si="2"/>
        <v>263.50000000000028</v>
      </c>
      <c r="T6" s="66">
        <f t="shared" si="2"/>
        <v>275.59999999999985</v>
      </c>
      <c r="U6" s="66">
        <f t="shared" si="2"/>
        <v>279.10000000000002</v>
      </c>
      <c r="V6" s="66">
        <f t="shared" si="2"/>
        <v>297.20000000000016</v>
      </c>
      <c r="W6" s="66">
        <f>W12</f>
        <v>1.8</v>
      </c>
      <c r="X6" s="66">
        <f t="shared" ref="X6:AC6" si="3">X12</f>
        <v>1.8</v>
      </c>
      <c r="Y6" s="66">
        <f t="shared" si="3"/>
        <v>1.8</v>
      </c>
      <c r="Z6" s="66">
        <f t="shared" si="3"/>
        <v>2.4</v>
      </c>
      <c r="AA6" s="66">
        <f t="shared" si="3"/>
        <v>2.6</v>
      </c>
      <c r="AB6" s="66">
        <f t="shared" si="3"/>
        <v>2.9</v>
      </c>
      <c r="AC6" s="66">
        <f t="shared" si="3"/>
        <v>7.6</v>
      </c>
      <c r="AD6" s="66">
        <f>AD12</f>
        <v>2.9</v>
      </c>
      <c r="AE6" s="66">
        <f t="shared" ref="AE6:AJ6" si="4">AE12</f>
        <v>-1.2</v>
      </c>
      <c r="AF6" s="66">
        <f t="shared" si="4"/>
        <v>4.3000000000000007</v>
      </c>
      <c r="AG6" s="66">
        <f t="shared" si="4"/>
        <v>13.799999999999999</v>
      </c>
      <c r="AH6" s="66">
        <f t="shared" si="4"/>
        <v>-10.3</v>
      </c>
      <c r="AI6" s="66">
        <f t="shared" si="4"/>
        <v>-10.4</v>
      </c>
      <c r="AJ6" s="66">
        <f t="shared" si="4"/>
        <v>0</v>
      </c>
      <c r="AK6" s="69">
        <v>0</v>
      </c>
      <c r="AL6" s="69">
        <f>AL13</f>
        <v>225.1</v>
      </c>
      <c r="AM6" s="69">
        <f t="shared" ref="AM6:AO6" si="5">AM13</f>
        <v>267.3</v>
      </c>
      <c r="AN6" s="69">
        <f t="shared" si="5"/>
        <v>63.1</v>
      </c>
      <c r="AO6" s="69">
        <f t="shared" si="5"/>
        <v>40.700000000000003</v>
      </c>
      <c r="AP6" s="69"/>
      <c r="AQ6" s="69"/>
      <c r="AR6" s="69">
        <f>+AD6+W6+P6+I6</f>
        <v>2145.8999999999996</v>
      </c>
      <c r="AS6" s="69">
        <f t="shared" ref="AS6:AW6" si="6">+AE6+X6+Q6+J6</f>
        <v>2119.6999999999998</v>
      </c>
      <c r="AT6" s="69">
        <f t="shared" si="6"/>
        <v>2272.0000000000005</v>
      </c>
      <c r="AU6" s="69">
        <f t="shared" si="6"/>
        <v>2443.3000000000002</v>
      </c>
      <c r="AV6" s="69">
        <f t="shared" si="6"/>
        <v>2439.6999999999998</v>
      </c>
      <c r="AW6" s="69">
        <f t="shared" si="6"/>
        <v>2521.6999999999998</v>
      </c>
      <c r="AX6" s="69">
        <f>+AJ6+AC6+V6+O6</f>
        <v>2623.7000000000003</v>
      </c>
      <c r="AY6" s="69">
        <f>+AR6-AK6-B6</f>
        <v>1360.3999999999996</v>
      </c>
      <c r="AZ6" s="69">
        <f t="shared" ref="AZ6:BE6" si="7">+AS6-AL6-C6</f>
        <v>1335.3</v>
      </c>
      <c r="BA6" s="69">
        <f t="shared" si="7"/>
        <v>1434.7000000000005</v>
      </c>
      <c r="BB6" s="69">
        <f t="shared" si="7"/>
        <v>1609.3000000000002</v>
      </c>
      <c r="BC6" s="69">
        <f t="shared" si="7"/>
        <v>1556.1</v>
      </c>
      <c r="BD6" s="69">
        <f t="shared" si="7"/>
        <v>1614.4999999999998</v>
      </c>
      <c r="BE6" s="69">
        <f t="shared" si="7"/>
        <v>1723.2000000000003</v>
      </c>
      <c r="BF6" s="70">
        <f>+P6/AR6</f>
        <v>0.11831865417773436</v>
      </c>
      <c r="BG6" s="71">
        <f t="shared" ref="BG6:BL6" si="8">+Q6/AS6</f>
        <v>0.10690192008303064</v>
      </c>
      <c r="BH6" s="71">
        <f t="shared" si="8"/>
        <v>0.1187059859154931</v>
      </c>
      <c r="BI6" s="71">
        <f t="shared" si="8"/>
        <v>0.10784594605656295</v>
      </c>
      <c r="BJ6" s="71">
        <f t="shared" si="8"/>
        <v>0.11296470877566908</v>
      </c>
      <c r="BK6" s="71">
        <f t="shared" si="8"/>
        <v>0.11067930364436691</v>
      </c>
      <c r="BL6" s="72">
        <f t="shared" si="8"/>
        <v>0.11327514578648479</v>
      </c>
      <c r="CO6" s="135"/>
    </row>
    <row r="7" spans="1:93" ht="16.5" thickTop="1">
      <c r="A7" s="28" t="s">
        <v>47</v>
      </c>
    </row>
    <row r="9" spans="1:93" hidden="1">
      <c r="A9" s="28" t="s">
        <v>48</v>
      </c>
      <c r="B9" s="28">
        <v>18.7</v>
      </c>
      <c r="C9" s="28">
        <v>13.3</v>
      </c>
      <c r="D9" s="28">
        <v>19.8</v>
      </c>
      <c r="E9" s="28">
        <v>22.4</v>
      </c>
      <c r="F9" s="28">
        <v>26.6</v>
      </c>
      <c r="G9" s="28">
        <v>31.9</v>
      </c>
      <c r="H9" s="28">
        <v>28.4</v>
      </c>
      <c r="I9" s="28">
        <v>507.5</v>
      </c>
      <c r="J9" s="28">
        <v>486.5</v>
      </c>
      <c r="K9" s="28">
        <v>530.79999999999995</v>
      </c>
      <c r="L9" s="28">
        <v>579</v>
      </c>
      <c r="M9" s="28">
        <v>655.7</v>
      </c>
      <c r="N9" s="28">
        <v>703.9</v>
      </c>
      <c r="O9" s="28">
        <f>353.8+340.2</f>
        <v>694</v>
      </c>
      <c r="T9" s="34"/>
      <c r="U9" s="34"/>
      <c r="V9" s="34"/>
      <c r="AL9" s="28">
        <v>-30.7</v>
      </c>
      <c r="AM9" s="28">
        <v>4.5</v>
      </c>
      <c r="AO9" s="28">
        <v>4.0999999999999996</v>
      </c>
    </row>
    <row r="10" spans="1:93" hidden="1">
      <c r="A10" s="28" t="s">
        <v>49</v>
      </c>
      <c r="B10" s="28">
        <f>2.6+3.8+64.9</f>
        <v>71.300000000000011</v>
      </c>
      <c r="C10" s="28">
        <f>52.2+2.1</f>
        <v>54.300000000000004</v>
      </c>
      <c r="D10" s="28">
        <f>65.3+10.1</f>
        <v>75.399999999999991</v>
      </c>
      <c r="E10" s="28">
        <f>74.9+15.9</f>
        <v>90.800000000000011</v>
      </c>
      <c r="F10" s="28">
        <f>82.9+19.5</f>
        <v>102.4</v>
      </c>
      <c r="G10" s="28">
        <f>92.7+20.9</f>
        <v>113.6</v>
      </c>
      <c r="H10" s="28">
        <f>98.1+22.6</f>
        <v>120.69999999999999</v>
      </c>
      <c r="I10" s="28">
        <f>19.6+3.6+253</f>
        <v>276.2</v>
      </c>
      <c r="J10" s="28">
        <f>33.2+261.4</f>
        <v>294.59999999999997</v>
      </c>
      <c r="K10" s="28">
        <f>267.5+58.6+4.2</f>
        <v>330.3</v>
      </c>
      <c r="L10" s="28">
        <f>69.2+271.9</f>
        <v>341.09999999999997</v>
      </c>
      <c r="M10" s="28">
        <f>70.8+12.2+295.2</f>
        <v>378.2</v>
      </c>
      <c r="N10" s="28">
        <f>78.3+332.1</f>
        <v>410.40000000000003</v>
      </c>
      <c r="O10" s="28">
        <f>352.2+76+21.3</f>
        <v>449.5</v>
      </c>
      <c r="AL10" s="28">
        <v>25.3</v>
      </c>
      <c r="AM10" s="28">
        <f>15.8+5.5</f>
        <v>21.3</v>
      </c>
      <c r="AN10" s="28">
        <f>9.1+1</f>
        <v>10.1</v>
      </c>
      <c r="AO10" s="28">
        <f>5.1+1.3</f>
        <v>6.3999999999999995</v>
      </c>
      <c r="AV10" s="136"/>
    </row>
    <row r="11" spans="1:93" hidden="1">
      <c r="A11" s="28" t="s">
        <v>50</v>
      </c>
      <c r="B11" s="28">
        <v>685.5</v>
      </c>
      <c r="C11" s="28">
        <v>479.2</v>
      </c>
      <c r="D11" s="28">
        <v>446.6</v>
      </c>
      <c r="E11" s="28">
        <v>630.4</v>
      </c>
      <c r="F11" s="28">
        <f>677.2</f>
        <v>677.2</v>
      </c>
      <c r="G11" s="28">
        <v>718</v>
      </c>
      <c r="H11" s="28">
        <f>730.3</f>
        <v>730.3</v>
      </c>
      <c r="I11" s="28">
        <f>1399</f>
        <v>1399</v>
      </c>
      <c r="J11" s="28">
        <f>1390-25.4+5.3</f>
        <v>1369.8999999999999</v>
      </c>
      <c r="K11" s="28">
        <f>1444.6-6.8-33+5.1</f>
        <v>1409.8999999999999</v>
      </c>
      <c r="L11" s="28">
        <f>1562.9-23.9</f>
        <v>1539</v>
      </c>
      <c r="M11" s="28">
        <f>1491.6-18.3</f>
        <v>1473.3</v>
      </c>
      <c r="N11" s="28">
        <v>1494.4</v>
      </c>
      <c r="O11" s="28">
        <v>1515.6</v>
      </c>
      <c r="AL11" s="28">
        <v>222.6</v>
      </c>
      <c r="AM11" s="28">
        <v>226.6</v>
      </c>
      <c r="AN11" s="28">
        <f>AN13-AN10</f>
        <v>53</v>
      </c>
      <c r="AO11" s="28">
        <v>30</v>
      </c>
    </row>
    <row r="12" spans="1:93" hidden="1">
      <c r="A12" s="28" t="s">
        <v>51</v>
      </c>
      <c r="B12" s="28">
        <f>B13-B9-B10-B11</f>
        <v>10</v>
      </c>
      <c r="C12" s="28">
        <f>C13-C9-C10-C11</f>
        <v>12.5</v>
      </c>
      <c r="D12" s="28">
        <v>28.2</v>
      </c>
      <c r="E12" s="28">
        <v>27.3</v>
      </c>
      <c r="F12" s="28">
        <f>36.7</f>
        <v>36.700000000000003</v>
      </c>
      <c r="G12" s="28">
        <f>G13-G11-G10-G9</f>
        <v>43.700000000000053</v>
      </c>
      <c r="H12" s="28">
        <v>21.1</v>
      </c>
      <c r="I12" s="28">
        <f>I13-I9-I10-I11</f>
        <v>258.60000000000014</v>
      </c>
      <c r="J12" s="28">
        <f t="shared" ref="J12:O12" si="9">J13-J11-J10-J9</f>
        <v>227.20000000000005</v>
      </c>
      <c r="K12" s="28">
        <f t="shared" si="9"/>
        <v>275.80000000000041</v>
      </c>
      <c r="L12" s="28">
        <f t="shared" si="9"/>
        <v>279.70000000000027</v>
      </c>
      <c r="M12" s="28">
        <f t="shared" si="9"/>
        <v>267.89999999999986</v>
      </c>
      <c r="N12" s="28">
        <f t="shared" si="9"/>
        <v>271.60000000000002</v>
      </c>
      <c r="O12" s="28">
        <f t="shared" si="9"/>
        <v>304.80000000000018</v>
      </c>
      <c r="P12" s="28">
        <f>I12-W12-AD12</f>
        <v>253.90000000000012</v>
      </c>
      <c r="Q12" s="28">
        <f>J12-X12-AE12</f>
        <v>226.60000000000002</v>
      </c>
      <c r="R12" s="28">
        <f>K12-Y12-AF12</f>
        <v>269.70000000000039</v>
      </c>
      <c r="S12" s="28">
        <f>L12-Z12-AG12</f>
        <v>263.50000000000028</v>
      </c>
      <c r="T12" s="28">
        <f>M12-AA12-AH12</f>
        <v>275.59999999999985</v>
      </c>
      <c r="U12" s="28">
        <f t="shared" ref="U12:V12" si="10">N12-AB12-AI12</f>
        <v>279.10000000000002</v>
      </c>
      <c r="V12" s="28">
        <f t="shared" si="10"/>
        <v>297.20000000000016</v>
      </c>
      <c r="W12" s="28">
        <v>1.8</v>
      </c>
      <c r="X12" s="28">
        <v>1.8</v>
      </c>
      <c r="Y12" s="28">
        <v>1.8</v>
      </c>
      <c r="Z12" s="28">
        <v>2.4</v>
      </c>
      <c r="AA12" s="28">
        <v>2.6</v>
      </c>
      <c r="AB12" s="28">
        <v>2.9</v>
      </c>
      <c r="AC12" s="28">
        <v>7.6</v>
      </c>
      <c r="AD12" s="28">
        <f>3.4-0.5</f>
        <v>2.9</v>
      </c>
      <c r="AE12" s="28">
        <f>1.2-2.4</f>
        <v>-1.2</v>
      </c>
      <c r="AF12" s="28">
        <f>6.7-2.4</f>
        <v>4.3000000000000007</v>
      </c>
      <c r="AG12" s="28">
        <f>15.7-1.9</f>
        <v>13.799999999999999</v>
      </c>
      <c r="AH12" s="28">
        <f>0.2-10.5</f>
        <v>-10.3</v>
      </c>
      <c r="AI12" s="28">
        <f>-10.4</f>
        <v>-10.4</v>
      </c>
      <c r="AJ12" s="28">
        <v>0</v>
      </c>
      <c r="AL12" s="28">
        <v>7.9</v>
      </c>
      <c r="AM12" s="28">
        <v>14.9</v>
      </c>
      <c r="AO12" s="28">
        <v>0.2</v>
      </c>
    </row>
    <row r="13" spans="1:93" hidden="1">
      <c r="A13" s="28" t="s">
        <v>52</v>
      </c>
      <c r="B13" s="28">
        <v>785.5</v>
      </c>
      <c r="C13" s="28">
        <v>559.29999999999995</v>
      </c>
      <c r="D13" s="28">
        <f>SUM(D9:D12)</f>
        <v>570</v>
      </c>
      <c r="E13" s="28">
        <f>SUM(E9:E12)</f>
        <v>770.9</v>
      </c>
      <c r="F13" s="28">
        <f>SUM(F9:F12)</f>
        <v>842.90000000000009</v>
      </c>
      <c r="G13" s="28">
        <v>907.2</v>
      </c>
      <c r="H13" s="28">
        <f>SUM(H9:H12)</f>
        <v>900.5</v>
      </c>
      <c r="I13" s="28">
        <f>2441.3</f>
        <v>2441.3000000000002</v>
      </c>
      <c r="J13" s="28">
        <f>2378.2</f>
        <v>2378.1999999999998</v>
      </c>
      <c r="K13" s="28">
        <f>2546.8</f>
        <v>2546.8000000000002</v>
      </c>
      <c r="L13" s="28">
        <f>2738.8</f>
        <v>2738.8</v>
      </c>
      <c r="M13" s="28">
        <f>2775.1</f>
        <v>2775.1</v>
      </c>
      <c r="N13" s="28">
        <f>2880.3</f>
        <v>2880.3</v>
      </c>
      <c r="O13" s="28">
        <f>2096.5+879.4+21.1-O16</f>
        <v>2963.9</v>
      </c>
      <c r="AL13" s="29">
        <f>SUM(AL9:AL12)</f>
        <v>225.1</v>
      </c>
      <c r="AM13" s="29">
        <f>SUM(AM9:AM12)</f>
        <v>267.3</v>
      </c>
      <c r="AN13" s="29">
        <v>63.1</v>
      </c>
      <c r="AO13" s="29">
        <v>40.700000000000003</v>
      </c>
    </row>
    <row r="14" spans="1:93" hidden="1">
      <c r="AL14" s="29"/>
      <c r="AM14" s="29"/>
      <c r="AN14" s="29"/>
      <c r="AO14" s="29"/>
    </row>
    <row r="15" spans="1:93" hidden="1">
      <c r="A15" s="28" t="s">
        <v>53</v>
      </c>
      <c r="I15" s="28">
        <v>295.39999999999998</v>
      </c>
      <c r="J15" s="28">
        <v>258.5</v>
      </c>
      <c r="K15" s="28">
        <v>274.8</v>
      </c>
      <c r="L15" s="28">
        <v>295.5</v>
      </c>
      <c r="M15" s="28">
        <v>335.4</v>
      </c>
      <c r="N15" s="28">
        <v>358.6</v>
      </c>
      <c r="O15" s="28">
        <v>340.2</v>
      </c>
    </row>
    <row r="16" spans="1:93" hidden="1">
      <c r="A16" s="28" t="s">
        <v>54</v>
      </c>
      <c r="O16" s="28">
        <v>33.1</v>
      </c>
    </row>
  </sheetData>
  <mergeCells count="9">
    <mergeCell ref="AK4:AQ4"/>
    <mergeCell ref="AR4:AX4"/>
    <mergeCell ref="AY4:BE4"/>
    <mergeCell ref="BF4:BL4"/>
    <mergeCell ref="B4:H4"/>
    <mergeCell ref="I4:O4"/>
    <mergeCell ref="P4:V4"/>
    <mergeCell ref="W4:AC4"/>
    <mergeCell ref="AD4:AJ4"/>
  </mergeCells>
  <pageMargins left="0.7" right="0.7" top="0.75" bottom="0.75" header="0.3" footer="0.3"/>
  <pageSetup paperSize="8" scale="24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C4F5-792E-489F-9420-5E0FED76A0F4}">
  <sheetPr>
    <pageSetUpPr fitToPage="1"/>
  </sheetPr>
  <dimension ref="A2:BO8"/>
  <sheetViews>
    <sheetView zoomScaleNormal="100" workbookViewId="0">
      <pane xSplit="1" ySplit="5" topLeftCell="AL6" activePane="bottomRight" state="frozen"/>
      <selection pane="bottomRight" activeCell="AV6" sqref="AV6"/>
      <selection pane="bottomLeft" activeCell="AI16" sqref="AI16"/>
      <selection pane="topRight" activeCell="AI16" sqref="AI16"/>
    </sheetView>
  </sheetViews>
  <sheetFormatPr defaultColWidth="9" defaultRowHeight="15.75" outlineLevelCol="1"/>
  <cols>
    <col min="1" max="1" width="28.125" style="1" customWidth="1"/>
    <col min="2" max="8" width="10.625" style="1" customWidth="1"/>
    <col min="9" max="15" width="8.625" style="1" customWidth="1"/>
    <col min="16" max="22" width="12.625" style="11" customWidth="1"/>
    <col min="23" max="36" width="8.625" style="1" customWidth="1"/>
    <col min="37" max="43" width="8.625" style="1" customWidth="1" outlineLevel="1"/>
    <col min="44" max="54" width="8.625" style="1" customWidth="1"/>
    <col min="55" max="55" width="10.5" style="1" customWidth="1"/>
    <col min="56" max="64" width="8.625" style="1" customWidth="1"/>
    <col min="65" max="16384" width="9" style="1"/>
  </cols>
  <sheetData>
    <row r="2" spans="1:67">
      <c r="A2" s="2" t="s">
        <v>55</v>
      </c>
      <c r="B2" s="2"/>
      <c r="C2" s="2"/>
      <c r="D2" s="2"/>
      <c r="E2" s="11"/>
      <c r="AD2" s="11"/>
      <c r="AE2" s="11"/>
      <c r="AF2" s="11"/>
      <c r="AG2" s="11"/>
    </row>
    <row r="4" spans="1:67" s="5" customFormat="1" ht="41.1" customHeight="1">
      <c r="A4" s="4"/>
      <c r="B4" s="143" t="s">
        <v>28</v>
      </c>
      <c r="C4" s="144"/>
      <c r="D4" s="144"/>
      <c r="E4" s="144"/>
      <c r="F4" s="144"/>
      <c r="G4" s="144"/>
      <c r="H4" s="144"/>
      <c r="I4" s="143" t="s">
        <v>2</v>
      </c>
      <c r="J4" s="144"/>
      <c r="K4" s="144"/>
      <c r="L4" s="144"/>
      <c r="M4" s="144"/>
      <c r="N4" s="144"/>
      <c r="O4" s="145"/>
      <c r="P4" s="143" t="s">
        <v>3</v>
      </c>
      <c r="Q4" s="144"/>
      <c r="R4" s="144"/>
      <c r="S4" s="144"/>
      <c r="T4" s="144"/>
      <c r="U4" s="144"/>
      <c r="V4" s="145"/>
      <c r="W4" s="143" t="s">
        <v>4</v>
      </c>
      <c r="X4" s="144"/>
      <c r="Y4" s="144"/>
      <c r="Z4" s="144"/>
      <c r="AA4" s="144"/>
      <c r="AB4" s="144"/>
      <c r="AC4" s="145"/>
      <c r="AD4" s="143" t="s">
        <v>5</v>
      </c>
      <c r="AE4" s="144"/>
      <c r="AF4" s="144"/>
      <c r="AG4" s="144"/>
      <c r="AH4" s="144"/>
      <c r="AI4" s="144"/>
      <c r="AJ4" s="145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3" t="s">
        <v>29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  <c r="BO4" s="12"/>
    </row>
    <row r="5" spans="1:67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</row>
    <row r="6" spans="1:67" ht="16.5" thickBot="1">
      <c r="A6" s="65" t="s">
        <v>23</v>
      </c>
      <c r="B6" s="66">
        <v>1930.1836005500011</v>
      </c>
      <c r="C6" s="66">
        <v>1296.4217425500003</v>
      </c>
      <c r="D6" s="66">
        <v>1417.6207944300004</v>
      </c>
      <c r="E6" s="66">
        <v>1696.1998611799993</v>
      </c>
      <c r="F6" s="66">
        <v>1934.6117928200017</v>
      </c>
      <c r="G6" s="66">
        <v>2150.7303658656765</v>
      </c>
      <c r="H6" s="66">
        <v>2201.8896495187996</v>
      </c>
      <c r="I6" s="67">
        <v>4249.8941053999997</v>
      </c>
      <c r="J6" s="66">
        <v>4154.2948247400018</v>
      </c>
      <c r="K6" s="66">
        <v>4344.1483746199992</v>
      </c>
      <c r="L6" s="66">
        <v>4825.1193493400006</v>
      </c>
      <c r="M6" s="66">
        <v>4898.9099063999984</v>
      </c>
      <c r="N6" s="66">
        <v>4796.9024042419132</v>
      </c>
      <c r="O6" s="68">
        <v>4952.4077208293711</v>
      </c>
      <c r="P6" s="66">
        <v>566.78858862000004</v>
      </c>
      <c r="Q6" s="66">
        <v>575.4363547400003</v>
      </c>
      <c r="R6" s="66">
        <v>613.56112505000021</v>
      </c>
      <c r="S6" s="66">
        <v>578.72373220000009</v>
      </c>
      <c r="T6" s="66">
        <v>607.64706450000017</v>
      </c>
      <c r="U6" s="66">
        <v>662.71364900000003</v>
      </c>
      <c r="V6" s="68">
        <v>672.39998501363482</v>
      </c>
      <c r="W6" s="66">
        <v>24.208850420000008</v>
      </c>
      <c r="X6" s="66">
        <v>26.486531060000004</v>
      </c>
      <c r="Y6" s="66">
        <v>27.365421590000004</v>
      </c>
      <c r="Z6" s="66">
        <v>28.866960069999983</v>
      </c>
      <c r="AA6" s="66">
        <v>30.193125669999993</v>
      </c>
      <c r="AB6" s="66">
        <v>33.689000000000014</v>
      </c>
      <c r="AC6" s="68">
        <v>35.075385999999952</v>
      </c>
      <c r="AD6" s="66">
        <v>24.966937689999998</v>
      </c>
      <c r="AE6" s="66">
        <v>49.309492430000027</v>
      </c>
      <c r="AF6" s="66">
        <v>10.051604100000006</v>
      </c>
      <c r="AG6" s="66">
        <v>9.9907814799999599</v>
      </c>
      <c r="AH6" s="66">
        <v>17.921034009999964</v>
      </c>
      <c r="AI6" s="66">
        <v>9.5664959999999954</v>
      </c>
      <c r="AJ6" s="68">
        <v>23.199995999999974</v>
      </c>
      <c r="AK6" s="69">
        <v>0</v>
      </c>
      <c r="AL6" s="69">
        <v>455.32421009000001</v>
      </c>
      <c r="AM6" s="69">
        <v>463.95719109000004</v>
      </c>
      <c r="AN6" s="69">
        <v>111.15260351000003</v>
      </c>
      <c r="AO6" s="69">
        <v>82.223011980000024</v>
      </c>
      <c r="AP6" s="69">
        <v>2.36</v>
      </c>
      <c r="AQ6" s="69">
        <v>0</v>
      </c>
      <c r="AR6" s="69">
        <f>+AD6+W6+P6+I6</f>
        <v>4865.8584821300001</v>
      </c>
      <c r="AS6" s="69">
        <f t="shared" ref="AS6:AX6" si="0">+AE6+X6+Q6+J6</f>
        <v>4805.5272029700018</v>
      </c>
      <c r="AT6" s="69">
        <f t="shared" si="0"/>
        <v>4995.1265253599995</v>
      </c>
      <c r="AU6" s="69">
        <f t="shared" si="0"/>
        <v>5442.700823090001</v>
      </c>
      <c r="AV6" s="69">
        <f t="shared" si="0"/>
        <v>5554.6711305799981</v>
      </c>
      <c r="AW6" s="69">
        <f t="shared" si="0"/>
        <v>5502.8715492419133</v>
      </c>
      <c r="AX6" s="69">
        <f t="shared" si="0"/>
        <v>5683.0830878430061</v>
      </c>
      <c r="AY6" s="69">
        <f>+AR6-AK6-B6</f>
        <v>2935.6748815799992</v>
      </c>
      <c r="AZ6" s="69">
        <f t="shared" ref="AZ6:BE6" si="1">+AS6-AL6-C6</f>
        <v>3053.781250330002</v>
      </c>
      <c r="BA6" s="69">
        <f t="shared" si="1"/>
        <v>3113.5485398399987</v>
      </c>
      <c r="BB6" s="69">
        <f t="shared" si="1"/>
        <v>3635.3483584000023</v>
      </c>
      <c r="BC6" s="69">
        <f t="shared" si="1"/>
        <v>3537.8363257799965</v>
      </c>
      <c r="BD6" s="69">
        <f t="shared" si="1"/>
        <v>3349.7811833762371</v>
      </c>
      <c r="BE6" s="69">
        <f t="shared" si="1"/>
        <v>3481.1934383242065</v>
      </c>
      <c r="BF6" s="70">
        <f>+P6/AR6</f>
        <v>0.11648275236559938</v>
      </c>
      <c r="BG6" s="71">
        <f t="shared" ref="BG6:BL6" si="2">+Q6/AS6</f>
        <v>0.11974468782204757</v>
      </c>
      <c r="BH6" s="71">
        <f t="shared" si="2"/>
        <v>0.12283194868738201</v>
      </c>
      <c r="BI6" s="71">
        <f t="shared" si="2"/>
        <v>0.10633024871490906</v>
      </c>
      <c r="BJ6" s="71">
        <f t="shared" si="2"/>
        <v>0.10939388673340809</v>
      </c>
      <c r="BK6" s="71">
        <f t="shared" si="2"/>
        <v>0.12043051397252709</v>
      </c>
      <c r="BL6" s="72">
        <f t="shared" si="2"/>
        <v>0.11831605743227692</v>
      </c>
    </row>
    <row r="7" spans="1:67" ht="16.5" thickTop="1">
      <c r="P7" s="1"/>
    </row>
    <row r="8" spans="1:67">
      <c r="AB8" s="20"/>
      <c r="AC8" s="20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</sheetData>
  <mergeCells count="9">
    <mergeCell ref="AK4:AQ4"/>
    <mergeCell ref="AR4:AX4"/>
    <mergeCell ref="BF4:BL4"/>
    <mergeCell ref="AY4:BE4"/>
    <mergeCell ref="B4:H4"/>
    <mergeCell ref="I4:O4"/>
    <mergeCell ref="P4:V4"/>
    <mergeCell ref="W4:AC4"/>
    <mergeCell ref="AD4:AJ4"/>
  </mergeCells>
  <pageMargins left="0.70866141732283472" right="0.70866141732283472" top="0.74803149606299213" bottom="0.74803149606299213" header="0.31496062992125984" footer="0.31496062992125984"/>
  <pageSetup paperSize="8" scale="2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EE1A-E2EC-4186-B5E7-06F87FCAD83B}">
  <sheetPr>
    <pageSetUpPr fitToPage="1"/>
  </sheetPr>
  <dimension ref="A2:CN36"/>
  <sheetViews>
    <sheetView zoomScale="85" zoomScaleNormal="85" workbookViewId="0">
      <pane xSplit="1" ySplit="5" topLeftCell="BD6" activePane="bottomRight" state="frozen"/>
      <selection pane="bottomRight" activeCell="BF6" sqref="BF6"/>
      <selection pane="bottomLeft" activeCell="AI16" sqref="AI16"/>
      <selection pane="topRight" activeCell="AI16" sqref="AI16"/>
    </sheetView>
  </sheetViews>
  <sheetFormatPr defaultColWidth="9" defaultRowHeight="15.75" outlineLevelCol="1"/>
  <cols>
    <col min="1" max="1" width="30.125" style="1" customWidth="1"/>
    <col min="2" max="8" width="10.625" style="1" customWidth="1"/>
    <col min="9" max="15" width="8.625" style="1" customWidth="1"/>
    <col min="16" max="22" width="12.625" style="1" customWidth="1"/>
    <col min="23" max="29" width="8.625" style="1" customWidth="1"/>
    <col min="30" max="43" width="8.625" style="12" customWidth="1"/>
    <col min="44" max="50" width="8.625" style="12" customWidth="1" outlineLevel="1"/>
    <col min="51" max="57" width="8.625" style="1" customWidth="1" outlineLevel="1"/>
    <col min="58" max="85" width="8.625" style="1" customWidth="1"/>
    <col min="86" max="89" width="6.625" style="1" bestFit="1" customWidth="1"/>
    <col min="90" max="90" width="7.5" style="1" bestFit="1" customWidth="1"/>
    <col min="91" max="91" width="6.625" style="1" bestFit="1" customWidth="1"/>
    <col min="92" max="92" width="6.625" style="1" customWidth="1"/>
    <col min="93" max="16384" width="9" style="1"/>
  </cols>
  <sheetData>
    <row r="2" spans="1:92">
      <c r="A2" s="2" t="s">
        <v>21</v>
      </c>
      <c r="B2" s="2"/>
      <c r="C2" s="2"/>
      <c r="D2" s="2"/>
      <c r="P2" s="2"/>
      <c r="Q2" s="2"/>
      <c r="R2" s="2"/>
      <c r="AD2" s="22"/>
      <c r="AE2" s="22"/>
      <c r="AF2" s="22"/>
      <c r="AK2" s="22"/>
      <c r="AL2" s="22"/>
      <c r="AM2" s="22"/>
      <c r="AR2" s="22"/>
      <c r="AS2" s="22"/>
      <c r="AT2" s="22"/>
    </row>
    <row r="4" spans="1:92" s="5" customFormat="1" ht="41.1" customHeight="1">
      <c r="A4" s="4"/>
      <c r="B4" s="143" t="s">
        <v>28</v>
      </c>
      <c r="C4" s="144"/>
      <c r="D4" s="144"/>
      <c r="E4" s="144"/>
      <c r="F4" s="144"/>
      <c r="G4" s="144"/>
      <c r="H4" s="144"/>
      <c r="I4" s="143" t="s">
        <v>2</v>
      </c>
      <c r="J4" s="144"/>
      <c r="K4" s="144"/>
      <c r="L4" s="144"/>
      <c r="M4" s="144"/>
      <c r="N4" s="144"/>
      <c r="O4" s="145"/>
      <c r="P4" s="143" t="s">
        <v>3</v>
      </c>
      <c r="Q4" s="144"/>
      <c r="R4" s="144"/>
      <c r="S4" s="144"/>
      <c r="T4" s="144"/>
      <c r="U4" s="144"/>
      <c r="V4" s="145"/>
      <c r="W4" s="143" t="s">
        <v>4</v>
      </c>
      <c r="X4" s="144"/>
      <c r="Y4" s="144"/>
      <c r="Z4" s="144"/>
      <c r="AA4" s="144"/>
      <c r="AB4" s="144"/>
      <c r="AC4" s="145"/>
      <c r="AD4" s="143" t="s">
        <v>5</v>
      </c>
      <c r="AE4" s="144"/>
      <c r="AF4" s="144"/>
      <c r="AG4" s="144"/>
      <c r="AH4" s="144"/>
      <c r="AI4" s="144"/>
      <c r="AJ4" s="145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3" t="s">
        <v>29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  <c r="BM4" s="147"/>
      <c r="BN4" s="148"/>
      <c r="BO4" s="148"/>
      <c r="BP4" s="148"/>
      <c r="BQ4" s="148"/>
      <c r="BR4" s="148"/>
      <c r="BS4" s="149"/>
      <c r="BT4" s="147"/>
      <c r="BU4" s="148"/>
      <c r="BV4" s="148"/>
      <c r="BW4" s="148"/>
      <c r="BX4" s="148"/>
      <c r="BY4" s="148"/>
      <c r="BZ4" s="149"/>
      <c r="CA4" s="147"/>
      <c r="CB4" s="148"/>
      <c r="CC4" s="148"/>
      <c r="CD4" s="148"/>
      <c r="CE4" s="148"/>
      <c r="CF4" s="148"/>
      <c r="CG4" s="149"/>
      <c r="CH4" s="147"/>
      <c r="CI4" s="148"/>
      <c r="CJ4" s="148"/>
      <c r="CK4" s="148"/>
      <c r="CL4" s="148"/>
      <c r="CM4" s="148"/>
      <c r="CN4" s="149"/>
    </row>
    <row r="5" spans="1:92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  <c r="BM5" s="7"/>
      <c r="BN5" s="8"/>
      <c r="BO5" s="8"/>
      <c r="BP5" s="9"/>
      <c r="BQ5" s="9"/>
      <c r="BR5" s="9"/>
      <c r="BS5" s="10"/>
      <c r="BT5" s="7"/>
      <c r="BU5" s="8"/>
      <c r="BV5" s="8"/>
      <c r="BW5" s="9"/>
      <c r="BX5" s="9"/>
      <c r="BY5" s="9"/>
      <c r="BZ5" s="10"/>
      <c r="CA5" s="7"/>
      <c r="CB5" s="8"/>
      <c r="CC5" s="8"/>
      <c r="CD5" s="9"/>
      <c r="CE5" s="9"/>
      <c r="CF5" s="9"/>
      <c r="CG5" s="10"/>
      <c r="CH5" s="7"/>
      <c r="CI5" s="8"/>
      <c r="CJ5" s="8"/>
      <c r="CK5" s="9"/>
      <c r="CL5" s="9"/>
      <c r="CM5" s="9"/>
      <c r="CN5" s="10"/>
    </row>
    <row r="6" spans="1:92" ht="16.5" thickBot="1">
      <c r="A6" s="65" t="s">
        <v>23</v>
      </c>
      <c r="B6" s="66">
        <v>382.59403203704477</v>
      </c>
      <c r="C6" s="66">
        <v>265.28349840999999</v>
      </c>
      <c r="D6" s="66">
        <v>276.6942626500001</v>
      </c>
      <c r="E6" s="66">
        <v>351.11101701000007</v>
      </c>
      <c r="F6" s="66">
        <v>395.21592520999991</v>
      </c>
      <c r="G6" s="66">
        <v>416.41034458743047</v>
      </c>
      <c r="H6" s="66">
        <v>439.20106755739187</v>
      </c>
      <c r="I6" s="67">
        <v>1136.2315403188979</v>
      </c>
      <c r="J6" s="66">
        <v>1129.1949063642501</v>
      </c>
      <c r="K6" s="66">
        <v>1208.846907616901</v>
      </c>
      <c r="L6" s="66">
        <v>1330.3607862299993</v>
      </c>
      <c r="M6" s="66">
        <v>1352.8327608451011</v>
      </c>
      <c r="N6" s="66">
        <v>1385.542696361568</v>
      </c>
      <c r="O6" s="68">
        <v>1474.6056377862756</v>
      </c>
      <c r="P6" s="66">
        <v>137.63015576999999</v>
      </c>
      <c r="Q6" s="66">
        <v>142.04317803999999</v>
      </c>
      <c r="R6" s="66">
        <v>137.55922345000002</v>
      </c>
      <c r="S6" s="66">
        <v>134.50826977000006</v>
      </c>
      <c r="T6" s="66">
        <v>146.82994459999998</v>
      </c>
      <c r="U6" s="66">
        <v>151.40659999273328</v>
      </c>
      <c r="V6" s="68">
        <v>162.00250410778605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8">
        <v>0</v>
      </c>
      <c r="AD6" s="66">
        <v>3.4847236399999999</v>
      </c>
      <c r="AE6" s="66">
        <v>5.9209670100000009</v>
      </c>
      <c r="AF6" s="66">
        <v>3.4310202799999989</v>
      </c>
      <c r="AG6" s="66">
        <v>0.80615717000000009</v>
      </c>
      <c r="AH6" s="66">
        <v>6.4677215000000023</v>
      </c>
      <c r="AI6" s="66">
        <v>3.6242549100000003</v>
      </c>
      <c r="AJ6" s="68">
        <v>6.6783296200000004</v>
      </c>
      <c r="AK6" s="69">
        <v>0</v>
      </c>
      <c r="AL6" s="69">
        <v>112.89835561685756</v>
      </c>
      <c r="AM6" s="69">
        <v>156.26189984009392</v>
      </c>
      <c r="AN6" s="69">
        <v>46.079558450000007</v>
      </c>
      <c r="AO6" s="69">
        <v>18.767832257421954</v>
      </c>
      <c r="AP6" s="69">
        <v>-0.94915802999999999</v>
      </c>
      <c r="AQ6" s="69">
        <v>0</v>
      </c>
      <c r="AR6" s="69">
        <f>+AD6+W6+P6+I6</f>
        <v>1277.3464197288979</v>
      </c>
      <c r="AS6" s="69">
        <f t="shared" ref="AS6:AX6" si="0">+AE6+X6+Q6+J6</f>
        <v>1277.1590514142501</v>
      </c>
      <c r="AT6" s="69">
        <f t="shared" si="0"/>
        <v>1349.837151346901</v>
      </c>
      <c r="AU6" s="69">
        <f t="shared" si="0"/>
        <v>1465.6752131699993</v>
      </c>
      <c r="AV6" s="69">
        <f t="shared" si="0"/>
        <v>1506.1304269451011</v>
      </c>
      <c r="AW6" s="69">
        <f t="shared" si="0"/>
        <v>1540.5735512643014</v>
      </c>
      <c r="AX6" s="69">
        <f t="shared" si="0"/>
        <v>1643.2864715140615</v>
      </c>
      <c r="AY6" s="69">
        <f>+AR6-AK6-B6</f>
        <v>894.75238769185307</v>
      </c>
      <c r="AZ6" s="69">
        <f t="shared" ref="AZ6:BE6" si="1">+AS6-AL6-C6</f>
        <v>898.97719738739261</v>
      </c>
      <c r="BA6" s="69">
        <f t="shared" si="1"/>
        <v>916.88098885680688</v>
      </c>
      <c r="BB6" s="69">
        <f t="shared" si="1"/>
        <v>1068.4846377099993</v>
      </c>
      <c r="BC6" s="69">
        <f t="shared" si="1"/>
        <v>1092.1466694776791</v>
      </c>
      <c r="BD6" s="69">
        <f t="shared" si="1"/>
        <v>1125.1123647068709</v>
      </c>
      <c r="BE6" s="69">
        <f t="shared" si="1"/>
        <v>1204.0854039566698</v>
      </c>
      <c r="BF6" s="70">
        <f>+P6/AR6</f>
        <v>0.10774693038965139</v>
      </c>
      <c r="BG6" s="71">
        <f t="shared" ref="BG6:BL6" si="2">+Q6/AS6</f>
        <v>0.11121808038138226</v>
      </c>
      <c r="BH6" s="71">
        <f t="shared" si="2"/>
        <v>0.10190801409839699</v>
      </c>
      <c r="BI6" s="71">
        <f t="shared" si="2"/>
        <v>9.1772221131503059E-2</v>
      </c>
      <c r="BJ6" s="71">
        <f t="shared" si="2"/>
        <v>9.7488200207080711E-2</v>
      </c>
      <c r="BK6" s="71">
        <f t="shared" si="2"/>
        <v>9.8279371256554768E-2</v>
      </c>
      <c r="BL6" s="72">
        <f t="shared" si="2"/>
        <v>9.8584456767615888E-2</v>
      </c>
      <c r="BM6" s="18"/>
      <c r="BN6" s="18"/>
      <c r="BO6" s="18"/>
      <c r="BP6" s="18"/>
      <c r="BQ6" s="18"/>
      <c r="BR6" s="18"/>
      <c r="BS6" s="19"/>
      <c r="BT6" s="25"/>
      <c r="BU6" s="16"/>
      <c r="BV6" s="16"/>
      <c r="BW6" s="16"/>
      <c r="BX6" s="16"/>
      <c r="BY6" s="16"/>
      <c r="BZ6" s="17"/>
      <c r="CA6" s="25"/>
      <c r="CB6" s="16"/>
      <c r="CC6" s="16"/>
      <c r="CD6" s="16"/>
      <c r="CE6" s="16"/>
      <c r="CF6" s="16"/>
      <c r="CG6" s="17"/>
      <c r="CH6" s="25"/>
      <c r="CI6" s="16"/>
      <c r="CJ6" s="16"/>
      <c r="CK6" s="16"/>
      <c r="CL6" s="16"/>
      <c r="CM6" s="16"/>
      <c r="CN6" s="17"/>
    </row>
    <row r="7" spans="1:92" ht="16.5" thickTop="1">
      <c r="AD7" s="1"/>
      <c r="AE7" s="1"/>
      <c r="AF7" s="1"/>
      <c r="AG7" s="1"/>
    </row>
    <row r="8" spans="1:92">
      <c r="A8" s="2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</row>
    <row r="9" spans="1:92">
      <c r="A9" s="2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AK9" s="1"/>
      <c r="AL9" s="1"/>
      <c r="AM9" s="1"/>
      <c r="BM9" s="12"/>
      <c r="BN9" s="12"/>
      <c r="BO9" s="12"/>
      <c r="BP9" s="12"/>
      <c r="BQ9" s="12"/>
      <c r="BR9" s="12"/>
      <c r="BS9" s="12"/>
    </row>
    <row r="10" spans="1:92">
      <c r="A10" s="2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AK10" s="1"/>
      <c r="AL10" s="1"/>
      <c r="AM10" s="1"/>
      <c r="BM10" s="12"/>
      <c r="BN10" s="12"/>
      <c r="BO10" s="12"/>
      <c r="BP10" s="12"/>
      <c r="BQ10" s="12"/>
      <c r="BR10" s="12"/>
      <c r="BS10" s="12"/>
    </row>
    <row r="11" spans="1:92">
      <c r="A11" s="2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AK11" s="1"/>
      <c r="AL11" s="1"/>
      <c r="AM11" s="1"/>
      <c r="BM11" s="12"/>
      <c r="BN11" s="12"/>
      <c r="BO11" s="12"/>
      <c r="BP11" s="12"/>
      <c r="BQ11" s="12"/>
      <c r="BR11" s="12"/>
      <c r="BS11" s="12"/>
    </row>
    <row r="12" spans="1:92">
      <c r="A12" s="2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AK12" s="1"/>
      <c r="AL12" s="1"/>
      <c r="AM12" s="1"/>
      <c r="BM12" s="12"/>
      <c r="BN12" s="12"/>
      <c r="BO12" s="12"/>
      <c r="BP12" s="12"/>
      <c r="BQ12" s="12"/>
      <c r="BR12" s="12"/>
      <c r="BS12" s="12"/>
    </row>
    <row r="13" spans="1:92">
      <c r="A13" s="2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AK13" s="1"/>
      <c r="AL13" s="1"/>
      <c r="AM13" s="1"/>
      <c r="BM13" s="12"/>
      <c r="BN13" s="12"/>
      <c r="BO13" s="12"/>
      <c r="BP13" s="12"/>
      <c r="BQ13" s="12"/>
      <c r="BR13" s="12"/>
      <c r="BS13" s="12"/>
    </row>
    <row r="14" spans="1:92">
      <c r="AK14" s="1"/>
      <c r="AL14" s="1"/>
      <c r="AM14" s="1"/>
      <c r="BM14" s="12"/>
      <c r="BN14" s="12"/>
      <c r="BO14" s="12"/>
      <c r="BP14" s="12"/>
      <c r="BQ14" s="12"/>
      <c r="BR14" s="12"/>
      <c r="BS14" s="12"/>
    </row>
    <row r="15" spans="1:92">
      <c r="AK15" s="1"/>
      <c r="AL15" s="1"/>
      <c r="AM15" s="1"/>
      <c r="BM15" s="12"/>
      <c r="BN15" s="12"/>
      <c r="BO15" s="12"/>
      <c r="BP15" s="12"/>
      <c r="BQ15" s="12"/>
      <c r="BR15" s="12"/>
      <c r="BS15" s="12"/>
    </row>
    <row r="16" spans="1:92">
      <c r="AK16" s="1"/>
      <c r="AL16" s="1"/>
      <c r="AM16" s="1"/>
      <c r="BM16" s="12"/>
      <c r="BN16" s="12"/>
      <c r="BO16" s="12"/>
      <c r="BP16" s="12"/>
      <c r="BQ16" s="12"/>
      <c r="BR16" s="12"/>
      <c r="BS16" s="12"/>
    </row>
    <row r="17" spans="21:71">
      <c r="AK17" s="1"/>
      <c r="AL17" s="1"/>
      <c r="AM17" s="1"/>
      <c r="BM17" s="12"/>
      <c r="BN17" s="12"/>
      <c r="BO17" s="12"/>
      <c r="BP17" s="12"/>
      <c r="BQ17" s="12"/>
      <c r="BR17" s="12"/>
      <c r="BS17" s="12"/>
    </row>
    <row r="18" spans="21:71">
      <c r="AK18" s="1"/>
      <c r="AL18" s="1"/>
      <c r="AM18" s="1"/>
      <c r="BM18" s="12"/>
      <c r="BN18" s="12"/>
      <c r="BO18" s="12"/>
      <c r="BP18" s="12"/>
      <c r="BQ18" s="12"/>
      <c r="BR18" s="12"/>
      <c r="BS18" s="12"/>
    </row>
    <row r="19" spans="21:71">
      <c r="AK19" s="1"/>
      <c r="AL19" s="1"/>
      <c r="AM19" s="1"/>
      <c r="BM19" s="12"/>
      <c r="BN19" s="12"/>
      <c r="BO19" s="12"/>
      <c r="BP19" s="12"/>
      <c r="BQ19" s="12"/>
      <c r="BR19" s="12"/>
      <c r="BS19" s="12"/>
    </row>
    <row r="23" spans="21:71">
      <c r="U23" s="12"/>
      <c r="V23" s="12"/>
      <c r="AD23" s="11"/>
      <c r="AE23" s="11"/>
      <c r="AF23" s="11"/>
      <c r="AG23" s="11"/>
      <c r="AH23" s="11"/>
      <c r="AI23" s="11"/>
      <c r="AJ23" s="11"/>
    </row>
    <row r="24" spans="21:71">
      <c r="U24" s="12"/>
      <c r="V24" s="12"/>
      <c r="AD24" s="11"/>
      <c r="AE24" s="11"/>
      <c r="AF24" s="11"/>
      <c r="AG24" s="11"/>
      <c r="AH24" s="11"/>
      <c r="AI24" s="11"/>
      <c r="AJ24" s="11"/>
    </row>
    <row r="25" spans="21:71">
      <c r="U25" s="12"/>
      <c r="V25" s="12"/>
      <c r="AD25" s="11"/>
      <c r="AE25" s="11"/>
      <c r="AF25" s="11"/>
      <c r="AG25" s="11"/>
      <c r="AH25" s="11"/>
      <c r="AI25" s="11"/>
      <c r="AJ25" s="11"/>
    </row>
    <row r="26" spans="21:71">
      <c r="U26" s="12"/>
      <c r="V26" s="12"/>
      <c r="AD26" s="11"/>
      <c r="AE26" s="11"/>
      <c r="AF26" s="11"/>
      <c r="AG26" s="11"/>
      <c r="AH26" s="11"/>
      <c r="AI26" s="11"/>
      <c r="AJ26" s="11"/>
    </row>
    <row r="27" spans="21:71">
      <c r="U27" s="12"/>
      <c r="V27" s="12"/>
      <c r="AD27" s="11"/>
      <c r="AE27" s="11"/>
      <c r="AF27" s="11"/>
      <c r="AG27" s="11"/>
      <c r="AH27" s="11"/>
      <c r="AI27" s="11"/>
      <c r="AJ27" s="11"/>
    </row>
    <row r="28" spans="21:71">
      <c r="U28" s="12"/>
      <c r="V28" s="12"/>
      <c r="AD28" s="11"/>
      <c r="AE28" s="11"/>
      <c r="AF28" s="11"/>
      <c r="AG28" s="11"/>
      <c r="AH28" s="11"/>
      <c r="AI28" s="11"/>
      <c r="AJ28" s="11"/>
    </row>
    <row r="29" spans="21:71">
      <c r="U29" s="12"/>
      <c r="V29" s="12"/>
      <c r="AD29" s="11"/>
      <c r="AE29" s="11"/>
      <c r="AF29" s="11"/>
      <c r="AG29" s="11"/>
      <c r="AH29" s="11"/>
      <c r="AI29" s="11"/>
      <c r="AJ29" s="11"/>
    </row>
    <row r="30" spans="21:71">
      <c r="U30" s="12"/>
      <c r="V30" s="12"/>
      <c r="AD30" s="11"/>
      <c r="AE30" s="11"/>
      <c r="AF30" s="11"/>
      <c r="AG30" s="11"/>
      <c r="AH30" s="11"/>
      <c r="AI30" s="11"/>
      <c r="AJ30" s="11"/>
    </row>
    <row r="31" spans="21:71">
      <c r="U31" s="12"/>
      <c r="V31" s="12"/>
      <c r="AD31" s="11"/>
      <c r="AE31" s="11"/>
      <c r="AF31" s="11"/>
      <c r="AG31" s="11"/>
      <c r="AH31" s="11"/>
      <c r="AI31" s="11"/>
      <c r="AJ31" s="11"/>
    </row>
    <row r="32" spans="21:71">
      <c r="U32" s="12"/>
      <c r="V32" s="12"/>
      <c r="AD32" s="11"/>
      <c r="AE32" s="11"/>
      <c r="AF32" s="11"/>
      <c r="AG32" s="11"/>
      <c r="AH32" s="11"/>
      <c r="AI32" s="11"/>
      <c r="AJ32" s="11"/>
    </row>
    <row r="33" spans="21:36">
      <c r="U33" s="12"/>
      <c r="V33" s="12"/>
      <c r="AD33" s="11"/>
      <c r="AE33" s="11"/>
      <c r="AF33" s="11"/>
      <c r="AG33" s="11"/>
      <c r="AH33" s="11"/>
      <c r="AI33" s="11"/>
      <c r="AJ33" s="11"/>
    </row>
    <row r="34" spans="21:36">
      <c r="U34" s="12"/>
      <c r="V34" s="12"/>
      <c r="AD34" s="11"/>
      <c r="AE34" s="11"/>
      <c r="AF34" s="11"/>
      <c r="AG34" s="11"/>
      <c r="AH34" s="11"/>
      <c r="AI34" s="11"/>
      <c r="AJ34" s="11"/>
    </row>
    <row r="35" spans="21:36">
      <c r="AD35" s="11"/>
      <c r="AE35" s="11"/>
      <c r="AF35" s="11"/>
      <c r="AG35" s="11"/>
      <c r="AH35" s="11"/>
      <c r="AI35" s="11"/>
      <c r="AJ35" s="11"/>
    </row>
    <row r="36" spans="21:36">
      <c r="AD36" s="11"/>
      <c r="AE36" s="11"/>
      <c r="AF36" s="11"/>
      <c r="AG36" s="11"/>
      <c r="AH36" s="11"/>
      <c r="AI36" s="11"/>
      <c r="AJ36" s="11"/>
    </row>
  </sheetData>
  <mergeCells count="13">
    <mergeCell ref="BT4:BZ4"/>
    <mergeCell ref="CA4:CG4"/>
    <mergeCell ref="CH4:CN4"/>
    <mergeCell ref="AK4:AQ4"/>
    <mergeCell ref="AR4:AX4"/>
    <mergeCell ref="AY4:BE4"/>
    <mergeCell ref="BF4:BL4"/>
    <mergeCell ref="BM4:BS4"/>
    <mergeCell ref="B4:H4"/>
    <mergeCell ref="I4:O4"/>
    <mergeCell ref="P4:V4"/>
    <mergeCell ref="W4:AC4"/>
    <mergeCell ref="AD4:AJ4"/>
  </mergeCells>
  <pageMargins left="0.7" right="0.7" top="0.75" bottom="0.75" header="0.3" footer="0.3"/>
  <pageSetup paperSize="8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B34D2-EE31-4FCA-BBCE-7546221FB326}">
  <sheetPr>
    <pageSetUpPr fitToPage="1"/>
  </sheetPr>
  <dimension ref="A2:CN7"/>
  <sheetViews>
    <sheetView zoomScale="85" zoomScaleNormal="85" workbookViewId="0">
      <pane xSplit="1" ySplit="1" topLeftCell="B2" activePane="bottomRight" state="frozen"/>
      <selection pane="bottomRight" activeCell="G15" sqref="G15"/>
      <selection pane="bottomLeft" activeCell="AI16" sqref="AI16"/>
      <selection pane="topRight" activeCell="AI16" sqref="AI16"/>
    </sheetView>
  </sheetViews>
  <sheetFormatPr defaultColWidth="9" defaultRowHeight="15.75" outlineLevelCol="1"/>
  <cols>
    <col min="1" max="1" width="32.5" style="1" bestFit="1" customWidth="1"/>
    <col min="2" max="8" width="10.625" style="1" customWidth="1"/>
    <col min="9" max="15" width="8.625" style="1" customWidth="1"/>
    <col min="16" max="22" width="12.625" style="1" customWidth="1"/>
    <col min="23" max="43" width="8.625" style="1" customWidth="1"/>
    <col min="44" max="57" width="8.625" style="1" customWidth="1" outlineLevel="1"/>
    <col min="58" max="85" width="8.625" style="1" customWidth="1"/>
    <col min="86" max="89" width="6.625" style="1" bestFit="1" customWidth="1"/>
    <col min="90" max="90" width="7.5" style="1" bestFit="1" customWidth="1"/>
    <col min="91" max="91" width="6.625" style="1" bestFit="1" customWidth="1"/>
    <col min="92" max="92" width="6.625" style="1" customWidth="1"/>
    <col min="93" max="16384" width="9" style="1"/>
  </cols>
  <sheetData>
    <row r="2" spans="1:92">
      <c r="A2" s="2" t="s">
        <v>56</v>
      </c>
      <c r="B2" s="2"/>
      <c r="C2" s="2"/>
      <c r="D2" s="2"/>
    </row>
    <row r="4" spans="1:92" s="5" customFormat="1" ht="41.1" customHeight="1">
      <c r="A4" s="4"/>
      <c r="B4" s="143" t="s">
        <v>28</v>
      </c>
      <c r="C4" s="144"/>
      <c r="D4" s="144"/>
      <c r="E4" s="144"/>
      <c r="F4" s="144"/>
      <c r="G4" s="144"/>
      <c r="H4" s="144"/>
      <c r="I4" s="143" t="s">
        <v>2</v>
      </c>
      <c r="J4" s="144"/>
      <c r="K4" s="144"/>
      <c r="L4" s="144"/>
      <c r="M4" s="144"/>
      <c r="N4" s="144"/>
      <c r="O4" s="145"/>
      <c r="P4" s="143" t="s">
        <v>3</v>
      </c>
      <c r="Q4" s="144"/>
      <c r="R4" s="144"/>
      <c r="S4" s="144"/>
      <c r="T4" s="144"/>
      <c r="U4" s="144"/>
      <c r="V4" s="145"/>
      <c r="W4" s="143" t="s">
        <v>4</v>
      </c>
      <c r="X4" s="144"/>
      <c r="Y4" s="144"/>
      <c r="Z4" s="144"/>
      <c r="AA4" s="144"/>
      <c r="AB4" s="144"/>
      <c r="AC4" s="145"/>
      <c r="AD4" s="143" t="s">
        <v>5</v>
      </c>
      <c r="AE4" s="144"/>
      <c r="AF4" s="144"/>
      <c r="AG4" s="144"/>
      <c r="AH4" s="144"/>
      <c r="AI4" s="144"/>
      <c r="AJ4" s="145"/>
      <c r="AK4" s="143" t="s">
        <v>6</v>
      </c>
      <c r="AL4" s="144"/>
      <c r="AM4" s="144"/>
      <c r="AN4" s="144"/>
      <c r="AO4" s="144"/>
      <c r="AP4" s="144"/>
      <c r="AQ4" s="145"/>
      <c r="AR4" s="143" t="s">
        <v>7</v>
      </c>
      <c r="AS4" s="144"/>
      <c r="AT4" s="144"/>
      <c r="AU4" s="144"/>
      <c r="AV4" s="144"/>
      <c r="AW4" s="144"/>
      <c r="AX4" s="145"/>
      <c r="AY4" s="143" t="s">
        <v>29</v>
      </c>
      <c r="AZ4" s="144"/>
      <c r="BA4" s="144"/>
      <c r="BB4" s="144"/>
      <c r="BC4" s="144"/>
      <c r="BD4" s="144"/>
      <c r="BE4" s="144"/>
      <c r="BF4" s="143" t="s">
        <v>9</v>
      </c>
      <c r="BG4" s="144"/>
      <c r="BH4" s="144"/>
      <c r="BI4" s="144"/>
      <c r="BJ4" s="144"/>
      <c r="BK4" s="144"/>
      <c r="BL4" s="145"/>
      <c r="BM4" s="143"/>
      <c r="BN4" s="144"/>
      <c r="BO4" s="144"/>
      <c r="BP4" s="144"/>
      <c r="BQ4" s="144"/>
      <c r="BR4" s="144"/>
      <c r="BS4" s="145"/>
      <c r="BT4" s="143"/>
      <c r="BU4" s="144"/>
      <c r="BV4" s="144"/>
      <c r="BW4" s="144"/>
      <c r="BX4" s="144"/>
      <c r="BY4" s="144"/>
      <c r="BZ4" s="145"/>
      <c r="CA4" s="143"/>
      <c r="CB4" s="144"/>
      <c r="CC4" s="144"/>
      <c r="CD4" s="144"/>
      <c r="CE4" s="144"/>
      <c r="CF4" s="144"/>
      <c r="CG4" s="145"/>
      <c r="CH4" s="143"/>
      <c r="CI4" s="144"/>
      <c r="CJ4" s="144"/>
      <c r="CK4" s="144"/>
      <c r="CL4" s="144"/>
      <c r="CM4" s="144"/>
      <c r="CN4" s="145"/>
    </row>
    <row r="5" spans="1:92">
      <c r="A5" s="6"/>
      <c r="B5" s="7" t="s">
        <v>10</v>
      </c>
      <c r="C5" s="8" t="s">
        <v>11</v>
      </c>
      <c r="D5" s="8" t="s">
        <v>12</v>
      </c>
      <c r="E5" s="9" t="s">
        <v>13</v>
      </c>
      <c r="F5" s="9" t="s">
        <v>14</v>
      </c>
      <c r="G5" s="9" t="s">
        <v>15</v>
      </c>
      <c r="H5" s="9" t="s">
        <v>16</v>
      </c>
      <c r="I5" s="7" t="s">
        <v>10</v>
      </c>
      <c r="J5" s="8" t="s">
        <v>11</v>
      </c>
      <c r="K5" s="8" t="s">
        <v>12</v>
      </c>
      <c r="L5" s="9" t="s">
        <v>13</v>
      </c>
      <c r="M5" s="9" t="s">
        <v>14</v>
      </c>
      <c r="N5" s="9" t="s">
        <v>15</v>
      </c>
      <c r="O5" s="10" t="s">
        <v>16</v>
      </c>
      <c r="P5" s="7" t="s">
        <v>10</v>
      </c>
      <c r="Q5" s="8" t="s">
        <v>11</v>
      </c>
      <c r="R5" s="8" t="s">
        <v>12</v>
      </c>
      <c r="S5" s="9" t="s">
        <v>13</v>
      </c>
      <c r="T5" s="9" t="s">
        <v>14</v>
      </c>
      <c r="U5" s="9" t="s">
        <v>15</v>
      </c>
      <c r="V5" s="10" t="s">
        <v>16</v>
      </c>
      <c r="W5" s="7" t="s">
        <v>10</v>
      </c>
      <c r="X5" s="8" t="s">
        <v>11</v>
      </c>
      <c r="Y5" s="8" t="s">
        <v>12</v>
      </c>
      <c r="Z5" s="9" t="s">
        <v>13</v>
      </c>
      <c r="AA5" s="9" t="s">
        <v>14</v>
      </c>
      <c r="AB5" s="9" t="s">
        <v>15</v>
      </c>
      <c r="AC5" s="10" t="s">
        <v>16</v>
      </c>
      <c r="AD5" s="7" t="s">
        <v>10</v>
      </c>
      <c r="AE5" s="8" t="s">
        <v>11</v>
      </c>
      <c r="AF5" s="8" t="s">
        <v>12</v>
      </c>
      <c r="AG5" s="9" t="s">
        <v>13</v>
      </c>
      <c r="AH5" s="9" t="s">
        <v>14</v>
      </c>
      <c r="AI5" s="9" t="s">
        <v>15</v>
      </c>
      <c r="AJ5" s="10" t="s">
        <v>16</v>
      </c>
      <c r="AK5" s="7" t="s">
        <v>10</v>
      </c>
      <c r="AL5" s="8" t="s">
        <v>11</v>
      </c>
      <c r="AM5" s="8" t="s">
        <v>12</v>
      </c>
      <c r="AN5" s="9" t="s">
        <v>13</v>
      </c>
      <c r="AO5" s="9" t="s">
        <v>14</v>
      </c>
      <c r="AP5" s="9" t="s">
        <v>15</v>
      </c>
      <c r="AQ5" s="10" t="s">
        <v>16</v>
      </c>
      <c r="AR5" s="7" t="s">
        <v>10</v>
      </c>
      <c r="AS5" s="8" t="s">
        <v>11</v>
      </c>
      <c r="AT5" s="8" t="s">
        <v>12</v>
      </c>
      <c r="AU5" s="9" t="s">
        <v>13</v>
      </c>
      <c r="AV5" s="9" t="s">
        <v>14</v>
      </c>
      <c r="AW5" s="9" t="s">
        <v>15</v>
      </c>
      <c r="AX5" s="10" t="s">
        <v>16</v>
      </c>
      <c r="AY5" s="9" t="s">
        <v>10</v>
      </c>
      <c r="AZ5" s="8" t="s">
        <v>11</v>
      </c>
      <c r="BA5" s="8" t="s">
        <v>12</v>
      </c>
      <c r="BB5" s="9" t="s">
        <v>13</v>
      </c>
      <c r="BC5" s="9" t="s">
        <v>14</v>
      </c>
      <c r="BD5" s="9" t="s">
        <v>15</v>
      </c>
      <c r="BE5" s="9" t="s">
        <v>16</v>
      </c>
      <c r="BF5" s="7" t="s">
        <v>10</v>
      </c>
      <c r="BG5" s="8" t="s">
        <v>11</v>
      </c>
      <c r="BH5" s="8" t="s">
        <v>12</v>
      </c>
      <c r="BI5" s="9" t="s">
        <v>13</v>
      </c>
      <c r="BJ5" s="9" t="s">
        <v>14</v>
      </c>
      <c r="BK5" s="9" t="s">
        <v>15</v>
      </c>
      <c r="BL5" s="10" t="s">
        <v>16</v>
      </c>
      <c r="BM5" s="7"/>
      <c r="BN5" s="8"/>
      <c r="BO5" s="8"/>
      <c r="BP5" s="9"/>
      <c r="BQ5" s="9"/>
      <c r="BR5" s="9"/>
      <c r="BS5" s="10"/>
      <c r="BT5" s="7"/>
      <c r="BU5" s="8"/>
      <c r="BV5" s="8"/>
      <c r="BW5" s="9"/>
      <c r="BX5" s="9"/>
      <c r="BY5" s="9"/>
      <c r="BZ5" s="10"/>
      <c r="CA5" s="7"/>
      <c r="CB5" s="8"/>
      <c r="CC5" s="8"/>
      <c r="CD5" s="9"/>
      <c r="CE5" s="9"/>
      <c r="CF5" s="9"/>
      <c r="CG5" s="10"/>
      <c r="CH5" s="7"/>
      <c r="CI5" s="8"/>
      <c r="CJ5" s="8"/>
      <c r="CK5" s="9"/>
      <c r="CL5" s="9"/>
      <c r="CM5" s="9"/>
      <c r="CN5" s="10"/>
    </row>
    <row r="6" spans="1:92" ht="16.5" thickBot="1">
      <c r="A6" s="65" t="s">
        <v>23</v>
      </c>
      <c r="B6" s="66">
        <f>253.2+3+8.3</f>
        <v>264.5</v>
      </c>
      <c r="C6" s="67">
        <f>185.7+1.8+7.1+6.1</f>
        <v>200.7</v>
      </c>
      <c r="D6" s="66">
        <f>159.5+10+7.6</f>
        <v>177.1</v>
      </c>
      <c r="E6" s="66">
        <f>226.4+11.4+8.5</f>
        <v>246.3</v>
      </c>
      <c r="F6" s="66">
        <f>237+12.9+9.6</f>
        <v>259.5</v>
      </c>
      <c r="G6" s="66">
        <f>244.6+14.6+10.4</f>
        <v>269.59999999999997</v>
      </c>
      <c r="H6" s="66">
        <f>243.2+14.3+10.4</f>
        <v>267.89999999999998</v>
      </c>
      <c r="I6" s="67">
        <f>613.6+14.1+30.7+39.4+20.2+174.5</f>
        <v>892.50000000000011</v>
      </c>
      <c r="J6" s="66">
        <f>575.6+12.9+30.3+17.7+28.9+16.1+174.4+7.1</f>
        <v>863</v>
      </c>
      <c r="K6" s="66">
        <f>576+13+15.7+25.2+37.4+20.8+172.3</f>
        <v>860.40000000000009</v>
      </c>
      <c r="L6" s="66">
        <f>628.5+13.3+17.5+32.1+43.5+22.4+176.4</f>
        <v>933.69999999999993</v>
      </c>
      <c r="M6" s="66">
        <f>636.4+12.8+19.3+33.9+49+26.9+193.2</f>
        <v>971.49999999999977</v>
      </c>
      <c r="N6" s="66">
        <f>633+14.5+19.8+37.7+50.9+30.4+204.4</f>
        <v>990.69999999999993</v>
      </c>
      <c r="O6" s="68">
        <f>652.4+15.3+20.4+37+51.5+24.6+200.9</f>
        <v>1002.0999999999999</v>
      </c>
      <c r="P6" s="66">
        <f>49.3+12+4.1+3.9+7.1+38.2</f>
        <v>114.6</v>
      </c>
      <c r="Q6" s="66">
        <f>42.6+31.2+0.4+6.1+5.3+6.8+2.6+6.3+4.2+7.6</f>
        <v>113.09999999999998</v>
      </c>
      <c r="R6" s="66">
        <f>68.7+0.4+6.7+4.2+6.1+2.4+5.1+3.9+7</f>
        <v>104.50000000000001</v>
      </c>
      <c r="S6" s="66">
        <f>40.1+34.2+0.4+8.3+4.5+7.6+2.6+2.6+5.7+4.4+6.9</f>
        <v>117.30000000000001</v>
      </c>
      <c r="T6" s="66">
        <f>39.3+35.6+0.4+8.1+4.2+7.8+2.6+4.7+4+6.2</f>
        <v>112.9</v>
      </c>
      <c r="U6" s="66">
        <f>43.8+37.1+0.4+8.1+3.9+7.9+2.9+5+4.5+7.8</f>
        <v>121.40000000000002</v>
      </c>
      <c r="V6" s="68">
        <f>45+39.7+0.5+9.7+4.9+8.7+2.8+5.5+5.4+7.7</f>
        <v>129.9</v>
      </c>
      <c r="W6" s="66">
        <v>0</v>
      </c>
      <c r="X6" s="66">
        <v>0</v>
      </c>
      <c r="Y6" s="66">
        <v>0</v>
      </c>
      <c r="Z6" s="66">
        <v>0</v>
      </c>
      <c r="AA6" s="66">
        <v>0</v>
      </c>
      <c r="AB6" s="66">
        <v>0</v>
      </c>
      <c r="AC6" s="68">
        <v>0</v>
      </c>
      <c r="AD6" s="66">
        <v>0.3</v>
      </c>
      <c r="AE6" s="66">
        <v>0.7</v>
      </c>
      <c r="AF6" s="66">
        <v>0.2</v>
      </c>
      <c r="AG6" s="66">
        <v>0.8</v>
      </c>
      <c r="AH6" s="66">
        <v>-1.3</v>
      </c>
      <c r="AI6" s="66">
        <v>-1.8</v>
      </c>
      <c r="AJ6" s="68">
        <v>-0.9</v>
      </c>
      <c r="AK6" s="69">
        <v>0</v>
      </c>
      <c r="AL6" s="69">
        <v>46</v>
      </c>
      <c r="AM6" s="69">
        <v>88.1</v>
      </c>
      <c r="AN6" s="69">
        <v>26.2</v>
      </c>
      <c r="AO6" s="69">
        <v>9.1999999999999993</v>
      </c>
      <c r="AP6" s="69">
        <v>0.2</v>
      </c>
      <c r="AQ6" s="69">
        <v>0</v>
      </c>
      <c r="AR6" s="69">
        <f>+AD6+W6+P6+I6</f>
        <v>1007.4000000000001</v>
      </c>
      <c r="AS6" s="69">
        <f t="shared" ref="AS6:AX6" si="0">+AE6+X6+Q6+J6</f>
        <v>976.8</v>
      </c>
      <c r="AT6" s="69">
        <f t="shared" si="0"/>
        <v>965.10000000000014</v>
      </c>
      <c r="AU6" s="69">
        <f t="shared" si="0"/>
        <v>1051.8</v>
      </c>
      <c r="AV6" s="69">
        <f t="shared" si="0"/>
        <v>1083.0999999999997</v>
      </c>
      <c r="AW6" s="69">
        <f t="shared" si="0"/>
        <v>1110.3</v>
      </c>
      <c r="AX6" s="69">
        <f t="shared" si="0"/>
        <v>1131.0999999999999</v>
      </c>
      <c r="AY6" s="69">
        <f>+AR6-AK6-B6</f>
        <v>742.90000000000009</v>
      </c>
      <c r="AZ6" s="69">
        <f t="shared" ref="AZ6:BE6" si="1">+AS6-AL6-C6</f>
        <v>730.09999999999991</v>
      </c>
      <c r="BA6" s="69">
        <f t="shared" si="1"/>
        <v>699.90000000000009</v>
      </c>
      <c r="BB6" s="69">
        <f t="shared" si="1"/>
        <v>779.3</v>
      </c>
      <c r="BC6" s="69">
        <f t="shared" si="1"/>
        <v>814.39999999999964</v>
      </c>
      <c r="BD6" s="69">
        <f t="shared" si="1"/>
        <v>840.5</v>
      </c>
      <c r="BE6" s="69">
        <f t="shared" si="1"/>
        <v>863.19999999999993</v>
      </c>
      <c r="BF6" s="70">
        <f>+P6/AR6</f>
        <v>0.11375818939845145</v>
      </c>
      <c r="BG6" s="71">
        <f t="shared" ref="BG6:BL6" si="2">+Q6/AS6</f>
        <v>0.11578624078624077</v>
      </c>
      <c r="BH6" s="71">
        <f t="shared" si="2"/>
        <v>0.10827893482540669</v>
      </c>
      <c r="BI6" s="71">
        <f t="shared" si="2"/>
        <v>0.11152310325156875</v>
      </c>
      <c r="BJ6" s="71">
        <f t="shared" si="2"/>
        <v>0.10423783584156592</v>
      </c>
      <c r="BK6" s="71">
        <f t="shared" si="2"/>
        <v>0.10933981806718907</v>
      </c>
      <c r="BL6" s="72">
        <f t="shared" si="2"/>
        <v>0.11484395720979579</v>
      </c>
      <c r="BM6" s="18"/>
      <c r="BN6" s="18"/>
      <c r="BO6" s="18"/>
      <c r="BP6" s="18"/>
      <c r="BQ6" s="18"/>
      <c r="BR6" s="18"/>
      <c r="BS6" s="19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7"/>
    </row>
    <row r="7" spans="1:92" ht="16.5" thickTop="1"/>
  </sheetData>
  <mergeCells count="13">
    <mergeCell ref="BT4:BZ4"/>
    <mergeCell ref="CA4:CG4"/>
    <mergeCell ref="CH4:CN4"/>
    <mergeCell ref="AK4:AQ4"/>
    <mergeCell ref="AR4:AX4"/>
    <mergeCell ref="AY4:BE4"/>
    <mergeCell ref="BF4:BL4"/>
    <mergeCell ref="BM4:BS4"/>
    <mergeCell ref="B4:H4"/>
    <mergeCell ref="I4:O4"/>
    <mergeCell ref="P4:V4"/>
    <mergeCell ref="W4:AC4"/>
    <mergeCell ref="AD4:AJ4"/>
  </mergeCells>
  <pageMargins left="0.7" right="0.7" top="0.75" bottom="0.75" header="0.3" footer="0.3"/>
  <pageSetup paperSize="8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F00D1-F071-4992-A943-D2F18DA6683C}">
  <dimension ref="A1:M43"/>
  <sheetViews>
    <sheetView topLeftCell="A20" workbookViewId="0">
      <selection activeCell="L40" sqref="L40"/>
    </sheetView>
  </sheetViews>
  <sheetFormatPr defaultRowHeight="14.25"/>
  <cols>
    <col min="13" max="13" width="14.625" customWidth="1"/>
  </cols>
  <sheetData>
    <row r="1" spans="1:11">
      <c r="A1" s="55" t="s">
        <v>57</v>
      </c>
      <c r="B1" s="54" t="s">
        <v>58</v>
      </c>
      <c r="C1" s="55" t="s">
        <v>58</v>
      </c>
      <c r="D1" s="55"/>
      <c r="E1" s="55"/>
      <c r="F1" s="55" t="s">
        <v>59</v>
      </c>
      <c r="G1" s="55"/>
      <c r="H1" s="55"/>
      <c r="I1" s="55"/>
      <c r="J1" s="55"/>
      <c r="K1" s="55"/>
    </row>
    <row r="2" spans="1:11">
      <c r="B2" s="55"/>
      <c r="C2" s="55"/>
      <c r="D2" s="54" t="s">
        <v>60</v>
      </c>
      <c r="E2" s="55"/>
      <c r="F2" s="55"/>
      <c r="G2" s="55"/>
      <c r="H2" s="55"/>
      <c r="I2" s="54" t="s">
        <v>60</v>
      </c>
      <c r="K2" s="55"/>
    </row>
    <row r="3" spans="1:11">
      <c r="B3" s="55" t="s">
        <v>61</v>
      </c>
      <c r="C3" s="55" t="s">
        <v>62</v>
      </c>
      <c r="D3" s="55" t="s">
        <v>63</v>
      </c>
      <c r="E3" s="55" t="s">
        <v>64</v>
      </c>
      <c r="F3" s="55"/>
      <c r="G3" s="55" t="s">
        <v>65</v>
      </c>
      <c r="H3" s="55" t="s">
        <v>66</v>
      </c>
      <c r="I3" s="55" t="s">
        <v>67</v>
      </c>
      <c r="J3" s="55" t="s">
        <v>68</v>
      </c>
      <c r="K3" s="55" t="s">
        <v>69</v>
      </c>
    </row>
    <row r="4" spans="1:11">
      <c r="A4" t="s">
        <v>70</v>
      </c>
      <c r="B4" s="56">
        <v>3.1</v>
      </c>
      <c r="C4" s="57"/>
      <c r="D4" s="57"/>
      <c r="E4" s="57"/>
      <c r="F4" t="s">
        <v>70</v>
      </c>
      <c r="G4" s="56">
        <v>2.9</v>
      </c>
      <c r="H4" s="57"/>
      <c r="I4" s="57"/>
      <c r="J4" s="57"/>
      <c r="K4" s="57"/>
    </row>
    <row r="5" spans="1:11">
      <c r="A5" t="s">
        <v>71</v>
      </c>
      <c r="B5" s="56">
        <v>2.7</v>
      </c>
      <c r="C5" s="57"/>
      <c r="D5" s="57"/>
      <c r="E5" s="57"/>
      <c r="F5" t="s">
        <v>71</v>
      </c>
      <c r="G5" s="56">
        <v>2.6</v>
      </c>
      <c r="H5" s="57"/>
      <c r="I5" s="57"/>
      <c r="J5" s="57"/>
      <c r="K5" s="57"/>
    </row>
    <row r="6" spans="1:11">
      <c r="A6" t="s">
        <v>72</v>
      </c>
      <c r="B6" s="56">
        <v>2.8</v>
      </c>
      <c r="C6" s="57"/>
      <c r="D6" s="57"/>
      <c r="E6" s="57"/>
      <c r="F6" t="s">
        <v>72</v>
      </c>
      <c r="G6" s="56">
        <v>2.5</v>
      </c>
      <c r="H6" s="57"/>
      <c r="I6" s="57"/>
      <c r="J6" s="57"/>
      <c r="K6" s="57"/>
    </row>
    <row r="7" spans="1:11">
      <c r="A7" t="s">
        <v>73</v>
      </c>
      <c r="B7" s="56">
        <v>2</v>
      </c>
      <c r="C7" s="57"/>
      <c r="D7" s="57"/>
      <c r="E7" s="57"/>
      <c r="F7" t="s">
        <v>73</v>
      </c>
      <c r="G7" s="56">
        <v>1.7</v>
      </c>
      <c r="H7" s="57"/>
      <c r="I7" s="57"/>
      <c r="J7" s="57"/>
      <c r="K7" s="57"/>
    </row>
    <row r="8" spans="1:11">
      <c r="A8" t="s">
        <v>74</v>
      </c>
      <c r="B8" s="56">
        <v>2.2999999999999998</v>
      </c>
      <c r="C8" s="57"/>
      <c r="D8" s="57"/>
      <c r="E8" s="57"/>
      <c r="F8" t="s">
        <v>74</v>
      </c>
      <c r="G8" s="56">
        <v>1.8</v>
      </c>
      <c r="H8" s="57"/>
      <c r="I8" s="57"/>
      <c r="J8" s="57"/>
      <c r="K8" s="57"/>
    </row>
    <row r="9" spans="1:11">
      <c r="A9" t="s">
        <v>75</v>
      </c>
      <c r="B9" s="56">
        <v>2</v>
      </c>
      <c r="C9" s="57"/>
      <c r="D9" s="57"/>
      <c r="E9" s="57"/>
      <c r="F9" t="s">
        <v>75</v>
      </c>
      <c r="G9" s="56">
        <v>1.4</v>
      </c>
      <c r="H9" s="57"/>
      <c r="I9" s="57"/>
      <c r="J9" s="57"/>
      <c r="K9" s="57"/>
    </row>
    <row r="10" spans="1:11">
      <c r="A10" t="s">
        <v>76</v>
      </c>
      <c r="B10" s="56">
        <v>2.9</v>
      </c>
      <c r="C10" s="57"/>
      <c r="D10" s="57"/>
      <c r="E10" s="57"/>
      <c r="F10" t="s">
        <v>76</v>
      </c>
      <c r="G10" s="56">
        <v>2.2000000000000002</v>
      </c>
      <c r="H10" s="57"/>
      <c r="I10" s="57"/>
      <c r="J10" s="57"/>
      <c r="K10" s="57"/>
    </row>
    <row r="11" spans="1:11">
      <c r="A11" t="s">
        <v>77</v>
      </c>
      <c r="B11" s="56">
        <v>2.7</v>
      </c>
      <c r="C11" s="57"/>
      <c r="D11" s="57"/>
      <c r="E11" s="57"/>
      <c r="F11" t="s">
        <v>77</v>
      </c>
      <c r="G11" s="56">
        <v>2.2000000000000002</v>
      </c>
      <c r="H11" s="57"/>
      <c r="I11" s="57"/>
      <c r="J11" s="57"/>
      <c r="K11" s="57"/>
    </row>
    <row r="12" spans="1:11">
      <c r="A12" t="s">
        <v>78</v>
      </c>
      <c r="B12" s="56">
        <v>3.1</v>
      </c>
      <c r="C12" s="56">
        <v>3.2</v>
      </c>
      <c r="D12" s="57"/>
      <c r="E12" s="57"/>
      <c r="F12" t="s">
        <v>78</v>
      </c>
      <c r="G12" s="56">
        <v>2.5</v>
      </c>
      <c r="H12" s="56">
        <v>3</v>
      </c>
      <c r="I12" s="57"/>
      <c r="J12" s="57"/>
      <c r="K12" s="57"/>
    </row>
    <row r="13" spans="1:11">
      <c r="A13" t="s">
        <v>79</v>
      </c>
      <c r="B13" s="56">
        <v>2.9</v>
      </c>
      <c r="C13" s="56">
        <v>3</v>
      </c>
      <c r="D13" s="57"/>
      <c r="E13" s="57"/>
      <c r="F13" t="s">
        <v>79</v>
      </c>
      <c r="G13" s="56">
        <v>2.2999999999999998</v>
      </c>
      <c r="H13" s="56">
        <v>2.9</v>
      </c>
      <c r="I13" s="57"/>
      <c r="J13" s="57"/>
      <c r="K13" s="57"/>
    </row>
    <row r="14" spans="1:11">
      <c r="A14" t="s">
        <v>80</v>
      </c>
      <c r="B14" s="56">
        <v>3.2</v>
      </c>
      <c r="C14" s="56">
        <v>3.2</v>
      </c>
      <c r="D14" s="57"/>
      <c r="E14" s="57"/>
      <c r="F14" t="s">
        <v>80</v>
      </c>
      <c r="G14" s="56">
        <v>2.8</v>
      </c>
      <c r="H14" s="56">
        <v>3</v>
      </c>
      <c r="I14" s="57"/>
      <c r="J14" s="57"/>
      <c r="K14" s="57"/>
    </row>
    <row r="15" spans="1:11">
      <c r="A15" t="s">
        <v>81</v>
      </c>
      <c r="B15" s="56">
        <v>3.5</v>
      </c>
      <c r="C15" s="58">
        <v>3.6</v>
      </c>
      <c r="D15" s="59"/>
      <c r="E15" s="59"/>
      <c r="F15" t="s">
        <v>81</v>
      </c>
      <c r="G15" s="56">
        <v>3</v>
      </c>
      <c r="H15" s="58">
        <v>3.3</v>
      </c>
      <c r="I15" s="59"/>
      <c r="J15" s="59"/>
      <c r="K15" s="59"/>
    </row>
    <row r="16" spans="1:11">
      <c r="A16" t="s">
        <v>82</v>
      </c>
      <c r="B16" s="56">
        <v>2.6</v>
      </c>
      <c r="C16" s="58">
        <v>2.6</v>
      </c>
      <c r="D16" s="59"/>
      <c r="E16" s="59"/>
      <c r="F16" t="s">
        <v>82</v>
      </c>
      <c r="G16" s="56">
        <v>2.4</v>
      </c>
      <c r="H16" s="58">
        <v>2.5</v>
      </c>
      <c r="I16" s="59"/>
      <c r="J16" s="59"/>
      <c r="K16" s="59"/>
    </row>
    <row r="17" spans="1:13">
      <c r="A17" t="s">
        <v>83</v>
      </c>
      <c r="B17" s="56">
        <v>3.5</v>
      </c>
      <c r="C17" s="58">
        <v>3.5</v>
      </c>
      <c r="D17" s="59"/>
      <c r="E17" s="59"/>
      <c r="F17" t="s">
        <v>83</v>
      </c>
      <c r="G17" s="56">
        <v>2.4</v>
      </c>
      <c r="H17" s="58">
        <v>3.1</v>
      </c>
      <c r="I17" s="59"/>
      <c r="J17" s="59"/>
      <c r="K17" s="59"/>
    </row>
    <row r="18" spans="1:13">
      <c r="A18" t="s">
        <v>84</v>
      </c>
      <c r="B18" s="56">
        <v>3.3</v>
      </c>
      <c r="C18" s="58">
        <v>3.3</v>
      </c>
      <c r="D18" s="59"/>
      <c r="E18" s="59"/>
      <c r="F18" t="s">
        <v>84</v>
      </c>
      <c r="G18" s="56">
        <v>2.5</v>
      </c>
      <c r="H18" s="56">
        <v>3</v>
      </c>
      <c r="I18" s="57"/>
      <c r="J18" s="57"/>
      <c r="K18" s="57"/>
    </row>
    <row r="19" spans="1:13">
      <c r="A19" t="s">
        <v>85</v>
      </c>
      <c r="B19" s="58">
        <v>2.6</v>
      </c>
      <c r="C19" s="58">
        <v>2.7</v>
      </c>
      <c r="D19" s="59"/>
      <c r="E19" s="59"/>
      <c r="F19" t="s">
        <v>85</v>
      </c>
      <c r="G19" s="58">
        <v>2.1</v>
      </c>
      <c r="H19" s="58">
        <v>2.4</v>
      </c>
      <c r="I19" s="59"/>
      <c r="J19" s="59"/>
      <c r="K19" s="59"/>
    </row>
    <row r="20" spans="1:13">
      <c r="A20" t="s">
        <v>86</v>
      </c>
      <c r="B20" s="58">
        <v>3.6</v>
      </c>
      <c r="C20" s="56">
        <v>3.8</v>
      </c>
      <c r="D20" s="57"/>
      <c r="E20" s="57"/>
      <c r="F20" t="s">
        <v>86</v>
      </c>
      <c r="G20" s="58">
        <v>2.9</v>
      </c>
      <c r="H20" s="56">
        <v>3.3</v>
      </c>
      <c r="I20" s="57"/>
      <c r="J20" s="57"/>
      <c r="K20" s="57"/>
    </row>
    <row r="21" spans="1:13">
      <c r="A21" t="s">
        <v>87</v>
      </c>
      <c r="B21" s="56">
        <v>3.2</v>
      </c>
      <c r="C21" s="56">
        <v>3.4</v>
      </c>
      <c r="D21" s="57"/>
      <c r="E21" s="57"/>
      <c r="F21" t="s">
        <v>88</v>
      </c>
      <c r="G21" s="56">
        <v>2.2000000000000002</v>
      </c>
      <c r="H21" s="58">
        <v>2.7</v>
      </c>
      <c r="I21" s="59"/>
      <c r="J21" s="59"/>
      <c r="K21" s="59"/>
    </row>
    <row r="22" spans="1:13">
      <c r="A22" t="s">
        <v>89</v>
      </c>
      <c r="B22" s="58">
        <v>3.7</v>
      </c>
      <c r="C22" s="58">
        <v>3.8</v>
      </c>
      <c r="D22" s="59"/>
      <c r="E22" s="59"/>
      <c r="F22" t="s">
        <v>89</v>
      </c>
      <c r="G22" s="58">
        <v>2.4</v>
      </c>
      <c r="H22" s="58">
        <v>3.4</v>
      </c>
      <c r="I22" s="59"/>
      <c r="J22" s="59"/>
      <c r="K22" s="59"/>
    </row>
    <row r="23" spans="1:13">
      <c r="A23" t="s">
        <v>90</v>
      </c>
      <c r="B23" s="56">
        <v>3.9</v>
      </c>
      <c r="C23" s="56">
        <v>4</v>
      </c>
      <c r="D23" s="59"/>
      <c r="E23" s="59"/>
      <c r="F23" t="s">
        <v>90</v>
      </c>
      <c r="G23" s="58">
        <v>2.6</v>
      </c>
      <c r="H23" s="59"/>
      <c r="I23" s="58">
        <v>3.3</v>
      </c>
      <c r="J23" s="56">
        <v>2.2999999999999998</v>
      </c>
      <c r="K23" s="57"/>
    </row>
    <row r="24" spans="1:13">
      <c r="A24" s="54" t="s">
        <v>91</v>
      </c>
      <c r="B24" s="56">
        <v>2.9</v>
      </c>
      <c r="C24" s="59"/>
      <c r="D24" s="56">
        <v>2.8</v>
      </c>
      <c r="E24" s="58">
        <v>1.7</v>
      </c>
      <c r="F24" s="54" t="s">
        <v>91</v>
      </c>
      <c r="G24" s="56">
        <v>2.2000000000000002</v>
      </c>
      <c r="H24" s="60"/>
      <c r="I24" s="58">
        <v>2.5</v>
      </c>
      <c r="J24" s="58">
        <v>3.5</v>
      </c>
      <c r="K24" s="56">
        <v>1</v>
      </c>
    </row>
    <row r="25" spans="1:13">
      <c r="A25" s="54" t="s">
        <v>92</v>
      </c>
      <c r="B25" s="56">
        <v>1.3</v>
      </c>
      <c r="C25" s="59"/>
      <c r="D25" s="58">
        <v>1.1000000000000001</v>
      </c>
      <c r="E25" s="58">
        <v>2.9</v>
      </c>
      <c r="F25" s="54" t="s">
        <v>92</v>
      </c>
      <c r="G25" s="58">
        <v>0.2</v>
      </c>
      <c r="H25" s="60"/>
      <c r="I25" s="58">
        <v>0.6</v>
      </c>
      <c r="J25" s="58">
        <v>2.5</v>
      </c>
      <c r="K25" s="58">
        <v>1.8</v>
      </c>
    </row>
    <row r="26" spans="1:13">
      <c r="A26" s="54" t="s">
        <v>93</v>
      </c>
      <c r="B26" s="56">
        <v>2.4</v>
      </c>
      <c r="C26" s="59"/>
      <c r="D26" s="58">
        <v>2.2999999999999998</v>
      </c>
      <c r="E26" s="56">
        <v>2.2999999999999998</v>
      </c>
      <c r="F26" s="54" t="s">
        <v>93</v>
      </c>
      <c r="G26" s="58">
        <v>1.1000000000000001</v>
      </c>
      <c r="H26" s="60"/>
      <c r="I26" s="56">
        <v>1.4</v>
      </c>
      <c r="J26" s="58">
        <v>2.4</v>
      </c>
      <c r="K26" s="58">
        <v>2.5</v>
      </c>
    </row>
    <row r="27" spans="1:13">
      <c r="A27" s="54" t="s">
        <v>94</v>
      </c>
      <c r="B27" s="56">
        <v>1</v>
      </c>
      <c r="C27" s="59"/>
      <c r="D27" s="58">
        <v>0.9</v>
      </c>
      <c r="E27" s="56">
        <v>1.6</v>
      </c>
      <c r="F27" s="54" t="s">
        <v>94</v>
      </c>
      <c r="G27" s="58">
        <v>0.2</v>
      </c>
      <c r="H27" s="60"/>
      <c r="I27" s="56">
        <v>0.6</v>
      </c>
      <c r="J27" s="58">
        <v>0.8</v>
      </c>
      <c r="K27" s="58">
        <v>1.1000000000000001</v>
      </c>
    </row>
    <row r="28" spans="1:13">
      <c r="A28" s="54" t="s">
        <v>95</v>
      </c>
      <c r="B28" s="56">
        <v>1.4</v>
      </c>
      <c r="C28" s="59"/>
      <c r="D28" s="58">
        <v>1.3</v>
      </c>
      <c r="E28" s="56">
        <v>1.6</v>
      </c>
      <c r="F28" s="54" t="s">
        <v>95</v>
      </c>
      <c r="G28" s="58">
        <v>1.1000000000000001</v>
      </c>
      <c r="H28" s="60"/>
      <c r="I28" s="56">
        <v>1.1000000000000001</v>
      </c>
      <c r="J28" s="58">
        <v>0.9</v>
      </c>
      <c r="K28" s="58">
        <v>1.5</v>
      </c>
    </row>
    <row r="29" spans="1:13">
      <c r="A29" s="54" t="s">
        <v>96</v>
      </c>
      <c r="B29" s="56">
        <v>1.4</v>
      </c>
      <c r="C29" s="59"/>
      <c r="D29" s="58">
        <v>1.3</v>
      </c>
      <c r="E29" s="56">
        <v>1.9</v>
      </c>
      <c r="F29" s="54" t="s">
        <v>96</v>
      </c>
      <c r="G29" s="56">
        <v>1</v>
      </c>
      <c r="H29" s="60"/>
      <c r="I29" s="56">
        <v>1.1000000000000001</v>
      </c>
      <c r="J29" s="56">
        <v>0.5</v>
      </c>
      <c r="K29" s="58">
        <v>1.9</v>
      </c>
    </row>
    <row r="30" spans="1:13">
      <c r="A30" s="54" t="s">
        <v>97</v>
      </c>
      <c r="B30" s="56">
        <v>1.4</v>
      </c>
      <c r="C30" s="59"/>
      <c r="D30" s="58">
        <v>1.5</v>
      </c>
      <c r="E30" s="56">
        <v>1.4</v>
      </c>
      <c r="F30" s="54" t="s">
        <v>97</v>
      </c>
      <c r="G30" s="56">
        <v>0.9</v>
      </c>
      <c r="H30" s="60"/>
      <c r="I30" s="56">
        <v>1</v>
      </c>
      <c r="J30" s="58">
        <v>0.8</v>
      </c>
      <c r="K30" s="58">
        <v>1.4</v>
      </c>
    </row>
    <row r="31" spans="1:13">
      <c r="A31" s="54" t="s">
        <v>98</v>
      </c>
      <c r="B31" s="56">
        <v>1.9</v>
      </c>
      <c r="C31" s="59"/>
      <c r="D31" s="56">
        <v>2</v>
      </c>
      <c r="E31" s="56">
        <v>1.1000000000000001</v>
      </c>
      <c r="F31" s="54" t="s">
        <v>98</v>
      </c>
      <c r="G31" s="58">
        <v>1.4</v>
      </c>
      <c r="H31" s="60"/>
      <c r="I31" s="56">
        <v>1.7</v>
      </c>
      <c r="J31" s="58">
        <v>2.2000000000000002</v>
      </c>
      <c r="K31" s="58">
        <v>1.2</v>
      </c>
    </row>
    <row r="32" spans="1:13">
      <c r="A32" s="54" t="s">
        <v>99</v>
      </c>
      <c r="B32" s="56">
        <v>1.3</v>
      </c>
      <c r="C32" s="59"/>
      <c r="D32" s="56">
        <v>1.3</v>
      </c>
      <c r="E32" s="56">
        <v>1.6356232952734586</v>
      </c>
      <c r="F32" s="54" t="s">
        <v>99</v>
      </c>
      <c r="G32" s="58">
        <v>1.1000000000000001</v>
      </c>
      <c r="H32" s="60"/>
      <c r="I32" s="56">
        <v>1.2</v>
      </c>
      <c r="J32" s="58">
        <v>2.2000000000000002</v>
      </c>
      <c r="K32" s="58">
        <v>1.5</v>
      </c>
      <c r="M32" t="s">
        <v>100</v>
      </c>
    </row>
    <row r="33" spans="1:13">
      <c r="A33" s="54" t="s">
        <v>101</v>
      </c>
      <c r="B33" s="56">
        <v>1.5</v>
      </c>
      <c r="C33" s="59"/>
      <c r="D33" s="56">
        <v>1.6</v>
      </c>
      <c r="E33" s="56">
        <v>1</v>
      </c>
      <c r="F33" s="54" t="s">
        <v>101</v>
      </c>
      <c r="G33" s="58">
        <v>1.3</v>
      </c>
      <c r="H33" s="60"/>
      <c r="I33" s="56">
        <v>1.2</v>
      </c>
      <c r="J33" s="58">
        <v>1.6</v>
      </c>
      <c r="K33" s="56">
        <v>1</v>
      </c>
      <c r="L33">
        <v>2019</v>
      </c>
      <c r="M33" s="62">
        <v>1</v>
      </c>
    </row>
    <row r="34" spans="1:13">
      <c r="A34" s="54" t="s">
        <v>102</v>
      </c>
      <c r="B34" s="56">
        <v>1.9</v>
      </c>
      <c r="C34" s="59"/>
      <c r="D34" s="56">
        <v>2.1</v>
      </c>
      <c r="E34" s="56">
        <v>1.1000000000000001</v>
      </c>
      <c r="F34" s="54" t="s">
        <v>102</v>
      </c>
      <c r="G34" s="61">
        <v>1.6</v>
      </c>
      <c r="H34" s="60"/>
      <c r="I34" s="56">
        <v>1.8</v>
      </c>
      <c r="J34" s="58">
        <v>0.5</v>
      </c>
      <c r="K34" s="56">
        <v>0.7</v>
      </c>
      <c r="L34">
        <v>2020</v>
      </c>
      <c r="M34" s="62">
        <f t="shared" ref="M34:M39" si="0">+M33*(1+D34/100)</f>
        <v>1.0209999999999999</v>
      </c>
    </row>
    <row r="35" spans="1:13">
      <c r="A35" s="54" t="s">
        <v>103</v>
      </c>
      <c r="B35" s="56">
        <v>1.7</v>
      </c>
      <c r="C35" s="59"/>
      <c r="D35" s="56">
        <v>1.7</v>
      </c>
      <c r="E35" s="56">
        <v>3.4</v>
      </c>
      <c r="F35" s="54" t="s">
        <v>103</v>
      </c>
      <c r="G35" s="61">
        <v>1.2</v>
      </c>
      <c r="H35" s="60"/>
      <c r="I35" s="61">
        <v>1.4</v>
      </c>
      <c r="J35" s="58">
        <v>3.9</v>
      </c>
      <c r="K35" s="56">
        <v>3</v>
      </c>
      <c r="L35">
        <v>2021</v>
      </c>
      <c r="M35" s="62">
        <f t="shared" si="0"/>
        <v>1.0383569999999998</v>
      </c>
    </row>
    <row r="36" spans="1:13">
      <c r="A36" s="54" t="s">
        <v>104</v>
      </c>
      <c r="B36" s="56">
        <v>3.1</v>
      </c>
      <c r="C36" s="59"/>
      <c r="D36" s="56">
        <v>3.7</v>
      </c>
      <c r="E36" s="56">
        <v>8.1</v>
      </c>
      <c r="F36" s="54" t="s">
        <v>104</v>
      </c>
      <c r="G36" s="61">
        <v>3.7</v>
      </c>
      <c r="H36" s="60"/>
      <c r="I36" s="61">
        <v>3.3</v>
      </c>
      <c r="J36" s="58">
        <v>6.6</v>
      </c>
      <c r="K36" s="56">
        <v>8.6</v>
      </c>
      <c r="L36">
        <v>2022</v>
      </c>
      <c r="M36" s="62">
        <f t="shared" si="0"/>
        <v>1.0767762089999997</v>
      </c>
    </row>
    <row r="37" spans="1:13">
      <c r="A37" s="54" t="s">
        <v>105</v>
      </c>
      <c r="B37" s="56">
        <v>2.7</v>
      </c>
      <c r="C37" s="59"/>
      <c r="D37" s="56">
        <v>2.8</v>
      </c>
      <c r="E37" s="56">
        <v>4.0999999999999996</v>
      </c>
      <c r="F37" s="54" t="s">
        <v>105</v>
      </c>
      <c r="G37" s="61">
        <v>3.1</v>
      </c>
      <c r="H37" s="60"/>
      <c r="I37" s="61">
        <v>2.5</v>
      </c>
      <c r="J37" s="58">
        <v>2.9</v>
      </c>
      <c r="K37" s="56">
        <v>4.3</v>
      </c>
      <c r="L37">
        <v>2023</v>
      </c>
      <c r="M37" s="62">
        <f t="shared" si="0"/>
        <v>1.1069259428519997</v>
      </c>
    </row>
    <row r="38" spans="1:13">
      <c r="A38" s="54" t="s">
        <v>106</v>
      </c>
      <c r="B38" s="56">
        <v>4.0999999999999996</v>
      </c>
      <c r="C38" s="59"/>
      <c r="D38" s="56">
        <v>4.5</v>
      </c>
      <c r="E38" s="56">
        <v>3.2</v>
      </c>
      <c r="F38" s="54" t="s">
        <v>107</v>
      </c>
      <c r="G38" s="61">
        <v>3.5</v>
      </c>
      <c r="H38" s="60"/>
      <c r="I38" s="61">
        <v>3.9</v>
      </c>
      <c r="J38" s="58">
        <v>3.7</v>
      </c>
      <c r="K38" s="56">
        <v>3.2</v>
      </c>
      <c r="L38">
        <v>2024</v>
      </c>
      <c r="M38" s="62">
        <f t="shared" si="0"/>
        <v>1.1567376102803397</v>
      </c>
    </row>
    <row r="39" spans="1:13">
      <c r="A39" s="54" t="s">
        <v>108</v>
      </c>
      <c r="B39" s="56">
        <v>3.7</v>
      </c>
      <c r="C39" s="59"/>
      <c r="D39" s="56">
        <v>3.9</v>
      </c>
      <c r="E39" s="56">
        <v>2.5</v>
      </c>
      <c r="F39" s="54" t="s">
        <v>109</v>
      </c>
      <c r="G39" s="61">
        <v>3.5</v>
      </c>
      <c r="H39" s="60"/>
      <c r="I39" s="61">
        <v>3.8</v>
      </c>
      <c r="J39" s="58">
        <v>3.1</v>
      </c>
      <c r="K39" s="56">
        <v>2.6</v>
      </c>
      <c r="L39">
        <v>2025</v>
      </c>
      <c r="M39" s="62">
        <f t="shared" si="0"/>
        <v>1.201850377081273</v>
      </c>
    </row>
    <row r="40" spans="1:13">
      <c r="A40" s="54"/>
      <c r="B40" s="56"/>
      <c r="C40" s="56"/>
      <c r="D40" s="58"/>
      <c r="E40" s="56"/>
      <c r="F40" s="54"/>
      <c r="L40" t="s">
        <v>110</v>
      </c>
    </row>
    <row r="41" spans="1:13">
      <c r="A41" s="54" t="s">
        <v>111</v>
      </c>
      <c r="F41" s="54" t="s">
        <v>112</v>
      </c>
    </row>
    <row r="42" spans="1:13">
      <c r="A42" s="54" t="s">
        <v>113</v>
      </c>
    </row>
    <row r="43" spans="1:13">
      <c r="A4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Trafikselskabet Movia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Lone Rasmussen</dc:creator>
  <cp:keywords/>
  <dc:description/>
  <cp:lastModifiedBy>Clara Roslev</cp:lastModifiedBy>
  <cp:revision/>
  <dcterms:created xsi:type="dcterms:W3CDTF">2024-01-12T12:38:59Z</dcterms:created>
  <dcterms:modified xsi:type="dcterms:W3CDTF">2025-08-05T08:33:55Z</dcterms:modified>
  <cp:category/>
  <cp:contentStatus/>
</cp:coreProperties>
</file>