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CRO\Desktop\"/>
    </mc:Choice>
  </mc:AlternateContent>
  <xr:revisionPtr revIDLastSave="0" documentId="8_{658EB541-F8B0-4A65-B7F3-1396202C2206}" xr6:coauthVersionLast="47" xr6:coauthVersionMax="47" xr10:uidLastSave="{00000000-0000-0000-0000-000000000000}"/>
  <bookViews>
    <workbookView xWindow="-110" yWindow="-110" windowWidth="19420" windowHeight="1030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_xlnm._FilterDatabase" localSheetId="1" hidden="1">'Omkostningsindeks og vægte'!$F$19:$U$445</definedName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vægte'!$A$1:$W$518</definedName>
    <definedName name="_xlnm.Print_Area" localSheetId="0">'Prognose og aktuelt indeks'!$A$1:$N$90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L445" i="3"/>
  <c r="K445" i="3" a="1"/>
  <c r="K445" i="3" s="1"/>
  <c r="J445" i="3"/>
  <c r="L444" i="3"/>
  <c r="K444" i="3" a="1"/>
  <c r="K444" i="3" s="1"/>
  <c r="J444" i="3"/>
  <c r="L443" i="3"/>
  <c r="M443" i="3" s="1"/>
  <c r="K443" i="3" a="1"/>
  <c r="K443" i="3" s="1"/>
  <c r="J443" i="3"/>
  <c r="L442" i="3"/>
  <c r="M442" i="3" s="1"/>
  <c r="K442" i="3" a="1"/>
  <c r="K442" i="3" s="1"/>
  <c r="J442" i="3"/>
  <c r="L441" i="3"/>
  <c r="M441" i="3" s="1"/>
  <c r="K441" i="3" a="1"/>
  <c r="K441" i="3" s="1"/>
  <c r="J441" i="3"/>
  <c r="L440" i="3"/>
  <c r="M440" i="3" s="1"/>
  <c r="K440" i="3" a="1"/>
  <c r="K440" i="3" s="1"/>
  <c r="J440" i="3"/>
  <c r="L439" i="3"/>
  <c r="K439" i="3" a="1"/>
  <c r="K439" i="3" s="1"/>
  <c r="J439" i="3"/>
  <c r="L438" i="3"/>
  <c r="K438" i="3" a="1"/>
  <c r="K438" i="3" s="1"/>
  <c r="J438" i="3"/>
  <c r="L437" i="3"/>
  <c r="M437" i="3" s="1"/>
  <c r="K437" i="3" a="1"/>
  <c r="K437" i="3" s="1"/>
  <c r="J437" i="3"/>
  <c r="L436" i="3"/>
  <c r="M436" i="3" s="1"/>
  <c r="K436" i="3" a="1"/>
  <c r="K436" i="3" s="1"/>
  <c r="J436" i="3"/>
  <c r="L435" i="3"/>
  <c r="M435" i="3" s="1"/>
  <c r="K435" i="3" a="1"/>
  <c r="K435" i="3" s="1"/>
  <c r="J435" i="3"/>
  <c r="L434" i="3"/>
  <c r="K434" i="3" a="1"/>
  <c r="K434" i="3" s="1"/>
  <c r="J434" i="3"/>
  <c r="L433" i="3"/>
  <c r="M433" i="3" s="1"/>
  <c r="K433" i="3" a="1"/>
  <c r="K433" i="3" s="1"/>
  <c r="J433" i="3"/>
  <c r="L432" i="3"/>
  <c r="M432" i="3" s="1"/>
  <c r="K432" i="3" a="1"/>
  <c r="K432" i="3" s="1"/>
  <c r="J432" i="3"/>
  <c r="L431" i="3"/>
  <c r="M431" i="3" s="1"/>
  <c r="K431" i="3" a="1"/>
  <c r="K431" i="3" s="1"/>
  <c r="J431" i="3"/>
  <c r="L430" i="3"/>
  <c r="M430" i="3" s="1"/>
  <c r="K430" i="3" a="1"/>
  <c r="K430" i="3" s="1"/>
  <c r="J430" i="3"/>
  <c r="L429" i="3"/>
  <c r="K429" i="3" a="1"/>
  <c r="K429" i="3" s="1"/>
  <c r="J429" i="3"/>
  <c r="L428" i="3"/>
  <c r="M428" i="3" s="1"/>
  <c r="K428" i="3" a="1"/>
  <c r="K428" i="3" s="1"/>
  <c r="J428" i="3"/>
  <c r="L427" i="3"/>
  <c r="M427" i="3" s="1"/>
  <c r="K427" i="3" a="1"/>
  <c r="K427" i="3" s="1"/>
  <c r="J427" i="3"/>
  <c r="L426" i="3"/>
  <c r="M426" i="3" s="1"/>
  <c r="K426" i="3" a="1"/>
  <c r="K426" i="3" s="1"/>
  <c r="J426" i="3"/>
  <c r="L425" i="3"/>
  <c r="M425" i="3" s="1"/>
  <c r="K425" i="3" a="1"/>
  <c r="K425" i="3" s="1"/>
  <c r="J425" i="3"/>
  <c r="L424" i="3"/>
  <c r="M424" i="3" s="1"/>
  <c r="K424" i="3" a="1"/>
  <c r="K424" i="3" s="1"/>
  <c r="J424" i="3"/>
  <c r="L423" i="3"/>
  <c r="M423" i="3" s="1"/>
  <c r="K423" i="3" a="1"/>
  <c r="K423" i="3" s="1"/>
  <c r="J423" i="3"/>
  <c r="L422" i="3"/>
  <c r="M422" i="3" s="1"/>
  <c r="K422" i="3" a="1"/>
  <c r="K422" i="3" s="1"/>
  <c r="J422" i="3"/>
  <c r="L421" i="3"/>
  <c r="M421" i="3" s="1"/>
  <c r="K421" i="3" a="1"/>
  <c r="K421" i="3" s="1"/>
  <c r="J421" i="3"/>
  <c r="L420" i="3"/>
  <c r="M420" i="3" s="1"/>
  <c r="K420" i="3" a="1"/>
  <c r="K420" i="3" s="1"/>
  <c r="J420" i="3"/>
  <c r="L419" i="3"/>
  <c r="M419" i="3" s="1"/>
  <c r="K419" i="3" a="1"/>
  <c r="K419" i="3" s="1"/>
  <c r="J419" i="3"/>
  <c r="L418" i="3"/>
  <c r="M418" i="3" s="1"/>
  <c r="K418" i="3" a="1"/>
  <c r="K418" i="3" s="1"/>
  <c r="J418" i="3"/>
  <c r="L417" i="3"/>
  <c r="M417" i="3" s="1"/>
  <c r="K417" i="3" a="1"/>
  <c r="K417" i="3" s="1"/>
  <c r="J417" i="3"/>
  <c r="L416" i="3"/>
  <c r="M416" i="3" s="1"/>
  <c r="K416" i="3" a="1"/>
  <c r="K416" i="3" s="1"/>
  <c r="J416" i="3"/>
  <c r="L415" i="3"/>
  <c r="M415" i="3" s="1"/>
  <c r="K415" i="3" a="1"/>
  <c r="K415" i="3" s="1"/>
  <c r="J415" i="3"/>
  <c r="L414" i="3"/>
  <c r="M414" i="3" s="1"/>
  <c r="K414" i="3" a="1"/>
  <c r="K414" i="3" s="1"/>
  <c r="J414" i="3"/>
  <c r="L413" i="3"/>
  <c r="M413" i="3" s="1"/>
  <c r="K413" i="3" a="1"/>
  <c r="K413" i="3" s="1"/>
  <c r="J413" i="3"/>
  <c r="L412" i="3"/>
  <c r="K412" i="3" a="1"/>
  <c r="K412" i="3" s="1"/>
  <c r="J412" i="3"/>
  <c r="L411" i="3"/>
  <c r="M411" i="3" s="1"/>
  <c r="K411" i="3" a="1"/>
  <c r="K411" i="3" s="1"/>
  <c r="J411" i="3"/>
  <c r="L410" i="3"/>
  <c r="M410" i="3" s="1"/>
  <c r="K410" i="3" a="1"/>
  <c r="K410" i="3" s="1"/>
  <c r="J410" i="3"/>
  <c r="L409" i="3"/>
  <c r="M409" i="3" s="1"/>
  <c r="K409" i="3" a="1"/>
  <c r="K409" i="3" s="1"/>
  <c r="J409" i="3"/>
  <c r="L408" i="3"/>
  <c r="M408" i="3" s="1"/>
  <c r="K408" i="3" a="1"/>
  <c r="K408" i="3" s="1"/>
  <c r="J408" i="3"/>
  <c r="L407" i="3"/>
  <c r="K407" i="3" a="1"/>
  <c r="K407" i="3" s="1"/>
  <c r="J407" i="3"/>
  <c r="L406" i="3"/>
  <c r="K406" i="3" a="1"/>
  <c r="K406" i="3" s="1"/>
  <c r="J406" i="3"/>
  <c r="L405" i="3"/>
  <c r="M405" i="3" s="1"/>
  <c r="K405" i="3" a="1"/>
  <c r="K405" i="3" s="1"/>
  <c r="J405" i="3"/>
  <c r="L404" i="3"/>
  <c r="M404" i="3" s="1"/>
  <c r="K404" i="3" a="1"/>
  <c r="K404" i="3" s="1"/>
  <c r="J404" i="3"/>
  <c r="L403" i="3"/>
  <c r="M403" i="3" s="1"/>
  <c r="K403" i="3" a="1"/>
  <c r="K403" i="3" s="1"/>
  <c r="J403" i="3"/>
  <c r="L402" i="3"/>
  <c r="K402" i="3" a="1"/>
  <c r="K402" i="3" s="1"/>
  <c r="J402" i="3"/>
  <c r="L401" i="3"/>
  <c r="M401" i="3" s="1"/>
  <c r="K401" i="3" a="1"/>
  <c r="K401" i="3" s="1"/>
  <c r="J401" i="3"/>
  <c r="L400" i="3"/>
  <c r="M400" i="3" s="1"/>
  <c r="K400" i="3" a="1"/>
  <c r="K400" i="3" s="1"/>
  <c r="J400" i="3"/>
  <c r="L399" i="3"/>
  <c r="M399" i="3" s="1"/>
  <c r="K399" i="3" a="1"/>
  <c r="K399" i="3" s="1"/>
  <c r="J399" i="3"/>
  <c r="L398" i="3"/>
  <c r="M398" i="3" s="1"/>
  <c r="K398" i="3" a="1"/>
  <c r="K398" i="3" s="1"/>
  <c r="J398" i="3"/>
  <c r="L397" i="3"/>
  <c r="K397" i="3" a="1"/>
  <c r="K397" i="3" s="1"/>
  <c r="J397" i="3"/>
  <c r="L396" i="3"/>
  <c r="K396" i="3" a="1"/>
  <c r="K396" i="3" s="1"/>
  <c r="J396" i="3"/>
  <c r="L395" i="3"/>
  <c r="M395" i="3" s="1"/>
  <c r="K395" i="3" a="1"/>
  <c r="K395" i="3" s="1"/>
  <c r="J395" i="3"/>
  <c r="L394" i="3"/>
  <c r="M394" i="3" s="1"/>
  <c r="K394" i="3" a="1"/>
  <c r="K394" i="3" s="1"/>
  <c r="J394" i="3"/>
  <c r="L393" i="3"/>
  <c r="M393" i="3" s="1"/>
  <c r="K393" i="3" a="1"/>
  <c r="K393" i="3" s="1"/>
  <c r="J393" i="3"/>
  <c r="L392" i="3"/>
  <c r="M392" i="3" s="1"/>
  <c r="K392" i="3" a="1"/>
  <c r="K392" i="3" s="1"/>
  <c r="J392" i="3"/>
  <c r="L391" i="3"/>
  <c r="K391" i="3" a="1"/>
  <c r="K391" i="3" s="1"/>
  <c r="J391" i="3"/>
  <c r="L390" i="3"/>
  <c r="M390" i="3" s="1"/>
  <c r="K390" i="3" a="1"/>
  <c r="K390" i="3" s="1"/>
  <c r="J390" i="3"/>
  <c r="L389" i="3"/>
  <c r="M389" i="3" s="1"/>
  <c r="K389" i="3" a="1"/>
  <c r="K389" i="3" s="1"/>
  <c r="J389" i="3"/>
  <c r="L388" i="3"/>
  <c r="M388" i="3" s="1"/>
  <c r="K388" i="3" a="1"/>
  <c r="K388" i="3" s="1"/>
  <c r="J388" i="3"/>
  <c r="L387" i="3"/>
  <c r="M387" i="3" s="1"/>
  <c r="K387" i="3" a="1"/>
  <c r="K387" i="3" s="1"/>
  <c r="J387" i="3"/>
  <c r="L386" i="3"/>
  <c r="M386" i="3" s="1"/>
  <c r="K386" i="3" a="1"/>
  <c r="K386" i="3" s="1"/>
  <c r="J386" i="3"/>
  <c r="L385" i="3"/>
  <c r="M385" i="3" s="1"/>
  <c r="K385" i="3" a="1"/>
  <c r="K385" i="3" s="1"/>
  <c r="J385" i="3"/>
  <c r="L384" i="3"/>
  <c r="M384" i="3" s="1"/>
  <c r="K384" i="3" a="1"/>
  <c r="K384" i="3" s="1"/>
  <c r="J384" i="3"/>
  <c r="L383" i="3"/>
  <c r="M383" i="3" s="1"/>
  <c r="K383" i="3" a="1"/>
  <c r="K383" i="3" s="1"/>
  <c r="J383" i="3"/>
  <c r="L382" i="3"/>
  <c r="M382" i="3" s="1"/>
  <c r="K382" i="3" a="1"/>
  <c r="K382" i="3" s="1"/>
  <c r="J382" i="3"/>
  <c r="L381" i="3"/>
  <c r="M381" i="3" s="1"/>
  <c r="K381" i="3" a="1"/>
  <c r="K381" i="3" s="1"/>
  <c r="J381" i="3"/>
  <c r="L380" i="3"/>
  <c r="K380" i="3" a="1"/>
  <c r="K380" i="3" s="1"/>
  <c r="J380" i="3"/>
  <c r="L379" i="3"/>
  <c r="M379" i="3" s="1"/>
  <c r="K379" i="3" a="1"/>
  <c r="K379" i="3" s="1"/>
  <c r="J379" i="3"/>
  <c r="L378" i="3"/>
  <c r="M378" i="3" s="1"/>
  <c r="K378" i="3" a="1"/>
  <c r="K378" i="3" s="1"/>
  <c r="J378" i="3"/>
  <c r="L377" i="3"/>
  <c r="M377" i="3" s="1"/>
  <c r="K377" i="3" a="1"/>
  <c r="K377" i="3" s="1"/>
  <c r="J377" i="3"/>
  <c r="L376" i="3"/>
  <c r="M376" i="3" s="1"/>
  <c r="K376" i="3" a="1"/>
  <c r="K376" i="3" s="1"/>
  <c r="J376" i="3"/>
  <c r="L375" i="3"/>
  <c r="K375" i="3" a="1"/>
  <c r="K375" i="3" s="1"/>
  <c r="J375" i="3"/>
  <c r="L374" i="3"/>
  <c r="K374" i="3" a="1"/>
  <c r="K374" i="3" s="1"/>
  <c r="J374" i="3"/>
  <c r="L373" i="3"/>
  <c r="M373" i="3" s="1"/>
  <c r="K373" i="3" a="1"/>
  <c r="K373" i="3" s="1"/>
  <c r="J373" i="3"/>
  <c r="L372" i="3"/>
  <c r="M372" i="3" s="1"/>
  <c r="K372" i="3" a="1"/>
  <c r="K372" i="3" s="1"/>
  <c r="J372" i="3"/>
  <c r="L371" i="3"/>
  <c r="M371" i="3" s="1"/>
  <c r="K371" i="3" a="1"/>
  <c r="K371" i="3" s="1"/>
  <c r="J371" i="3"/>
  <c r="L370" i="3"/>
  <c r="K370" i="3" a="1"/>
  <c r="K370" i="3" s="1"/>
  <c r="J370" i="3"/>
  <c r="L369" i="3"/>
  <c r="M369" i="3" s="1"/>
  <c r="K369" i="3" a="1"/>
  <c r="K369" i="3" s="1"/>
  <c r="J369" i="3"/>
  <c r="L368" i="3"/>
  <c r="M368" i="3" s="1"/>
  <c r="K368" i="3" a="1"/>
  <c r="K368" i="3" s="1"/>
  <c r="J368" i="3"/>
  <c r="L367" i="3"/>
  <c r="M367" i="3" s="1"/>
  <c r="K367" i="3" a="1"/>
  <c r="K367" i="3" s="1"/>
  <c r="J367" i="3"/>
  <c r="L366" i="3"/>
  <c r="M366" i="3" s="1"/>
  <c r="K366" i="3" a="1"/>
  <c r="K366" i="3" s="1"/>
  <c r="J366" i="3"/>
  <c r="L365" i="3"/>
  <c r="K365" i="3" a="1"/>
  <c r="K365" i="3" s="1"/>
  <c r="J365" i="3"/>
  <c r="L364" i="3"/>
  <c r="K364" i="3" a="1"/>
  <c r="K364" i="3" s="1"/>
  <c r="J364" i="3"/>
  <c r="L363" i="3"/>
  <c r="M363" i="3" s="1"/>
  <c r="K363" i="3" a="1"/>
  <c r="K363" i="3" s="1"/>
  <c r="J363" i="3"/>
  <c r="L362" i="3"/>
  <c r="M362" i="3" s="1"/>
  <c r="K362" i="3" a="1"/>
  <c r="K362" i="3" s="1"/>
  <c r="J362" i="3"/>
  <c r="L361" i="3"/>
  <c r="M361" i="3" s="1"/>
  <c r="K361" i="3" a="1"/>
  <c r="K361" i="3" s="1"/>
  <c r="J361" i="3"/>
  <c r="L360" i="3"/>
  <c r="M360" i="3" s="1"/>
  <c r="K360" i="3" a="1"/>
  <c r="K360" i="3" s="1"/>
  <c r="J360" i="3"/>
  <c r="L359" i="3"/>
  <c r="K359" i="3" a="1"/>
  <c r="K359" i="3" s="1"/>
  <c r="J359" i="3"/>
  <c r="L358" i="3"/>
  <c r="M358" i="3" s="1"/>
  <c r="K358" i="3" a="1"/>
  <c r="K358" i="3" s="1"/>
  <c r="J358" i="3"/>
  <c r="L357" i="3"/>
  <c r="M357" i="3" s="1"/>
  <c r="K357" i="3" a="1"/>
  <c r="K357" i="3" s="1"/>
  <c r="J357" i="3"/>
  <c r="L356" i="3"/>
  <c r="M356" i="3" s="1"/>
  <c r="K356" i="3" a="1"/>
  <c r="K356" i="3" s="1"/>
  <c r="J356" i="3"/>
  <c r="L355" i="3"/>
  <c r="M355" i="3" s="1"/>
  <c r="K355" i="3" a="1"/>
  <c r="K355" i="3" s="1"/>
  <c r="J355" i="3"/>
  <c r="L354" i="3"/>
  <c r="M354" i="3" s="1"/>
  <c r="K354" i="3" a="1"/>
  <c r="K354" i="3" s="1"/>
  <c r="J354" i="3"/>
  <c r="L353" i="3"/>
  <c r="M353" i="3" s="1"/>
  <c r="K353" i="3" a="1"/>
  <c r="K353" i="3" s="1"/>
  <c r="J353" i="3"/>
  <c r="L352" i="3"/>
  <c r="M352" i="3" s="1"/>
  <c r="K352" i="3" a="1"/>
  <c r="K352" i="3" s="1"/>
  <c r="J352" i="3"/>
  <c r="L351" i="3"/>
  <c r="M351" i="3" s="1"/>
  <c r="K351" i="3" a="1"/>
  <c r="K351" i="3" s="1"/>
  <c r="J351" i="3"/>
  <c r="L350" i="3"/>
  <c r="M350" i="3" s="1"/>
  <c r="K350" i="3" a="1"/>
  <c r="K350" i="3" s="1"/>
  <c r="J350" i="3"/>
  <c r="L349" i="3"/>
  <c r="M349" i="3" s="1"/>
  <c r="K349" i="3" a="1"/>
  <c r="K349" i="3" s="1"/>
  <c r="J349" i="3"/>
  <c r="L348" i="3"/>
  <c r="M348" i="3" s="1"/>
  <c r="K348" i="3" a="1"/>
  <c r="K348" i="3" s="1"/>
  <c r="J348" i="3"/>
  <c r="L347" i="3"/>
  <c r="M347" i="3" s="1"/>
  <c r="K347" i="3" a="1"/>
  <c r="K347" i="3" s="1"/>
  <c r="J347" i="3"/>
  <c r="L346" i="3"/>
  <c r="M346" i="3" s="1"/>
  <c r="K346" i="3" a="1"/>
  <c r="K346" i="3" s="1"/>
  <c r="J346" i="3"/>
  <c r="L345" i="3"/>
  <c r="M345" i="3" s="1"/>
  <c r="K345" i="3" a="1"/>
  <c r="K345" i="3" s="1"/>
  <c r="J345" i="3"/>
  <c r="L344" i="3"/>
  <c r="M344" i="3" s="1"/>
  <c r="K344" i="3" a="1"/>
  <c r="K344" i="3" s="1"/>
  <c r="J344" i="3"/>
  <c r="L343" i="3"/>
  <c r="M343" i="3" s="1"/>
  <c r="K343" i="3" a="1"/>
  <c r="K343" i="3" s="1"/>
  <c r="J343" i="3"/>
  <c r="L342" i="3"/>
  <c r="K342" i="3" a="1"/>
  <c r="K342" i="3" s="1"/>
  <c r="J342" i="3"/>
  <c r="L341" i="3"/>
  <c r="M341" i="3" s="1"/>
  <c r="K341" i="3" a="1"/>
  <c r="K341" i="3" s="1"/>
  <c r="J341" i="3"/>
  <c r="L340" i="3"/>
  <c r="M340" i="3" s="1"/>
  <c r="K340" i="3" a="1"/>
  <c r="K340" i="3" s="1"/>
  <c r="J340" i="3"/>
  <c r="L339" i="3"/>
  <c r="M339" i="3" s="1"/>
  <c r="K339" i="3" a="1"/>
  <c r="K339" i="3" s="1"/>
  <c r="J339" i="3"/>
  <c r="L338" i="3"/>
  <c r="K338" i="3" a="1"/>
  <c r="K338" i="3" s="1"/>
  <c r="J338" i="3"/>
  <c r="L337" i="3"/>
  <c r="M337" i="3" s="1"/>
  <c r="K337" i="3" a="1"/>
  <c r="K337" i="3" s="1"/>
  <c r="J337" i="3"/>
  <c r="L336" i="3"/>
  <c r="M336" i="3" s="1"/>
  <c r="K336" i="3" a="1"/>
  <c r="K336" i="3" s="1"/>
  <c r="J336" i="3"/>
  <c r="L335" i="3"/>
  <c r="M335" i="3" s="1"/>
  <c r="K335" i="3" a="1"/>
  <c r="K335" i="3" s="1"/>
  <c r="J335" i="3"/>
  <c r="L334" i="3"/>
  <c r="M334" i="3" s="1"/>
  <c r="K334" i="3" a="1"/>
  <c r="K334" i="3" s="1"/>
  <c r="J334" i="3"/>
  <c r="L333" i="3"/>
  <c r="K333" i="3" a="1"/>
  <c r="K333" i="3" s="1"/>
  <c r="J333" i="3"/>
  <c r="L332" i="3"/>
  <c r="K332" i="3" a="1"/>
  <c r="K332" i="3" s="1"/>
  <c r="J332" i="3"/>
  <c r="L331" i="3"/>
  <c r="M331" i="3" s="1"/>
  <c r="K331" i="3" a="1"/>
  <c r="K331" i="3" s="1"/>
  <c r="J331" i="3"/>
  <c r="L330" i="3"/>
  <c r="M330" i="3" s="1"/>
  <c r="K330" i="3" a="1"/>
  <c r="K330" i="3" s="1"/>
  <c r="J330" i="3"/>
  <c r="L329" i="3"/>
  <c r="M329" i="3" s="1"/>
  <c r="K329" i="3" a="1"/>
  <c r="K329" i="3" s="1"/>
  <c r="J329" i="3"/>
  <c r="L328" i="3"/>
  <c r="M328" i="3" s="1"/>
  <c r="K328" i="3" a="1"/>
  <c r="K328" i="3" s="1"/>
  <c r="J328" i="3"/>
  <c r="L327" i="3"/>
  <c r="K327" i="3" a="1"/>
  <c r="K327" i="3" s="1"/>
  <c r="J327" i="3"/>
  <c r="L326" i="3"/>
  <c r="K326" i="3" a="1"/>
  <c r="K326" i="3" s="1"/>
  <c r="J326" i="3"/>
  <c r="L325" i="3"/>
  <c r="M325" i="3" s="1"/>
  <c r="K325" i="3" a="1"/>
  <c r="K325" i="3" s="1"/>
  <c r="J325" i="3"/>
  <c r="L324" i="3"/>
  <c r="M324" i="3" s="1"/>
  <c r="K324" i="3" a="1"/>
  <c r="K324" i="3" s="1"/>
  <c r="J324" i="3"/>
  <c r="L323" i="3"/>
  <c r="M323" i="3" s="1"/>
  <c r="K323" i="3" a="1"/>
  <c r="K323" i="3" s="1"/>
  <c r="J323" i="3"/>
  <c r="L322" i="3"/>
  <c r="K322" i="3" a="1"/>
  <c r="K322" i="3" s="1"/>
  <c r="J322" i="3"/>
  <c r="L321" i="3"/>
  <c r="K321" i="3" a="1"/>
  <c r="K321" i="3" s="1"/>
  <c r="J321" i="3"/>
  <c r="L320" i="3"/>
  <c r="M320" i="3" s="1"/>
  <c r="K320" i="3" a="1"/>
  <c r="K320" i="3" s="1"/>
  <c r="J320" i="3"/>
  <c r="L319" i="3"/>
  <c r="M319" i="3" s="1"/>
  <c r="K319" i="3" a="1"/>
  <c r="K319" i="3" s="1"/>
  <c r="J319" i="3"/>
  <c r="L318" i="3"/>
  <c r="M318" i="3" s="1"/>
  <c r="K318" i="3" a="1"/>
  <c r="K318" i="3" s="1"/>
  <c r="J318" i="3"/>
  <c r="L317" i="3"/>
  <c r="K317" i="3" a="1"/>
  <c r="K317" i="3" s="1"/>
  <c r="J317" i="3"/>
  <c r="L316" i="3"/>
  <c r="M316" i="3" s="1"/>
  <c r="K316" i="3" a="1"/>
  <c r="K316" i="3" s="1"/>
  <c r="J316" i="3"/>
  <c r="L315" i="3"/>
  <c r="M315" i="3" s="1"/>
  <c r="K315" i="3" a="1"/>
  <c r="K315" i="3" s="1"/>
  <c r="J315" i="3"/>
  <c r="L314" i="3"/>
  <c r="M314" i="3" s="1"/>
  <c r="K314" i="3" a="1"/>
  <c r="K314" i="3" s="1"/>
  <c r="J314" i="3"/>
  <c r="L313" i="3"/>
  <c r="M313" i="3" s="1"/>
  <c r="K313" i="3" a="1"/>
  <c r="K313" i="3" s="1"/>
  <c r="J313" i="3"/>
  <c r="L312" i="3"/>
  <c r="M312" i="3" s="1"/>
  <c r="K312" i="3" a="1"/>
  <c r="K312" i="3" s="1"/>
  <c r="J312" i="3"/>
  <c r="L311" i="3"/>
  <c r="M311" i="3" s="1"/>
  <c r="K311" i="3" a="1"/>
  <c r="K311" i="3" s="1"/>
  <c r="J311" i="3"/>
  <c r="L310" i="3"/>
  <c r="M310" i="3" s="1"/>
  <c r="K310" i="3" a="1"/>
  <c r="K310" i="3" s="1"/>
  <c r="J310" i="3"/>
  <c r="L309" i="3"/>
  <c r="M309" i="3" s="1"/>
  <c r="K309" i="3" a="1"/>
  <c r="K309" i="3" s="1"/>
  <c r="J309" i="3"/>
  <c r="L308" i="3"/>
  <c r="M308" i="3" s="1"/>
  <c r="K308" i="3" a="1"/>
  <c r="K308" i="3" s="1"/>
  <c r="J308" i="3"/>
  <c r="L307" i="3"/>
  <c r="M307" i="3" s="1"/>
  <c r="K307" i="3" a="1"/>
  <c r="K307" i="3" s="1"/>
  <c r="J307" i="3"/>
  <c r="L306" i="3"/>
  <c r="M306" i="3" s="1"/>
  <c r="K306" i="3" a="1"/>
  <c r="K306" i="3" s="1"/>
  <c r="J306" i="3"/>
  <c r="L305" i="3"/>
  <c r="M305" i="3" s="1"/>
  <c r="K305" i="3" a="1"/>
  <c r="K305" i="3" s="1"/>
  <c r="J305" i="3"/>
  <c r="L304" i="3"/>
  <c r="M304" i="3" s="1"/>
  <c r="K304" i="3" a="1"/>
  <c r="K304" i="3" s="1"/>
  <c r="J304" i="3"/>
  <c r="L303" i="3"/>
  <c r="M303" i="3" s="1"/>
  <c r="K303" i="3" a="1"/>
  <c r="K303" i="3" s="1"/>
  <c r="J303" i="3"/>
  <c r="L302" i="3"/>
  <c r="M302" i="3" s="1"/>
  <c r="K302" i="3" a="1"/>
  <c r="K302" i="3" s="1"/>
  <c r="J302" i="3"/>
  <c r="L301" i="3"/>
  <c r="M301" i="3" s="1"/>
  <c r="K301" i="3" a="1"/>
  <c r="K301" i="3" s="1"/>
  <c r="J301" i="3"/>
  <c r="L300" i="3"/>
  <c r="K300" i="3" a="1"/>
  <c r="K300" i="3" s="1"/>
  <c r="J300" i="3"/>
  <c r="L299" i="3"/>
  <c r="M299" i="3" s="1"/>
  <c r="K299" i="3" a="1"/>
  <c r="K299" i="3" s="1"/>
  <c r="J299" i="3"/>
  <c r="L298" i="3"/>
  <c r="M298" i="3" s="1"/>
  <c r="K298" i="3" a="1"/>
  <c r="K298" i="3" s="1"/>
  <c r="J298" i="3"/>
  <c r="L297" i="3"/>
  <c r="M297" i="3" s="1"/>
  <c r="K297" i="3" a="1"/>
  <c r="K297" i="3" s="1"/>
  <c r="J297" i="3"/>
  <c r="L296" i="3"/>
  <c r="M296" i="3" s="1"/>
  <c r="K296" i="3" a="1"/>
  <c r="K296" i="3" s="1"/>
  <c r="J296" i="3"/>
  <c r="L295" i="3"/>
  <c r="K295" i="3" a="1"/>
  <c r="K295" i="3" s="1"/>
  <c r="J295" i="3"/>
  <c r="L294" i="3"/>
  <c r="M294" i="3" s="1"/>
  <c r="K294" i="3" a="1"/>
  <c r="K294" i="3" s="1"/>
  <c r="J294" i="3"/>
  <c r="L293" i="3"/>
  <c r="M293" i="3" s="1"/>
  <c r="K293" i="3" a="1"/>
  <c r="K293" i="3" s="1"/>
  <c r="J293" i="3"/>
  <c r="L292" i="3"/>
  <c r="M292" i="3" s="1"/>
  <c r="K292" i="3" a="1"/>
  <c r="K292" i="3" s="1"/>
  <c r="J292" i="3"/>
  <c r="L291" i="3"/>
  <c r="M291" i="3" s="1"/>
  <c r="K291" i="3" a="1"/>
  <c r="K291" i="3" s="1"/>
  <c r="J291" i="3"/>
  <c r="L290" i="3"/>
  <c r="K290" i="3" a="1"/>
  <c r="K290" i="3" s="1"/>
  <c r="J290" i="3"/>
  <c r="L289" i="3"/>
  <c r="M289" i="3" s="1"/>
  <c r="K289" i="3" a="1"/>
  <c r="K289" i="3" s="1"/>
  <c r="J289" i="3"/>
  <c r="L288" i="3"/>
  <c r="K288" i="3" a="1"/>
  <c r="K288" i="3" s="1"/>
  <c r="J288" i="3"/>
  <c r="L287" i="3"/>
  <c r="M287" i="3" s="1"/>
  <c r="K287" i="3" a="1"/>
  <c r="K287" i="3" s="1"/>
  <c r="J287" i="3"/>
  <c r="L286" i="3"/>
  <c r="M286" i="3" s="1"/>
  <c r="K286" i="3" a="1"/>
  <c r="K286" i="3" s="1"/>
  <c r="J286" i="3"/>
  <c r="L285" i="3"/>
  <c r="K285" i="3" a="1"/>
  <c r="K285" i="3" s="1"/>
  <c r="J285" i="3"/>
  <c r="L284" i="3"/>
  <c r="K284" i="3" a="1"/>
  <c r="K284" i="3" s="1"/>
  <c r="J284" i="3"/>
  <c r="L283" i="3"/>
  <c r="M283" i="3" s="1"/>
  <c r="K283" i="3" a="1"/>
  <c r="K283" i="3" s="1"/>
  <c r="J283" i="3"/>
  <c r="L282" i="3"/>
  <c r="M282" i="3" s="1"/>
  <c r="K282" i="3" a="1"/>
  <c r="K282" i="3" s="1"/>
  <c r="J282" i="3"/>
  <c r="L281" i="3"/>
  <c r="M281" i="3" s="1"/>
  <c r="K281" i="3" a="1"/>
  <c r="K281" i="3" s="1"/>
  <c r="J281" i="3"/>
  <c r="L280" i="3"/>
  <c r="M280" i="3" s="1"/>
  <c r="K280" i="3" a="1"/>
  <c r="K280" i="3" s="1"/>
  <c r="J280" i="3"/>
  <c r="L279" i="3"/>
  <c r="M279" i="3" s="1"/>
  <c r="K279" i="3" a="1"/>
  <c r="K279" i="3" s="1"/>
  <c r="J279" i="3"/>
  <c r="L278" i="3"/>
  <c r="M278" i="3" s="1"/>
  <c r="K278" i="3" a="1"/>
  <c r="K278" i="3" s="1"/>
  <c r="J278" i="3"/>
  <c r="L277" i="3"/>
  <c r="M277" i="3" s="1"/>
  <c r="K277" i="3" a="1"/>
  <c r="K277" i="3" s="1"/>
  <c r="J277" i="3"/>
  <c r="L276" i="3"/>
  <c r="M276" i="3" s="1"/>
  <c r="K276" i="3" a="1"/>
  <c r="K276" i="3" s="1"/>
  <c r="J276" i="3"/>
  <c r="L275" i="3"/>
  <c r="M275" i="3" s="1"/>
  <c r="K275" i="3" a="1"/>
  <c r="K275" i="3" s="1"/>
  <c r="J275" i="3"/>
  <c r="L274" i="3"/>
  <c r="M274" i="3" s="1"/>
  <c r="K274" i="3" a="1"/>
  <c r="K274" i="3" s="1"/>
  <c r="J274" i="3"/>
  <c r="L273" i="3"/>
  <c r="M273" i="3" s="1"/>
  <c r="K273" i="3" a="1"/>
  <c r="K273" i="3" s="1"/>
  <c r="J273" i="3"/>
  <c r="L272" i="3"/>
  <c r="K272" i="3" a="1"/>
  <c r="K272" i="3" s="1"/>
  <c r="J272" i="3"/>
  <c r="L271" i="3"/>
  <c r="M271" i="3" s="1"/>
  <c r="K271" i="3" a="1"/>
  <c r="K271" i="3" s="1"/>
  <c r="J271" i="3"/>
  <c r="L270" i="3"/>
  <c r="M270" i="3" s="1"/>
  <c r="K270" i="3" a="1"/>
  <c r="K270" i="3" s="1"/>
  <c r="J270" i="3"/>
  <c r="L269" i="3"/>
  <c r="M269" i="3" s="1"/>
  <c r="K269" i="3" a="1"/>
  <c r="K269" i="3" s="1"/>
  <c r="J269" i="3"/>
  <c r="L268" i="3"/>
  <c r="K268" i="3" a="1"/>
  <c r="K268" i="3" s="1"/>
  <c r="J268" i="3"/>
  <c r="L267" i="3"/>
  <c r="M267" i="3" s="1"/>
  <c r="K267" i="3" a="1"/>
  <c r="K267" i="3" s="1"/>
  <c r="J267" i="3"/>
  <c r="L266" i="3"/>
  <c r="M266" i="3" s="1"/>
  <c r="K266" i="3" a="1"/>
  <c r="K266" i="3" s="1"/>
  <c r="J266" i="3"/>
  <c r="L265" i="3"/>
  <c r="M265" i="3" s="1"/>
  <c r="K265" i="3" a="1"/>
  <c r="K265" i="3" s="1"/>
  <c r="J265" i="3"/>
  <c r="L264" i="3"/>
  <c r="M264" i="3" s="1"/>
  <c r="K264" i="3" a="1"/>
  <c r="K264" i="3" s="1"/>
  <c r="J264" i="3"/>
  <c r="L263" i="3"/>
  <c r="K263" i="3" a="1"/>
  <c r="K263" i="3" s="1"/>
  <c r="J263" i="3"/>
  <c r="L262" i="3"/>
  <c r="K262" i="3" a="1"/>
  <c r="K262" i="3" s="1"/>
  <c r="J262" i="3"/>
  <c r="L261" i="3"/>
  <c r="K261" i="3" a="1"/>
  <c r="K261" i="3" s="1"/>
  <c r="J261" i="3"/>
  <c r="L260" i="3"/>
  <c r="K260" i="3" a="1"/>
  <c r="K260" i="3" s="1"/>
  <c r="J260" i="3"/>
  <c r="L259" i="3"/>
  <c r="K259" i="3" a="1"/>
  <c r="K259" i="3" s="1"/>
  <c r="J259" i="3"/>
  <c r="L258" i="3"/>
  <c r="K258" i="3" a="1"/>
  <c r="K258" i="3" s="1"/>
  <c r="J258" i="3"/>
  <c r="L257" i="3"/>
  <c r="K257" i="3" a="1"/>
  <c r="K257" i="3" s="1"/>
  <c r="J257" i="3"/>
  <c r="L256" i="3"/>
  <c r="K256" i="3" a="1"/>
  <c r="K256" i="3" s="1"/>
  <c r="J256" i="3"/>
  <c r="L255" i="3"/>
  <c r="K255" i="3" a="1"/>
  <c r="K255" i="3" s="1"/>
  <c r="J255" i="3"/>
  <c r="S255" i="3" s="1"/>
  <c r="L254" i="3"/>
  <c r="K254" i="3" a="1"/>
  <c r="K254" i="3" s="1"/>
  <c r="J254" i="3"/>
  <c r="L253" i="3"/>
  <c r="K253" i="3" a="1"/>
  <c r="K253" i="3" s="1"/>
  <c r="J253" i="3"/>
  <c r="L252" i="3"/>
  <c r="K252" i="3" a="1"/>
  <c r="K252" i="3" s="1"/>
  <c r="J252" i="3"/>
  <c r="L251" i="3"/>
  <c r="K251" i="3" a="1"/>
  <c r="K251" i="3" s="1"/>
  <c r="J251" i="3"/>
  <c r="L250" i="3"/>
  <c r="K250" i="3" a="1"/>
  <c r="K250" i="3" s="1"/>
  <c r="J250" i="3"/>
  <c r="L249" i="3"/>
  <c r="K249" i="3" a="1"/>
  <c r="K249" i="3" s="1"/>
  <c r="J249" i="3"/>
  <c r="L248" i="3"/>
  <c r="K248" i="3" a="1"/>
  <c r="K248" i="3" s="1"/>
  <c r="J248" i="3"/>
  <c r="L247" i="3"/>
  <c r="K247" i="3" a="1"/>
  <c r="K247" i="3" s="1"/>
  <c r="J247" i="3"/>
  <c r="L246" i="3"/>
  <c r="K246" i="3" a="1"/>
  <c r="K246" i="3" s="1"/>
  <c r="J246" i="3"/>
  <c r="L245" i="3"/>
  <c r="K245" i="3" a="1"/>
  <c r="K245" i="3" s="1"/>
  <c r="J245" i="3"/>
  <c r="L244" i="3"/>
  <c r="K244" i="3" a="1"/>
  <c r="K244" i="3" s="1"/>
  <c r="J244" i="3"/>
  <c r="L243" i="3"/>
  <c r="K243" i="3" a="1"/>
  <c r="K243" i="3" s="1"/>
  <c r="J243" i="3"/>
  <c r="L242" i="3"/>
  <c r="M242" i="3" s="1"/>
  <c r="K242" i="3" a="1"/>
  <c r="K242" i="3" s="1"/>
  <c r="J242" i="3"/>
  <c r="I445" i="3" a="1"/>
  <c r="I445" i="3" s="1"/>
  <c r="R445" i="3" s="1"/>
  <c r="H445" i="3" a="1"/>
  <c r="H445" i="3" s="1"/>
  <c r="Q445" i="3" s="1"/>
  <c r="G445" i="3" a="1"/>
  <c r="G445" i="3" s="1"/>
  <c r="P445" i="3" s="1"/>
  <c r="U445" i="3" s="1"/>
  <c r="I444" i="3" a="1"/>
  <c r="I444" i="3" s="1"/>
  <c r="H444" i="3" a="1"/>
  <c r="H444" i="3" s="1"/>
  <c r="Q444" i="3" s="1"/>
  <c r="G444" i="3" a="1"/>
  <c r="G444" i="3" s="1"/>
  <c r="P444" i="3" s="1"/>
  <c r="U444" i="3" s="1"/>
  <c r="I443" i="3" a="1"/>
  <c r="I443" i="3" s="1"/>
  <c r="H443" i="3" a="1"/>
  <c r="H443" i="3" s="1"/>
  <c r="G443" i="3" a="1"/>
  <c r="G443" i="3" s="1"/>
  <c r="I442" i="3" a="1"/>
  <c r="I442" i="3" s="1"/>
  <c r="H442" i="3" a="1"/>
  <c r="H442" i="3" s="1"/>
  <c r="G442" i="3" a="1"/>
  <c r="G442" i="3" s="1"/>
  <c r="I441" i="3" a="1"/>
  <c r="I441" i="3" s="1"/>
  <c r="H441" i="3" a="1"/>
  <c r="H441" i="3" s="1"/>
  <c r="G441" i="3" a="1"/>
  <c r="G441" i="3" s="1"/>
  <c r="I440" i="3" a="1"/>
  <c r="I440" i="3" s="1"/>
  <c r="H440" i="3" a="1"/>
  <c r="H440" i="3" s="1"/>
  <c r="G440" i="3" a="1"/>
  <c r="G440" i="3" s="1"/>
  <c r="I439" i="3" a="1"/>
  <c r="I439" i="3" s="1"/>
  <c r="H439" i="3" a="1"/>
  <c r="H439" i="3" s="1"/>
  <c r="Q439" i="3" s="1"/>
  <c r="G439" i="3" a="1"/>
  <c r="G439" i="3" s="1"/>
  <c r="I438" i="3" a="1"/>
  <c r="I438" i="3" s="1"/>
  <c r="H438" i="3" a="1"/>
  <c r="H438" i="3" s="1"/>
  <c r="G438" i="3" a="1"/>
  <c r="G438" i="3" s="1"/>
  <c r="I437" i="3" a="1"/>
  <c r="I437" i="3" s="1"/>
  <c r="H437" i="3" a="1"/>
  <c r="H437" i="3" s="1"/>
  <c r="G437" i="3" a="1"/>
  <c r="G437" i="3" s="1"/>
  <c r="I436" i="3" a="1"/>
  <c r="I436" i="3" s="1"/>
  <c r="H436" i="3" a="1"/>
  <c r="H436" i="3" s="1"/>
  <c r="G436" i="3" a="1"/>
  <c r="G436" i="3" s="1"/>
  <c r="I435" i="3" a="1"/>
  <c r="I435" i="3" s="1"/>
  <c r="H435" i="3" a="1"/>
  <c r="H435" i="3" s="1"/>
  <c r="G435" i="3" a="1"/>
  <c r="G435" i="3" s="1"/>
  <c r="I434" i="3" a="1"/>
  <c r="I434" i="3" s="1"/>
  <c r="H434" i="3" a="1"/>
  <c r="H434" i="3" s="1"/>
  <c r="Q434" i="3" s="1"/>
  <c r="G434" i="3" a="1"/>
  <c r="G434" i="3" s="1"/>
  <c r="I433" i="3" a="1"/>
  <c r="I433" i="3" s="1"/>
  <c r="H433" i="3" a="1"/>
  <c r="H433" i="3" s="1"/>
  <c r="G433" i="3" a="1"/>
  <c r="G433" i="3" s="1"/>
  <c r="I432" i="3" a="1"/>
  <c r="I432" i="3" s="1"/>
  <c r="H432" i="3" a="1"/>
  <c r="H432" i="3" s="1"/>
  <c r="G432" i="3" a="1"/>
  <c r="G432" i="3" s="1"/>
  <c r="I431" i="3" a="1"/>
  <c r="I431" i="3" s="1"/>
  <c r="R431" i="3" s="1"/>
  <c r="H431" i="3" a="1"/>
  <c r="H431" i="3" s="1"/>
  <c r="G431" i="3" a="1"/>
  <c r="G431" i="3" s="1"/>
  <c r="I430" i="3" a="1"/>
  <c r="I430" i="3" s="1"/>
  <c r="H430" i="3" a="1"/>
  <c r="H430" i="3" s="1"/>
  <c r="G430" i="3" a="1"/>
  <c r="G430" i="3" s="1"/>
  <c r="I429" i="3" a="1"/>
  <c r="I429" i="3" s="1"/>
  <c r="R429" i="3" s="1"/>
  <c r="H429" i="3" a="1"/>
  <c r="H429" i="3" s="1"/>
  <c r="Q429" i="3" s="1"/>
  <c r="G429" i="3" a="1"/>
  <c r="G429" i="3" s="1"/>
  <c r="P429" i="3" s="1"/>
  <c r="U429" i="3" s="1"/>
  <c r="I428" i="3" a="1"/>
  <c r="I428" i="3" s="1"/>
  <c r="H428" i="3" a="1"/>
  <c r="H428" i="3" s="1"/>
  <c r="G428" i="3" a="1"/>
  <c r="G428" i="3" s="1"/>
  <c r="I427" i="3" a="1"/>
  <c r="I427" i="3" s="1"/>
  <c r="H427" i="3" a="1"/>
  <c r="H427" i="3" s="1"/>
  <c r="G427" i="3" a="1"/>
  <c r="G427" i="3" s="1"/>
  <c r="I426" i="3" a="1"/>
  <c r="I426" i="3" s="1"/>
  <c r="R426" i="3" s="1"/>
  <c r="H426" i="3" a="1"/>
  <c r="H426" i="3" s="1"/>
  <c r="Q426" i="3" s="1"/>
  <c r="G426" i="3" a="1"/>
  <c r="G426" i="3" s="1"/>
  <c r="I425" i="3" a="1"/>
  <c r="I425" i="3" s="1"/>
  <c r="H425" i="3" a="1"/>
  <c r="H425" i="3" s="1"/>
  <c r="G425" i="3" a="1"/>
  <c r="G425" i="3" s="1"/>
  <c r="I424" i="3" a="1"/>
  <c r="I424" i="3" s="1"/>
  <c r="H424" i="3" a="1"/>
  <c r="H424" i="3" s="1"/>
  <c r="G424" i="3" a="1"/>
  <c r="G424" i="3" s="1"/>
  <c r="I423" i="3" a="1"/>
  <c r="I423" i="3" s="1"/>
  <c r="H423" i="3" a="1"/>
  <c r="H423" i="3" s="1"/>
  <c r="G423" i="3" a="1"/>
  <c r="G423" i="3" s="1"/>
  <c r="I422" i="3" a="1"/>
  <c r="I422" i="3" s="1"/>
  <c r="H422" i="3" a="1"/>
  <c r="H422" i="3" s="1"/>
  <c r="G422" i="3" a="1"/>
  <c r="G422" i="3" s="1"/>
  <c r="I421" i="3" a="1"/>
  <c r="I421" i="3" s="1"/>
  <c r="R421" i="3" s="1"/>
  <c r="H421" i="3" a="1"/>
  <c r="H421" i="3" s="1"/>
  <c r="Q421" i="3" s="1"/>
  <c r="G421" i="3" a="1"/>
  <c r="G421" i="3" s="1"/>
  <c r="P421" i="3" s="1"/>
  <c r="U421" i="3" s="1"/>
  <c r="I420" i="3" a="1"/>
  <c r="I420" i="3" s="1"/>
  <c r="H420" i="3" a="1"/>
  <c r="H420" i="3" s="1"/>
  <c r="G420" i="3" a="1"/>
  <c r="G420" i="3" s="1"/>
  <c r="I419" i="3" a="1"/>
  <c r="I419" i="3" s="1"/>
  <c r="H419" i="3" a="1"/>
  <c r="H419" i="3" s="1"/>
  <c r="G419" i="3" a="1"/>
  <c r="G419" i="3" s="1"/>
  <c r="I418" i="3" a="1"/>
  <c r="I418" i="3" s="1"/>
  <c r="H418" i="3" a="1"/>
  <c r="H418" i="3" s="1"/>
  <c r="G418" i="3" a="1"/>
  <c r="G418" i="3" s="1"/>
  <c r="I417" i="3" a="1"/>
  <c r="I417" i="3" s="1"/>
  <c r="H417" i="3" a="1"/>
  <c r="H417" i="3" s="1"/>
  <c r="G417" i="3" a="1"/>
  <c r="G417" i="3" s="1"/>
  <c r="I416" i="3" a="1"/>
  <c r="I416" i="3" s="1"/>
  <c r="H416" i="3" a="1"/>
  <c r="H416" i="3" s="1"/>
  <c r="G416" i="3" a="1"/>
  <c r="G416" i="3" s="1"/>
  <c r="I415" i="3" a="1"/>
  <c r="I415" i="3" s="1"/>
  <c r="R415" i="3" s="1"/>
  <c r="H415" i="3" a="1"/>
  <c r="H415" i="3" s="1"/>
  <c r="G415" i="3" a="1"/>
  <c r="G415" i="3" s="1"/>
  <c r="I414" i="3" a="1"/>
  <c r="I414" i="3" s="1"/>
  <c r="H414" i="3" a="1"/>
  <c r="H414" i="3" s="1"/>
  <c r="G414" i="3" a="1"/>
  <c r="G414" i="3" s="1"/>
  <c r="I413" i="3" a="1"/>
  <c r="I413" i="3" s="1"/>
  <c r="H413" i="3" a="1"/>
  <c r="H413" i="3" s="1"/>
  <c r="G413" i="3" a="1"/>
  <c r="G413" i="3" s="1"/>
  <c r="I412" i="3" a="1"/>
  <c r="I412" i="3" s="1"/>
  <c r="H412" i="3" a="1"/>
  <c r="H412" i="3" s="1"/>
  <c r="Q412" i="3" s="1"/>
  <c r="G412" i="3" a="1"/>
  <c r="G412" i="3" s="1"/>
  <c r="P412" i="3" s="1"/>
  <c r="U412" i="3" s="1"/>
  <c r="I411" i="3" a="1"/>
  <c r="I411" i="3" s="1"/>
  <c r="H411" i="3" a="1"/>
  <c r="H411" i="3" s="1"/>
  <c r="G411" i="3" a="1"/>
  <c r="G411" i="3" s="1"/>
  <c r="I410" i="3" a="1"/>
  <c r="I410" i="3" s="1"/>
  <c r="R410" i="3" s="1"/>
  <c r="H410" i="3" a="1"/>
  <c r="H410" i="3" s="1"/>
  <c r="Q410" i="3" s="1"/>
  <c r="G410" i="3" a="1"/>
  <c r="G410" i="3" s="1"/>
  <c r="I409" i="3" a="1"/>
  <c r="I409" i="3" s="1"/>
  <c r="H409" i="3" a="1"/>
  <c r="H409" i="3" s="1"/>
  <c r="G409" i="3" a="1"/>
  <c r="G409" i="3" s="1"/>
  <c r="I408" i="3" a="1"/>
  <c r="I408" i="3" s="1"/>
  <c r="H408" i="3" a="1"/>
  <c r="H408" i="3" s="1"/>
  <c r="G408" i="3" a="1"/>
  <c r="G408" i="3" s="1"/>
  <c r="I407" i="3" a="1"/>
  <c r="I407" i="3" s="1"/>
  <c r="R407" i="3" s="1"/>
  <c r="H407" i="3" a="1"/>
  <c r="H407" i="3" s="1"/>
  <c r="Q407" i="3" s="1"/>
  <c r="G407" i="3" a="1"/>
  <c r="G407" i="3" s="1"/>
  <c r="P407" i="3" s="1"/>
  <c r="U407" i="3" s="1"/>
  <c r="I406" i="3" a="1"/>
  <c r="I406" i="3" s="1"/>
  <c r="H406" i="3" a="1"/>
  <c r="H406" i="3" s="1"/>
  <c r="G406" i="3" a="1"/>
  <c r="G406" i="3" s="1"/>
  <c r="I405" i="3" a="1"/>
  <c r="I405" i="3" s="1"/>
  <c r="H405" i="3" a="1"/>
  <c r="H405" i="3" s="1"/>
  <c r="G405" i="3" a="1"/>
  <c r="G405" i="3" s="1"/>
  <c r="I404" i="3" a="1"/>
  <c r="I404" i="3" s="1"/>
  <c r="H404" i="3" a="1"/>
  <c r="H404" i="3" s="1"/>
  <c r="G404" i="3" a="1"/>
  <c r="G404" i="3" s="1"/>
  <c r="I403" i="3" a="1"/>
  <c r="I403" i="3" s="1"/>
  <c r="H403" i="3" a="1"/>
  <c r="H403" i="3" s="1"/>
  <c r="G403" i="3" a="1"/>
  <c r="G403" i="3" s="1"/>
  <c r="I402" i="3" a="1"/>
  <c r="I402" i="3" s="1"/>
  <c r="H402" i="3" a="1"/>
  <c r="H402" i="3" s="1"/>
  <c r="Q402" i="3" s="1"/>
  <c r="G402" i="3" a="1"/>
  <c r="G402" i="3" s="1"/>
  <c r="I401" i="3" a="1"/>
  <c r="I401" i="3" s="1"/>
  <c r="H401" i="3" a="1"/>
  <c r="H401" i="3" s="1"/>
  <c r="G401" i="3" a="1"/>
  <c r="G401" i="3" s="1"/>
  <c r="I400" i="3" a="1"/>
  <c r="I400" i="3" s="1"/>
  <c r="H400" i="3" a="1"/>
  <c r="H400" i="3" s="1"/>
  <c r="G400" i="3" a="1"/>
  <c r="G400" i="3" s="1"/>
  <c r="I399" i="3" a="1"/>
  <c r="I399" i="3" s="1"/>
  <c r="H399" i="3" a="1"/>
  <c r="H399" i="3" s="1"/>
  <c r="G399" i="3" a="1"/>
  <c r="G399" i="3" s="1"/>
  <c r="I398" i="3" a="1"/>
  <c r="I398" i="3" s="1"/>
  <c r="H398" i="3" a="1"/>
  <c r="H398" i="3" s="1"/>
  <c r="G398" i="3" a="1"/>
  <c r="G398" i="3" s="1"/>
  <c r="I397" i="3" a="1"/>
  <c r="I397" i="3" s="1"/>
  <c r="R397" i="3" s="1"/>
  <c r="H397" i="3" a="1"/>
  <c r="H397" i="3" s="1"/>
  <c r="Q397" i="3" s="1"/>
  <c r="G397" i="3" a="1"/>
  <c r="G397" i="3" s="1"/>
  <c r="P397" i="3" s="1"/>
  <c r="U397" i="3" s="1"/>
  <c r="I396" i="3" a="1"/>
  <c r="I396" i="3" s="1"/>
  <c r="H396" i="3" a="1"/>
  <c r="H396" i="3" s="1"/>
  <c r="Q396" i="3" s="1"/>
  <c r="G396" i="3" a="1"/>
  <c r="G396" i="3" s="1"/>
  <c r="P396" i="3" s="1"/>
  <c r="U396" i="3" s="1"/>
  <c r="I395" i="3" a="1"/>
  <c r="I395" i="3" s="1"/>
  <c r="H395" i="3" a="1"/>
  <c r="H395" i="3" s="1"/>
  <c r="G395" i="3" a="1"/>
  <c r="G395" i="3" s="1"/>
  <c r="I394" i="3" a="1"/>
  <c r="I394" i="3" s="1"/>
  <c r="H394" i="3" a="1"/>
  <c r="H394" i="3" s="1"/>
  <c r="Q394" i="3" s="1"/>
  <c r="G394" i="3" a="1"/>
  <c r="G394" i="3" s="1"/>
  <c r="I393" i="3" a="1"/>
  <c r="I393" i="3" s="1"/>
  <c r="H393" i="3" a="1"/>
  <c r="H393" i="3" s="1"/>
  <c r="G393" i="3" a="1"/>
  <c r="G393" i="3" s="1"/>
  <c r="I392" i="3" a="1"/>
  <c r="I392" i="3" s="1"/>
  <c r="H392" i="3" a="1"/>
  <c r="H392" i="3" s="1"/>
  <c r="G392" i="3" a="1"/>
  <c r="G392" i="3" s="1"/>
  <c r="I391" i="3" a="1"/>
  <c r="I391" i="3" s="1"/>
  <c r="H391" i="3" a="1"/>
  <c r="H391" i="3" s="1"/>
  <c r="G391" i="3" a="1"/>
  <c r="G391" i="3" s="1"/>
  <c r="I390" i="3" a="1"/>
  <c r="I390" i="3" s="1"/>
  <c r="H390" i="3" a="1"/>
  <c r="H390" i="3" s="1"/>
  <c r="G390" i="3" a="1"/>
  <c r="G390" i="3" s="1"/>
  <c r="I389" i="3" a="1"/>
  <c r="I389" i="3" s="1"/>
  <c r="R389" i="3" s="1"/>
  <c r="H389" i="3" a="1"/>
  <c r="H389" i="3" s="1"/>
  <c r="Q389" i="3" s="1"/>
  <c r="G389" i="3" a="1"/>
  <c r="G389" i="3" s="1"/>
  <c r="P389" i="3" s="1"/>
  <c r="U389" i="3" s="1"/>
  <c r="I388" i="3" a="1"/>
  <c r="I388" i="3" s="1"/>
  <c r="H388" i="3" a="1"/>
  <c r="H388" i="3" s="1"/>
  <c r="G388" i="3" a="1"/>
  <c r="G388" i="3" s="1"/>
  <c r="I387" i="3" a="1"/>
  <c r="I387" i="3" s="1"/>
  <c r="H387" i="3" a="1"/>
  <c r="H387" i="3" s="1"/>
  <c r="G387" i="3" a="1"/>
  <c r="G387" i="3" s="1"/>
  <c r="I386" i="3" a="1"/>
  <c r="I386" i="3" s="1"/>
  <c r="H386" i="3" a="1"/>
  <c r="H386" i="3" s="1"/>
  <c r="G386" i="3" a="1"/>
  <c r="G386" i="3" s="1"/>
  <c r="I385" i="3" a="1"/>
  <c r="I385" i="3" s="1"/>
  <c r="H385" i="3" a="1"/>
  <c r="H385" i="3" s="1"/>
  <c r="G385" i="3" a="1"/>
  <c r="G385" i="3" s="1"/>
  <c r="I384" i="3" a="1"/>
  <c r="I384" i="3" s="1"/>
  <c r="H384" i="3" a="1"/>
  <c r="H384" i="3" s="1"/>
  <c r="G384" i="3" a="1"/>
  <c r="G384" i="3" s="1"/>
  <c r="I383" i="3" a="1"/>
  <c r="I383" i="3" s="1"/>
  <c r="R383" i="3" s="1"/>
  <c r="H383" i="3" a="1"/>
  <c r="H383" i="3" s="1"/>
  <c r="G383" i="3" a="1"/>
  <c r="G383" i="3" s="1"/>
  <c r="I382" i="3" a="1"/>
  <c r="I382" i="3" s="1"/>
  <c r="H382" i="3" a="1"/>
  <c r="H382" i="3" s="1"/>
  <c r="G382" i="3" a="1"/>
  <c r="G382" i="3" s="1"/>
  <c r="I381" i="3" a="1"/>
  <c r="I381" i="3" s="1"/>
  <c r="H381" i="3" a="1"/>
  <c r="H381" i="3" s="1"/>
  <c r="G381" i="3" a="1"/>
  <c r="G381" i="3" s="1"/>
  <c r="I380" i="3" a="1"/>
  <c r="I380" i="3" s="1"/>
  <c r="H380" i="3" a="1"/>
  <c r="H380" i="3" s="1"/>
  <c r="Q380" i="3" s="1"/>
  <c r="G380" i="3" a="1"/>
  <c r="G380" i="3" s="1"/>
  <c r="P380" i="3" s="1"/>
  <c r="U380" i="3" s="1"/>
  <c r="I379" i="3" a="1"/>
  <c r="I379" i="3" s="1"/>
  <c r="H379" i="3" a="1"/>
  <c r="H379" i="3" s="1"/>
  <c r="G379" i="3" a="1"/>
  <c r="G379" i="3" s="1"/>
  <c r="I378" i="3" a="1"/>
  <c r="I378" i="3" s="1"/>
  <c r="R378" i="3" s="1"/>
  <c r="H378" i="3" a="1"/>
  <c r="H378" i="3" s="1"/>
  <c r="Q378" i="3" s="1"/>
  <c r="G378" i="3" a="1"/>
  <c r="G378" i="3" s="1"/>
  <c r="I377" i="3" a="1"/>
  <c r="I377" i="3" s="1"/>
  <c r="H377" i="3" a="1"/>
  <c r="H377" i="3" s="1"/>
  <c r="G377" i="3" a="1"/>
  <c r="G377" i="3" s="1"/>
  <c r="I376" i="3" a="1"/>
  <c r="I376" i="3" s="1"/>
  <c r="H376" i="3" a="1"/>
  <c r="H376" i="3" s="1"/>
  <c r="G376" i="3" a="1"/>
  <c r="G376" i="3" s="1"/>
  <c r="I375" i="3" a="1"/>
  <c r="I375" i="3" s="1"/>
  <c r="R375" i="3" s="1"/>
  <c r="H375" i="3" a="1"/>
  <c r="H375" i="3" s="1"/>
  <c r="Q375" i="3" s="1"/>
  <c r="G375" i="3" a="1"/>
  <c r="G375" i="3" s="1"/>
  <c r="P375" i="3" s="1"/>
  <c r="U375" i="3" s="1"/>
  <c r="I374" i="3" a="1"/>
  <c r="I374" i="3" s="1"/>
  <c r="H374" i="3" a="1"/>
  <c r="H374" i="3" s="1"/>
  <c r="G374" i="3" a="1"/>
  <c r="G374" i="3" s="1"/>
  <c r="I373" i="3" a="1"/>
  <c r="I373" i="3" s="1"/>
  <c r="R373" i="3" s="1"/>
  <c r="H373" i="3" a="1"/>
  <c r="H373" i="3" s="1"/>
  <c r="Q373" i="3" s="1"/>
  <c r="G373" i="3" a="1"/>
  <c r="G373" i="3" s="1"/>
  <c r="P373" i="3" s="1"/>
  <c r="U373" i="3" s="1"/>
  <c r="I372" i="3" a="1"/>
  <c r="I372" i="3" s="1"/>
  <c r="H372" i="3" a="1"/>
  <c r="H372" i="3" s="1"/>
  <c r="G372" i="3" a="1"/>
  <c r="G372" i="3" s="1"/>
  <c r="I371" i="3" a="1"/>
  <c r="I371" i="3" s="1"/>
  <c r="H371" i="3" a="1"/>
  <c r="H371" i="3" s="1"/>
  <c r="G371" i="3" a="1"/>
  <c r="G371" i="3" s="1"/>
  <c r="I370" i="3" a="1"/>
  <c r="I370" i="3" s="1"/>
  <c r="H370" i="3" a="1"/>
  <c r="H370" i="3" s="1"/>
  <c r="Q370" i="3" s="1"/>
  <c r="G370" i="3" a="1"/>
  <c r="G370" i="3" s="1"/>
  <c r="I369" i="3" a="1"/>
  <c r="I369" i="3" s="1"/>
  <c r="H369" i="3" a="1"/>
  <c r="H369" i="3" s="1"/>
  <c r="G369" i="3" a="1"/>
  <c r="G369" i="3" s="1"/>
  <c r="I368" i="3" a="1"/>
  <c r="I368" i="3" s="1"/>
  <c r="H368" i="3" a="1"/>
  <c r="H368" i="3" s="1"/>
  <c r="G368" i="3" a="1"/>
  <c r="G368" i="3" s="1"/>
  <c r="I367" i="3" a="1"/>
  <c r="I367" i="3" s="1"/>
  <c r="H367" i="3" a="1"/>
  <c r="H367" i="3" s="1"/>
  <c r="G367" i="3" a="1"/>
  <c r="G367" i="3" s="1"/>
  <c r="I366" i="3" a="1"/>
  <c r="I366" i="3" s="1"/>
  <c r="H366" i="3" a="1"/>
  <c r="H366" i="3" s="1"/>
  <c r="G366" i="3" a="1"/>
  <c r="G366" i="3" s="1"/>
  <c r="I365" i="3" a="1"/>
  <c r="I365" i="3" s="1"/>
  <c r="R365" i="3" s="1"/>
  <c r="H365" i="3" a="1"/>
  <c r="H365" i="3" s="1"/>
  <c r="Q365" i="3" s="1"/>
  <c r="G365" i="3" a="1"/>
  <c r="G365" i="3" s="1"/>
  <c r="P365" i="3" s="1"/>
  <c r="U365" i="3" s="1"/>
  <c r="I364" i="3" a="1"/>
  <c r="I364" i="3" s="1"/>
  <c r="H364" i="3" a="1"/>
  <c r="H364" i="3" s="1"/>
  <c r="Q364" i="3" s="1"/>
  <c r="G364" i="3" a="1"/>
  <c r="G364" i="3" s="1"/>
  <c r="P364" i="3" s="1"/>
  <c r="U364" i="3" s="1"/>
  <c r="I363" i="3" a="1"/>
  <c r="I363" i="3" s="1"/>
  <c r="H363" i="3" a="1"/>
  <c r="H363" i="3" s="1"/>
  <c r="G363" i="3" a="1"/>
  <c r="G363" i="3" s="1"/>
  <c r="I362" i="3" a="1"/>
  <c r="I362" i="3" s="1"/>
  <c r="H362" i="3" a="1"/>
  <c r="H362" i="3" s="1"/>
  <c r="G362" i="3" a="1"/>
  <c r="G362" i="3" s="1"/>
  <c r="I361" i="3" a="1"/>
  <c r="I361" i="3" s="1"/>
  <c r="H361" i="3" a="1"/>
  <c r="H361" i="3" s="1"/>
  <c r="G361" i="3" a="1"/>
  <c r="G361" i="3" s="1"/>
  <c r="I360" i="3" a="1"/>
  <c r="I360" i="3" s="1"/>
  <c r="H360" i="3" a="1"/>
  <c r="H360" i="3" s="1"/>
  <c r="G360" i="3" a="1"/>
  <c r="G360" i="3" s="1"/>
  <c r="I359" i="3" a="1"/>
  <c r="I359" i="3" s="1"/>
  <c r="R359" i="3" s="1"/>
  <c r="H359" i="3" a="1"/>
  <c r="H359" i="3" s="1"/>
  <c r="Q359" i="3" s="1"/>
  <c r="G359" i="3" a="1"/>
  <c r="G359" i="3" s="1"/>
  <c r="P359" i="3" s="1"/>
  <c r="U359" i="3" s="1"/>
  <c r="I358" i="3" a="1"/>
  <c r="I358" i="3" s="1"/>
  <c r="H358" i="3" a="1"/>
  <c r="H358" i="3" s="1"/>
  <c r="G358" i="3" a="1"/>
  <c r="G358" i="3" s="1"/>
  <c r="I357" i="3" a="1"/>
  <c r="I357" i="3" s="1"/>
  <c r="H357" i="3" a="1"/>
  <c r="H357" i="3" s="1"/>
  <c r="G357" i="3" a="1"/>
  <c r="G357" i="3" s="1"/>
  <c r="I356" i="3" a="1"/>
  <c r="I356" i="3" s="1"/>
  <c r="H356" i="3" a="1"/>
  <c r="H356" i="3" s="1"/>
  <c r="G356" i="3" a="1"/>
  <c r="G356" i="3" s="1"/>
  <c r="I355" i="3" a="1"/>
  <c r="I355" i="3" s="1"/>
  <c r="H355" i="3" a="1"/>
  <c r="H355" i="3" s="1"/>
  <c r="G355" i="3" a="1"/>
  <c r="G355" i="3" s="1"/>
  <c r="I354" i="3" a="1"/>
  <c r="I354" i="3" s="1"/>
  <c r="H354" i="3" a="1"/>
  <c r="H354" i="3" s="1"/>
  <c r="Q354" i="3" s="1"/>
  <c r="G354" i="3" a="1"/>
  <c r="G354" i="3" s="1"/>
  <c r="I353" i="3" a="1"/>
  <c r="I353" i="3" s="1"/>
  <c r="H353" i="3" a="1"/>
  <c r="H353" i="3" s="1"/>
  <c r="G353" i="3" a="1"/>
  <c r="G353" i="3" s="1"/>
  <c r="I352" i="3" a="1"/>
  <c r="I352" i="3" s="1"/>
  <c r="H352" i="3" a="1"/>
  <c r="H352" i="3" s="1"/>
  <c r="G352" i="3" a="1"/>
  <c r="G352" i="3" s="1"/>
  <c r="I351" i="3" a="1"/>
  <c r="I351" i="3" s="1"/>
  <c r="R351" i="3" s="1"/>
  <c r="H351" i="3" a="1"/>
  <c r="H351" i="3" s="1"/>
  <c r="G351" i="3" a="1"/>
  <c r="G351" i="3" s="1"/>
  <c r="I350" i="3" a="1"/>
  <c r="I350" i="3" s="1"/>
  <c r="H350" i="3" a="1"/>
  <c r="H350" i="3" s="1"/>
  <c r="G350" i="3" a="1"/>
  <c r="G350" i="3" s="1"/>
  <c r="I349" i="3" a="1"/>
  <c r="I349" i="3" s="1"/>
  <c r="H349" i="3" a="1"/>
  <c r="H349" i="3" s="1"/>
  <c r="G349" i="3" a="1"/>
  <c r="G349" i="3" s="1"/>
  <c r="I348" i="3" a="1"/>
  <c r="I348" i="3" s="1"/>
  <c r="H348" i="3" a="1"/>
  <c r="H348" i="3" s="1"/>
  <c r="G348" i="3" a="1"/>
  <c r="G348" i="3" s="1"/>
  <c r="I347" i="3" a="1"/>
  <c r="I347" i="3" s="1"/>
  <c r="H347" i="3" a="1"/>
  <c r="H347" i="3" s="1"/>
  <c r="G347" i="3" a="1"/>
  <c r="G347" i="3" s="1"/>
  <c r="I346" i="3" a="1"/>
  <c r="I346" i="3" s="1"/>
  <c r="R346" i="3" s="1"/>
  <c r="H346" i="3" a="1"/>
  <c r="H346" i="3" s="1"/>
  <c r="Q346" i="3" s="1"/>
  <c r="G346" i="3" a="1"/>
  <c r="G346" i="3" s="1"/>
  <c r="I345" i="3" a="1"/>
  <c r="I345" i="3" s="1"/>
  <c r="H345" i="3" a="1"/>
  <c r="H345" i="3" s="1"/>
  <c r="G345" i="3" a="1"/>
  <c r="G345" i="3" s="1"/>
  <c r="I344" i="3" a="1"/>
  <c r="I344" i="3" s="1"/>
  <c r="H344" i="3" a="1"/>
  <c r="H344" i="3" s="1"/>
  <c r="G344" i="3" a="1"/>
  <c r="G344" i="3" s="1"/>
  <c r="I343" i="3" a="1"/>
  <c r="I343" i="3" s="1"/>
  <c r="H343" i="3" a="1"/>
  <c r="H343" i="3" s="1"/>
  <c r="G343" i="3" a="1"/>
  <c r="G343" i="3" s="1"/>
  <c r="I342" i="3" a="1"/>
  <c r="I342" i="3" s="1"/>
  <c r="H342" i="3" a="1"/>
  <c r="H342" i="3" s="1"/>
  <c r="G342" i="3" a="1"/>
  <c r="G342" i="3" s="1"/>
  <c r="I341" i="3" a="1"/>
  <c r="I341" i="3" s="1"/>
  <c r="R341" i="3" s="1"/>
  <c r="H341" i="3" a="1"/>
  <c r="H341" i="3" s="1"/>
  <c r="Q341" i="3" s="1"/>
  <c r="G341" i="3" a="1"/>
  <c r="G341" i="3" s="1"/>
  <c r="P341" i="3" s="1"/>
  <c r="U341" i="3" s="1"/>
  <c r="I340" i="3" a="1"/>
  <c r="I340" i="3" s="1"/>
  <c r="H340" i="3" a="1"/>
  <c r="H340" i="3" s="1"/>
  <c r="G340" i="3" a="1"/>
  <c r="G340" i="3" s="1"/>
  <c r="I339" i="3" a="1"/>
  <c r="I339" i="3" s="1"/>
  <c r="H339" i="3" a="1"/>
  <c r="H339" i="3" s="1"/>
  <c r="G339" i="3" a="1"/>
  <c r="G339" i="3" s="1"/>
  <c r="I338" i="3" a="1"/>
  <c r="I338" i="3" s="1"/>
  <c r="H338" i="3" a="1"/>
  <c r="H338" i="3" s="1"/>
  <c r="Q338" i="3" s="1"/>
  <c r="G338" i="3" a="1"/>
  <c r="G338" i="3" s="1"/>
  <c r="I337" i="3" a="1"/>
  <c r="I337" i="3" s="1"/>
  <c r="H337" i="3" a="1"/>
  <c r="H337" i="3" s="1"/>
  <c r="G337" i="3" a="1"/>
  <c r="G337" i="3" s="1"/>
  <c r="I336" i="3" a="1"/>
  <c r="I336" i="3" s="1"/>
  <c r="H336" i="3" a="1"/>
  <c r="H336" i="3" s="1"/>
  <c r="G336" i="3" a="1"/>
  <c r="G336" i="3" s="1"/>
  <c r="I335" i="3" a="1"/>
  <c r="I335" i="3" s="1"/>
  <c r="H335" i="3" a="1"/>
  <c r="H335" i="3" s="1"/>
  <c r="G335" i="3" a="1"/>
  <c r="G335" i="3" s="1"/>
  <c r="I334" i="3" a="1"/>
  <c r="I334" i="3" s="1"/>
  <c r="H334" i="3" a="1"/>
  <c r="H334" i="3" s="1"/>
  <c r="G334" i="3" a="1"/>
  <c r="G334" i="3" s="1"/>
  <c r="I333" i="3" a="1"/>
  <c r="I333" i="3" s="1"/>
  <c r="R333" i="3" s="1"/>
  <c r="H333" i="3" a="1"/>
  <c r="H333" i="3" s="1"/>
  <c r="Q333" i="3" s="1"/>
  <c r="G333" i="3" a="1"/>
  <c r="G333" i="3" s="1"/>
  <c r="P333" i="3" s="1"/>
  <c r="U333" i="3" s="1"/>
  <c r="I332" i="3" a="1"/>
  <c r="I332" i="3" s="1"/>
  <c r="R332" i="3" s="1"/>
  <c r="H332" i="3" a="1"/>
  <c r="H332" i="3" s="1"/>
  <c r="Q332" i="3" s="1"/>
  <c r="G332" i="3" a="1"/>
  <c r="G332" i="3" s="1"/>
  <c r="P332" i="3" s="1"/>
  <c r="U332" i="3" s="1"/>
  <c r="I331" i="3" a="1"/>
  <c r="I331" i="3" s="1"/>
  <c r="H331" i="3" a="1"/>
  <c r="H331" i="3" s="1"/>
  <c r="G331" i="3" a="1"/>
  <c r="G331" i="3" s="1"/>
  <c r="I330" i="3" a="1"/>
  <c r="I330" i="3" s="1"/>
  <c r="H330" i="3" a="1"/>
  <c r="H330" i="3" s="1"/>
  <c r="G330" i="3" a="1"/>
  <c r="G330" i="3" s="1"/>
  <c r="I329" i="3" a="1"/>
  <c r="I329" i="3" s="1"/>
  <c r="H329" i="3" a="1"/>
  <c r="H329" i="3" s="1"/>
  <c r="G329" i="3" a="1"/>
  <c r="G329" i="3" s="1"/>
  <c r="I328" i="3" a="1"/>
  <c r="I328" i="3" s="1"/>
  <c r="H328" i="3" a="1"/>
  <c r="H328" i="3" s="1"/>
  <c r="G328" i="3" a="1"/>
  <c r="G328" i="3" s="1"/>
  <c r="I327" i="3" a="1"/>
  <c r="I327" i="3" s="1"/>
  <c r="R327" i="3" s="1"/>
  <c r="H327" i="3" a="1"/>
  <c r="H327" i="3" s="1"/>
  <c r="Q327" i="3" s="1"/>
  <c r="G327" i="3" a="1"/>
  <c r="G327" i="3" s="1"/>
  <c r="I326" i="3" a="1"/>
  <c r="I326" i="3" s="1"/>
  <c r="H326" i="3" a="1"/>
  <c r="H326" i="3" s="1"/>
  <c r="G326" i="3" a="1"/>
  <c r="G326" i="3" s="1"/>
  <c r="I325" i="3" a="1"/>
  <c r="I325" i="3" s="1"/>
  <c r="H325" i="3" a="1"/>
  <c r="H325" i="3" s="1"/>
  <c r="G325" i="3" a="1"/>
  <c r="G325" i="3" s="1"/>
  <c r="I324" i="3" a="1"/>
  <c r="I324" i="3" s="1"/>
  <c r="H324" i="3" a="1"/>
  <c r="H324" i="3" s="1"/>
  <c r="G324" i="3" a="1"/>
  <c r="G324" i="3" s="1"/>
  <c r="I323" i="3" a="1"/>
  <c r="I323" i="3" s="1"/>
  <c r="H323" i="3" a="1"/>
  <c r="H323" i="3" s="1"/>
  <c r="G323" i="3" a="1"/>
  <c r="G323" i="3" s="1"/>
  <c r="I322" i="3" a="1"/>
  <c r="I322" i="3" s="1"/>
  <c r="H322" i="3" a="1"/>
  <c r="H322" i="3" s="1"/>
  <c r="Q322" i="3" s="1"/>
  <c r="G322" i="3" a="1"/>
  <c r="G322" i="3" s="1"/>
  <c r="I321" i="3" a="1"/>
  <c r="I321" i="3" s="1"/>
  <c r="H321" i="3" a="1"/>
  <c r="H321" i="3" s="1"/>
  <c r="G321" i="3" a="1"/>
  <c r="G321" i="3" s="1"/>
  <c r="I320" i="3" a="1"/>
  <c r="I320" i="3" s="1"/>
  <c r="H320" i="3" a="1"/>
  <c r="H320" i="3" s="1"/>
  <c r="G320" i="3" a="1"/>
  <c r="G320" i="3" s="1"/>
  <c r="I319" i="3" a="1"/>
  <c r="I319" i="3" s="1"/>
  <c r="R319" i="3" s="1"/>
  <c r="H319" i="3" a="1"/>
  <c r="H319" i="3" s="1"/>
  <c r="G319" i="3" a="1"/>
  <c r="G319" i="3" s="1"/>
  <c r="I318" i="3" a="1"/>
  <c r="I318" i="3" s="1"/>
  <c r="H318" i="3" a="1"/>
  <c r="H318" i="3" s="1"/>
  <c r="G318" i="3" a="1"/>
  <c r="G318" i="3" s="1"/>
  <c r="I317" i="3" a="1"/>
  <c r="I317" i="3" s="1"/>
  <c r="H317" i="3" a="1"/>
  <c r="H317" i="3" s="1"/>
  <c r="G317" i="3" a="1"/>
  <c r="G317" i="3" s="1"/>
  <c r="I316" i="3" a="1"/>
  <c r="I316" i="3" s="1"/>
  <c r="H316" i="3" a="1"/>
  <c r="H316" i="3" s="1"/>
  <c r="G316" i="3" a="1"/>
  <c r="G316" i="3" s="1"/>
  <c r="I315" i="3" a="1"/>
  <c r="I315" i="3" s="1"/>
  <c r="H315" i="3" a="1"/>
  <c r="H315" i="3" s="1"/>
  <c r="G315" i="3" a="1"/>
  <c r="G315" i="3" s="1"/>
  <c r="I314" i="3" a="1"/>
  <c r="I314" i="3" s="1"/>
  <c r="R314" i="3" s="1"/>
  <c r="H314" i="3" a="1"/>
  <c r="H314" i="3" s="1"/>
  <c r="Q314" i="3" s="1"/>
  <c r="G314" i="3" a="1"/>
  <c r="G314" i="3" s="1"/>
  <c r="I313" i="3" a="1"/>
  <c r="I313" i="3" s="1"/>
  <c r="H313" i="3" a="1"/>
  <c r="H313" i="3" s="1"/>
  <c r="G313" i="3" a="1"/>
  <c r="G313" i="3" s="1"/>
  <c r="I312" i="3" a="1"/>
  <c r="I312" i="3" s="1"/>
  <c r="H312" i="3" a="1"/>
  <c r="H312" i="3" s="1"/>
  <c r="G312" i="3" a="1"/>
  <c r="G312" i="3" s="1"/>
  <c r="I311" i="3" a="1"/>
  <c r="I311" i="3" s="1"/>
  <c r="H311" i="3" a="1"/>
  <c r="H311" i="3" s="1"/>
  <c r="G311" i="3" a="1"/>
  <c r="G311" i="3" s="1"/>
  <c r="I310" i="3" a="1"/>
  <c r="I310" i="3" s="1"/>
  <c r="H310" i="3" a="1"/>
  <c r="H310" i="3" s="1"/>
  <c r="G310" i="3" a="1"/>
  <c r="G310" i="3" s="1"/>
  <c r="I309" i="3" a="1"/>
  <c r="I309" i="3" s="1"/>
  <c r="R309" i="3" s="1"/>
  <c r="H309" i="3" a="1"/>
  <c r="H309" i="3" s="1"/>
  <c r="Q309" i="3" s="1"/>
  <c r="G309" i="3" a="1"/>
  <c r="G309" i="3" s="1"/>
  <c r="P309" i="3" s="1"/>
  <c r="U309" i="3" s="1"/>
  <c r="I308" i="3" a="1"/>
  <c r="I308" i="3" s="1"/>
  <c r="H308" i="3" a="1"/>
  <c r="H308" i="3" s="1"/>
  <c r="G308" i="3" a="1"/>
  <c r="G308" i="3" s="1"/>
  <c r="I307" i="3" a="1"/>
  <c r="I307" i="3" s="1"/>
  <c r="H307" i="3" a="1"/>
  <c r="H307" i="3" s="1"/>
  <c r="G307" i="3" a="1"/>
  <c r="G307" i="3" s="1"/>
  <c r="I306" i="3" a="1"/>
  <c r="I306" i="3" s="1"/>
  <c r="H306" i="3" a="1"/>
  <c r="H306" i="3" s="1"/>
  <c r="G306" i="3" a="1"/>
  <c r="G306" i="3" s="1"/>
  <c r="I305" i="3" a="1"/>
  <c r="I305" i="3" s="1"/>
  <c r="H305" i="3" a="1"/>
  <c r="H305" i="3" s="1"/>
  <c r="G305" i="3" a="1"/>
  <c r="G305" i="3" s="1"/>
  <c r="I304" i="3" a="1"/>
  <c r="I304" i="3" s="1"/>
  <c r="H304" i="3" a="1"/>
  <c r="H304" i="3" s="1"/>
  <c r="G304" i="3" a="1"/>
  <c r="G304" i="3" s="1"/>
  <c r="I303" i="3" a="1"/>
  <c r="I303" i="3" s="1"/>
  <c r="H303" i="3" a="1"/>
  <c r="H303" i="3" s="1"/>
  <c r="G303" i="3" a="1"/>
  <c r="G303" i="3" s="1"/>
  <c r="I302" i="3" a="1"/>
  <c r="I302" i="3" s="1"/>
  <c r="H302" i="3" a="1"/>
  <c r="H302" i="3" s="1"/>
  <c r="G302" i="3" a="1"/>
  <c r="G302" i="3" s="1"/>
  <c r="I301" i="3" a="1"/>
  <c r="I301" i="3" s="1"/>
  <c r="H301" i="3" a="1"/>
  <c r="H301" i="3" s="1"/>
  <c r="G301" i="3" a="1"/>
  <c r="G301" i="3" s="1"/>
  <c r="I300" i="3" a="1"/>
  <c r="I300" i="3" s="1"/>
  <c r="R300" i="3" s="1"/>
  <c r="H300" i="3" a="1"/>
  <c r="H300" i="3" s="1"/>
  <c r="Q300" i="3" s="1"/>
  <c r="G300" i="3" a="1"/>
  <c r="G300" i="3" s="1"/>
  <c r="P300" i="3" s="1"/>
  <c r="U300" i="3" s="1"/>
  <c r="I299" i="3" a="1"/>
  <c r="I299" i="3" s="1"/>
  <c r="H299" i="3" a="1"/>
  <c r="H299" i="3" s="1"/>
  <c r="G299" i="3" a="1"/>
  <c r="G299" i="3" s="1"/>
  <c r="I298" i="3" a="1"/>
  <c r="I298" i="3" s="1"/>
  <c r="R298" i="3" s="1"/>
  <c r="H298" i="3" a="1"/>
  <c r="H298" i="3" s="1"/>
  <c r="Q298" i="3" s="1"/>
  <c r="G298" i="3" a="1"/>
  <c r="G298" i="3" s="1"/>
  <c r="I297" i="3" a="1"/>
  <c r="I297" i="3" s="1"/>
  <c r="H297" i="3" a="1"/>
  <c r="H297" i="3" s="1"/>
  <c r="G297" i="3" a="1"/>
  <c r="G297" i="3" s="1"/>
  <c r="I296" i="3" a="1"/>
  <c r="I296" i="3" s="1"/>
  <c r="H296" i="3" a="1"/>
  <c r="H296" i="3" s="1"/>
  <c r="G296" i="3" a="1"/>
  <c r="G296" i="3" s="1"/>
  <c r="I295" i="3" a="1"/>
  <c r="I295" i="3" s="1"/>
  <c r="R295" i="3" s="1"/>
  <c r="H295" i="3" a="1"/>
  <c r="H295" i="3" s="1"/>
  <c r="Q295" i="3" s="1"/>
  <c r="G295" i="3" a="1"/>
  <c r="G295" i="3" s="1"/>
  <c r="I294" i="3" a="1"/>
  <c r="I294" i="3" s="1"/>
  <c r="H294" i="3" a="1"/>
  <c r="H294" i="3" s="1"/>
  <c r="G294" i="3" a="1"/>
  <c r="G294" i="3" s="1"/>
  <c r="I293" i="3" a="1"/>
  <c r="I293" i="3" s="1"/>
  <c r="H293" i="3" a="1"/>
  <c r="H293" i="3" s="1"/>
  <c r="G293" i="3" a="1"/>
  <c r="G293" i="3" s="1"/>
  <c r="I292" i="3" a="1"/>
  <c r="I292" i="3" s="1"/>
  <c r="H292" i="3" a="1"/>
  <c r="H292" i="3" s="1"/>
  <c r="G292" i="3" a="1"/>
  <c r="G292" i="3" s="1"/>
  <c r="I291" i="3" a="1"/>
  <c r="I291" i="3" s="1"/>
  <c r="H291" i="3" a="1"/>
  <c r="H291" i="3" s="1"/>
  <c r="G291" i="3" a="1"/>
  <c r="G291" i="3" s="1"/>
  <c r="I290" i="3" a="1"/>
  <c r="I290" i="3" s="1"/>
  <c r="H290" i="3" a="1"/>
  <c r="H290" i="3" s="1"/>
  <c r="Q290" i="3" s="1"/>
  <c r="G290" i="3" a="1"/>
  <c r="G290" i="3" s="1"/>
  <c r="I289" i="3" a="1"/>
  <c r="I289" i="3" s="1"/>
  <c r="H289" i="3" a="1"/>
  <c r="H289" i="3" s="1"/>
  <c r="G289" i="3" a="1"/>
  <c r="G289" i="3" s="1"/>
  <c r="I288" i="3" a="1"/>
  <c r="I288" i="3" s="1"/>
  <c r="H288" i="3" a="1"/>
  <c r="H288" i="3" s="1"/>
  <c r="G288" i="3" a="1"/>
  <c r="G288" i="3" s="1"/>
  <c r="I287" i="3" a="1"/>
  <c r="I287" i="3" s="1"/>
  <c r="H287" i="3" a="1"/>
  <c r="H287" i="3" s="1"/>
  <c r="G287" i="3" a="1"/>
  <c r="G287" i="3" s="1"/>
  <c r="I286" i="3" a="1"/>
  <c r="I286" i="3" s="1"/>
  <c r="H286" i="3" a="1"/>
  <c r="H286" i="3" s="1"/>
  <c r="G286" i="3" a="1"/>
  <c r="G286" i="3" s="1"/>
  <c r="I285" i="3" a="1"/>
  <c r="I285" i="3" s="1"/>
  <c r="R285" i="3" s="1"/>
  <c r="H285" i="3" a="1"/>
  <c r="H285" i="3" s="1"/>
  <c r="Q285" i="3" s="1"/>
  <c r="G285" i="3" a="1"/>
  <c r="G285" i="3" s="1"/>
  <c r="P285" i="3" s="1"/>
  <c r="U285" i="3" s="1"/>
  <c r="I284" i="3" a="1"/>
  <c r="I284" i="3" s="1"/>
  <c r="R284" i="3" s="1"/>
  <c r="H284" i="3" a="1"/>
  <c r="H284" i="3" s="1"/>
  <c r="Q284" i="3" s="1"/>
  <c r="G284" i="3" a="1"/>
  <c r="G284" i="3" s="1"/>
  <c r="P284" i="3" s="1"/>
  <c r="U284" i="3" s="1"/>
  <c r="I283" i="3" a="1"/>
  <c r="I283" i="3" s="1"/>
  <c r="H283" i="3" a="1"/>
  <c r="H283" i="3" s="1"/>
  <c r="G283" i="3" a="1"/>
  <c r="G283" i="3" s="1"/>
  <c r="I282" i="3" a="1"/>
  <c r="I282" i="3" s="1"/>
  <c r="H282" i="3" a="1"/>
  <c r="H282" i="3" s="1"/>
  <c r="G282" i="3" a="1"/>
  <c r="G282" i="3" s="1"/>
  <c r="I281" i="3" a="1"/>
  <c r="I281" i="3" s="1"/>
  <c r="H281" i="3" a="1"/>
  <c r="H281" i="3" s="1"/>
  <c r="G281" i="3" a="1"/>
  <c r="G281" i="3" s="1"/>
  <c r="I280" i="3" a="1"/>
  <c r="I280" i="3" s="1"/>
  <c r="H280" i="3" a="1"/>
  <c r="H280" i="3" s="1"/>
  <c r="G280" i="3" a="1"/>
  <c r="G280" i="3" s="1"/>
  <c r="I279" i="3" a="1"/>
  <c r="I279" i="3" s="1"/>
  <c r="H279" i="3" a="1"/>
  <c r="H279" i="3" s="1"/>
  <c r="G279" i="3" a="1"/>
  <c r="G279" i="3" s="1"/>
  <c r="I278" i="3" a="1"/>
  <c r="I278" i="3" s="1"/>
  <c r="H278" i="3" a="1"/>
  <c r="H278" i="3" s="1"/>
  <c r="G278" i="3" a="1"/>
  <c r="G278" i="3" s="1"/>
  <c r="I277" i="3" a="1"/>
  <c r="I277" i="3" s="1"/>
  <c r="R277" i="3" s="1"/>
  <c r="H277" i="3" a="1"/>
  <c r="H277" i="3" s="1"/>
  <c r="Q277" i="3" s="1"/>
  <c r="G277" i="3" a="1"/>
  <c r="G277" i="3" s="1"/>
  <c r="P277" i="3" s="1"/>
  <c r="U277" i="3" s="1"/>
  <c r="I276" i="3" a="1"/>
  <c r="I276" i="3" s="1"/>
  <c r="H276" i="3" a="1"/>
  <c r="H276" i="3" s="1"/>
  <c r="G276" i="3" a="1"/>
  <c r="G276" i="3" s="1"/>
  <c r="I275" i="3" a="1"/>
  <c r="I275" i="3" s="1"/>
  <c r="H275" i="3" a="1"/>
  <c r="H275" i="3" s="1"/>
  <c r="G275" i="3" a="1"/>
  <c r="G275" i="3" s="1"/>
  <c r="I274" i="3" a="1"/>
  <c r="I274" i="3" s="1"/>
  <c r="H274" i="3" a="1"/>
  <c r="H274" i="3" s="1"/>
  <c r="G274" i="3" a="1"/>
  <c r="G274" i="3" s="1"/>
  <c r="I273" i="3" a="1"/>
  <c r="I273" i="3" s="1"/>
  <c r="H273" i="3" a="1"/>
  <c r="H273" i="3" s="1"/>
  <c r="G273" i="3" a="1"/>
  <c r="G273" i="3" s="1"/>
  <c r="I272" i="3" a="1"/>
  <c r="I272" i="3" s="1"/>
  <c r="H272" i="3" a="1"/>
  <c r="H272" i="3" s="1"/>
  <c r="Q272" i="3" s="1"/>
  <c r="G272" i="3" a="1"/>
  <c r="G272" i="3" s="1"/>
  <c r="I271" i="3" a="1"/>
  <c r="I271" i="3" s="1"/>
  <c r="R271" i="3" s="1"/>
  <c r="H271" i="3" a="1"/>
  <c r="H271" i="3" s="1"/>
  <c r="G271" i="3" a="1"/>
  <c r="G271" i="3" s="1"/>
  <c r="I270" i="3" a="1"/>
  <c r="I270" i="3" s="1"/>
  <c r="H270" i="3" a="1"/>
  <c r="H270" i="3" s="1"/>
  <c r="G270" i="3" a="1"/>
  <c r="G270" i="3" s="1"/>
  <c r="I269" i="3" a="1"/>
  <c r="I269" i="3" s="1"/>
  <c r="H269" i="3" a="1"/>
  <c r="H269" i="3" s="1"/>
  <c r="G269" i="3" a="1"/>
  <c r="G269" i="3" s="1"/>
  <c r="I268" i="3" a="1"/>
  <c r="I268" i="3" s="1"/>
  <c r="H268" i="3" a="1"/>
  <c r="H268" i="3" s="1"/>
  <c r="G268" i="3" a="1"/>
  <c r="G268" i="3" s="1"/>
  <c r="I267" i="3" a="1"/>
  <c r="I267" i="3" s="1"/>
  <c r="H267" i="3" a="1"/>
  <c r="H267" i="3" s="1"/>
  <c r="G267" i="3" a="1"/>
  <c r="G267" i="3" s="1"/>
  <c r="I266" i="3" a="1"/>
  <c r="I266" i="3" s="1"/>
  <c r="R266" i="3" s="1"/>
  <c r="H266" i="3" a="1"/>
  <c r="H266" i="3" s="1"/>
  <c r="Q266" i="3" s="1"/>
  <c r="G266" i="3" a="1"/>
  <c r="G266" i="3" s="1"/>
  <c r="I265" i="3" a="1"/>
  <c r="I265" i="3" s="1"/>
  <c r="H265" i="3" a="1"/>
  <c r="H265" i="3" s="1"/>
  <c r="G265" i="3" a="1"/>
  <c r="G265" i="3" s="1"/>
  <c r="I264" i="3" a="1"/>
  <c r="I264" i="3" s="1"/>
  <c r="H264" i="3" a="1"/>
  <c r="H264" i="3" s="1"/>
  <c r="G264" i="3" a="1"/>
  <c r="G264" i="3" s="1"/>
  <c r="I263" i="3" a="1"/>
  <c r="I263" i="3" s="1"/>
  <c r="R263" i="3" s="1"/>
  <c r="H263" i="3" a="1"/>
  <c r="H263" i="3" s="1"/>
  <c r="Q263" i="3" s="1"/>
  <c r="G263" i="3" a="1"/>
  <c r="G263" i="3" s="1"/>
  <c r="I262" i="3" a="1"/>
  <c r="I262" i="3" s="1"/>
  <c r="R262" i="3" s="1"/>
  <c r="H262" i="3" a="1"/>
  <c r="H262" i="3" s="1"/>
  <c r="G262" i="3" a="1"/>
  <c r="G262" i="3" s="1"/>
  <c r="I261" i="3" a="1"/>
  <c r="I261" i="3" s="1"/>
  <c r="H261" i="3" a="1"/>
  <c r="H261" i="3" s="1"/>
  <c r="G261" i="3" a="1"/>
  <c r="G261" i="3" s="1"/>
  <c r="I260" i="3" a="1"/>
  <c r="I260" i="3" s="1"/>
  <c r="H260" i="3" a="1"/>
  <c r="H260" i="3" s="1"/>
  <c r="G260" i="3" a="1"/>
  <c r="G260" i="3" s="1"/>
  <c r="I259" i="3" a="1"/>
  <c r="I259" i="3" s="1"/>
  <c r="H259" i="3" a="1"/>
  <c r="H259" i="3" s="1"/>
  <c r="G259" i="3" a="1"/>
  <c r="G259" i="3" s="1"/>
  <c r="I258" i="3" a="1"/>
  <c r="I258" i="3" s="1"/>
  <c r="H258" i="3" a="1"/>
  <c r="H258" i="3" s="1"/>
  <c r="Q258" i="3" s="1"/>
  <c r="G258" i="3" a="1"/>
  <c r="G258" i="3" s="1"/>
  <c r="I257" i="3" a="1"/>
  <c r="I257" i="3" s="1"/>
  <c r="H257" i="3" a="1"/>
  <c r="H257" i="3" s="1"/>
  <c r="G257" i="3" a="1"/>
  <c r="G257" i="3" s="1"/>
  <c r="I256" i="3" a="1"/>
  <c r="I256" i="3" s="1"/>
  <c r="H256" i="3" a="1"/>
  <c r="H256" i="3" s="1"/>
  <c r="Q256" i="3" s="1"/>
  <c r="G256" i="3" a="1"/>
  <c r="G256" i="3" s="1"/>
  <c r="I255" i="3" a="1"/>
  <c r="I255" i="3" s="1"/>
  <c r="H255" i="3" a="1"/>
  <c r="H255" i="3" s="1"/>
  <c r="G255" i="3" a="1"/>
  <c r="G255" i="3" s="1"/>
  <c r="I254" i="3" a="1"/>
  <c r="I254" i="3" s="1"/>
  <c r="H254" i="3" a="1"/>
  <c r="H254" i="3" s="1"/>
  <c r="G254" i="3" a="1"/>
  <c r="G254" i="3" s="1"/>
  <c r="I253" i="3" a="1"/>
  <c r="I253" i="3" s="1"/>
  <c r="R253" i="3" s="1"/>
  <c r="H253" i="3" a="1"/>
  <c r="H253" i="3" s="1"/>
  <c r="Q253" i="3" s="1"/>
  <c r="G253" i="3" a="1"/>
  <c r="G253" i="3" s="1"/>
  <c r="P253" i="3" s="1"/>
  <c r="I252" i="3" a="1"/>
  <c r="I252" i="3" s="1"/>
  <c r="R252" i="3" s="1"/>
  <c r="H252" i="3" a="1"/>
  <c r="H252" i="3" s="1"/>
  <c r="Q252" i="3" s="1"/>
  <c r="G252" i="3" a="1"/>
  <c r="G252" i="3" s="1"/>
  <c r="P252" i="3" s="1"/>
  <c r="I251" i="3" a="1"/>
  <c r="I251" i="3" s="1"/>
  <c r="H251" i="3" a="1"/>
  <c r="H251" i="3" s="1"/>
  <c r="G251" i="3" a="1"/>
  <c r="G251" i="3" s="1"/>
  <c r="I250" i="3" a="1"/>
  <c r="I250" i="3" s="1"/>
  <c r="H250" i="3" a="1"/>
  <c r="H250" i="3" s="1"/>
  <c r="G250" i="3" a="1"/>
  <c r="G250" i="3" s="1"/>
  <c r="I249" i="3" a="1"/>
  <c r="I249" i="3" s="1"/>
  <c r="H249" i="3" a="1"/>
  <c r="H249" i="3" s="1"/>
  <c r="G249" i="3" a="1"/>
  <c r="G249" i="3" s="1"/>
  <c r="I248" i="3" a="1"/>
  <c r="I248" i="3" s="1"/>
  <c r="H248" i="3" a="1"/>
  <c r="H248" i="3" s="1"/>
  <c r="G248" i="3" a="1"/>
  <c r="G248" i="3" s="1"/>
  <c r="I247" i="3" a="1"/>
  <c r="I247" i="3" s="1"/>
  <c r="H247" i="3" a="1"/>
  <c r="H247" i="3" s="1"/>
  <c r="G247" i="3" a="1"/>
  <c r="G247" i="3" s="1"/>
  <c r="I246" i="3" a="1"/>
  <c r="I246" i="3" s="1"/>
  <c r="H246" i="3" a="1"/>
  <c r="H246" i="3" s="1"/>
  <c r="G246" i="3" a="1"/>
  <c r="G246" i="3" s="1"/>
  <c r="I245" i="3" a="1"/>
  <c r="I245" i="3" s="1"/>
  <c r="H245" i="3" a="1"/>
  <c r="H245" i="3" s="1"/>
  <c r="G245" i="3" a="1"/>
  <c r="G245" i="3" s="1"/>
  <c r="I244" i="3" a="1"/>
  <c r="I244" i="3" s="1"/>
  <c r="H244" i="3" a="1"/>
  <c r="H244" i="3" s="1"/>
  <c r="G244" i="3" a="1"/>
  <c r="G244" i="3" s="1"/>
  <c r="I243" i="3" a="1"/>
  <c r="I243" i="3" s="1"/>
  <c r="H243" i="3" a="1"/>
  <c r="H243" i="3" s="1"/>
  <c r="G243" i="3" a="1"/>
  <c r="G243" i="3" s="1"/>
  <c r="I242" i="3" a="1"/>
  <c r="I242" i="3" s="1"/>
  <c r="H242" i="3" a="1"/>
  <c r="H242" i="3" s="1"/>
  <c r="Q242" i="3" s="1"/>
  <c r="G242" i="3" a="1"/>
  <c r="G242" i="3" s="1"/>
  <c r="M445" i="3"/>
  <c r="M444" i="3"/>
  <c r="M439" i="3"/>
  <c r="M438" i="3"/>
  <c r="M434" i="3"/>
  <c r="M429" i="3"/>
  <c r="M412" i="3"/>
  <c r="M407" i="3"/>
  <c r="M406" i="3"/>
  <c r="M402" i="3"/>
  <c r="M397" i="3"/>
  <c r="M396" i="3"/>
  <c r="M391" i="3"/>
  <c r="M380" i="3"/>
  <c r="M375" i="3"/>
  <c r="M374" i="3"/>
  <c r="M370" i="3"/>
  <c r="M365" i="3"/>
  <c r="M364" i="3"/>
  <c r="M359" i="3"/>
  <c r="M342" i="3"/>
  <c r="M338" i="3"/>
  <c r="M333" i="3"/>
  <c r="M332" i="3"/>
  <c r="M327" i="3"/>
  <c r="M326" i="3"/>
  <c r="M322" i="3"/>
  <c r="M321" i="3"/>
  <c r="M317" i="3"/>
  <c r="M300" i="3"/>
  <c r="M295" i="3"/>
  <c r="M290" i="3"/>
  <c r="M285" i="3"/>
  <c r="M284" i="3"/>
  <c r="M268" i="3"/>
  <c r="M258" i="3"/>
  <c r="M253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H239" i="3"/>
  <c r="G239" i="3"/>
  <c r="H238" i="3"/>
  <c r="G238" i="3"/>
  <c r="H237" i="3"/>
  <c r="G237" i="3"/>
  <c r="H236" i="3"/>
  <c r="G236" i="3"/>
  <c r="H235" i="3"/>
  <c r="G235" i="3"/>
  <c r="H234" i="3"/>
  <c r="G234" i="3"/>
  <c r="H233" i="3"/>
  <c r="G233" i="3"/>
  <c r="H232" i="3"/>
  <c r="G232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H222" i="3"/>
  <c r="G222" i="3"/>
  <c r="H221" i="3"/>
  <c r="G221" i="3"/>
  <c r="H220" i="3"/>
  <c r="G220" i="3"/>
  <c r="H219" i="3"/>
  <c r="G219" i="3"/>
  <c r="H218" i="3"/>
  <c r="G218" i="3"/>
  <c r="H217" i="3"/>
  <c r="G217" i="3"/>
  <c r="H216" i="3"/>
  <c r="G216" i="3"/>
  <c r="H215" i="3"/>
  <c r="G215" i="3"/>
  <c r="H214" i="3"/>
  <c r="G214" i="3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H206" i="3"/>
  <c r="G206" i="3"/>
  <c r="H205" i="3"/>
  <c r="G205" i="3"/>
  <c r="H204" i="3"/>
  <c r="G204" i="3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J186" i="3"/>
  <c r="H186" i="3"/>
  <c r="G186" i="3"/>
  <c r="H185" i="3"/>
  <c r="G185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H173" i="3"/>
  <c r="G173" i="3"/>
  <c r="I172" i="3"/>
  <c r="I241" i="3" s="1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30" i="3"/>
  <c r="G129" i="3"/>
  <c r="G128" i="3"/>
  <c r="G127" i="3"/>
  <c r="G126" i="3"/>
  <c r="G125" i="3"/>
  <c r="G123" i="3"/>
  <c r="G122" i="3"/>
  <c r="G124" i="3" s="1"/>
  <c r="G119" i="3"/>
  <c r="G121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13" i="5"/>
  <c r="M256" i="3" l="1"/>
  <c r="Q282" i="3"/>
  <c r="R268" i="3"/>
  <c r="R282" i="3"/>
  <c r="R394" i="3"/>
  <c r="P268" i="3"/>
  <c r="U268" i="3" s="1"/>
  <c r="Q268" i="3"/>
  <c r="P261" i="3"/>
  <c r="P317" i="3"/>
  <c r="U317" i="3" s="1"/>
  <c r="Q247" i="3"/>
  <c r="Q261" i="3"/>
  <c r="Q317" i="3"/>
  <c r="R247" i="3"/>
  <c r="R261" i="3"/>
  <c r="R303" i="3"/>
  <c r="R317" i="3"/>
  <c r="P316" i="3"/>
  <c r="U316" i="3" s="1"/>
  <c r="P428" i="3"/>
  <c r="U428" i="3" s="1"/>
  <c r="Q274" i="3"/>
  <c r="P293" i="3"/>
  <c r="U293" i="3" s="1"/>
  <c r="Q316" i="3"/>
  <c r="Q330" i="3"/>
  <c r="P349" i="3"/>
  <c r="U349" i="3" s="1"/>
  <c r="Q386" i="3"/>
  <c r="P391" i="3"/>
  <c r="U391" i="3" s="1"/>
  <c r="P405" i="3"/>
  <c r="U405" i="3" s="1"/>
  <c r="Q428" i="3"/>
  <c r="Q442" i="3"/>
  <c r="R246" i="3"/>
  <c r="Q279" i="3"/>
  <c r="Q293" i="3"/>
  <c r="R316" i="3"/>
  <c r="R330" i="3"/>
  <c r="Q349" i="3"/>
  <c r="Q391" i="3"/>
  <c r="Q405" i="3"/>
  <c r="R442" i="3"/>
  <c r="R279" i="3"/>
  <c r="R293" i="3"/>
  <c r="R335" i="3"/>
  <c r="R349" i="3"/>
  <c r="R391" i="3"/>
  <c r="R405" i="3"/>
  <c r="I201" i="3"/>
  <c r="I213" i="3"/>
  <c r="I197" i="3"/>
  <c r="I233" i="3"/>
  <c r="I188" i="3"/>
  <c r="I198" i="3"/>
  <c r="I229" i="3"/>
  <c r="I196" i="3"/>
  <c r="I222" i="3"/>
  <c r="I217" i="3"/>
  <c r="H147" i="3"/>
  <c r="I184" i="3"/>
  <c r="I194" i="3"/>
  <c r="I204" i="3"/>
  <c r="I214" i="3"/>
  <c r="I206" i="3"/>
  <c r="I216" i="3"/>
  <c r="I191" i="3"/>
  <c r="I207" i="3"/>
  <c r="I228" i="3"/>
  <c r="I189" i="3"/>
  <c r="I199" i="3"/>
  <c r="I230" i="3"/>
  <c r="I232" i="3"/>
  <c r="I210" i="3"/>
  <c r="I220" i="3"/>
  <c r="I185" i="3"/>
  <c r="I195" i="3"/>
  <c r="I205" i="3"/>
  <c r="I215" i="3"/>
  <c r="I226" i="3"/>
  <c r="I236" i="3"/>
  <c r="I237" i="3"/>
  <c r="I212" i="3"/>
  <c r="I190" i="3"/>
  <c r="I200" i="3"/>
  <c r="I231" i="3"/>
  <c r="I186" i="3"/>
  <c r="I227" i="3"/>
  <c r="I211" i="3"/>
  <c r="I221" i="3"/>
  <c r="P269" i="3"/>
  <c r="U269" i="3" s="1"/>
  <c r="P325" i="3"/>
  <c r="U325" i="3" s="1"/>
  <c r="Q311" i="3"/>
  <c r="Q325" i="3"/>
  <c r="Q381" i="3"/>
  <c r="Q423" i="3"/>
  <c r="Q437" i="3"/>
  <c r="Q269" i="3"/>
  <c r="M257" i="3"/>
  <c r="M263" i="3"/>
  <c r="P301" i="3"/>
  <c r="U301" i="3" s="1"/>
  <c r="P357" i="3"/>
  <c r="U357" i="3" s="1"/>
  <c r="P413" i="3"/>
  <c r="U413" i="3" s="1"/>
  <c r="Q245" i="3"/>
  <c r="Q301" i="3"/>
  <c r="Q343" i="3"/>
  <c r="P348" i="3"/>
  <c r="U348" i="3" s="1"/>
  <c r="Q357" i="3"/>
  <c r="Q413" i="3"/>
  <c r="R245" i="3"/>
  <c r="Q250" i="3"/>
  <c r="R287" i="3"/>
  <c r="R301" i="3"/>
  <c r="Q306" i="3"/>
  <c r="R343" i="3"/>
  <c r="Q348" i="3"/>
  <c r="R357" i="3"/>
  <c r="Q362" i="3"/>
  <c r="P381" i="3"/>
  <c r="U381" i="3" s="1"/>
  <c r="R399" i="3"/>
  <c r="R413" i="3"/>
  <c r="Q418" i="3"/>
  <c r="P423" i="3"/>
  <c r="U423" i="3" s="1"/>
  <c r="P437" i="3"/>
  <c r="U437" i="3" s="1"/>
  <c r="P245" i="3"/>
  <c r="R250" i="3"/>
  <c r="R255" i="3"/>
  <c r="R269" i="3"/>
  <c r="R311" i="3"/>
  <c r="R325" i="3"/>
  <c r="R367" i="3"/>
  <c r="R381" i="3"/>
  <c r="R437" i="3"/>
  <c r="R348" i="3"/>
  <c r="R362" i="3"/>
  <c r="M262" i="3"/>
  <c r="M252" i="3"/>
  <c r="P246" i="3"/>
  <c r="P262" i="3"/>
  <c r="P278" i="3"/>
  <c r="U278" i="3" s="1"/>
  <c r="P294" i="3"/>
  <c r="U294" i="3" s="1"/>
  <c r="P310" i="3"/>
  <c r="U310" i="3" s="1"/>
  <c r="P326" i="3"/>
  <c r="U326" i="3" s="1"/>
  <c r="P342" i="3"/>
  <c r="U342" i="3" s="1"/>
  <c r="P358" i="3"/>
  <c r="U358" i="3" s="1"/>
  <c r="P374" i="3"/>
  <c r="U374" i="3" s="1"/>
  <c r="P390" i="3"/>
  <c r="U390" i="3" s="1"/>
  <c r="Q246" i="3"/>
  <c r="P257" i="3"/>
  <c r="Q262" i="3"/>
  <c r="P273" i="3"/>
  <c r="U273" i="3" s="1"/>
  <c r="Q278" i="3"/>
  <c r="P289" i="3"/>
  <c r="U289" i="3" s="1"/>
  <c r="Q294" i="3"/>
  <c r="P305" i="3"/>
  <c r="U305" i="3" s="1"/>
  <c r="Q310" i="3"/>
  <c r="P321" i="3"/>
  <c r="U321" i="3" s="1"/>
  <c r="Q326" i="3"/>
  <c r="P337" i="3"/>
  <c r="U337" i="3" s="1"/>
  <c r="Q342" i="3"/>
  <c r="P353" i="3"/>
  <c r="U353" i="3" s="1"/>
  <c r="Q358" i="3"/>
  <c r="P369" i="3"/>
  <c r="U369" i="3" s="1"/>
  <c r="Q374" i="3"/>
  <c r="P385" i="3"/>
  <c r="U385" i="3" s="1"/>
  <c r="Q390" i="3"/>
  <c r="P401" i="3"/>
  <c r="U401" i="3" s="1"/>
  <c r="Q406" i="3"/>
  <c r="P417" i="3"/>
  <c r="U417" i="3" s="1"/>
  <c r="Q422" i="3"/>
  <c r="P433" i="3"/>
  <c r="U433" i="3" s="1"/>
  <c r="Q257" i="3"/>
  <c r="Q273" i="3"/>
  <c r="R278" i="3"/>
  <c r="Q289" i="3"/>
  <c r="R294" i="3"/>
  <c r="Q305" i="3"/>
  <c r="R310" i="3"/>
  <c r="Q321" i="3"/>
  <c r="R326" i="3"/>
  <c r="Q337" i="3"/>
  <c r="R342" i="3"/>
  <c r="Q353" i="3"/>
  <c r="R358" i="3"/>
  <c r="Q369" i="3"/>
  <c r="R374" i="3"/>
  <c r="Q385" i="3"/>
  <c r="R390" i="3"/>
  <c r="Q401" i="3"/>
  <c r="R406" i="3"/>
  <c r="Q417" i="3"/>
  <c r="R422" i="3"/>
  <c r="Q433" i="3"/>
  <c r="R438" i="3"/>
  <c r="R257" i="3"/>
  <c r="R273" i="3"/>
  <c r="R289" i="3"/>
  <c r="R305" i="3"/>
  <c r="R321" i="3"/>
  <c r="R337" i="3"/>
  <c r="R353" i="3"/>
  <c r="R369" i="3"/>
  <c r="R385" i="3"/>
  <c r="R401" i="3"/>
  <c r="R417" i="3"/>
  <c r="R433" i="3"/>
  <c r="P406" i="3"/>
  <c r="U406" i="3" s="1"/>
  <c r="P422" i="3"/>
  <c r="U422" i="3" s="1"/>
  <c r="P438" i="3"/>
  <c r="U438" i="3" s="1"/>
  <c r="Q438" i="3"/>
  <c r="P251" i="3"/>
  <c r="P267" i="3"/>
  <c r="U267" i="3" s="1"/>
  <c r="P283" i="3"/>
  <c r="U283" i="3" s="1"/>
  <c r="P299" i="3"/>
  <c r="U299" i="3" s="1"/>
  <c r="P315" i="3"/>
  <c r="U315" i="3" s="1"/>
  <c r="P331" i="3"/>
  <c r="U331" i="3" s="1"/>
  <c r="P347" i="3"/>
  <c r="U347" i="3" s="1"/>
  <c r="P363" i="3"/>
  <c r="U363" i="3" s="1"/>
  <c r="P379" i="3"/>
  <c r="U379" i="3" s="1"/>
  <c r="P395" i="3"/>
  <c r="U395" i="3" s="1"/>
  <c r="P411" i="3"/>
  <c r="U411" i="3" s="1"/>
  <c r="P427" i="3"/>
  <c r="U427" i="3" s="1"/>
  <c r="P443" i="3"/>
  <c r="U443" i="3" s="1"/>
  <c r="Q251" i="3"/>
  <c r="Q267" i="3"/>
  <c r="Q283" i="3"/>
  <c r="Q299" i="3"/>
  <c r="Q315" i="3"/>
  <c r="Q331" i="3"/>
  <c r="Q347" i="3"/>
  <c r="Q363" i="3"/>
  <c r="Q379" i="3"/>
  <c r="Q395" i="3"/>
  <c r="Q411" i="3"/>
  <c r="Q427" i="3"/>
  <c r="Q443" i="3"/>
  <c r="R251" i="3"/>
  <c r="R267" i="3"/>
  <c r="R283" i="3"/>
  <c r="R299" i="3"/>
  <c r="R315" i="3"/>
  <c r="R331" i="3"/>
  <c r="R347" i="3"/>
  <c r="R363" i="3"/>
  <c r="R379" i="3"/>
  <c r="R395" i="3"/>
  <c r="R411" i="3"/>
  <c r="R427" i="3"/>
  <c r="R443" i="3"/>
  <c r="S244" i="3"/>
  <c r="M255" i="3"/>
  <c r="S260" i="3"/>
  <c r="S276" i="3"/>
  <c r="S292" i="3"/>
  <c r="S308" i="3"/>
  <c r="S324" i="3"/>
  <c r="S340" i="3"/>
  <c r="S356" i="3"/>
  <c r="S372" i="3"/>
  <c r="S388" i="3"/>
  <c r="S404" i="3"/>
  <c r="S420" i="3"/>
  <c r="S436" i="3"/>
  <c r="T260" i="3"/>
  <c r="T276" i="3"/>
  <c r="T292" i="3"/>
  <c r="T308" i="3"/>
  <c r="T324" i="3"/>
  <c r="T340" i="3"/>
  <c r="T356" i="3"/>
  <c r="T372" i="3"/>
  <c r="T388" i="3"/>
  <c r="T404" i="3"/>
  <c r="T420" i="3"/>
  <c r="T436" i="3"/>
  <c r="M245" i="3"/>
  <c r="S252" i="3"/>
  <c r="S268" i="3"/>
  <c r="T273" i="3"/>
  <c r="S284" i="3"/>
  <c r="T289" i="3"/>
  <c r="S300" i="3"/>
  <c r="T305" i="3"/>
  <c r="S316" i="3"/>
  <c r="T321" i="3"/>
  <c r="S332" i="3"/>
  <c r="T337" i="3"/>
  <c r="S348" i="3"/>
  <c r="T353" i="3"/>
  <c r="S364" i="3"/>
  <c r="T369" i="3"/>
  <c r="S380" i="3"/>
  <c r="T385" i="3"/>
  <c r="S396" i="3"/>
  <c r="T401" i="3"/>
  <c r="S412" i="3"/>
  <c r="T417" i="3"/>
  <c r="S428" i="3"/>
  <c r="T433" i="3"/>
  <c r="S444" i="3"/>
  <c r="M250" i="3"/>
  <c r="M251" i="3"/>
  <c r="M244" i="3"/>
  <c r="M260" i="3"/>
  <c r="S425" i="3"/>
  <c r="S441" i="3"/>
  <c r="T249" i="3"/>
  <c r="T265" i="3"/>
  <c r="T281" i="3"/>
  <c r="T297" i="3"/>
  <c r="T313" i="3"/>
  <c r="T329" i="3"/>
  <c r="T345" i="3"/>
  <c r="T361" i="3"/>
  <c r="T377" i="3"/>
  <c r="T393" i="3"/>
  <c r="T409" i="3"/>
  <c r="T425" i="3"/>
  <c r="T441" i="3"/>
  <c r="M261" i="3"/>
  <c r="P242" i="3"/>
  <c r="P258" i="3"/>
  <c r="P274" i="3"/>
  <c r="U274" i="3" s="1"/>
  <c r="P290" i="3"/>
  <c r="U290" i="3" s="1"/>
  <c r="P306" i="3"/>
  <c r="U306" i="3" s="1"/>
  <c r="P322" i="3"/>
  <c r="U322" i="3" s="1"/>
  <c r="P338" i="3"/>
  <c r="U338" i="3" s="1"/>
  <c r="P354" i="3"/>
  <c r="U354" i="3" s="1"/>
  <c r="R364" i="3"/>
  <c r="P370" i="3"/>
  <c r="U370" i="3" s="1"/>
  <c r="R380" i="3"/>
  <c r="P386" i="3"/>
  <c r="U386" i="3" s="1"/>
  <c r="R396" i="3"/>
  <c r="P402" i="3"/>
  <c r="U402" i="3" s="1"/>
  <c r="R412" i="3"/>
  <c r="P418" i="3"/>
  <c r="U418" i="3" s="1"/>
  <c r="R428" i="3"/>
  <c r="P434" i="3"/>
  <c r="U434" i="3" s="1"/>
  <c r="R444" i="3"/>
  <c r="R258" i="3"/>
  <c r="R290" i="3"/>
  <c r="R322" i="3"/>
  <c r="R354" i="3"/>
  <c r="R370" i="3"/>
  <c r="R386" i="3"/>
  <c r="R402" i="3"/>
  <c r="R418" i="3"/>
  <c r="R434" i="3"/>
  <c r="M246" i="3"/>
  <c r="R242" i="3"/>
  <c r="R274" i="3"/>
  <c r="R306" i="3"/>
  <c r="R338" i="3"/>
  <c r="T242" i="3"/>
  <c r="M247" i="3"/>
  <c r="S253" i="3"/>
  <c r="T258" i="3"/>
  <c r="S269" i="3"/>
  <c r="T274" i="3"/>
  <c r="S285" i="3"/>
  <c r="T290" i="3"/>
  <c r="S301" i="3"/>
  <c r="T306" i="3"/>
  <c r="S317" i="3"/>
  <c r="T322" i="3"/>
  <c r="S333" i="3"/>
  <c r="T338" i="3"/>
  <c r="S349" i="3"/>
  <c r="T354" i="3"/>
  <c r="S365" i="3"/>
  <c r="T370" i="3"/>
  <c r="S381" i="3"/>
  <c r="T386" i="3"/>
  <c r="S397" i="3"/>
  <c r="T402" i="3"/>
  <c r="S413" i="3"/>
  <c r="T418" i="3"/>
  <c r="S429" i="3"/>
  <c r="T434" i="3"/>
  <c r="S445" i="3"/>
  <c r="S272" i="3"/>
  <c r="S288" i="3"/>
  <c r="P250" i="3"/>
  <c r="P266" i="3"/>
  <c r="U266" i="3" s="1"/>
  <c r="P282" i="3"/>
  <c r="U282" i="3" s="1"/>
  <c r="P298" i="3"/>
  <c r="U298" i="3" s="1"/>
  <c r="P314" i="3"/>
  <c r="U314" i="3" s="1"/>
  <c r="P330" i="3"/>
  <c r="U330" i="3" s="1"/>
  <c r="P346" i="3"/>
  <c r="U346" i="3" s="1"/>
  <c r="S256" i="3"/>
  <c r="M248" i="3"/>
  <c r="M259" i="3"/>
  <c r="P247" i="3"/>
  <c r="P263" i="3"/>
  <c r="P279" i="3"/>
  <c r="U279" i="3" s="1"/>
  <c r="P295" i="3"/>
  <c r="U295" i="3" s="1"/>
  <c r="P311" i="3"/>
  <c r="U311" i="3" s="1"/>
  <c r="P327" i="3"/>
  <c r="U327" i="3" s="1"/>
  <c r="P343" i="3"/>
  <c r="U343" i="3" s="1"/>
  <c r="T252" i="3"/>
  <c r="M288" i="3"/>
  <c r="S242" i="3"/>
  <c r="P265" i="3"/>
  <c r="U265" i="3" s="1"/>
  <c r="P297" i="3"/>
  <c r="U297" i="3" s="1"/>
  <c r="P313" i="3"/>
  <c r="U313" i="3" s="1"/>
  <c r="P345" i="3"/>
  <c r="U345" i="3" s="1"/>
  <c r="P361" i="3"/>
  <c r="U361" i="3" s="1"/>
  <c r="P377" i="3"/>
  <c r="U377" i="3" s="1"/>
  <c r="P393" i="3"/>
  <c r="U393" i="3" s="1"/>
  <c r="P409" i="3"/>
  <c r="U409" i="3" s="1"/>
  <c r="P425" i="3"/>
  <c r="U425" i="3" s="1"/>
  <c r="P441" i="3"/>
  <c r="U441" i="3" s="1"/>
  <c r="P249" i="3"/>
  <c r="P281" i="3"/>
  <c r="U281" i="3" s="1"/>
  <c r="P329" i="3"/>
  <c r="U329" i="3" s="1"/>
  <c r="M272" i="3"/>
  <c r="P244" i="3"/>
  <c r="Q249" i="3"/>
  <c r="P260" i="3"/>
  <c r="Q265" i="3"/>
  <c r="P276" i="3"/>
  <c r="U276" i="3" s="1"/>
  <c r="Q281" i="3"/>
  <c r="P292" i="3"/>
  <c r="U292" i="3" s="1"/>
  <c r="Q297" i="3"/>
  <c r="P308" i="3"/>
  <c r="U308" i="3" s="1"/>
  <c r="Q313" i="3"/>
  <c r="P324" i="3"/>
  <c r="U324" i="3" s="1"/>
  <c r="Q329" i="3"/>
  <c r="P340" i="3"/>
  <c r="U340" i="3" s="1"/>
  <c r="Q345" i="3"/>
  <c r="P356" i="3"/>
  <c r="U356" i="3" s="1"/>
  <c r="Q361" i="3"/>
  <c r="P372" i="3"/>
  <c r="U372" i="3" s="1"/>
  <c r="Q377" i="3"/>
  <c r="P388" i="3"/>
  <c r="U388" i="3" s="1"/>
  <c r="Q393" i="3"/>
  <c r="P404" i="3"/>
  <c r="U404" i="3" s="1"/>
  <c r="Q409" i="3"/>
  <c r="P420" i="3"/>
  <c r="U420" i="3" s="1"/>
  <c r="Q425" i="3"/>
  <c r="P436" i="3"/>
  <c r="U436" i="3" s="1"/>
  <c r="Q441" i="3"/>
  <c r="Q244" i="3"/>
  <c r="R249" i="3"/>
  <c r="P255" i="3"/>
  <c r="Q260" i="3"/>
  <c r="R265" i="3"/>
  <c r="P271" i="3"/>
  <c r="U271" i="3" s="1"/>
  <c r="Q276" i="3"/>
  <c r="R281" i="3"/>
  <c r="P287" i="3"/>
  <c r="U287" i="3" s="1"/>
  <c r="Q292" i="3"/>
  <c r="R297" i="3"/>
  <c r="P303" i="3"/>
  <c r="U303" i="3" s="1"/>
  <c r="Q308" i="3"/>
  <c r="R313" i="3"/>
  <c r="P319" i="3"/>
  <c r="U319" i="3" s="1"/>
  <c r="Q324" i="3"/>
  <c r="R329" i="3"/>
  <c r="P335" i="3"/>
  <c r="U335" i="3" s="1"/>
  <c r="Q340" i="3"/>
  <c r="R345" i="3"/>
  <c r="P351" i="3"/>
  <c r="U351" i="3" s="1"/>
  <c r="Q356" i="3"/>
  <c r="R361" i="3"/>
  <c r="P367" i="3"/>
  <c r="U367" i="3" s="1"/>
  <c r="Q372" i="3"/>
  <c r="R377" i="3"/>
  <c r="P383" i="3"/>
  <c r="U383" i="3" s="1"/>
  <c r="Q388" i="3"/>
  <c r="R393" i="3"/>
  <c r="P399" i="3"/>
  <c r="U399" i="3" s="1"/>
  <c r="Q404" i="3"/>
  <c r="R409" i="3"/>
  <c r="P415" i="3"/>
  <c r="U415" i="3" s="1"/>
  <c r="Q420" i="3"/>
  <c r="R425" i="3"/>
  <c r="P431" i="3"/>
  <c r="U431" i="3" s="1"/>
  <c r="Q436" i="3"/>
  <c r="R441" i="3"/>
  <c r="R244" i="3"/>
  <c r="Q255" i="3"/>
  <c r="R260" i="3"/>
  <c r="Q271" i="3"/>
  <c r="R276" i="3"/>
  <c r="Q287" i="3"/>
  <c r="R292" i="3"/>
  <c r="Q303" i="3"/>
  <c r="R308" i="3"/>
  <c r="Q319" i="3"/>
  <c r="R324" i="3"/>
  <c r="Q335" i="3"/>
  <c r="R340" i="3"/>
  <c r="Q351" i="3"/>
  <c r="R356" i="3"/>
  <c r="P362" i="3"/>
  <c r="U362" i="3" s="1"/>
  <c r="Q367" i="3"/>
  <c r="R372" i="3"/>
  <c r="P378" i="3"/>
  <c r="U378" i="3" s="1"/>
  <c r="Q383" i="3"/>
  <c r="R388" i="3"/>
  <c r="P394" i="3"/>
  <c r="U394" i="3" s="1"/>
  <c r="Q399" i="3"/>
  <c r="R404" i="3"/>
  <c r="P410" i="3"/>
  <c r="U410" i="3" s="1"/>
  <c r="Q415" i="3"/>
  <c r="R420" i="3"/>
  <c r="P426" i="3"/>
  <c r="U426" i="3" s="1"/>
  <c r="Q431" i="3"/>
  <c r="R436" i="3"/>
  <c r="P442" i="3"/>
  <c r="U442" i="3" s="1"/>
  <c r="M243" i="3"/>
  <c r="T244" i="3"/>
  <c r="S271" i="3"/>
  <c r="S287" i="3"/>
  <c r="S303" i="3"/>
  <c r="S319" i="3"/>
  <c r="S335" i="3"/>
  <c r="S351" i="3"/>
  <c r="S367" i="3"/>
  <c r="S383" i="3"/>
  <c r="S399" i="3"/>
  <c r="S415" i="3"/>
  <c r="S431" i="3"/>
  <c r="S326" i="3"/>
  <c r="S342" i="3"/>
  <c r="S358" i="3"/>
  <c r="S374" i="3"/>
  <c r="S390" i="3"/>
  <c r="S406" i="3"/>
  <c r="S422" i="3"/>
  <c r="S438" i="3"/>
  <c r="P243" i="3"/>
  <c r="P259" i="3"/>
  <c r="P275" i="3"/>
  <c r="U275" i="3" s="1"/>
  <c r="P291" i="3"/>
  <c r="U291" i="3" s="1"/>
  <c r="P307" i="3"/>
  <c r="U307" i="3" s="1"/>
  <c r="P323" i="3"/>
  <c r="U323" i="3" s="1"/>
  <c r="P339" i="3"/>
  <c r="U339" i="3" s="1"/>
  <c r="P355" i="3"/>
  <c r="U355" i="3" s="1"/>
  <c r="P371" i="3"/>
  <c r="U371" i="3" s="1"/>
  <c r="P387" i="3"/>
  <c r="U387" i="3" s="1"/>
  <c r="P403" i="3"/>
  <c r="U403" i="3" s="1"/>
  <c r="P419" i="3"/>
  <c r="U419" i="3" s="1"/>
  <c r="P435" i="3"/>
  <c r="U435" i="3" s="1"/>
  <c r="T268" i="3"/>
  <c r="T284" i="3"/>
  <c r="T300" i="3"/>
  <c r="T316" i="3"/>
  <c r="T332" i="3"/>
  <c r="T348" i="3"/>
  <c r="T364" i="3"/>
  <c r="T380" i="3"/>
  <c r="T396" i="3"/>
  <c r="T412" i="3"/>
  <c r="T428" i="3"/>
  <c r="T444" i="3"/>
  <c r="M254" i="3"/>
  <c r="Q243" i="3"/>
  <c r="P254" i="3"/>
  <c r="Q259" i="3"/>
  <c r="P270" i="3"/>
  <c r="U270" i="3" s="1"/>
  <c r="Q275" i="3"/>
  <c r="P286" i="3"/>
  <c r="U286" i="3" s="1"/>
  <c r="Q291" i="3"/>
  <c r="P302" i="3"/>
  <c r="U302" i="3" s="1"/>
  <c r="Q307" i="3"/>
  <c r="P318" i="3"/>
  <c r="U318" i="3" s="1"/>
  <c r="Q323" i="3"/>
  <c r="P334" i="3"/>
  <c r="U334" i="3" s="1"/>
  <c r="Q339" i="3"/>
  <c r="P350" i="3"/>
  <c r="U350" i="3" s="1"/>
  <c r="Q355" i="3"/>
  <c r="P366" i="3"/>
  <c r="U366" i="3" s="1"/>
  <c r="Q371" i="3"/>
  <c r="P382" i="3"/>
  <c r="U382" i="3" s="1"/>
  <c r="Q387" i="3"/>
  <c r="P398" i="3"/>
  <c r="U398" i="3" s="1"/>
  <c r="Q403" i="3"/>
  <c r="P414" i="3"/>
  <c r="U414" i="3" s="1"/>
  <c r="Q419" i="3"/>
  <c r="P430" i="3"/>
  <c r="U430" i="3" s="1"/>
  <c r="Q435" i="3"/>
  <c r="R243" i="3"/>
  <c r="Q254" i="3"/>
  <c r="R259" i="3"/>
  <c r="Q270" i="3"/>
  <c r="R275" i="3"/>
  <c r="Q286" i="3"/>
  <c r="R291" i="3"/>
  <c r="Q302" i="3"/>
  <c r="R307" i="3"/>
  <c r="Q318" i="3"/>
  <c r="R323" i="3"/>
  <c r="Q334" i="3"/>
  <c r="R339" i="3"/>
  <c r="Q350" i="3"/>
  <c r="R355" i="3"/>
  <c r="Q366" i="3"/>
  <c r="R371" i="3"/>
  <c r="Q382" i="3"/>
  <c r="R387" i="3"/>
  <c r="Q398" i="3"/>
  <c r="R403" i="3"/>
  <c r="Q414" i="3"/>
  <c r="R419" i="3"/>
  <c r="Q430" i="3"/>
  <c r="R435" i="3"/>
  <c r="R254" i="3"/>
  <c r="R270" i="3"/>
  <c r="R286" i="3"/>
  <c r="R302" i="3"/>
  <c r="R318" i="3"/>
  <c r="R334" i="3"/>
  <c r="R350" i="3"/>
  <c r="R366" i="3"/>
  <c r="R382" i="3"/>
  <c r="R398" i="3"/>
  <c r="R414" i="3"/>
  <c r="R430" i="3"/>
  <c r="S243" i="3"/>
  <c r="S259" i="3"/>
  <c r="S275" i="3"/>
  <c r="S291" i="3"/>
  <c r="S307" i="3"/>
  <c r="S323" i="3"/>
  <c r="S339" i="3"/>
  <c r="S355" i="3"/>
  <c r="S371" i="3"/>
  <c r="S387" i="3"/>
  <c r="S403" i="3"/>
  <c r="S419" i="3"/>
  <c r="S435" i="3"/>
  <c r="T243" i="3"/>
  <c r="S254" i="3"/>
  <c r="T259" i="3"/>
  <c r="S270" i="3"/>
  <c r="T275" i="3"/>
  <c r="S286" i="3"/>
  <c r="T291" i="3"/>
  <c r="S302" i="3"/>
  <c r="T307" i="3"/>
  <c r="S318" i="3"/>
  <c r="T323" i="3"/>
  <c r="S334" i="3"/>
  <c r="T339" i="3"/>
  <c r="S350" i="3"/>
  <c r="T355" i="3"/>
  <c r="S366" i="3"/>
  <c r="T371" i="3"/>
  <c r="S382" i="3"/>
  <c r="T387" i="3"/>
  <c r="S398" i="3"/>
  <c r="T403" i="3"/>
  <c r="S414" i="3"/>
  <c r="T419" i="3"/>
  <c r="S430" i="3"/>
  <c r="T435" i="3"/>
  <c r="T245" i="3"/>
  <c r="T261" i="3"/>
  <c r="T277" i="3"/>
  <c r="T293" i="3"/>
  <c r="T309" i="3"/>
  <c r="T325" i="3"/>
  <c r="T341" i="3"/>
  <c r="T357" i="3"/>
  <c r="T373" i="3"/>
  <c r="S384" i="3"/>
  <c r="T389" i="3"/>
  <c r="S400" i="3"/>
  <c r="T405" i="3"/>
  <c r="S416" i="3"/>
  <c r="T421" i="3"/>
  <c r="T437" i="3"/>
  <c r="P439" i="3"/>
  <c r="U439" i="3" s="1"/>
  <c r="S246" i="3"/>
  <c r="S262" i="3"/>
  <c r="S278" i="3"/>
  <c r="S294" i="3"/>
  <c r="S310" i="3"/>
  <c r="R423" i="3"/>
  <c r="R439" i="3"/>
  <c r="S247" i="3"/>
  <c r="S263" i="3"/>
  <c r="S279" i="3"/>
  <c r="S295" i="3"/>
  <c r="S311" i="3"/>
  <c r="S327" i="3"/>
  <c r="S343" i="3"/>
  <c r="S359" i="3"/>
  <c r="S375" i="3"/>
  <c r="S391" i="3"/>
  <c r="S407" i="3"/>
  <c r="S423" i="3"/>
  <c r="S439" i="3"/>
  <c r="S258" i="3"/>
  <c r="S274" i="3"/>
  <c r="S290" i="3"/>
  <c r="S306" i="3"/>
  <c r="S322" i="3"/>
  <c r="S338" i="3"/>
  <c r="T253" i="3"/>
  <c r="T269" i="3"/>
  <c r="T285" i="3"/>
  <c r="T301" i="3"/>
  <c r="T317" i="3"/>
  <c r="T333" i="3"/>
  <c r="T349" i="3"/>
  <c r="T365" i="3"/>
  <c r="T381" i="3"/>
  <c r="T397" i="3"/>
  <c r="T413" i="3"/>
  <c r="T429" i="3"/>
  <c r="T445" i="3"/>
  <c r="S250" i="3"/>
  <c r="S442" i="3"/>
  <c r="S245" i="3"/>
  <c r="T250" i="3"/>
  <c r="S261" i="3"/>
  <c r="T266" i="3"/>
  <c r="S277" i="3"/>
  <c r="T282" i="3"/>
  <c r="S293" i="3"/>
  <c r="T298" i="3"/>
  <c r="S309" i="3"/>
  <c r="T314" i="3"/>
  <c r="S325" i="3"/>
  <c r="T330" i="3"/>
  <c r="S341" i="3"/>
  <c r="T346" i="3"/>
  <c r="S357" i="3"/>
  <c r="T362" i="3"/>
  <c r="S373" i="3"/>
  <c r="T378" i="3"/>
  <c r="S389" i="3"/>
  <c r="T394" i="3"/>
  <c r="S405" i="3"/>
  <c r="T410" i="3"/>
  <c r="S421" i="3"/>
  <c r="T426" i="3"/>
  <c r="S437" i="3"/>
  <c r="T442" i="3"/>
  <c r="S249" i="3"/>
  <c r="T254" i="3"/>
  <c r="S265" i="3"/>
  <c r="T270" i="3"/>
  <c r="S281" i="3"/>
  <c r="T286" i="3"/>
  <c r="S297" i="3"/>
  <c r="T302" i="3"/>
  <c r="S313" i="3"/>
  <c r="T318" i="3"/>
  <c r="S329" i="3"/>
  <c r="T334" i="3"/>
  <c r="S345" i="3"/>
  <c r="T350" i="3"/>
  <c r="S361" i="3"/>
  <c r="T366" i="3"/>
  <c r="S377" i="3"/>
  <c r="T382" i="3"/>
  <c r="S393" i="3"/>
  <c r="T398" i="3"/>
  <c r="S409" i="3"/>
  <c r="T414" i="3"/>
  <c r="T430" i="3"/>
  <c r="P256" i="3"/>
  <c r="P272" i="3"/>
  <c r="U272" i="3" s="1"/>
  <c r="P288" i="3"/>
  <c r="U288" i="3" s="1"/>
  <c r="P304" i="3"/>
  <c r="U304" i="3" s="1"/>
  <c r="P320" i="3"/>
  <c r="U320" i="3" s="1"/>
  <c r="P336" i="3"/>
  <c r="U336" i="3" s="1"/>
  <c r="P352" i="3"/>
  <c r="U352" i="3" s="1"/>
  <c r="P368" i="3"/>
  <c r="U368" i="3" s="1"/>
  <c r="P384" i="3"/>
  <c r="U384" i="3" s="1"/>
  <c r="P400" i="3"/>
  <c r="U400" i="3" s="1"/>
  <c r="P416" i="3"/>
  <c r="U416" i="3" s="1"/>
  <c r="P432" i="3"/>
  <c r="U432" i="3" s="1"/>
  <c r="Q288" i="3"/>
  <c r="Q304" i="3"/>
  <c r="Q320" i="3"/>
  <c r="Q336" i="3"/>
  <c r="Q352" i="3"/>
  <c r="Q368" i="3"/>
  <c r="Q384" i="3"/>
  <c r="Q400" i="3"/>
  <c r="Q416" i="3"/>
  <c r="Q432" i="3"/>
  <c r="R256" i="3"/>
  <c r="R272" i="3"/>
  <c r="R288" i="3"/>
  <c r="R304" i="3"/>
  <c r="R320" i="3"/>
  <c r="R336" i="3"/>
  <c r="R352" i="3"/>
  <c r="R368" i="3"/>
  <c r="R384" i="3"/>
  <c r="R400" i="3"/>
  <c r="R416" i="3"/>
  <c r="R432" i="3"/>
  <c r="T255" i="3"/>
  <c r="S266" i="3"/>
  <c r="T271" i="3"/>
  <c r="S282" i="3"/>
  <c r="T287" i="3"/>
  <c r="S298" i="3"/>
  <c r="T303" i="3"/>
  <c r="S314" i="3"/>
  <c r="T319" i="3"/>
  <c r="S330" i="3"/>
  <c r="T335" i="3"/>
  <c r="S346" i="3"/>
  <c r="T351" i="3"/>
  <c r="S362" i="3"/>
  <c r="T367" i="3"/>
  <c r="S378" i="3"/>
  <c r="T383" i="3"/>
  <c r="S394" i="3"/>
  <c r="T399" i="3"/>
  <c r="S410" i="3"/>
  <c r="T415" i="3"/>
  <c r="S426" i="3"/>
  <c r="T431" i="3"/>
  <c r="T256" i="3"/>
  <c r="T272" i="3"/>
  <c r="T288" i="3"/>
  <c r="T304" i="3"/>
  <c r="T320" i="3"/>
  <c r="T336" i="3"/>
  <c r="T352" i="3"/>
  <c r="T368" i="3"/>
  <c r="T384" i="3"/>
  <c r="T400" i="3"/>
  <c r="T416" i="3"/>
  <c r="T432" i="3"/>
  <c r="T246" i="3"/>
  <c r="S257" i="3"/>
  <c r="T262" i="3"/>
  <c r="S273" i="3"/>
  <c r="T278" i="3"/>
  <c r="S289" i="3"/>
  <c r="T294" i="3"/>
  <c r="S305" i="3"/>
  <c r="T310" i="3"/>
  <c r="S321" i="3"/>
  <c r="T326" i="3"/>
  <c r="S337" i="3"/>
  <c r="T342" i="3"/>
  <c r="S353" i="3"/>
  <c r="T358" i="3"/>
  <c r="S369" i="3"/>
  <c r="T374" i="3"/>
  <c r="S385" i="3"/>
  <c r="T390" i="3"/>
  <c r="S401" i="3"/>
  <c r="T406" i="3"/>
  <c r="S417" i="3"/>
  <c r="T422" i="3"/>
  <c r="S433" i="3"/>
  <c r="T438" i="3"/>
  <c r="P248" i="3"/>
  <c r="P264" i="3"/>
  <c r="P280" i="3"/>
  <c r="U280" i="3" s="1"/>
  <c r="P296" i="3"/>
  <c r="U296" i="3" s="1"/>
  <c r="P312" i="3"/>
  <c r="U312" i="3" s="1"/>
  <c r="P328" i="3"/>
  <c r="U328" i="3" s="1"/>
  <c r="P344" i="3"/>
  <c r="U344" i="3" s="1"/>
  <c r="P360" i="3"/>
  <c r="U360" i="3" s="1"/>
  <c r="P376" i="3"/>
  <c r="U376" i="3" s="1"/>
  <c r="P392" i="3"/>
  <c r="U392" i="3" s="1"/>
  <c r="P408" i="3"/>
  <c r="U408" i="3" s="1"/>
  <c r="P424" i="3"/>
  <c r="U424" i="3" s="1"/>
  <c r="P440" i="3"/>
  <c r="U440" i="3" s="1"/>
  <c r="Q248" i="3"/>
  <c r="Q264" i="3"/>
  <c r="Q280" i="3"/>
  <c r="Q296" i="3"/>
  <c r="Q312" i="3"/>
  <c r="Q328" i="3"/>
  <c r="Q344" i="3"/>
  <c r="Q360" i="3"/>
  <c r="Q376" i="3"/>
  <c r="Q392" i="3"/>
  <c r="Q408" i="3"/>
  <c r="Q424" i="3"/>
  <c r="Q440" i="3"/>
  <c r="M249" i="3"/>
  <c r="R248" i="3"/>
  <c r="R264" i="3"/>
  <c r="R280" i="3"/>
  <c r="R296" i="3"/>
  <c r="R312" i="3"/>
  <c r="R328" i="3"/>
  <c r="R344" i="3"/>
  <c r="R360" i="3"/>
  <c r="R376" i="3"/>
  <c r="R392" i="3"/>
  <c r="R408" i="3"/>
  <c r="R424" i="3"/>
  <c r="R440" i="3"/>
  <c r="T247" i="3"/>
  <c r="T263" i="3"/>
  <c r="T279" i="3"/>
  <c r="T295" i="3"/>
  <c r="T311" i="3"/>
  <c r="T327" i="3"/>
  <c r="T343" i="3"/>
  <c r="S354" i="3"/>
  <c r="T359" i="3"/>
  <c r="S370" i="3"/>
  <c r="T375" i="3"/>
  <c r="S386" i="3"/>
  <c r="T391" i="3"/>
  <c r="S402" i="3"/>
  <c r="T407" i="3"/>
  <c r="S418" i="3"/>
  <c r="T423" i="3"/>
  <c r="S434" i="3"/>
  <c r="T439" i="3"/>
  <c r="S248" i="3"/>
  <c r="S264" i="3"/>
  <c r="S280" i="3"/>
  <c r="S296" i="3"/>
  <c r="S312" i="3"/>
  <c r="S328" i="3"/>
  <c r="S344" i="3"/>
  <c r="S360" i="3"/>
  <c r="S376" i="3"/>
  <c r="S392" i="3"/>
  <c r="S408" i="3"/>
  <c r="S424" i="3"/>
  <c r="S440" i="3"/>
  <c r="T248" i="3"/>
  <c r="T264" i="3"/>
  <c r="T280" i="3"/>
  <c r="T296" i="3"/>
  <c r="T312" i="3"/>
  <c r="T328" i="3"/>
  <c r="T344" i="3"/>
  <c r="T360" i="3"/>
  <c r="T376" i="3"/>
  <c r="T392" i="3"/>
  <c r="T408" i="3"/>
  <c r="T424" i="3"/>
  <c r="T440" i="3"/>
  <c r="S368" i="3"/>
  <c r="S320" i="3"/>
  <c r="S352" i="3"/>
  <c r="S251" i="3"/>
  <c r="S267" i="3"/>
  <c r="S283" i="3"/>
  <c r="S299" i="3"/>
  <c r="S315" i="3"/>
  <c r="S331" i="3"/>
  <c r="S347" i="3"/>
  <c r="S363" i="3"/>
  <c r="S379" i="3"/>
  <c r="S395" i="3"/>
  <c r="S411" i="3"/>
  <c r="S427" i="3"/>
  <c r="S443" i="3"/>
  <c r="S304" i="3"/>
  <c r="S432" i="3"/>
  <c r="T251" i="3"/>
  <c r="T267" i="3"/>
  <c r="T283" i="3"/>
  <c r="T299" i="3"/>
  <c r="T315" i="3"/>
  <c r="T331" i="3"/>
  <c r="T347" i="3"/>
  <c r="T363" i="3"/>
  <c r="T379" i="3"/>
  <c r="T395" i="3"/>
  <c r="T411" i="3"/>
  <c r="T427" i="3"/>
  <c r="T443" i="3"/>
  <c r="T257" i="3"/>
  <c r="S336" i="3"/>
  <c r="L66" i="4"/>
  <c r="F65" i="4"/>
  <c r="G66" i="4"/>
  <c r="H66" i="4"/>
  <c r="I66" i="4"/>
  <c r="J66" i="4"/>
  <c r="K66" i="4"/>
  <c r="G132" i="3"/>
  <c r="G159" i="3" s="1"/>
  <c r="I238" i="3"/>
  <c r="G120" i="3"/>
  <c r="I223" i="3"/>
  <c r="I239" i="3"/>
  <c r="I202" i="3"/>
  <c r="I218" i="3"/>
  <c r="I234" i="3"/>
  <c r="I192" i="3"/>
  <c r="I208" i="3"/>
  <c r="I224" i="3"/>
  <c r="I240" i="3"/>
  <c r="I187" i="3"/>
  <c r="I203" i="3"/>
  <c r="I219" i="3"/>
  <c r="I235" i="3"/>
  <c r="I193" i="3"/>
  <c r="I209" i="3"/>
  <c r="I225" i="3"/>
  <c r="U264" i="3" l="1"/>
  <c r="U252" i="3"/>
  <c r="U261" i="3"/>
  <c r="G160" i="3"/>
  <c r="U253" i="3"/>
  <c r="U263" i="3"/>
  <c r="U246" i="3"/>
  <c r="U244" i="3"/>
  <c r="U262" i="3"/>
  <c r="U258" i="3"/>
  <c r="U245" i="3"/>
  <c r="U260" i="3"/>
  <c r="U242" i="3"/>
  <c r="U247" i="3"/>
  <c r="U249" i="3"/>
  <c r="U255" i="3"/>
  <c r="U259" i="3"/>
  <c r="U250" i="3"/>
  <c r="U251" i="3"/>
  <c r="U254" i="3"/>
  <c r="U243" i="3"/>
  <c r="U257" i="3"/>
  <c r="U248" i="3"/>
  <c r="U256" i="3"/>
  <c r="F64" i="4"/>
  <c r="L65" i="4"/>
  <c r="K65" i="4"/>
  <c r="J65" i="4"/>
  <c r="I65" i="4"/>
  <c r="H65" i="4"/>
  <c r="G65" i="4"/>
  <c r="F63" i="4" l="1"/>
  <c r="H64" i="4"/>
  <c r="G64" i="4"/>
  <c r="I64" i="4"/>
  <c r="L64" i="4"/>
  <c r="K64" i="4"/>
  <c r="J64" i="4"/>
  <c r="F62" i="4" l="1"/>
  <c r="L63" i="4"/>
  <c r="K63" i="4"/>
  <c r="J63" i="4"/>
  <c r="I63" i="4"/>
  <c r="H63" i="4"/>
  <c r="G63" i="4"/>
  <c r="F61" i="4" l="1"/>
  <c r="G62" i="4"/>
  <c r="L62" i="4"/>
  <c r="K62" i="4"/>
  <c r="J62" i="4"/>
  <c r="I62" i="4"/>
  <c r="H62" i="4"/>
  <c r="F60" i="4" l="1"/>
  <c r="J61" i="4"/>
  <c r="I61" i="4"/>
  <c r="H61" i="4"/>
  <c r="G61" i="4"/>
  <c r="L61" i="4"/>
  <c r="K61" i="4"/>
  <c r="F59" i="4" l="1"/>
  <c r="L60" i="4"/>
  <c r="K60" i="4"/>
  <c r="J60" i="4"/>
  <c r="I60" i="4"/>
  <c r="H60" i="4"/>
  <c r="G60" i="4"/>
  <c r="F58" i="4" l="1"/>
  <c r="G59" i="4"/>
  <c r="L59" i="4"/>
  <c r="K59" i="4"/>
  <c r="I59" i="4"/>
  <c r="J59" i="4"/>
  <c r="H59" i="4"/>
  <c r="F57" i="4" l="1"/>
  <c r="L58" i="4"/>
  <c r="K58" i="4"/>
  <c r="J58" i="4"/>
  <c r="I58" i="4"/>
  <c r="H58" i="4"/>
  <c r="G58" i="4"/>
  <c r="F56" i="4" l="1"/>
  <c r="L57" i="4"/>
  <c r="K57" i="4"/>
  <c r="J57" i="4"/>
  <c r="I57" i="4"/>
  <c r="H57" i="4"/>
  <c r="G57" i="4"/>
  <c r="F55" i="4" l="1"/>
  <c r="H56" i="4"/>
  <c r="G56" i="4"/>
  <c r="I56" i="4"/>
  <c r="K56" i="4"/>
  <c r="L56" i="4"/>
  <c r="J56" i="4"/>
  <c r="F54" i="4" l="1"/>
  <c r="L55" i="4"/>
  <c r="K55" i="4"/>
  <c r="J55" i="4"/>
  <c r="I55" i="4"/>
  <c r="H55" i="4"/>
  <c r="G55" i="4"/>
  <c r="F53" i="4" l="1"/>
  <c r="L54" i="4"/>
  <c r="K54" i="4"/>
  <c r="J54" i="4"/>
  <c r="G54" i="4"/>
  <c r="I54" i="4"/>
  <c r="H54" i="4"/>
  <c r="F52" i="4" l="1"/>
  <c r="J53" i="4"/>
  <c r="I53" i="4"/>
  <c r="H53" i="4"/>
  <c r="G53" i="4"/>
  <c r="L53" i="4"/>
  <c r="K53" i="4"/>
  <c r="F51" i="4" l="1"/>
  <c r="L52" i="4"/>
  <c r="K52" i="4"/>
  <c r="J52" i="4"/>
  <c r="I52" i="4"/>
  <c r="H52" i="4"/>
  <c r="G52" i="4"/>
  <c r="F50" i="4" l="1"/>
  <c r="I51" i="4"/>
  <c r="G51" i="4"/>
  <c r="L51" i="4"/>
  <c r="K51" i="4"/>
  <c r="J51" i="4"/>
  <c r="H51" i="4"/>
  <c r="F49" i="4" l="1"/>
  <c r="L50" i="4"/>
  <c r="K50" i="4"/>
  <c r="J50" i="4"/>
  <c r="I50" i="4"/>
  <c r="H50" i="4"/>
  <c r="G50" i="4"/>
  <c r="F48" i="4" l="1"/>
  <c r="L49" i="4"/>
  <c r="K49" i="4"/>
  <c r="J49" i="4"/>
  <c r="I49" i="4"/>
  <c r="H49" i="4"/>
  <c r="G49" i="4"/>
  <c r="F47" i="4" l="1"/>
  <c r="H48" i="4"/>
  <c r="G48" i="4"/>
  <c r="J48" i="4"/>
  <c r="K48" i="4"/>
  <c r="L48" i="4"/>
  <c r="I48" i="4"/>
  <c r="F46" i="4" l="1"/>
  <c r="L47" i="4"/>
  <c r="K47" i="4"/>
  <c r="J47" i="4"/>
  <c r="I47" i="4"/>
  <c r="H47" i="4"/>
  <c r="G47" i="4"/>
  <c r="F45" i="4" l="1"/>
  <c r="L46" i="4"/>
  <c r="G46" i="4"/>
  <c r="K46" i="4"/>
  <c r="J46" i="4"/>
  <c r="I46" i="4"/>
  <c r="H46" i="4"/>
  <c r="F44" i="4" l="1"/>
  <c r="J45" i="4"/>
  <c r="I45" i="4"/>
  <c r="H45" i="4"/>
  <c r="G45" i="4"/>
  <c r="K45" i="4"/>
  <c r="L45" i="4"/>
  <c r="F43" i="4" l="1"/>
  <c r="L44" i="4"/>
  <c r="K44" i="4"/>
  <c r="J44" i="4"/>
  <c r="I44" i="4"/>
  <c r="H44" i="4"/>
  <c r="G44" i="4"/>
  <c r="F42" i="4" l="1"/>
  <c r="H43" i="4"/>
  <c r="I43" i="4"/>
  <c r="L43" i="4"/>
  <c r="K43" i="4"/>
  <c r="J43" i="4"/>
  <c r="G43" i="4"/>
  <c r="F41" i="4" l="1"/>
  <c r="L42" i="4"/>
  <c r="K42" i="4"/>
  <c r="J42" i="4"/>
  <c r="I42" i="4"/>
  <c r="H42" i="4"/>
  <c r="G42" i="4"/>
  <c r="F40" i="4" l="1"/>
  <c r="L41" i="4"/>
  <c r="K41" i="4"/>
  <c r="J41" i="4"/>
  <c r="I41" i="4"/>
  <c r="H41" i="4"/>
  <c r="G41" i="4"/>
  <c r="F39" i="4" l="1"/>
  <c r="H40" i="4"/>
  <c r="G40" i="4"/>
  <c r="K40" i="4"/>
  <c r="J40" i="4"/>
  <c r="I40" i="4"/>
  <c r="L40" i="4"/>
  <c r="F38" i="4" l="1"/>
  <c r="L39" i="4"/>
  <c r="K39" i="4"/>
  <c r="J39" i="4"/>
  <c r="I39" i="4"/>
  <c r="H39" i="4"/>
  <c r="G39" i="4"/>
  <c r="F37" i="4" l="1"/>
  <c r="G38" i="4"/>
  <c r="L38" i="4"/>
  <c r="K38" i="4"/>
  <c r="J38" i="4"/>
  <c r="I38" i="4"/>
  <c r="H38" i="4"/>
  <c r="F36" i="4" l="1"/>
  <c r="J37" i="4"/>
  <c r="I37" i="4"/>
  <c r="H37" i="4"/>
  <c r="G37" i="4"/>
  <c r="L37" i="4"/>
  <c r="K37" i="4"/>
  <c r="F35" i="4" l="1"/>
  <c r="L36" i="4"/>
  <c r="K36" i="4"/>
  <c r="J36" i="4"/>
  <c r="I36" i="4"/>
  <c r="H36" i="4"/>
  <c r="G36" i="4"/>
  <c r="F34" i="4" l="1"/>
  <c r="I35" i="4"/>
  <c r="H35" i="4"/>
  <c r="G35" i="4"/>
  <c r="L35" i="4"/>
  <c r="K35" i="4"/>
  <c r="J35" i="4"/>
  <c r="F33" i="4" l="1"/>
  <c r="L34" i="4"/>
  <c r="K34" i="4"/>
  <c r="J34" i="4"/>
  <c r="I34" i="4"/>
  <c r="H34" i="4"/>
  <c r="G34" i="4"/>
  <c r="F32" i="4" l="1"/>
  <c r="L33" i="4"/>
  <c r="K33" i="4"/>
  <c r="J33" i="4"/>
  <c r="I33" i="4"/>
  <c r="H33" i="4"/>
  <c r="G33" i="4"/>
  <c r="F31" i="4" l="1"/>
  <c r="H32" i="4"/>
  <c r="G32" i="4"/>
  <c r="K32" i="4"/>
  <c r="L32" i="4"/>
  <c r="J32" i="4"/>
  <c r="I32" i="4"/>
  <c r="F30" i="4" l="1"/>
  <c r="L31" i="4"/>
  <c r="K31" i="4"/>
  <c r="J31" i="4"/>
  <c r="I31" i="4"/>
  <c r="H31" i="4"/>
  <c r="G31" i="4"/>
  <c r="F29" i="4" l="1"/>
  <c r="L30" i="4"/>
  <c r="K30" i="4"/>
  <c r="J30" i="4"/>
  <c r="I30" i="4"/>
  <c r="H30" i="4"/>
  <c r="G30" i="4"/>
  <c r="F28" i="4" l="1"/>
  <c r="J29" i="4"/>
  <c r="L29" i="4"/>
  <c r="I29" i="4"/>
  <c r="H29" i="4"/>
  <c r="G29" i="4"/>
  <c r="K29" i="4"/>
  <c r="F27" i="4" l="1"/>
  <c r="L28" i="4"/>
  <c r="K28" i="4"/>
  <c r="J28" i="4"/>
  <c r="I28" i="4"/>
  <c r="H28" i="4"/>
  <c r="G28" i="4"/>
  <c r="F26" i="4" l="1"/>
  <c r="I27" i="4"/>
  <c r="H27" i="4"/>
  <c r="L27" i="4"/>
  <c r="K27" i="4"/>
  <c r="J27" i="4"/>
  <c r="G27" i="4"/>
  <c r="F25" i="4" l="1"/>
  <c r="L26" i="4"/>
  <c r="K26" i="4"/>
  <c r="J26" i="4"/>
  <c r="I26" i="4"/>
  <c r="H26" i="4"/>
  <c r="G26" i="4"/>
  <c r="F24" i="4" l="1"/>
  <c r="L25" i="4"/>
  <c r="K25" i="4"/>
  <c r="J25" i="4"/>
  <c r="I25" i="4"/>
  <c r="H25" i="4"/>
  <c r="G25" i="4"/>
  <c r="F23" i="4" l="1"/>
  <c r="H24" i="4"/>
  <c r="G24" i="4"/>
  <c r="J24" i="4"/>
  <c r="I24" i="4"/>
  <c r="L24" i="4"/>
  <c r="K24" i="4"/>
  <c r="F22" i="4" l="1"/>
  <c r="L23" i="4"/>
  <c r="K23" i="4"/>
  <c r="J23" i="4"/>
  <c r="I23" i="4"/>
  <c r="H23" i="4"/>
  <c r="G23" i="4"/>
  <c r="F21" i="4" l="1"/>
  <c r="G22" i="4"/>
  <c r="L22" i="4"/>
  <c r="K22" i="4"/>
  <c r="J22" i="4"/>
  <c r="I22" i="4"/>
  <c r="H22" i="4"/>
  <c r="F20" i="4" l="1"/>
  <c r="J21" i="4"/>
  <c r="I21" i="4"/>
  <c r="H21" i="4"/>
  <c r="G21" i="4"/>
  <c r="L21" i="4"/>
  <c r="K21" i="4"/>
  <c r="L20" i="4" l="1"/>
  <c r="K20" i="4"/>
  <c r="J20" i="4"/>
  <c r="I20" i="4"/>
  <c r="H20" i="4"/>
  <c r="G20" i="4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<sst xmlns="http://schemas.openxmlformats.org/spreadsheetml/2006/main" count="190" uniqueCount="99">
  <si>
    <t>Prognose og aktuelt indeks</t>
  </si>
  <si>
    <t>RME</t>
  </si>
  <si>
    <t>Indeks og prognose</t>
  </si>
  <si>
    <t>Dato</t>
  </si>
  <si>
    <t>Indeks</t>
  </si>
  <si>
    <t>Prognose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</si>
  <si>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</si>
  <si>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</si>
  <si>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</si>
  <si>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</si>
  <si>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</si>
  <si>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</si>
  <si>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</si>
  <si>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</si>
  <si>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</si>
  <si>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</si>
  <si>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</si>
  <si>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</si>
  <si>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</si>
  <si>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</si>
  <si>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</si>
  <si>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</si>
  <si>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</si>
  <si>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</si>
  <si>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</si>
  <si>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</si>
  <si>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</si>
  <si>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</si>
  <si>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</si>
  <si>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</si>
  <si>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</si>
  <si>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DST: PRIS114: 04.5.1 Elektricitet</t>
  </si>
  <si>
    <t>Hver måned</t>
  </si>
  <si>
    <t>2 måneder</t>
  </si>
  <si>
    <t>Nasdaq, gennemsnitsrente</t>
  </si>
  <si>
    <t>Brændstofsindeks</t>
  </si>
  <si>
    <t>Diesel</t>
  </si>
  <si>
    <t>DST: PRIS111: 07.2.2.1 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</si>
  <si>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</si>
  <si>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</si>
  <si>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</si>
  <si>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</si>
  <si>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</si>
  <si>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</si>
  <si>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</si>
  <si>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</si>
  <si>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</si>
  <si>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</si>
  <si>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</si>
  <si>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</si>
  <si>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</si>
  <si>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</si>
  <si>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</si>
  <si>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</si>
  <si>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</si>
  <si>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</si>
  <si>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</si>
  <si>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</si>
  <si>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</si>
  <si>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</si>
  <si>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</si>
  <si>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</si>
  <si>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</si>
  <si>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</si>
  <si>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</si>
  <si>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</si>
  <si>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</si>
  <si>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</si>
  <si>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</si>
  <si>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</si>
  <si>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</si>
  <si>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</si>
  <si>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</si>
  <si>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</si>
  <si>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Lønudviklingen i denne model følger ILON12 frem til og med september 2024. Efterfølgende er lønudviklingen baseret på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</si>
  <si>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</si>
  <si>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</si>
  <si>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</si>
  <si>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</si>
  <si>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</si>
  <si>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</si>
  <si>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• Elspot-indeks - Bemærk at indekset altid følger SBLON1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</si>
  <si>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</si>
  <si>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</si>
  <si>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</si>
  <si>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</si>
  <si>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</si>
  <si>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Kurs</t>
  </si>
  <si>
    <t>Udvikling</t>
  </si>
  <si>
    <t>Vægte</t>
  </si>
  <si>
    <t>Input til delindeks</t>
  </si>
  <si>
    <t>Input til brændstofsdelindeks</t>
  </si>
  <si>
    <t>Baseværdi</t>
  </si>
  <si>
    <t>Der er seks forskellige omkostningsindeks, der adskiller sig ved deres vægte og brændstoftype:</t>
  </si>
  <si>
    <t>HVO-indeks</t>
  </si>
  <si>
    <t>Vægt med HVO, indeks februar 2018</t>
  </si>
  <si>
    <t>SEK/DKK til HVO beregning</t>
  </si>
  <si>
    <t>DST: PRIS111: 00 Forbrugerprisindekset i alt</t>
  </si>
  <si>
    <t>DST: PRIS1121: 87  Køretøjer og dele dertil,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</si>
</sst>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theme="1"/>
      <name val="EYInterstate Light"/>
    </font>
    <font>
      <sz val="9"/>
      <color rgb="FF0F8DD9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rgb="FF00B050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5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8" fillId="4" borderId="0" xfId="2" applyFont="1" applyFill="1"/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8" fillId="4" borderId="3" xfId="2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0" fillId="4" borderId="0" xfId="2" applyFont="1" applyFill="1"/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4" fontId="8" fillId="2" borderId="0" xfId="0" applyNumberFormat="1" applyFont="1" applyBorder="1" applyAlignment="1">
      <alignment horizontal="left"/>
    </xf>
    <xf numFmtId="164" fontId="8" fillId="0" borderId="0" xfId="2" applyNumberFormat="1" applyFont="1"/>
    <xf numFmtId="164" fontId="10" fillId="0" borderId="0" xfId="2" applyNumberFormat="1" applyFont="1"/>
    <xf numFmtId="164" fontId="15" fillId="0" borderId="0" xfId="2" applyNumberFormat="1" applyFont="1"/>
    <xf numFmtId="9" fontId="8" fillId="4" borderId="0" xfId="1" applyFont="1" applyFill="1"/>
    <xf numFmtId="14" fontId="8" fillId="2" borderId="4" xfId="0" applyNumberFormat="1" applyFont="1" applyBorder="1" applyAlignment="1">
      <alignment horizontal="left"/>
    </xf>
    <xf numFmtId="164" fontId="8" fillId="0" borderId="4" xfId="2" applyNumberFormat="1" applyFont="1" applyBorder="1"/>
    <xf numFmtId="164" fontId="10" fillId="0" borderId="4" xfId="2" applyNumberFormat="1" applyFont="1" applyBorder="1"/>
    <xf numFmtId="3" fontId="13" fillId="4" borderId="0" xfId="0" applyNumberFormat="1" applyFont="1" applyFill="1" applyBorder="1"/>
    <xf numFmtId="164" fontId="16" fillId="5" borderId="0" xfId="4" applyNumberFormat="1" applyFont="1">
      <protection locked="0"/>
    </xf>
    <xf numFmtId="164" fontId="16" fillId="5" borderId="0" xfId="4" applyNumberFormat="1" applyFont="1" applyBorder="1">
      <protection locked="0"/>
    </xf>
    <xf numFmtId="14" fontId="8" fillId="2" borderId="5" xfId="0" applyNumberFormat="1" applyFont="1" applyBorder="1" applyAlignment="1">
      <alignment horizontal="left"/>
    </xf>
    <xf numFmtId="164" fontId="16" fillId="5" borderId="5" xfId="4" applyNumberFormat="1" applyFont="1" applyBorder="1">
      <protection locked="0"/>
    </xf>
    <xf numFmtId="0" fontId="8" fillId="2" borderId="0" xfId="2" applyFont="1" applyFill="1"/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8" fillId="4" borderId="0" xfId="2" applyFont="1" applyFill="1" applyAlignment="1">
      <alignment vertical="top"/>
    </xf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8" fillId="2" borderId="2" xfId="0" applyFont="1" applyBorder="1"/>
    <xf numFmtId="0" fontId="8" fillId="2" borderId="5" xfId="0" applyFont="1" applyBorder="1"/>
    <xf numFmtId="0" fontId="18" fillId="4" borderId="0" xfId="2" applyFont="1" applyFill="1"/>
    <xf numFmtId="0" fontId="8" fillId="2" borderId="6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5" xfId="0" applyNumberFormat="1" applyFont="1" applyBorder="1" applyAlignment="1">
      <alignment horizontal="left" vertical="center" wrapText="1"/>
    </xf>
    <xf numFmtId="0" fontId="8" fillId="2" borderId="5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5" xfId="0" applyNumberFormat="1" applyFont="1" applyBorder="1" applyAlignment="1">
      <alignment horizontal="left" vertical="center"/>
    </xf>
    <xf numFmtId="0" fontId="8" fillId="2" borderId="5" xfId="0" applyFont="1" applyBorder="1" applyAlignment="1"/>
    <xf numFmtId="14" fontId="8" fillId="2" borderId="5" xfId="0" applyNumberFormat="1" applyFont="1" applyBorder="1" applyAlignment="1">
      <alignment vertical="center"/>
    </xf>
    <xf numFmtId="0" fontId="8" fillId="0" borderId="5" xfId="2" applyFont="1" applyBorder="1"/>
    <xf numFmtId="166" fontId="8" fillId="2" borderId="5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64" fontId="16" fillId="5" borderId="6" xfId="4" applyNumberFormat="1" applyFont="1" applyBorder="1">
      <protection locked="0"/>
    </xf>
    <xf numFmtId="164" fontId="16" fillId="5" borderId="11" xfId="4" applyNumberFormat="1" applyFont="1" applyBorder="1">
      <protection locked="0"/>
    </xf>
    <xf numFmtId="165" fontId="19" fillId="2" borderId="0" xfId="5" applyNumberFormat="1" applyFont="1" applyBorder="1"/>
    <xf numFmtId="165" fontId="16" fillId="5" borderId="6" xfId="4" applyNumberFormat="1" applyFont="1" applyBorder="1">
      <protection locked="0"/>
    </xf>
    <xf numFmtId="165" fontId="8" fillId="2" borderId="8" xfId="0" applyNumberFormat="1" applyFont="1" applyBorder="1"/>
    <xf numFmtId="165" fontId="16" fillId="5" borderId="0" xfId="4" applyNumberFormat="1" applyFont="1" applyBorder="1">
      <protection locked="0"/>
    </xf>
    <xf numFmtId="164" fontId="16" fillId="5" borderId="15" xfId="4" applyNumberFormat="1" applyFont="1" applyBorder="1">
      <protection locked="0"/>
    </xf>
    <xf numFmtId="165" fontId="16" fillId="5" borderId="15" xfId="4" applyNumberFormat="1" applyFont="1" applyBorder="1">
      <protection locked="0"/>
    </xf>
    <xf numFmtId="164" fontId="8" fillId="2" borderId="0" xfId="0" applyNumberFormat="1" applyFont="1" applyBorder="1"/>
    <xf numFmtId="164" fontId="19" fillId="2" borderId="16" xfId="5" applyNumberFormat="1" applyFont="1" applyBorder="1"/>
    <xf numFmtId="164" fontId="8" fillId="2" borderId="16" xfId="0" applyNumberFormat="1" applyFont="1" applyBorder="1"/>
    <xf numFmtId="164" fontId="19" fillId="2" borderId="0" xfId="5" applyNumberFormat="1" applyFont="1" applyBorder="1"/>
    <xf numFmtId="10" fontId="8" fillId="2" borderId="0" xfId="0" applyNumberFormat="1" applyFont="1" applyBorder="1"/>
    <xf numFmtId="10" fontId="8" fillId="2" borderId="12" xfId="0" applyNumberFormat="1" applyFont="1" applyBorder="1"/>
    <xf numFmtId="165" fontId="8" fillId="2" borderId="0" xfId="0" applyNumberFormat="1" applyFont="1" applyBorder="1"/>
    <xf numFmtId="164" fontId="19" fillId="2" borderId="7" xfId="5" applyNumberFormat="1" applyFont="1" applyBorder="1"/>
    <xf numFmtId="164" fontId="8" fillId="2" borderId="7" xfId="0" applyNumberFormat="1" applyFont="1" applyBorder="1"/>
    <xf numFmtId="164" fontId="8" fillId="2" borderId="5" xfId="0" applyNumberFormat="1" applyFont="1" applyBorder="1"/>
    <xf numFmtId="164" fontId="19" fillId="2" borderId="9" xfId="5" applyNumberFormat="1" applyFont="1" applyBorder="1"/>
    <xf numFmtId="164" fontId="8" fillId="2" borderId="9" xfId="0" applyNumberFormat="1" applyFont="1" applyBorder="1"/>
    <xf numFmtId="164" fontId="19" fillId="2" borderId="5" xfId="5" applyNumberFormat="1" applyFont="1" applyBorder="1"/>
    <xf numFmtId="165" fontId="8" fillId="2" borderId="10" xfId="0" applyNumberFormat="1" applyFont="1" applyBorder="1"/>
    <xf numFmtId="10" fontId="8" fillId="2" borderId="5" xfId="0" applyNumberFormat="1" applyFont="1" applyBorder="1"/>
    <xf numFmtId="10" fontId="8" fillId="2" borderId="13" xfId="0" applyNumberFormat="1" applyFont="1" applyBorder="1"/>
    <xf numFmtId="165" fontId="8" fillId="2" borderId="5" xfId="0" applyNumberFormat="1" applyFont="1" applyBorder="1"/>
    <xf numFmtId="0" fontId="19" fillId="2" borderId="0" xfId="5" applyFont="1"/>
    <xf numFmtId="0" fontId="8" fillId="2" borderId="6" xfId="0" applyFont="1" applyBorder="1" applyAlignment="1">
      <alignment horizontal="right"/>
    </xf>
    <xf numFmtId="14" fontId="8" fillId="2" borderId="6" xfId="0" applyNumberFormat="1" applyFont="1" applyBorder="1" applyAlignment="1">
      <alignment vertical="top"/>
    </xf>
    <xf numFmtId="0" fontId="16" fillId="5" borderId="6" xfId="4" applyFont="1" applyBorder="1">
      <protection locked="0"/>
    </xf>
    <xf numFmtId="14" fontId="8" fillId="2" borderId="0" xfId="0" applyNumberFormat="1" applyFont="1" applyBorder="1" applyAlignment="1">
      <alignment vertical="top"/>
    </xf>
    <xf numFmtId="0" fontId="16" fillId="5" borderId="0" xfId="4" applyFont="1" applyBorder="1">
      <protection locked="0"/>
    </xf>
    <xf numFmtId="14" fontId="8" fillId="2" borderId="5" xfId="0" applyNumberFormat="1" applyFont="1" applyBorder="1" applyAlignment="1">
      <alignment vertical="top"/>
    </xf>
    <xf numFmtId="0" fontId="16" fillId="5" borderId="5" xfId="4" applyFont="1" applyBorder="1">
      <protection locked="0"/>
    </xf>
    <xf numFmtId="0" fontId="8" fillId="2" borderId="5" xfId="0" applyFont="1" applyBorder="1" applyAlignment="1">
      <alignment horizontal="left"/>
    </xf>
    <xf numFmtId="0" fontId="8" fillId="2" borderId="0" xfId="0" applyFont="1" applyBorder="1" applyAlignment="1">
      <alignment horizontal="right"/>
    </xf>
    <xf numFmtId="14" fontId="8" fillId="2" borderId="6" xfId="0" applyNumberFormat="1" applyFont="1" applyBorder="1"/>
    <xf numFmtId="0" fontId="8" fillId="2" borderId="6" xfId="0" applyFont="1" applyBorder="1" applyAlignment="1">
      <alignment horizontal="left"/>
    </xf>
    <xf numFmtId="9" fontId="16" fillId="5" borderId="14" xfId="4" applyNumberFormat="1" applyFont="1" applyBorder="1">
      <protection locked="0"/>
    </xf>
    <xf numFmtId="0" fontId="8" fillId="2" borderId="6" xfId="0" applyFont="1" applyBorder="1"/>
    <xf numFmtId="0" fontId="10" fillId="4" borderId="0" xfId="2" applyFont="1" applyFill="1" applyAlignment="1">
      <alignment vertical="top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 wrapText="1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3" fontId="8" fillId="2" borderId="6" xfId="0" applyNumberFormat="1" applyFont="1" applyBorder="1" applyAlignment="1">
      <alignment horizontal="right" vertical="top"/>
    </xf>
    <xf numFmtId="14" fontId="8" fillId="2" borderId="6" xfId="0" applyNumberFormat="1" applyFont="1" applyBorder="1" applyAlignment="1">
      <alignment horizontal="left"/>
    </xf>
    <xf numFmtId="4" fontId="16" fillId="5" borderId="6" xfId="4" applyNumberFormat="1" applyFont="1" applyBorder="1">
      <protection locked="0"/>
    </xf>
    <xf numFmtId="4" fontId="16" fillId="5" borderId="0" xfId="4" applyNumberFormat="1" applyFont="1" applyBorder="1">
      <protection locked="0"/>
    </xf>
    <xf numFmtId="4" fontId="16" fillId="5" borderId="5" xfId="4" applyNumberFormat="1" applyFont="1" applyBorder="1">
      <protection locked="0"/>
    </xf>
    <xf numFmtId="164" fontId="16" fillId="5" borderId="2" xfId="4" applyNumberFormat="1" applyFont="1" applyBorder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Scroll" dx="31" fmlaLink="$E$42" inc="10" max="210" min="1" page="5"/>
</file>

<file path=xl/ctrlProps/ctrlProp2.xml><?xml version="1.0" encoding="utf-8"?>
<formControlPr xmlns="http://schemas.microsoft.com/office/spreadsheetml/2009/9/main" objectType="Scroll" dx="31" fmlaLink="$E$42" inc="10" max="210" min="1" page="5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1400"/>
          <a:ext cx="1324129" cy="1369434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80949" cy="1372609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885825</xdr:colOff>
          <xdr:row>18</xdr:row>
          <xdr:rowOff>57150</xdr:rowOff>
        </xdr:from>
        <xdr:to>
          <xdr:col>5</xdr:col>
          <xdr:colOff>3810</xdr:colOff>
          <xdr:row>252</xdr:row>
          <xdr:rowOff>47625</xdr:rowOff>
        </xdr:to>
        <xdr:sp macro="" textlink="">
          <xdr:nvSpPr>
            <xdr:cNvPr id="2049" name="Scroll Bar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A9E8514C-EBD8-4B92-8C75-06641B3995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942975</xdr:colOff>
          <xdr:row>53</xdr:row>
          <xdr:rowOff>0</xdr:rowOff>
        </xdr:from>
        <xdr:to>
          <xdr:col>5</xdr:col>
          <xdr:colOff>0</xdr:colOff>
          <xdr:row>252</xdr:row>
          <xdr:rowOff>152400</xdr:rowOff>
        </xdr:to>
        <xdr:sp macro="" textlink="">
          <xdr:nvSpPr>
            <xdr:cNvPr id="2050" name="Scroll Bar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BD624663-2D34-4A49-AF28-6C70C08DAB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50469" cy="1382134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topLeftCell="G7" zoomScaleNormal="100" zoomScaleSheetLayoutView="100" workbookViewId="0">
      <selection activeCell="G19" sqref="G19"/>
    </sheetView>
  </sheetViews>
  <sheetFormatPr defaultColWidth="12.33203125" defaultRowHeight="11.5"/>
  <cols>
    <col min="1" max="1" width="2.77734375" style="37" customWidth="1"/>
    <col min="2" max="2" width="11" style="37" customWidth="1"/>
    <col min="3" max="3" width="10.44140625" style="37" customWidth="1"/>
    <col min="4" max="4" width="1.7773437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3" t="s">
        <v>0</v>
      </c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</row>
    <row r="3" spans="1:19" ht="14.25" customHeight="1">
      <c r="A3" s="2"/>
      <c r="B3" s="2"/>
      <c r="C3" s="3"/>
      <c r="D3" s="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4" spans="1:19" ht="35.15" customHeight="1">
      <c r="A4" s="2"/>
      <c r="B4" s="2"/>
      <c r="C4" s="3"/>
      <c r="D4" s="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 t="s">
        <v>68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1.15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4">
      <c r="A11" s="2"/>
      <c r="B11" s="2"/>
      <c r="C11" s="3"/>
      <c r="D11" s="3"/>
      <c r="E11" s="7"/>
      <c r="F11" s="124" t="s">
        <v>7</v>
      </c>
      <c r="G11" s="124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.15" customHeight="1">
      <c r="A12" s="2"/>
      <c r="B12" s="2"/>
      <c r="C12" s="3"/>
      <c r="D12" s="3"/>
      <c r="E12" s="7"/>
      <c r="F12" s="14" t="s">
        <v>41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26" ht="11.5" customHeight="1">
      <c r="A17" s="2"/>
      <c r="B17" s="2"/>
      <c r="C17" s="3"/>
      <c r="D17" s="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5" customHeight="1">
      <c r="A18" s="2"/>
      <c r="B18" s="2"/>
      <c r="C18" s="3"/>
      <c r="D18" s="3"/>
      <c r="E18" s="12"/>
      <c r="F18" s="19"/>
      <c r="G18" s="1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>
      <c r="A19" s="2"/>
      <c r="B19" s="2"/>
      <c r="C19" s="3"/>
      <c r="D19" s="3"/>
      <c r="E19" s="12"/>
      <c r="F19" s="20" t="s">
        <v>3</v>
      </c>
      <c r="G19" s="21" t="s">
        <v>71</v>
      </c>
      <c r="H19" s="21" t="s">
        <v>10</v>
      </c>
      <c r="I19" s="21" t="s">
        <v>11</v>
      </c>
      <c r="J19" s="21" t="s">
        <v>12</v>
      </c>
      <c r="K19" s="21" t="s">
        <v>41</v>
      </c>
      <c r="L19" s="22" t="s">
        <v>4</v>
      </c>
      <c r="M19" s="23"/>
      <c r="N19" s="7"/>
      <c r="O19" s="12"/>
      <c r="P19" s="12"/>
      <c r="Q19" s="12"/>
      <c r="R19" s="12"/>
      <c r="S19" s="12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12"/>
      <c r="F20" s="24">
        <f t="shared" ref="F20:F65" si="0">EDATE(F21,-1)</f>
        <v>44562</v>
      </c>
      <c r="G20" s="25">
        <f>INDEX('Omkostningsindeks og vægte'!G$20:G$445,MATCH($F20,'Omkostningsindeks og vægte'!$F$20:$F$445,0))</f>
        <v>146.36349000000001</v>
      </c>
      <c r="H20" s="25">
        <f>INDEX('Omkostningsindeks og vægte'!H$20:H$445,MATCH($F20,'Omkostningsindeks og vægte'!$F$20:$F$445,0))</f>
        <v>140.58216432865731</v>
      </c>
      <c r="I20" s="25">
        <f>INDEX('Omkostningsindeks og vægte'!I$20:I$445,MATCH($F20,'Omkostningsindeks og vægte'!$F$20:$F$445,0))</f>
        <v>110.84693240813765</v>
      </c>
      <c r="J20" s="25">
        <f>INDEX('Omkostningsindeks og vægte'!J$20:J$445,MATCH($F20,'Omkostningsindeks og vægte'!$F$20:$F$445,0))</f>
        <v>0.42</v>
      </c>
      <c r="K20" s="25">
        <f>INDEX('Omkostningsindeks og vægte'!K$20:K$445,MATCH($F20,'Omkostningsindeks og vægte'!$F$20:$F$445,0))</f>
        <v>346.32333898816671</v>
      </c>
      <c r="L20" s="26">
        <f>INDEX('Omkostningsindeks og vægte'!L$20:L$445,MATCH($F20,'Omkostningsindeks og vægte'!$F$20:$F$445,0))</f>
        <v>142.66633079846505</v>
      </c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24">
        <f t="shared" si="0"/>
        <v>44593</v>
      </c>
      <c r="G21" s="25">
        <f>INDEX('Omkostningsindeks og vægte'!G$20:G$445,MATCH($F21,'Omkostningsindeks og vægte'!$F$20:$F$445,0))</f>
        <v>146.36349000000001</v>
      </c>
      <c r="H21" s="25">
        <f>INDEX('Omkostningsindeks og vægte'!H$20:H$445,MATCH($F21,'Omkostningsindeks og vægte'!$F$20:$F$445,0))</f>
        <v>139.92585170340681</v>
      </c>
      <c r="I21" s="25">
        <f>INDEX('Omkostningsindeks og vægte'!I$20:I$445,MATCH($F21,'Omkostningsindeks og vægte'!$F$20:$F$445,0))</f>
        <v>111.45320551155497</v>
      </c>
      <c r="J21" s="25">
        <f>INDEX('Omkostningsindeks og vægte'!J$20:J$445,MATCH($F21,'Omkostningsindeks og vægte'!$F$20:$F$445,0))</f>
        <v>0.54</v>
      </c>
      <c r="K21" s="25">
        <f>INDEX('Omkostningsindeks og vægte'!K$20:K$445,MATCH($F21,'Omkostningsindeks og vægte'!$F$20:$F$445,0))</f>
        <v>345.07052521822072</v>
      </c>
      <c r="L21" s="26">
        <f>INDEX('Omkostningsindeks og vægte'!L$20:L$445,MATCH($F21,'Omkostningsindeks og vægte'!$F$20:$F$445,0))</f>
        <v>142.6790498156127</v>
      </c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24">
        <f t="shared" si="0"/>
        <v>44621</v>
      </c>
      <c r="G22" s="25">
        <f>INDEX('Omkostningsindeks og vægte'!G$20:G$445,MATCH($F22,'Omkostningsindeks og vægte'!$F$20:$F$445,0))</f>
        <v>146.36349000000001</v>
      </c>
      <c r="H22" s="25">
        <f>INDEX('Omkostningsindeks og vægte'!H$20:H$445,MATCH($F22,'Omkostningsindeks og vægte'!$F$20:$F$445,0))</f>
        <v>141.89478957915833</v>
      </c>
      <c r="I22" s="25">
        <f>INDEX('Omkostningsindeks og vægte'!I$20:I$445,MATCH($F22,'Omkostningsindeks og vægte'!$F$20:$F$445,0))</f>
        <v>114.38352551140548</v>
      </c>
      <c r="J22" s="25">
        <f>INDEX('Omkostningsindeks og vægte'!J$20:J$445,MATCH($F22,'Omkostningsindeks og vægte'!$F$20:$F$445,0))</f>
        <v>0.7</v>
      </c>
      <c r="K22" s="25">
        <f>INDEX('Omkostningsindeks og vægte'!K$20:K$445,MATCH($F22,'Omkostningsindeks og vægte'!$F$20:$F$445,0))</f>
        <v>413.01484112624917</v>
      </c>
      <c r="L22" s="26">
        <f>INDEX('Omkostningsindeks og vægte'!L$20:L$445,MATCH($F22,'Omkostningsindeks og vægte'!$F$20:$F$445,0))</f>
        <v>151.37779186562912</v>
      </c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24">
        <f t="shared" si="0"/>
        <v>44652</v>
      </c>
      <c r="G23" s="25">
        <f>INDEX('Omkostningsindeks og vægte'!G$20:G$445,MATCH($F23,'Omkostningsindeks og vægte'!$F$20:$F$445,0))</f>
        <v>146.66651999999999</v>
      </c>
      <c r="H23" s="25">
        <f>INDEX('Omkostningsindeks og vægte'!H$20:H$445,MATCH($F23,'Omkostningsindeks og vægte'!$F$20:$F$445,0))</f>
        <v>143.33867735470943</v>
      </c>
      <c r="I23" s="25">
        <f>INDEX('Omkostningsindeks og vægte'!I$20:I$445,MATCH($F23,'Omkostningsindeks og vægte'!$F$20:$F$445,0))</f>
        <v>114.78770758035037</v>
      </c>
      <c r="J23" s="25">
        <f>INDEX('Omkostningsindeks og vægte'!J$20:J$445,MATCH($F23,'Omkostningsindeks og vægte'!$F$20:$F$445,0))</f>
        <v>1.04</v>
      </c>
      <c r="K23" s="25">
        <f>INDEX('Omkostningsindeks og vægte'!K$20:K$445,MATCH($F23,'Omkostningsindeks og vægte'!$F$20:$F$445,0))</f>
        <v>433.99992356538684</v>
      </c>
      <c r="L23" s="26">
        <f>INDEX('Omkostningsindeks og vægte'!L$20:L$445,MATCH($F23,'Omkostningsindeks og vægte'!$F$20:$F$445,0))</f>
        <v>154.60870435421779</v>
      </c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24">
        <f t="shared" si="0"/>
        <v>44682</v>
      </c>
      <c r="G24" s="25">
        <f>INDEX('Omkostningsindeks og vægte'!G$20:G$445,MATCH($F24,'Omkostningsindeks og vægte'!$F$20:$F$445,0))</f>
        <v>146.66651999999999</v>
      </c>
      <c r="H24" s="25">
        <f>INDEX('Omkostningsindeks og vægte'!H$20:H$445,MATCH($F24,'Omkostningsindeks og vægte'!$F$20:$F$445,0))</f>
        <v>144.25751503006015</v>
      </c>
      <c r="I24" s="25">
        <f>INDEX('Omkostningsindeks og vægte'!I$20:I$445,MATCH($F24,'Omkostningsindeks og vægte'!$F$20:$F$445,0))</f>
        <v>114.98979861482283</v>
      </c>
      <c r="J24" s="25">
        <f>INDEX('Omkostningsindeks og vægte'!J$20:J$445,MATCH($F24,'Omkostningsindeks og vægte'!$F$20:$F$445,0))</f>
        <v>1.24</v>
      </c>
      <c r="K24" s="25">
        <f>INDEX('Omkostningsindeks og vægte'!K$20:K$445,MATCH($F24,'Omkostningsindeks og vægte'!$F$20:$F$445,0))</f>
        <v>486.25194142398522</v>
      </c>
      <c r="L24" s="26">
        <f>INDEX('Omkostningsindeks og vægte'!L$20:L$445,MATCH($F24,'Omkostningsindeks og vægte'!$F$20:$F$445,0))</f>
        <v>161.16319043430875</v>
      </c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24">
        <f t="shared" si="0"/>
        <v>44713</v>
      </c>
      <c r="G25" s="25">
        <f>INDEX('Omkostningsindeks og vægte'!G$20:G$445,MATCH($F25,'Omkostningsindeks og vægte'!$F$20:$F$445,0))</f>
        <v>146.66651999999999</v>
      </c>
      <c r="H25" s="25">
        <f>INDEX('Omkostningsindeks og vægte'!H$20:H$445,MATCH($F25,'Omkostningsindeks og vægte'!$F$20:$F$445,0))</f>
        <v>146.62024048096194</v>
      </c>
      <c r="I25" s="25">
        <f>INDEX('Omkostningsindeks og vægte'!I$20:I$445,MATCH($F25,'Omkostningsindeks og vægte'!$F$20:$F$445,0))</f>
        <v>117.11175447678353</v>
      </c>
      <c r="J25" s="25">
        <f>INDEX('Omkostningsindeks og vægte'!J$20:J$445,MATCH($F25,'Omkostningsindeks og vægte'!$F$20:$F$445,0))</f>
        <v>1.58</v>
      </c>
      <c r="K25" s="25">
        <f>INDEX('Omkostningsindeks og vægte'!K$20:K$445,MATCH($F25,'Omkostningsindeks og vægte'!$F$20:$F$445,0))</f>
        <v>483.67683514169744</v>
      </c>
      <c r="L25" s="26">
        <f>INDEX('Omkostningsindeks og vægte'!L$20:L$445,MATCH($F25,'Omkostningsindeks og vægte'!$F$20:$F$445,0))</f>
        <v>161.64528159953753</v>
      </c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24">
        <f t="shared" si="0"/>
        <v>44743</v>
      </c>
      <c r="G26" s="25">
        <f>INDEX('Omkostningsindeks og vægte'!G$20:G$445,MATCH($F26,'Omkostningsindeks og vægte'!$F$20:$F$445,0))</f>
        <v>147.37359000000001</v>
      </c>
      <c r="H26" s="25">
        <f>INDEX('Omkostningsindeks og vægte'!H$20:H$445,MATCH($F26,'Omkostningsindeks og vægte'!$F$20:$F$445,0))</f>
        <v>147.93286573146295</v>
      </c>
      <c r="I26" s="25">
        <f>INDEX('Omkostningsindeks og vægte'!I$20:I$445,MATCH($F26,'Omkostningsindeks og vægte'!$F$20:$F$445,0))</f>
        <v>117.31384551125596</v>
      </c>
      <c r="J26" s="25">
        <f>INDEX('Omkostningsindeks og vægte'!J$20:J$445,MATCH($F26,'Omkostningsindeks og vægte'!$F$20:$F$445,0))</f>
        <v>1.84</v>
      </c>
      <c r="K26" s="25">
        <f>INDEX('Omkostningsindeks og vægte'!K$20:K$445,MATCH($F26,'Omkostningsindeks og vægte'!$F$20:$F$445,0))</f>
        <v>500.90848074223828</v>
      </c>
      <c r="L26" s="26">
        <f>INDEX('Omkostningsindeks og vægte'!L$20:L$445,MATCH($F26,'Omkostningsindeks og vægte'!$F$20:$F$445,0))</f>
        <v>164.52406918097898</v>
      </c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24">
        <f t="shared" si="0"/>
        <v>44774</v>
      </c>
      <c r="G27" s="25">
        <f>INDEX('Omkostningsindeks og vægte'!G$20:G$445,MATCH($F27,'Omkostningsindeks og vægte'!$F$20:$F$445,0))</f>
        <v>147.37359000000001</v>
      </c>
      <c r="H27" s="25">
        <f>INDEX('Omkostningsindeks og vægte'!H$20:H$445,MATCH($F27,'Omkostningsindeks og vægte'!$F$20:$F$445,0))</f>
        <v>149.11422845691382</v>
      </c>
      <c r="I27" s="25">
        <f>INDEX('Omkostningsindeks og vægte'!I$20:I$445,MATCH($F27,'Omkostningsindeks og vægte'!$F$20:$F$445,0))</f>
        <v>117.8190730974371</v>
      </c>
      <c r="J27" s="25">
        <f>INDEX('Omkostningsindeks og vægte'!J$20:J$445,MATCH($F27,'Omkostningsindeks og vægte'!$F$20:$F$445,0))</f>
        <v>2.0699999999999998</v>
      </c>
      <c r="K27" s="25">
        <f>INDEX('Omkostningsindeks og vægte'!K$20:K$445,MATCH($F27,'Omkostningsindeks og vægte'!$F$20:$F$445,0))</f>
        <v>521.50744042251551</v>
      </c>
      <c r="L27" s="26">
        <f>INDEX('Omkostningsindeks og vægte'!L$20:L$445,MATCH($F27,'Omkostningsindeks og vægte'!$F$20:$F$445,0))</f>
        <v>167.39444295191416</v>
      </c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24">
        <f t="shared" si="0"/>
        <v>44805</v>
      </c>
      <c r="G28" s="25">
        <f>INDEX('Omkostningsindeks og vægte'!G$20:G$445,MATCH($F28,'Omkostningsindeks og vægte'!$F$20:$F$445,0))</f>
        <v>147.37359000000001</v>
      </c>
      <c r="H28" s="25">
        <f>INDEX('Omkostningsindeks og vægte'!H$20:H$445,MATCH($F28,'Omkostningsindeks og vægte'!$F$20:$F$445,0))</f>
        <v>150.82064128256513</v>
      </c>
      <c r="I28" s="25">
        <f>INDEX('Omkostningsindeks og vægte'!I$20:I$445,MATCH($F28,'Omkostningsindeks og vægte'!$F$20:$F$445,0))</f>
        <v>118.93057378703557</v>
      </c>
      <c r="J28" s="25">
        <f>INDEX('Omkostningsindeks og vægte'!J$20:J$445,MATCH($F28,'Omkostningsindeks og vægte'!$F$20:$F$445,0))</f>
        <v>1.9</v>
      </c>
      <c r="K28" s="25">
        <f>INDEX('Omkostningsindeks og vægte'!K$20:K$445,MATCH($F28,'Omkostningsindeks og vægte'!$F$20:$F$445,0))</f>
        <v>517.68474726246677</v>
      </c>
      <c r="L28" s="26">
        <f>INDEX('Omkostningsindeks og vægte'!L$20:L$445,MATCH($F28,'Omkostningsindeks og vægte'!$F$20:$F$445,0))</f>
        <v>166.9470785518979</v>
      </c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24">
        <f t="shared" si="0"/>
        <v>44835</v>
      </c>
      <c r="G29" s="25">
        <f>INDEX('Omkostningsindeks og vægte'!G$20:G$445,MATCH($F29,'Omkostningsindeks og vægte'!$F$20:$F$445,0))</f>
        <v>148.68671999999998</v>
      </c>
      <c r="H29" s="25">
        <f>INDEX('Omkostningsindeks og vægte'!H$20:H$445,MATCH($F29,'Omkostningsindeks og vægte'!$F$20:$F$445,0))</f>
        <v>150.82064128256513</v>
      </c>
      <c r="I29" s="25">
        <f>INDEX('Omkostningsindeks og vægte'!I$20:I$445,MATCH($F29,'Omkostningsindeks og vægte'!$F$20:$F$445,0))</f>
        <v>119.63789240768914</v>
      </c>
      <c r="J29" s="25">
        <f>INDEX('Omkostningsindeks og vægte'!J$20:J$445,MATCH($F29,'Omkostningsindeks og vægte'!$F$20:$F$445,0))</f>
        <v>2.52</v>
      </c>
      <c r="K29" s="25">
        <f>INDEX('Omkostningsindeks og vægte'!K$20:K$445,MATCH($F29,'Omkostningsindeks og vægte'!$F$20:$F$445,0))</f>
        <v>478.51780914721439</v>
      </c>
      <c r="L29" s="26">
        <f>INDEX('Omkostningsindeks og vægte'!L$20:L$445,MATCH($F29,'Omkostningsindeks og vægte'!$F$20:$F$445,0))</f>
        <v>163.85548372613067</v>
      </c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12"/>
      <c r="F30" s="24">
        <f t="shared" si="0"/>
        <v>44866</v>
      </c>
      <c r="G30" s="25">
        <f>INDEX('Omkostningsindeks og vægte'!G$20:G$445,MATCH($F30,'Omkostningsindeks og vægte'!$F$20:$F$445,0))</f>
        <v>148.68671999999998</v>
      </c>
      <c r="H30" s="25">
        <f>INDEX('Omkostningsindeks og vægte'!H$20:H$445,MATCH($F30,'Omkostningsindeks og vægte'!$F$20:$F$445,0))</f>
        <v>152.78957915831666</v>
      </c>
      <c r="I30" s="25">
        <f>INDEX('Omkostningsindeks og vægte'!I$20:I$445,MATCH($F30,'Omkostningsindeks og vægte'!$F$20:$F$445,0))</f>
        <v>119.73893792492535</v>
      </c>
      <c r="J30" s="25">
        <f>INDEX('Omkostningsindeks og vægte'!J$20:J$445,MATCH($F30,'Omkostningsindeks og vægte'!$F$20:$F$445,0))</f>
        <v>3.22</v>
      </c>
      <c r="K30" s="25">
        <f>INDEX('Omkostningsindeks og vægte'!K$20:K$445,MATCH($F30,'Omkostningsindeks og vægte'!$F$20:$F$445,0))</f>
        <v>503.61072839666508</v>
      </c>
      <c r="L30" s="26">
        <f>INDEX('Omkostningsindeks og vægte'!L$20:L$445,MATCH($F30,'Omkostningsindeks og vægte'!$F$20:$F$445,0))</f>
        <v>167.86901231186832</v>
      </c>
      <c r="M30" s="23"/>
      <c r="N30" s="7"/>
      <c r="O30" s="12"/>
      <c r="P30" s="12"/>
      <c r="Q30" s="12"/>
      <c r="R30" s="12"/>
      <c r="S30" s="1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4">
        <f t="shared" si="0"/>
        <v>44896</v>
      </c>
      <c r="G31" s="25">
        <f>INDEX('Omkostningsindeks og vægte'!G$20:G$445,MATCH($F31,'Omkostningsindeks og vægte'!$F$20:$F$445,0))</f>
        <v>148.68671999999998</v>
      </c>
      <c r="H31" s="25">
        <f>INDEX('Omkostningsindeks og vægte'!H$20:H$445,MATCH($F31,'Omkostningsindeks og vægte'!$F$20:$F$445,0))</f>
        <v>154.36472945891785</v>
      </c>
      <c r="I31" s="25">
        <f>INDEX('Omkostningsindeks og vægte'!I$20:I$445,MATCH($F31,'Omkostningsindeks og vægte'!$F$20:$F$445,0))</f>
        <v>121.86089378688604</v>
      </c>
      <c r="J31" s="25">
        <f>INDEX('Omkostningsindeks og vægte'!J$20:J$445,MATCH($F31,'Omkostningsindeks og vægte'!$F$20:$F$445,0))</f>
        <v>3.06</v>
      </c>
      <c r="K31" s="25">
        <f>INDEX('Omkostningsindeks og vægte'!K$20:K$445,MATCH($F31,'Omkostningsindeks og vægte'!$F$20:$F$445,0))</f>
        <v>529.39824045174726</v>
      </c>
      <c r="L31" s="26">
        <f>INDEX('Omkostningsindeks og vægte'!L$20:L$445,MATCH($F31,'Omkostningsindeks og vægte'!$F$20:$F$445,0))</f>
        <v>171.0441241827462</v>
      </c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12"/>
      <c r="F32" s="24">
        <f t="shared" si="0"/>
        <v>44927</v>
      </c>
      <c r="G32" s="25">
        <f>INDEX('Omkostningsindeks og vægte'!G$20:G$445,MATCH($F32,'Omkostningsindeks og vægte'!$F$20:$F$445,0))</f>
        <v>149.69681999999997</v>
      </c>
      <c r="H32" s="25">
        <f>INDEX('Omkostningsindeks og vægte'!H$20:H$445,MATCH($F32,'Omkostningsindeks og vægte'!$F$20:$F$445,0))</f>
        <v>153.05210420841684</v>
      </c>
      <c r="I32" s="25">
        <f>INDEX('Omkostningsindeks og vægte'!I$20:I$445,MATCH($F32,'Omkostningsindeks og vægte'!$F$20:$F$445,0))</f>
        <v>122.16403033859473</v>
      </c>
      <c r="J32" s="25">
        <f>INDEX('Omkostningsindeks og vægte'!J$20:J$445,MATCH($F32,'Omkostningsindeks og vægte'!$F$20:$F$445,0))</f>
        <v>2.86</v>
      </c>
      <c r="K32" s="25">
        <f>INDEX('Omkostningsindeks og vægte'!K$20:K$445,MATCH($F32,'Omkostningsindeks og vægte'!$F$20:$F$445,0))</f>
        <v>497.98242201286706</v>
      </c>
      <c r="L32" s="26">
        <f>INDEX('Omkostningsindeks og vægte'!L$20:L$445,MATCH($F32,'Omkostningsindeks og vægte'!$F$20:$F$445,0))</f>
        <v>167.54791150243406</v>
      </c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4">
        <f t="shared" si="0"/>
        <v>44958</v>
      </c>
      <c r="G33" s="25">
        <f>INDEX('Omkostningsindeks og vægte'!G$20:G$445,MATCH($F33,'Omkostningsindeks og vægte'!$F$20:$F$445,0))</f>
        <v>149.69681999999997</v>
      </c>
      <c r="H33" s="25">
        <f>INDEX('Omkostningsindeks og vægte'!H$20:H$445,MATCH($F33,'Omkostningsindeks og vægte'!$F$20:$F$445,0))</f>
        <v>152.13326653306615</v>
      </c>
      <c r="I33" s="25">
        <f>INDEX('Omkostningsindeks og vægte'!I$20:I$445,MATCH($F33,'Omkostningsindeks og vægte'!$F$20:$F$445,0))</f>
        <v>122.26507585583094</v>
      </c>
      <c r="J33" s="25">
        <f>INDEX('Omkostningsindeks og vægte'!J$20:J$445,MATCH($F33,'Omkostningsindeks og vægte'!$F$20:$F$445,0))</f>
        <v>3.33</v>
      </c>
      <c r="K33" s="25">
        <f>INDEX('Omkostningsindeks og vægte'!K$20:K$445,MATCH($F33,'Omkostningsindeks og vægte'!$F$20:$F$445,0))</f>
        <v>457.74608399865093</v>
      </c>
      <c r="L33" s="26">
        <f>INDEX('Omkostningsindeks og vægte'!L$20:L$445,MATCH($F33,'Omkostningsindeks og vægte'!$F$20:$F$445,0))</f>
        <v>163.29482029489157</v>
      </c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4">
        <f t="shared" si="0"/>
        <v>44986</v>
      </c>
      <c r="G34" s="25">
        <f>INDEX('Omkostningsindeks og vægte'!G$20:G$445,MATCH($F34,'Omkostningsindeks og vægte'!$F$20:$F$445,0))</f>
        <v>149.69681999999997</v>
      </c>
      <c r="H34" s="25">
        <f>INDEX('Omkostningsindeks og vægte'!H$20:H$445,MATCH($F34,'Omkostningsindeks og vægte'!$F$20:$F$445,0))</f>
        <v>152.78957915831666</v>
      </c>
      <c r="I34" s="25">
        <f>INDEX('Omkostningsindeks og vægte'!I$20:I$445,MATCH($F34,'Omkostningsindeks og vægte'!$F$20:$F$445,0))</f>
        <v>123.98284964884677</v>
      </c>
      <c r="J34" s="25">
        <f>INDEX('Omkostningsindeks og vægte'!J$20:J$445,MATCH($F34,'Omkostningsindeks og vægte'!$F$20:$F$445,0))</f>
        <v>3.26</v>
      </c>
      <c r="K34" s="25">
        <f>INDEX('Omkostningsindeks og vægte'!K$20:K$445,MATCH($F34,'Omkostningsindeks og vægte'!$F$20:$F$445,0))</f>
        <v>471.41518553582063</v>
      </c>
      <c r="L34" s="26">
        <f>INDEX('Omkostningsindeks og vægte'!L$20:L$445,MATCH($F34,'Omkostningsindeks og vægte'!$F$20:$F$445,0))</f>
        <v>165.03924335743383</v>
      </c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12"/>
      <c r="F35" s="24">
        <f t="shared" si="0"/>
        <v>45017</v>
      </c>
      <c r="G35" s="25">
        <f>INDEX('Omkostningsindeks og vægte'!G$20:G$445,MATCH($F35,'Omkostningsindeks og vægte'!$F$20:$F$445,0))</f>
        <v>150.90894</v>
      </c>
      <c r="H35" s="25">
        <f>INDEX('Omkostningsindeks og vægte'!H$20:H$445,MATCH($F35,'Omkostningsindeks og vægte'!$F$20:$F$445,0))</f>
        <v>154.23346693386776</v>
      </c>
      <c r="I35" s="25">
        <f>INDEX('Omkostningsindeks og vægte'!I$20:I$445,MATCH($F35,'Omkostningsindeks og vægte'!$F$20:$F$445,0))</f>
        <v>123.57866757990186</v>
      </c>
      <c r="J35" s="25">
        <f>INDEX('Omkostningsindeks og vægte'!J$20:J$445,MATCH($F35,'Omkostningsindeks og vægte'!$F$20:$F$445,0))</f>
        <v>3.58</v>
      </c>
      <c r="K35" s="25">
        <f>INDEX('Omkostningsindeks og vægte'!K$20:K$445,MATCH($F35,'Omkostningsindeks og vægte'!$F$20:$F$445,0))</f>
        <v>440.51021240017332</v>
      </c>
      <c r="L35" s="26">
        <f>INDEX('Omkostningsindeks og vægte'!L$20:L$445,MATCH($F35,'Omkostningsindeks og vægte'!$F$20:$F$445,0))</f>
        <v>162.49469871276281</v>
      </c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24">
        <f t="shared" si="0"/>
        <v>45047</v>
      </c>
      <c r="G36" s="25">
        <f>INDEX('Omkostningsindeks og vægte'!G$20:G$445,MATCH($F36,'Omkostningsindeks og vægte'!$F$20:$F$445,0))</f>
        <v>150.90894</v>
      </c>
      <c r="H36" s="25">
        <f>INDEX('Omkostningsindeks og vægte'!H$20:H$445,MATCH($F36,'Omkostningsindeks og vægte'!$F$20:$F$445,0))</f>
        <v>153.97094188376755</v>
      </c>
      <c r="I36" s="25">
        <f>INDEX('Omkostningsindeks og vægte'!I$20:I$445,MATCH($F36,'Omkostningsindeks og vægte'!$F$20:$F$445,0))</f>
        <v>124.1849406833192</v>
      </c>
      <c r="J36" s="25">
        <f>INDEX('Omkostningsindeks og vægte'!J$20:J$445,MATCH($F36,'Omkostningsindeks og vægte'!$F$20:$F$445,0))</f>
        <v>3.32</v>
      </c>
      <c r="K36" s="25">
        <f>INDEX('Omkostningsindeks og vægte'!K$20:K$445,MATCH($F36,'Omkostningsindeks og vægte'!$F$20:$F$445,0))</f>
        <v>449.12168409072592</v>
      </c>
      <c r="L36" s="26">
        <f>INDEX('Omkostningsindeks og vægte'!L$20:L$445,MATCH($F36,'Omkostningsindeks og vægte'!$F$20:$F$445,0))</f>
        <v>163.23102533608576</v>
      </c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4">
        <f t="shared" si="0"/>
        <v>45078</v>
      </c>
      <c r="G37" s="25">
        <f>INDEX('Omkostningsindeks og vægte'!G$20:G$445,MATCH($F37,'Omkostningsindeks og vægte'!$F$20:$F$445,0))</f>
        <v>150.90894</v>
      </c>
      <c r="H37" s="25">
        <f>INDEX('Omkostningsindeks og vægte'!H$20:H$445,MATCH($F37,'Omkostningsindeks og vægte'!$F$20:$F$445,0))</f>
        <v>154.36472945891785</v>
      </c>
      <c r="I37" s="25">
        <f>INDEX('Omkostningsindeks og vægte'!I$20:I$445,MATCH($F37,'Omkostningsindeks og vægte'!$F$20:$F$445,0))</f>
        <v>124.28598620055541</v>
      </c>
      <c r="J37" s="25">
        <f>INDEX('Omkostningsindeks og vægte'!J$20:J$445,MATCH($F37,'Omkostningsindeks og vægte'!$F$20:$F$445,0))</f>
        <v>3.35</v>
      </c>
      <c r="K37" s="25">
        <f>INDEX('Omkostningsindeks og vægte'!K$20:K$445,MATCH($F37,'Omkostningsindeks og vægte'!$F$20:$F$445,0))</f>
        <v>437.18048745998027</v>
      </c>
      <c r="L37" s="26">
        <f>INDEX('Omkostningsindeks og vægte'!L$20:L$445,MATCH($F37,'Omkostningsindeks og vægte'!$F$20:$F$445,0))</f>
        <v>161.8838619876328</v>
      </c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24">
        <f t="shared" si="0"/>
        <v>45108</v>
      </c>
      <c r="G38" s="25">
        <f>INDEX('Omkostningsindeks og vægte'!G$20:G$445,MATCH($F38,'Omkostningsindeks og vægte'!$F$20:$F$445,0))</f>
        <v>152.32308</v>
      </c>
      <c r="H38" s="25">
        <f>INDEX('Omkostningsindeks og vægte'!H$20:H$445,MATCH($F38,'Omkostningsindeks og vægte'!$F$20:$F$445,0))</f>
        <v>152.26452905811624</v>
      </c>
      <c r="I38" s="25">
        <f>INDEX('Omkostningsindeks og vægte'!I$20:I$445,MATCH($F38,'Omkostningsindeks og vægte'!$F$20:$F$445,0))</f>
        <v>123.98284964884677</v>
      </c>
      <c r="J38" s="25">
        <f>INDEX('Omkostningsindeks og vægte'!J$20:J$445,MATCH($F38,'Omkostningsindeks og vægte'!$F$20:$F$445,0))</f>
        <v>3.45</v>
      </c>
      <c r="K38" s="25">
        <f>INDEX('Omkostningsindeks og vægte'!K$20:K$445,MATCH($F38,'Omkostningsindeks og vægte'!$F$20:$F$445,0))</f>
        <v>410.98711278725386</v>
      </c>
      <c r="L38" s="26">
        <f>INDEX('Omkostningsindeks og vægte'!L$20:L$445,MATCH($F38,'Omkostningsindeks og vægte'!$F$20:$F$445,0))</f>
        <v>159.49902415295571</v>
      </c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24">
        <f t="shared" si="0"/>
        <v>45139</v>
      </c>
      <c r="G39" s="25">
        <f>INDEX('Omkostningsindeks og vægte'!G$20:G$445,MATCH($F39,'Omkostningsindeks og vægte'!$F$20:$F$445,0))</f>
        <v>152.32308</v>
      </c>
      <c r="H39" s="25">
        <f>INDEX('Omkostningsindeks og vægte'!H$20:H$445,MATCH($F39,'Omkostningsindeks og vægte'!$F$20:$F$445,0))</f>
        <v>152.78957915831666</v>
      </c>
      <c r="I39" s="25">
        <f>INDEX('Omkostningsindeks og vægte'!I$20:I$445,MATCH($F39,'Omkostningsindeks og vægte'!$F$20:$F$445,0))</f>
        <v>124.58912275226409</v>
      </c>
      <c r="J39" s="25">
        <f>INDEX('Omkostningsindeks og vægte'!J$20:J$445,MATCH($F39,'Omkostningsindeks og vægte'!$F$20:$F$445,0))</f>
        <v>3.69</v>
      </c>
      <c r="K39" s="25">
        <f>INDEX('Omkostningsindeks og vægte'!K$20:K$445,MATCH($F39,'Omkostningsindeks og vægte'!$F$20:$F$445,0))</f>
        <v>430.04033031427906</v>
      </c>
      <c r="L39" s="26">
        <f>INDEX('Omkostningsindeks og vægte'!L$20:L$445,MATCH($F39,'Omkostningsindeks og vægte'!$F$20:$F$445,0))</f>
        <v>162.16189723418225</v>
      </c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24">
        <f t="shared" si="0"/>
        <v>45170</v>
      </c>
      <c r="G40" s="25">
        <f>INDEX('Omkostningsindeks og vægte'!G$20:G$445,MATCH($F40,'Omkostningsindeks og vægte'!$F$20:$F$445,0))</f>
        <v>152.32308</v>
      </c>
      <c r="H40" s="25">
        <f>INDEX('Omkostningsindeks og vægte'!H$20:H$445,MATCH($F40,'Omkostningsindeks og vægte'!$F$20:$F$445,0))</f>
        <v>155.54609218436875</v>
      </c>
      <c r="I40" s="25">
        <f>INDEX('Omkostningsindeks og vægte'!I$20:I$445,MATCH($F40,'Omkostningsindeks og vægte'!$F$20:$F$445,0))</f>
        <v>125.90271447633499</v>
      </c>
      <c r="J40" s="25">
        <f>INDEX('Omkostningsindeks og vægte'!J$20:J$445,MATCH($F40,'Omkostningsindeks og vægte'!$F$20:$F$445,0))</f>
        <v>3.67</v>
      </c>
      <c r="K40" s="25">
        <f>INDEX('Omkostningsindeks og vægte'!K$20:K$445,MATCH($F40,'Omkostningsindeks og vægte'!$F$20:$F$445,0))</f>
        <v>424.7062868394512</v>
      </c>
      <c r="L40" s="26">
        <f>INDEX('Omkostningsindeks og vægte'!L$20:L$445,MATCH($F40,'Omkostningsindeks og vægte'!$F$20:$F$445,0))</f>
        <v>161.81481663610168</v>
      </c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24">
        <f t="shared" si="0"/>
        <v>45200</v>
      </c>
      <c r="G41" s="25">
        <f>INDEX('Omkostningsindeks og vægte'!G$20:G$445,MATCH($F41,'Omkostningsindeks og vægte'!$F$20:$F$445,0))</f>
        <v>153.13115999999999</v>
      </c>
      <c r="H41" s="25">
        <f>INDEX('Omkostningsindeks og vægte'!H$20:H$445,MATCH($F41,'Omkostningsindeks og vægte'!$F$20:$F$445,0))</f>
        <v>154.49599198396794</v>
      </c>
      <c r="I41" s="25">
        <f>INDEX('Omkostningsindeks og vægte'!I$20:I$445,MATCH($F41,'Omkostningsindeks og vægte'!$F$20:$F$445,0))</f>
        <v>125.59957792462635</v>
      </c>
      <c r="J41" s="25">
        <f>INDEX('Omkostningsindeks og vægte'!J$20:J$445,MATCH($F41,'Omkostningsindeks og vægte'!$F$20:$F$445,0))</f>
        <v>3.67</v>
      </c>
      <c r="K41" s="25">
        <f>INDEX('Omkostningsindeks og vægte'!K$20:K$445,MATCH($F41,'Omkostningsindeks og vægte'!$F$20:$F$445,0))</f>
        <v>452.81437220898084</v>
      </c>
      <c r="L41" s="26">
        <f>INDEX('Omkostningsindeks og vægte'!L$20:L$445,MATCH($F41,'Omkostningsindeks og vægte'!$F$20:$F$445,0))</f>
        <v>165.50654660075188</v>
      </c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24">
        <f t="shared" si="0"/>
        <v>45231</v>
      </c>
      <c r="G42" s="25">
        <f>INDEX('Omkostningsindeks og vægte'!G$20:G$445,MATCH($F42,'Omkostningsindeks og vægte'!$F$20:$F$445,0))</f>
        <v>153.13115999999999</v>
      </c>
      <c r="H42" s="25">
        <f>INDEX('Omkostningsindeks og vægte'!H$20:H$445,MATCH($F42,'Omkostningsindeks og vægte'!$F$20:$F$445,0))</f>
        <v>154.10220440881764</v>
      </c>
      <c r="I42" s="25">
        <f>INDEX('Omkostningsindeks og vægte'!I$20:I$445,MATCH($F42,'Omkostningsindeks og vægte'!$F$20:$F$445,0))</f>
        <v>125.29644137291767</v>
      </c>
      <c r="J42" s="25">
        <f>INDEX('Omkostningsindeks og vægte'!J$20:J$445,MATCH($F42,'Omkostningsindeks og vægte'!$F$20:$F$445,0))</f>
        <v>3.81</v>
      </c>
      <c r="K42" s="25">
        <f>INDEX('Omkostningsindeks og vægte'!K$20:K$445,MATCH($F42,'Omkostningsindeks og vægte'!$F$20:$F$445,0))</f>
        <v>463.72264597558586</v>
      </c>
      <c r="L42" s="26">
        <f>INDEX('Omkostningsindeks og vægte'!L$20:L$445,MATCH($F42,'Omkostningsindeks og vægte'!$F$20:$F$445,0))</f>
        <v>166.92578641939727</v>
      </c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24">
        <f t="shared" si="0"/>
        <v>45261</v>
      </c>
      <c r="G43" s="25">
        <f>INDEX('Omkostningsindeks og vægte'!G$20:G$445,MATCH($F43,'Omkostningsindeks og vægte'!$F$20:$F$445,0))</f>
        <v>153.13115999999999</v>
      </c>
      <c r="H43" s="25">
        <f>INDEX('Omkostningsindeks og vægte'!H$20:H$445,MATCH($F43,'Omkostningsindeks og vægte'!$F$20:$F$445,0))</f>
        <v>154.49599198396794</v>
      </c>
      <c r="I43" s="25">
        <f>INDEX('Omkostningsindeks og vægte'!I$20:I$445,MATCH($F43,'Omkostningsindeks og vægte'!$F$20:$F$445,0))</f>
        <v>125.19539585568144</v>
      </c>
      <c r="J43" s="25">
        <f>INDEX('Omkostningsindeks og vægte'!J$20:J$445,MATCH($F43,'Omkostningsindeks og vægte'!$F$20:$F$445,0))</f>
        <v>3.78</v>
      </c>
      <c r="K43" s="25">
        <f>INDEX('Omkostningsindeks og vægte'!K$20:K$445,MATCH($F43,'Omkostningsindeks og vægte'!$F$20:$F$445,0))</f>
        <v>461.36781983575446</v>
      </c>
      <c r="L43" s="26">
        <f>INDEX('Omkostningsindeks og vægte'!L$20:L$445,MATCH($F43,'Omkostningsindeks og vægte'!$F$20:$F$445,0))</f>
        <v>166.6255929549236</v>
      </c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24">
        <f t="shared" si="0"/>
        <v>45292</v>
      </c>
      <c r="G44" s="25">
        <f>INDEX('Omkostningsindeks og vægte'!G$20:G$445,MATCH($F44,'Omkostningsindeks og vægte'!$F$20:$F$445,0))</f>
        <v>155.05035000000001</v>
      </c>
      <c r="H44" s="25">
        <f>INDEX('Omkostningsindeks og vægte'!H$20:H$445,MATCH($F44,'Omkostningsindeks og vægte'!$F$20:$F$445,0))</f>
        <v>153.97094188376755</v>
      </c>
      <c r="I44" s="25">
        <f>INDEX('Omkostningsindeks og vægte'!I$20:I$445,MATCH($F44,'Omkostningsindeks og vægte'!$F$20:$F$445,0))</f>
        <v>125.2015771995201</v>
      </c>
      <c r="J44" s="25">
        <f>INDEX('Omkostningsindeks og vægte'!J$20:J$445,MATCH($F44,'Omkostningsindeks og vægte'!$F$20:$F$445,0))</f>
        <v>3.51</v>
      </c>
      <c r="K44" s="25">
        <f>INDEX('Omkostningsindeks og vægte'!K$20:K$445,MATCH($F44,'Omkostningsindeks og vægte'!$F$20:$F$445,0))</f>
        <v>456.72931445557043</v>
      </c>
      <c r="L44" s="26">
        <f>INDEX('Omkostningsindeks og vægte'!L$20:L$445,MATCH($F44,'Omkostningsindeks og vægte'!$F$20:$F$445,0))</f>
        <v>166.72014015198874</v>
      </c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24">
        <f t="shared" si="0"/>
        <v>45323</v>
      </c>
      <c r="G45" s="25">
        <f>INDEX('Omkostningsindeks og vægte'!G$20:G$445,MATCH($F45,'Omkostningsindeks og vægte'!$F$20:$F$445,0))</f>
        <v>155.05035000000001</v>
      </c>
      <c r="H45" s="25">
        <f>INDEX('Omkostningsindeks og vægte'!H$20:H$445,MATCH($F45,'Omkostningsindeks og vægte'!$F$20:$F$445,0))</f>
        <v>153.18336673346695</v>
      </c>
      <c r="I45" s="25">
        <f>INDEX('Omkostningsindeks og vægte'!I$20:I$445,MATCH($F45,'Omkostningsindeks og vægte'!$F$20:$F$445,0))</f>
        <v>124.99882160891359</v>
      </c>
      <c r="J45" s="25">
        <f>INDEX('Omkostningsindeks og vægte'!J$20:J$445,MATCH($F45,'Omkostningsindeks og vægte'!$F$20:$F$445,0))</f>
        <v>3.18</v>
      </c>
      <c r="K45" s="25">
        <f>INDEX('Omkostningsindeks og vægte'!K$20:K$445,MATCH($F45,'Omkostningsindeks og vægte'!$F$20:$F$445,0))</f>
        <v>433.02505256764056</v>
      </c>
      <c r="L45" s="26">
        <f>INDEX('Omkostningsindeks og vægte'!L$20:L$445,MATCH($F45,'Omkostningsindeks og vægte'!$F$20:$F$445,0))</f>
        <v>163.4097662134065</v>
      </c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24">
        <f t="shared" si="0"/>
        <v>45352</v>
      </c>
      <c r="G46" s="25">
        <f>INDEX('Omkostningsindeks og vægte'!G$20:G$445,MATCH($F46,'Omkostningsindeks og vægte'!$F$20:$F$445,0))</f>
        <v>155.05035000000001</v>
      </c>
      <c r="H46" s="25">
        <f>INDEX('Omkostningsindeks og vægte'!H$20:H$445,MATCH($F46,'Omkostningsindeks og vægte'!$F$20:$F$445,0))</f>
        <v>154.62725450901803</v>
      </c>
      <c r="I46" s="25">
        <f>INDEX('Omkostningsindeks og vægte'!I$20:I$445,MATCH($F46,'Omkostningsindeks og vægte'!$F$20:$F$445,0))</f>
        <v>123.98504365588104</v>
      </c>
      <c r="J46" s="25">
        <f>INDEX('Omkostningsindeks og vægte'!J$20:J$445,MATCH($F46,'Omkostningsindeks og vægte'!$F$20:$F$445,0))</f>
        <v>3.23</v>
      </c>
      <c r="K46" s="25">
        <f>INDEX('Omkostningsindeks og vægte'!K$20:K$445,MATCH($F46,'Omkostningsindeks og vægte'!$F$20:$F$445,0))</f>
        <v>346.98148256159197</v>
      </c>
      <c r="L46" s="26">
        <f>INDEX('Omkostningsindeks og vægte'!L$20:L$445,MATCH($F46,'Omkostningsindeks og vægte'!$F$20:$F$445,0))</f>
        <v>153.23542169368963</v>
      </c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24">
        <f t="shared" si="0"/>
        <v>45383</v>
      </c>
      <c r="G47" s="25">
        <f>INDEX('Omkostningsindeks og vægte'!G$20:G$445,MATCH($F47,'Omkostningsindeks og vægte'!$F$20:$F$445,0))</f>
        <v>156.36348000000001</v>
      </c>
      <c r="H47" s="25">
        <f>INDEX('Omkostningsindeks og vægte'!H$20:H$445,MATCH($F47,'Omkostningsindeks og vægte'!$F$20:$F$445,0))</f>
        <v>155.41482965931866</v>
      </c>
      <c r="I47" s="25">
        <f>INDEX('Omkostningsindeks og vægte'!I$20:I$445,MATCH($F47,'Omkostningsindeks og vægte'!$F$20:$F$445,0))</f>
        <v>124.28917704179081</v>
      </c>
      <c r="J47" s="25">
        <f>INDEX('Omkostningsindeks og vægte'!J$20:J$445,MATCH($F47,'Omkostningsindeks og vægte'!$F$20:$F$445,0))</f>
        <v>3.38</v>
      </c>
      <c r="K47" s="25">
        <f>INDEX('Omkostningsindeks og vægte'!K$20:K$445,MATCH($F47,'Omkostningsindeks og vægte'!$F$20:$F$445,0))</f>
        <v>356.00429398553581</v>
      </c>
      <c r="L47" s="26">
        <f>INDEX('Omkostningsindeks og vægte'!L$20:L$445,MATCH($F47,'Omkostningsindeks og vægte'!$F$20:$F$445,0))</f>
        <v>155.30647150395401</v>
      </c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24">
        <f t="shared" si="0"/>
        <v>45413</v>
      </c>
      <c r="G48" s="25">
        <f>INDEX('Omkostningsindeks og vægte'!G$20:G$445,MATCH($F48,'Omkostningsindeks og vægte'!$F$20:$F$445,0))</f>
        <v>156.36348000000001</v>
      </c>
      <c r="H48" s="25">
        <f>INDEX('Omkostningsindeks og vægte'!H$20:H$445,MATCH($F48,'Omkostningsindeks og vægte'!$F$20:$F$445,0))</f>
        <v>155.41482965931866</v>
      </c>
      <c r="I48" s="25">
        <f>INDEX('Omkostningsindeks og vægte'!I$20:I$445,MATCH($F48,'Omkostningsindeks og vægte'!$F$20:$F$445,0))</f>
        <v>123.88366586057779</v>
      </c>
      <c r="J48" s="25">
        <f>INDEX('Omkostningsindeks og vægte'!J$20:J$445,MATCH($F48,'Omkostningsindeks og vægte'!$F$20:$F$445,0))</f>
        <v>3.39</v>
      </c>
      <c r="K48" s="25">
        <f>INDEX('Omkostningsindeks og vægte'!K$20:K$445,MATCH($F48,'Omkostningsindeks og vægte'!$F$20:$F$445,0))</f>
        <v>347.22945411158304</v>
      </c>
      <c r="L48" s="26">
        <f>INDEX('Omkostningsindeks og vægte'!L$20:L$445,MATCH($F48,'Omkostningsindeks og vægte'!$F$20:$F$445,0))</f>
        <v>154.23684032546961</v>
      </c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24">
        <f t="shared" si="0"/>
        <v>45444</v>
      </c>
      <c r="G49" s="25">
        <f>INDEX('Omkostningsindeks og vægte'!G$20:G$445,MATCH($F49,'Omkostningsindeks og vægte'!$F$20:$F$445,0))</f>
        <v>156.36348000000001</v>
      </c>
      <c r="H49" s="25">
        <f>INDEX('Omkostningsindeks og vægte'!H$20:H$445,MATCH($F49,'Omkostningsindeks og vægte'!$F$20:$F$445,0))</f>
        <v>155.54609218436875</v>
      </c>
      <c r="I49" s="25">
        <f>INDEX('Omkostningsindeks og vægte'!I$20:I$445,MATCH($F49,'Omkostningsindeks og vægte'!$F$20:$F$445,0))</f>
        <v>124.39055483709407</v>
      </c>
      <c r="J49" s="25">
        <f>INDEX('Omkostningsindeks og vægte'!J$20:J$445,MATCH($F49,'Omkostningsindeks og vægte'!$F$20:$F$445,0))</f>
        <v>3.43</v>
      </c>
      <c r="K49" s="25">
        <f>INDEX('Omkostningsindeks og vægte'!K$20:K$445,MATCH($F49,'Omkostningsindeks og vægte'!$F$20:$F$445,0))</f>
        <v>344.995736175785</v>
      </c>
      <c r="L49" s="26">
        <f>INDEX('Omkostningsindeks og vægte'!L$20:L$445,MATCH($F49,'Omkostningsindeks og vægte'!$F$20:$F$445,0))</f>
        <v>154.07731026602255</v>
      </c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24">
        <f t="shared" si="0"/>
        <v>45474</v>
      </c>
      <c r="G50" s="25">
        <f>INDEX('Omkostningsindeks og vægte'!G$20:G$445,MATCH($F50,'Omkostningsindeks og vægte'!$F$20:$F$445,0))</f>
        <v>157.67660999999998</v>
      </c>
      <c r="H50" s="25">
        <f>INDEX('Omkostningsindeks og vægte'!H$20:H$445,MATCH($F50,'Omkostningsindeks og vægte'!$F$20:$F$445,0))</f>
        <v>155.54609218436875</v>
      </c>
      <c r="I50" s="25">
        <f>INDEX('Omkostningsindeks og vægte'!I$20:I$445,MATCH($F50,'Omkostningsindeks og vægte'!$F$20:$F$445,0))</f>
        <v>124.89744381361034</v>
      </c>
      <c r="J50" s="25">
        <f>INDEX('Omkostningsindeks og vægte'!J$20:J$445,MATCH($F50,'Omkostningsindeks og vægte'!$F$20:$F$445,0))</f>
        <v>3.49</v>
      </c>
      <c r="K50" s="25">
        <f>INDEX('Omkostningsindeks og vægte'!K$20:K$445,MATCH($F50,'Omkostningsindeks og vægte'!$F$20:$F$445,0))</f>
        <v>326.26900479199838</v>
      </c>
      <c r="L50" s="26">
        <f>INDEX('Omkostningsindeks og vægte'!L$20:L$445,MATCH($F50,'Omkostningsindeks og vægte'!$F$20:$F$445,0))</f>
        <v>152.69587786859492</v>
      </c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24">
        <f t="shared" si="0"/>
        <v>45505</v>
      </c>
      <c r="G51" s="25">
        <f>INDEX('Omkostningsindeks og vægte'!G$20:G$445,MATCH($F51,'Omkostningsindeks og vægte'!$F$20:$F$445,0))</f>
        <v>157.67660999999998</v>
      </c>
      <c r="H51" s="25">
        <f>INDEX('Omkostningsindeks og vægte'!H$20:H$445,MATCH($F51,'Omkostningsindeks og vægte'!$F$20:$F$445,0))</f>
        <v>155.54609218436875</v>
      </c>
      <c r="I51" s="25">
        <f>INDEX('Omkostningsindeks og vægte'!I$20:I$445,MATCH($F51,'Omkostningsindeks og vægte'!$F$20:$F$445,0))</f>
        <v>124.89744381361034</v>
      </c>
      <c r="J51" s="25">
        <f>INDEX('Omkostningsindeks og vægte'!J$20:J$445,MATCH($F51,'Omkostningsindeks og vægte'!$F$20:$F$445,0))</f>
        <v>3.4</v>
      </c>
      <c r="K51" s="25">
        <f>INDEX('Omkostningsindeks og vægte'!K$20:K$445,MATCH($F51,'Omkostningsindeks og vægte'!$F$20:$F$445,0))</f>
        <v>314.50516106150991</v>
      </c>
      <c r="L51" s="26">
        <f>INDEX('Omkostningsindeks og vægte'!L$20:L$445,MATCH($F51,'Omkostningsindeks og vægte'!$F$20:$F$445,0))</f>
        <v>151.18221273446221</v>
      </c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24">
        <f t="shared" si="0"/>
        <v>45536</v>
      </c>
      <c r="G52" s="25">
        <f>INDEX('Omkostningsindeks og vægte'!G$20:G$445,MATCH($F52,'Omkostningsindeks og vægte'!$F$20:$F$445,0))</f>
        <v>157.67660999999998</v>
      </c>
      <c r="H52" s="25">
        <f>INDEX('Omkostningsindeks og vægte'!H$20:H$445,MATCH($F52,'Omkostningsindeks og vægte'!$F$20:$F$445,0))</f>
        <v>157.25250501002006</v>
      </c>
      <c r="I52" s="25">
        <f>INDEX('Omkostningsindeks og vægte'!I$20:I$445,MATCH($F52,'Omkostningsindeks og vægte'!$F$20:$F$445,0))</f>
        <v>125.10019940421685</v>
      </c>
      <c r="J52" s="25">
        <f>INDEX('Omkostningsindeks og vægte'!J$20:J$445,MATCH($F52,'Omkostningsindeks og vægte'!$F$20:$F$445,0))</f>
        <v>3.12</v>
      </c>
      <c r="K52" s="25">
        <f>INDEX('Omkostningsindeks og vægte'!K$20:K$445,MATCH($F52,'Omkostningsindeks og vægte'!$F$20:$F$445,0))</f>
        <v>329.35592946914937</v>
      </c>
      <c r="L52" s="26">
        <f>INDEX('Omkostningsindeks og vægte'!L$20:L$445,MATCH($F52,'Omkostningsindeks og vægte'!$F$20:$F$445,0))</f>
        <v>152.73494619286586</v>
      </c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24">
        <f t="shared" si="0"/>
        <v>45566</v>
      </c>
      <c r="G53" s="25">
        <f>INDEX('Omkostningsindeks og vægte'!G$20:G$445,MATCH($F53,'Omkostningsindeks og vægte'!$F$20:$F$445,0))</f>
        <v>162.86760950617284</v>
      </c>
      <c r="H53" s="25">
        <f>INDEX('Omkostningsindeks og vægte'!H$20:H$445,MATCH($F53,'Omkostningsindeks og vægte'!$F$20:$F$445,0))</f>
        <v>156.59619238476955</v>
      </c>
      <c r="I53" s="25">
        <f>INDEX('Omkostningsindeks og vægte'!I$20:I$445,MATCH($F53,'Omkostningsindeks og vægte'!$F$20:$F$445,0))</f>
        <v>125.30295499482335</v>
      </c>
      <c r="J53" s="25">
        <f>INDEX('Omkostningsindeks og vægte'!J$20:J$445,MATCH($F53,'Omkostningsindeks og vægte'!$F$20:$F$445,0))</f>
        <v>3.05</v>
      </c>
      <c r="K53" s="25">
        <f>INDEX('Omkostningsindeks og vægte'!K$20:K$445,MATCH($F53,'Omkostningsindeks og vægte'!$F$20:$F$445,0))</f>
        <v>310.87338847930516</v>
      </c>
      <c r="L53" s="26">
        <f>INDEX('Omkostningsindeks og vægte'!L$20:L$445,MATCH($F53,'Omkostningsindeks og vægte'!$F$20:$F$445,0))</f>
        <v>153.28788302490673</v>
      </c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24">
        <f t="shared" si="0"/>
        <v>45597</v>
      </c>
      <c r="G54" s="25">
        <f>INDEX('Omkostningsindeks og vægte'!G$20:G$445,MATCH($F54,'Omkostningsindeks og vægte'!$F$20:$F$445,0))</f>
        <v>162.86760950617284</v>
      </c>
      <c r="H54" s="25">
        <f>INDEX('Omkostningsindeks og vægte'!H$20:H$445,MATCH($F54,'Omkostningsindeks og vægte'!$F$20:$F$445,0))</f>
        <v>156.07114228456916</v>
      </c>
      <c r="I54" s="25">
        <f>INDEX('Omkostningsindeks og vægte'!I$20:I$445,MATCH($F54,'Omkostningsindeks og vægte'!$F$20:$F$445,0))</f>
        <v>125.2015771995201</v>
      </c>
      <c r="J54" s="25">
        <f>INDEX('Omkostningsindeks og vægte'!J$20:J$445,MATCH($F54,'Omkostningsindeks og vægte'!$F$20:$F$445,0))</f>
        <v>2.82</v>
      </c>
      <c r="K54" s="25">
        <f>INDEX('Omkostningsindeks og vægte'!K$20:K$445,MATCH($F54,'Omkostningsindeks og vægte'!$F$20:$F$445,0))</f>
        <v>297.13127726725315</v>
      </c>
      <c r="L54" s="26">
        <f>INDEX('Omkostningsindeks og vægte'!L$20:L$445,MATCH($F54,'Omkostningsindeks og vægte'!$F$20:$F$445,0))</f>
        <v>151.31684562173675</v>
      </c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24">
        <f t="shared" si="0"/>
        <v>45627</v>
      </c>
      <c r="G55" s="25">
        <f>INDEX('Omkostningsindeks og vægte'!G$20:G$445,MATCH($F55,'Omkostningsindeks og vægte'!$F$20:$F$445,0))</f>
        <v>162.86760950617284</v>
      </c>
      <c r="H55" s="25">
        <f>INDEX('Omkostningsindeks og vægte'!H$20:H$445,MATCH($F55,'Omkostningsindeks og vægte'!$F$20:$F$445,0))</f>
        <v>156.98997995991985</v>
      </c>
      <c r="I55" s="25">
        <f>INDEX('Omkostningsindeks og vægte'!I$20:I$445,MATCH($F55,'Omkostningsindeks og vægte'!$F$20:$F$445,0))</f>
        <v>124.59331042770059</v>
      </c>
      <c r="J55" s="25">
        <f>INDEX('Omkostningsindeks og vægte'!J$20:J$445,MATCH($F55,'Omkostningsindeks og vægte'!$F$20:$F$445,0))</f>
        <v>2.9</v>
      </c>
      <c r="K55" s="25">
        <f>INDEX('Omkostningsindeks og vægte'!K$20:K$445,MATCH($F55,'Omkostningsindeks og vægte'!$F$20:$F$445,0))</f>
        <v>304.41953895906971</v>
      </c>
      <c r="L55" s="26">
        <f>INDEX('Omkostningsindeks og vægte'!L$20:L$445,MATCH($F55,'Omkostningsindeks og vægte'!$F$20:$F$445,0))</f>
        <v>152.29238818987142</v>
      </c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12"/>
      <c r="F56" s="24">
        <f t="shared" si="0"/>
        <v>45658</v>
      </c>
      <c r="G56" s="25">
        <f>INDEX('Omkostningsindeks og vægte'!G$20:G$445,MATCH($F56,'Omkostningsindeks og vægte'!$F$20:$F$445,0))</f>
        <v>161.82940960493826</v>
      </c>
      <c r="H56" s="25">
        <f>INDEX('Omkostningsindeks og vægte'!H$20:H$445,MATCH($F56,'Omkostningsindeks og vægte'!$F$20:$F$445,0))</f>
        <v>156.46492985971946</v>
      </c>
      <c r="I56" s="25">
        <f>INDEX('Omkostningsindeks og vægte'!I$20:I$445,MATCH($F56,'Omkostningsindeks og vægte'!$F$20:$F$445,0))</f>
        <v>124.89744381361034</v>
      </c>
      <c r="J56" s="25">
        <f>INDEX('Omkostningsindeks og vægte'!J$20:J$445,MATCH($F56,'Omkostningsindeks og vægte'!$F$20:$F$445,0))</f>
        <v>2.67</v>
      </c>
      <c r="K56" s="25">
        <f>INDEX('Omkostningsindeks og vægte'!K$20:K$445,MATCH($F56,'Omkostningsindeks og vægte'!$F$20:$F$445,0))</f>
        <v>314.9767490681192</v>
      </c>
      <c r="L56" s="26">
        <f>INDEX('Omkostningsindeks og vægte'!L$20:L$445,MATCH($F56,'Omkostningsindeks og vægte'!$F$20:$F$445,0))</f>
        <v>152.67812202911554</v>
      </c>
      <c r="M56" s="23"/>
      <c r="N56" s="7"/>
      <c r="O56" s="12"/>
      <c r="P56" s="12"/>
      <c r="Q56" s="12"/>
      <c r="R56" s="12"/>
      <c r="S56" s="12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12"/>
      <c r="F57" s="24">
        <f t="shared" si="0"/>
        <v>45689</v>
      </c>
      <c r="G57" s="25">
        <f>INDEX('Omkostningsindeks og vægte'!G$20:G$445,MATCH($F57,'Omkostningsindeks og vægte'!$F$20:$F$445,0))</f>
        <v>161.82940960493826</v>
      </c>
      <c r="H57" s="25">
        <f>INDEX('Omkostningsindeks og vægte'!H$20:H$445,MATCH($F57,'Omkostningsindeks og vægte'!$F$20:$F$445,0))</f>
        <v>156.07114228456916</v>
      </c>
      <c r="I57" s="25">
        <f>INDEX('Omkostningsindeks og vægte'!I$20:I$445,MATCH($F57,'Omkostningsindeks og vægte'!$F$20:$F$445,0))</f>
        <v>125.20157719952012</v>
      </c>
      <c r="J57" s="25">
        <f>INDEX('Omkostningsindeks og vægte'!J$20:J$445,MATCH($F57,'Omkostningsindeks og vægte'!$F$20:$F$445,0))</f>
        <v>2.82</v>
      </c>
      <c r="K57" s="25">
        <f>INDEX('Omkostningsindeks og vægte'!K$20:K$445,MATCH($F57,'Omkostningsindeks og vægte'!$F$20:$F$445,0))</f>
        <v>310.76640400521984</v>
      </c>
      <c r="L57" s="26">
        <f>INDEX('Omkostningsindeks og vægte'!L$20:L$445,MATCH($F57,'Omkostningsindeks og vægte'!$F$20:$F$445,0))</f>
        <v>152.36648388964974</v>
      </c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12"/>
      <c r="F58" s="24">
        <f t="shared" si="0"/>
        <v>45717</v>
      </c>
      <c r="G58" s="27">
        <f>INDEX('Omkostningsindeks og vægte'!G$20:G$445,MATCH($F58,'Omkostningsindeks og vægte'!$F$20:$F$445,0))</f>
        <v>161.82940960493826</v>
      </c>
      <c r="H58" s="25">
        <f>INDEX('Omkostningsindeks og vægte'!H$20:H$445,MATCH($F58,'Omkostningsindeks og vægte'!$F$20:$F$445,0))</f>
        <v>156.98997995991985</v>
      </c>
      <c r="I58" s="25">
        <f>INDEX('Omkostningsindeks og vægte'!I$20:I$445,MATCH($F58,'Omkostningsindeks og vægte'!$F$20:$F$445,0))</f>
        <v>124.43144447509424</v>
      </c>
      <c r="J58" s="25">
        <f>INDEX('Omkostningsindeks og vægte'!J$20:J$445,MATCH($F58,'Omkostningsindeks og vægte'!$F$20:$F$445,0))</f>
        <v>2.73</v>
      </c>
      <c r="K58" s="25">
        <f>INDEX('Omkostningsindeks og vægte'!K$20:K$445,MATCH($F58,'Omkostningsindeks og vægte'!$F$20:$F$445,0))</f>
        <v>326.79642045556278</v>
      </c>
      <c r="L58" s="26">
        <f>INDEX('Omkostningsindeks og vægte'!L$20:L$445,MATCH($F58,'Omkostningsindeks og vægte'!$F$20:$F$445,0))</f>
        <v>154.1538720466842</v>
      </c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24">
        <f t="shared" si="0"/>
        <v>45748</v>
      </c>
      <c r="G59" s="25">
        <f>INDEX('Omkostningsindeks og vægte'!G$20:G$445,MATCH($F59,'Omkostningsindeks og vægte'!$F$20:$F$445,0))</f>
        <v>163.25693446913579</v>
      </c>
      <c r="H59" s="25">
        <f>INDEX('Omkostningsindeks og vægte'!H$20:H$445,MATCH($F59,'Omkostningsindeks og vægte'!$F$20:$F$445,0))</f>
        <v>158.56513026052104</v>
      </c>
      <c r="I59" s="25">
        <f>INDEX('Omkostningsindeks og vægte'!I$20:I$445,MATCH($F59,'Omkostningsindeks og vægte'!$F$20:$F$445,0))</f>
        <v>124.21140655382972</v>
      </c>
      <c r="J59" s="25">
        <f>INDEX('Omkostningsindeks og vægte'!J$20:J$445,MATCH($F59,'Omkostningsindeks og vægte'!$F$20:$F$445,0))</f>
        <v>2.69</v>
      </c>
      <c r="K59" s="25">
        <f>INDEX('Omkostningsindeks og vægte'!K$20:K$445,MATCH($F59,'Omkostningsindeks og vægte'!$F$20:$F$445,0))</f>
        <v>322.65613799003734</v>
      </c>
      <c r="L59" s="26">
        <f>INDEX('Omkostningsindeks og vægte'!L$20:L$445,MATCH($F59,'Omkostningsindeks og vægte'!$F$20:$F$445,0))</f>
        <v>154.4880610373981</v>
      </c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24">
        <f t="shared" si="0"/>
        <v>45778</v>
      </c>
      <c r="G60" s="25">
        <f>INDEX('Omkostningsindeks og vægte'!G$20:G$445,MATCH($F60,'Omkostningsindeks og vægte'!$F$20:$F$445,0))</f>
        <v>163.25693446913579</v>
      </c>
      <c r="H60" s="25">
        <f>INDEX('Omkostningsindeks og vægte'!H$20:H$445,MATCH($F60,'Omkostningsindeks og vægte'!$F$20:$F$445,0))</f>
        <v>157.77755511022045</v>
      </c>
      <c r="I60" s="25">
        <f>INDEX('Omkostningsindeks og vægte'!I$20:I$445,MATCH($F60,'Omkostningsindeks og vægte'!$F$20:$F$445,0))</f>
        <v>124.10138759319744</v>
      </c>
      <c r="J60" s="25">
        <f>INDEX('Omkostningsindeks og vægte'!J$20:J$445,MATCH($F60,'Omkostningsindeks og vægte'!$F$20:$F$445,0))</f>
        <v>2.75</v>
      </c>
      <c r="K60" s="25">
        <f>INDEX('Omkostningsindeks og vægte'!K$20:K$445,MATCH($F60,'Omkostningsindeks og vægte'!$F$20:$F$445,0))</f>
        <v>312.9518565961605</v>
      </c>
      <c r="L60" s="26">
        <f>INDEX('Omkostningsindeks og vægte'!L$20:L$445,MATCH($F60,'Omkostningsindeks og vægte'!$F$20:$F$445,0))</f>
        <v>153.34351304925661</v>
      </c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12"/>
      <c r="F61" s="24">
        <f t="shared" si="0"/>
        <v>45809</v>
      </c>
      <c r="G61" s="25">
        <f>INDEX('Omkostningsindeks og vægte'!G$20:G$445,MATCH($F61,'Omkostningsindeks og vægte'!$F$20:$F$445,0))</f>
        <v>163.25693446913579</v>
      </c>
      <c r="H61" s="25">
        <f>INDEX('Omkostningsindeks og vægte'!H$20:H$445,MATCH($F61,'Omkostningsindeks og vægte'!$F$20:$F$445,0))</f>
        <v>157.90881763527054</v>
      </c>
      <c r="I61" s="25">
        <f>INDEX('Omkostningsindeks og vægte'!I$20:I$445,MATCH($F61,'Omkostningsindeks og vægte'!$F$20:$F$445,0))</f>
        <v>126.08172888457825</v>
      </c>
      <c r="J61" s="25">
        <f>INDEX('Omkostningsindeks og vægte'!J$20:J$445,MATCH($F61,'Omkostningsindeks og vægte'!$F$20:$F$445,0))</f>
        <v>2.61</v>
      </c>
      <c r="K61" s="25">
        <f>INDEX('Omkostningsindeks og vægte'!K$20:K$445,MATCH($F61,'Omkostningsindeks og vægte'!$F$20:$F$445,0))</f>
        <v>294.59459420304904</v>
      </c>
      <c r="L61" s="26">
        <f>INDEX('Omkostningsindeks og vægte'!L$20:L$445,MATCH($F61,'Omkostningsindeks og vægte'!$F$20:$F$445,0))</f>
        <v>151.17466959254048</v>
      </c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24">
        <f t="shared" si="0"/>
        <v>45839</v>
      </c>
      <c r="G62" s="25">
        <f>INDEX('Omkostningsindeks og vægte'!G$20:G$445,MATCH($F62,'Omkostningsindeks og vægte'!$F$20:$F$445,0))</f>
        <v>163.90580940740739</v>
      </c>
      <c r="H62" s="25">
        <f>INDEX('Omkostningsindeks og vægte'!H$20:H$445,MATCH($F62,'Omkostningsindeks og vægte'!$F$20:$F$445,0))</f>
        <v>158.04008016032066</v>
      </c>
      <c r="I62" s="25">
        <f>INDEX('Omkostningsindeks og vægte'!I$20:I$445,MATCH($F62,'Omkostningsindeks og vægte'!$F$20:$F$445,0))</f>
        <v>126.41178576647506</v>
      </c>
      <c r="J62" s="25">
        <f>INDEX('Omkostningsindeks og vægte'!J$20:J$445,MATCH($F62,'Omkostningsindeks og vægte'!$F$20:$F$445,0))</f>
        <v>2.67</v>
      </c>
      <c r="K62" s="25">
        <f>INDEX('Omkostningsindeks og vægte'!K$20:K$445,MATCH($F62,'Omkostningsindeks og vægte'!$F$20:$F$445,0))</f>
        <v>275.60212539636592</v>
      </c>
      <c r="L62" s="26">
        <f>INDEX('Omkostningsindeks og vægte'!L$20:L$445,MATCH($F62,'Omkostningsindeks og vægte'!$F$20:$F$445,0))</f>
        <v>149.38731161299614</v>
      </c>
      <c r="M62" s="23"/>
      <c r="N62" s="7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24">
        <f t="shared" si="0"/>
        <v>45870</v>
      </c>
      <c r="G63" s="25">
        <f>INDEX('Omkostningsindeks og vægte'!G$20:G$445,MATCH($F63,'Omkostningsindeks og vægte'!$F$20:$F$445,0))</f>
        <v>163.90580940740739</v>
      </c>
      <c r="H63" s="25">
        <f>INDEX('Omkostningsindeks og vægte'!H$20:H$445,MATCH($F63,'Omkostningsindeks og vægte'!$F$20:$F$445,0))</f>
        <v>158.43386773547095</v>
      </c>
      <c r="I63" s="25">
        <f>INDEX('Omkostningsindeks og vægte'!I$20:I$445,MATCH($F63,'Omkostningsindeks og vægte'!$F$20:$F$445,0))</f>
        <v>125.86169096331372</v>
      </c>
      <c r="J63" s="25">
        <f>INDEX('Omkostningsindeks og vægte'!J$20:J$445,MATCH($F63,'Omkostningsindeks og vægte'!$F$20:$F$445,0))</f>
        <v>2.75</v>
      </c>
      <c r="K63" s="25">
        <f>INDEX('Omkostningsindeks og vægte'!K$20:K$445,MATCH($F63,'Omkostningsindeks og vægte'!$F$20:$F$445,0))</f>
        <v>289.37487509345993</v>
      </c>
      <c r="L63" s="26">
        <f>INDEX('Omkostningsindeks og vægte'!L$20:L$445,MATCH($F63,'Omkostningsindeks og vægte'!$F$20:$F$445,0))</f>
        <v>151.10384177294989</v>
      </c>
      <c r="M63" s="23"/>
      <c r="N63" s="7"/>
      <c r="O63" s="12"/>
      <c r="P63" s="12"/>
      <c r="Q63" s="12"/>
      <c r="R63" s="12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f t="shared" si="0"/>
        <v>45901</v>
      </c>
      <c r="G64" s="25">
        <f>INDEX('Omkostningsindeks og vægte'!G$20:G$445,MATCH($F64,'Omkostningsindeks og vægte'!$F$20:$F$445,0))</f>
        <v>163.90580940740739</v>
      </c>
      <c r="H64" s="25">
        <f>INDEX('Omkostningsindeks og vægte'!H$20:H$445,MATCH($F64,'Omkostningsindeks og vægte'!$F$20:$F$445,0))</f>
        <v>160.79659318637275</v>
      </c>
      <c r="I64" s="25">
        <f>INDEX('Omkostningsindeks og vægte'!I$20:I$445,MATCH($F64,'Omkostningsindeks og vægte'!$F$20:$F$445,0))</f>
        <v>126.30176680584279</v>
      </c>
      <c r="J64" s="25">
        <f>INDEX('Omkostningsindeks og vægte'!J$20:J$445,MATCH($F64,'Omkostningsindeks og vægte'!$F$20:$F$445,0))</f>
        <v>2.69</v>
      </c>
      <c r="K64" s="25">
        <f>INDEX('Omkostningsindeks og vægte'!K$20:K$445,MATCH($F64,'Omkostningsindeks og vægte'!$F$20:$F$445,0))</f>
        <v>309.48050511984741</v>
      </c>
      <c r="L64" s="26">
        <f>INDEX('Omkostningsindeks og vægte'!L$20:L$445,MATCH($F64,'Omkostningsindeks og vægte'!$F$20:$F$445,0))</f>
        <v>153.62633916615147</v>
      </c>
      <c r="M64" s="23"/>
      <c r="N64" s="7"/>
      <c r="O64" s="12"/>
      <c r="P64" s="12"/>
      <c r="Q64" s="12"/>
      <c r="R64" s="12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f t="shared" si="0"/>
        <v>45931</v>
      </c>
      <c r="G65" s="25">
        <f>INDEX('Omkostningsindeks og vægte'!G$20:G$445,MATCH($F65,'Omkostningsindeks og vægte'!$F$20:$F$445,0))</f>
        <v>167.53950906172838</v>
      </c>
      <c r="H65" s="25">
        <f>INDEX('Omkostningsindeks og vægte'!H$20:H$445,MATCH($F65,'Omkostningsindeks og vægte'!$F$20:$F$445,0))</f>
        <v>159.74649298597197</v>
      </c>
      <c r="I65" s="25">
        <f>INDEX('Omkostningsindeks og vægte'!I$20:I$445,MATCH($F65,'Omkostningsindeks og vægte'!$F$20:$F$445,0))</f>
        <v>124.65148239635877</v>
      </c>
      <c r="J65" s="25">
        <f>INDEX('Omkostningsindeks og vægte'!J$20:J$445,MATCH($F65,'Omkostningsindeks og vægte'!$F$20:$F$445,0))</f>
        <v>2.73</v>
      </c>
      <c r="K65" s="25">
        <f>INDEX('Omkostningsindeks og vægte'!K$20:K$445,MATCH($F65,'Omkostningsindeks og vægte'!$F$20:$F$445,0))</f>
        <v>311.74349921240537</v>
      </c>
      <c r="L65" s="26">
        <f>INDEX('Omkostningsindeks og vægte'!L$20:L$445,MATCH($F65,'Omkostningsindeks og vægte'!$F$20:$F$445,0))</f>
        <v>155.72793086720716</v>
      </c>
      <c r="M65" s="23"/>
      <c r="N65" s="7"/>
      <c r="O65" s="28"/>
      <c r="P65" s="12"/>
      <c r="Q65" s="12"/>
      <c r="R65" s="12"/>
      <c r="S65" s="12"/>
      <c r="U65" s="3"/>
      <c r="V65" s="3"/>
      <c r="W65" s="3"/>
      <c r="X65" s="3"/>
      <c r="Y65" s="3"/>
      <c r="Z65" s="3"/>
    </row>
    <row r="66" spans="1:26" ht="12" thickBot="1">
      <c r="A66" s="2"/>
      <c r="B66" s="2"/>
      <c r="C66" s="3"/>
      <c r="D66" s="3"/>
      <c r="E66" s="12"/>
      <c r="F66" s="29">
        <f>EDATE(F67,-1)</f>
        <v>45962</v>
      </c>
      <c r="G66" s="30">
        <f>INDEX('Omkostningsindeks og vægte'!G$20:G$445,MATCH($F66,'Omkostningsindeks og vægte'!$F$20:$F$445,0))</f>
        <v>167.53950906172838</v>
      </c>
      <c r="H66" s="30">
        <f>INDEX('Omkostningsindeks og vægte'!H$20:H$445,MATCH($F66,'Omkostningsindeks og vægte'!$F$20:$F$445,0))</f>
        <v>159.61523046092185</v>
      </c>
      <c r="I66" s="30">
        <f>INDEX('Omkostningsindeks og vægte'!I$20:I$445,MATCH($F66,'Omkostningsindeks og vægte'!$F$20:$F$445,0))</f>
        <v>124.65148239635877</v>
      </c>
      <c r="J66" s="30">
        <f>INDEX('Omkostningsindeks og vægte'!J$20:J$445,MATCH($F66,'Omkostningsindeks og vægte'!$F$20:$F$445,0))</f>
        <v>2.76</v>
      </c>
      <c r="K66" s="30">
        <f>INDEX('Omkostningsindeks og vægte'!K$20:K$445,MATCH($F66,'Omkostningsindeks og vægte'!$F$20:$F$445,0))</f>
        <v>336.37620172601083</v>
      </c>
      <c r="L66" s="31">
        <f>INDEX('Omkostningsindeks og vægte'!L$20:L$445,MATCH($F66,'Omkostningsindeks og vægte'!$F$20:$F$445,0))</f>
        <v>158.68903952458996</v>
      </c>
      <c r="M66" s="23"/>
      <c r="N66" s="7"/>
      <c r="O66" s="12"/>
      <c r="P66" s="12"/>
      <c r="Q66" s="12"/>
      <c r="R66" s="12"/>
      <c r="S66" s="12"/>
      <c r="U66" s="3"/>
      <c r="V66" s="3"/>
      <c r="W66" s="3"/>
      <c r="X66" s="3"/>
      <c r="Y66" s="3"/>
      <c r="Z66" s="3"/>
    </row>
    <row r="67" spans="1:26" ht="14">
      <c r="A67" s="2"/>
      <c r="B67" s="2"/>
      <c r="C67" s="3"/>
      <c r="D67" s="3"/>
      <c r="E67" s="32" t="s">
        <v>5</v>
      </c>
      <c r="F67" s="24">
        <v>45992</v>
      </c>
      <c r="G67" s="33">
        <v>167.53950906172838</v>
      </c>
      <c r="H67" s="33">
        <v>159.68294755928676</v>
      </c>
      <c r="I67" s="33">
        <v>125.83051535578902</v>
      </c>
      <c r="J67" s="33">
        <v>2.73</v>
      </c>
      <c r="K67" s="33">
        <v>335.14731839375543</v>
      </c>
      <c r="L67" s="33">
        <v>158.61898055119238</v>
      </c>
      <c r="M67" s="32"/>
      <c r="N67" s="7"/>
      <c r="O67" s="12"/>
      <c r="P67" s="12"/>
      <c r="Q67" s="12"/>
      <c r="R67" s="12"/>
      <c r="S67" s="12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12"/>
      <c r="F68" s="24">
        <v>46023</v>
      </c>
      <c r="G68" s="33">
        <v>167.97985934545193</v>
      </c>
      <c r="H68" s="33">
        <v>159.80221857293611</v>
      </c>
      <c r="I68" s="33">
        <v>125.92450117796913</v>
      </c>
      <c r="J68" s="33">
        <v>2.73</v>
      </c>
      <c r="K68" s="33">
        <v>333.9229245415421</v>
      </c>
      <c r="L68" s="33">
        <v>158.73347937687168</v>
      </c>
      <c r="M68" s="23"/>
      <c r="N68" s="7"/>
      <c r="O68" s="12"/>
      <c r="P68" s="12"/>
      <c r="Q68" s="12"/>
      <c r="R68" s="1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24">
        <v>46054</v>
      </c>
      <c r="G69" s="33">
        <v>168.42136701810099</v>
      </c>
      <c r="H69" s="33">
        <v>159.9215786729589</v>
      </c>
      <c r="I69" s="33">
        <v>126.01855720040828</v>
      </c>
      <c r="J69" s="33">
        <v>2.73</v>
      </c>
      <c r="K69" s="33">
        <v>332.70300376795143</v>
      </c>
      <c r="L69" s="33">
        <v>158.84916283050896</v>
      </c>
      <c r="M69" s="23"/>
      <c r="N69" s="7"/>
      <c r="O69" s="12"/>
      <c r="P69" s="12"/>
      <c r="Q69" s="12"/>
      <c r="R69" s="1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24">
        <v>46082</v>
      </c>
      <c r="G70" s="33">
        <v>168.86403512168368</v>
      </c>
      <c r="H70" s="33">
        <v>160.04102792589586</v>
      </c>
      <c r="I70" s="33">
        <v>126.11268347554071</v>
      </c>
      <c r="J70" s="33">
        <v>2.73</v>
      </c>
      <c r="K70" s="33">
        <v>331.4875397314832</v>
      </c>
      <c r="L70" s="33">
        <v>158.96603065682396</v>
      </c>
      <c r="M70" s="23"/>
      <c r="N70" s="7"/>
      <c r="O70" s="12"/>
      <c r="P70" s="12"/>
      <c r="Q70" s="12"/>
      <c r="R70" s="1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24">
        <v>46113</v>
      </c>
      <c r="G71" s="33">
        <v>169.3078667062035</v>
      </c>
      <c r="H71" s="33">
        <v>160.16056639833744</v>
      </c>
      <c r="I71" s="33">
        <v>126.20688005583982</v>
      </c>
      <c r="J71" s="33">
        <v>2.73</v>
      </c>
      <c r="K71" s="33">
        <v>331.50120960314649</v>
      </c>
      <c r="L71" s="33">
        <v>159.22987945168808</v>
      </c>
      <c r="M71" s="23"/>
      <c r="N71" s="7"/>
      <c r="O71" s="12"/>
      <c r="P71" s="12"/>
      <c r="Q71" s="12"/>
      <c r="R71" s="1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24">
        <v>46143</v>
      </c>
      <c r="G72" s="33">
        <v>169.75286482968036</v>
      </c>
      <c r="H72" s="33">
        <v>160.28019415692381</v>
      </c>
      <c r="I72" s="33">
        <v>126.30114699381824</v>
      </c>
      <c r="J72" s="33">
        <v>2.73</v>
      </c>
      <c r="K72" s="33">
        <v>331.51488003852745</v>
      </c>
      <c r="L72" s="33">
        <v>159.49438551595355</v>
      </c>
      <c r="M72" s="23"/>
      <c r="N72" s="7"/>
      <c r="O72" s="12"/>
      <c r="P72" s="12"/>
      <c r="Q72" s="12"/>
      <c r="R72" s="12"/>
      <c r="S72" s="12"/>
    </row>
    <row r="73" spans="1:26">
      <c r="A73" s="2"/>
      <c r="B73" s="2"/>
      <c r="C73" s="3"/>
      <c r="D73" s="3"/>
      <c r="E73" s="12"/>
      <c r="F73" s="24">
        <v>46174</v>
      </c>
      <c r="G73" s="33">
        <v>170.19903255817175</v>
      </c>
      <c r="H73" s="33">
        <v>160.39991126834494</v>
      </c>
      <c r="I73" s="33">
        <v>126.39548434202779</v>
      </c>
      <c r="J73" s="33">
        <v>2.73</v>
      </c>
      <c r="K73" s="33">
        <v>331.52855103764938</v>
      </c>
      <c r="L73" s="33">
        <v>159.75955055306784</v>
      </c>
      <c r="M73" s="23"/>
      <c r="N73" s="7"/>
      <c r="O73" s="12"/>
      <c r="P73" s="12"/>
      <c r="Q73" s="12"/>
      <c r="R73" s="12"/>
      <c r="S73" s="12"/>
    </row>
    <row r="74" spans="1:26">
      <c r="A74" s="2"/>
      <c r="B74" s="2"/>
      <c r="C74" s="3"/>
      <c r="D74" s="3"/>
      <c r="E74" s="12"/>
      <c r="F74" s="24">
        <v>46204</v>
      </c>
      <c r="G74" s="33">
        <v>170.64637296579377</v>
      </c>
      <c r="H74" s="33">
        <v>160.51971779934061</v>
      </c>
      <c r="I74" s="33">
        <v>126.48989215305956</v>
      </c>
      <c r="J74" s="33">
        <v>2.73</v>
      </c>
      <c r="K74" s="33">
        <v>331.5243501672648</v>
      </c>
      <c r="L74" s="33">
        <v>160.02324860031004</v>
      </c>
      <c r="M74" s="23"/>
      <c r="N74" s="7"/>
      <c r="O74" s="12"/>
      <c r="P74" s="12"/>
      <c r="Q74" s="12"/>
      <c r="R74" s="12"/>
      <c r="S74" s="12"/>
    </row>
    <row r="75" spans="1:26">
      <c r="A75" s="2"/>
      <c r="B75" s="2"/>
      <c r="C75" s="3"/>
      <c r="D75" s="3"/>
      <c r="E75" s="12"/>
      <c r="F75" s="24">
        <v>46235</v>
      </c>
      <c r="G75" s="33">
        <v>171.09488913474229</v>
      </c>
      <c r="H75" s="33">
        <v>160.63961381670043</v>
      </c>
      <c r="I75" s="33">
        <v>126.58437047954392</v>
      </c>
      <c r="J75" s="33">
        <v>2.73</v>
      </c>
      <c r="K75" s="33">
        <v>331.52014935011033</v>
      </c>
      <c r="L75" s="33">
        <v>160.2876089799048</v>
      </c>
      <c r="M75" s="23"/>
      <c r="N75" s="7"/>
      <c r="O75" s="12"/>
      <c r="P75" s="12"/>
      <c r="Q75" s="12"/>
      <c r="R75" s="12"/>
      <c r="S75" s="12"/>
    </row>
    <row r="76" spans="1:26">
      <c r="A76" s="2"/>
      <c r="B76" s="2"/>
      <c r="C76" s="3"/>
      <c r="D76" s="3"/>
      <c r="E76" s="12"/>
      <c r="F76" s="24">
        <v>46266</v>
      </c>
      <c r="G76" s="33">
        <v>171.54458415531428</v>
      </c>
      <c r="H76" s="33">
        <v>160.7595993872639</v>
      </c>
      <c r="I76" s="33">
        <v>126.67891937415055</v>
      </c>
      <c r="J76" s="33">
        <v>2.73</v>
      </c>
      <c r="K76" s="33">
        <v>331.51594858618535</v>
      </c>
      <c r="L76" s="33">
        <v>160.5526334087098</v>
      </c>
      <c r="M76" s="23"/>
      <c r="N76" s="7"/>
      <c r="O76" s="12"/>
      <c r="P76" s="12"/>
      <c r="Q76" s="12"/>
      <c r="R76" s="12"/>
      <c r="S76" s="12"/>
    </row>
    <row r="77" spans="1:26">
      <c r="A77" s="2"/>
      <c r="B77" s="2"/>
      <c r="C77" s="3"/>
      <c r="D77" s="3"/>
      <c r="E77" s="12"/>
      <c r="F77" s="24">
        <v>46296</v>
      </c>
      <c r="G77" s="33">
        <v>171.99546112592901</v>
      </c>
      <c r="H77" s="33">
        <v>160.87967457792047</v>
      </c>
      <c r="I77" s="33">
        <v>126.77353888958848</v>
      </c>
      <c r="J77" s="33">
        <v>2.73</v>
      </c>
      <c r="K77" s="33">
        <v>331.51579775281022</v>
      </c>
      <c r="L77" s="33">
        <v>160.81880573632981</v>
      </c>
      <c r="M77" s="23"/>
      <c r="N77" s="7"/>
      <c r="O77" s="12"/>
      <c r="P77" s="12"/>
      <c r="Q77" s="12"/>
      <c r="R77" s="12"/>
      <c r="S77" s="12"/>
    </row>
    <row r="78" spans="1:26">
      <c r="A78" s="2"/>
      <c r="B78" s="2"/>
      <c r="C78" s="3"/>
      <c r="D78" s="3"/>
      <c r="E78" s="12"/>
      <c r="F78" s="24">
        <v>46327</v>
      </c>
      <c r="G78" s="34">
        <v>172.44752315314946</v>
      </c>
      <c r="H78" s="34">
        <v>160.9998394556095</v>
      </c>
      <c r="I78" s="34">
        <v>126.86822907860608</v>
      </c>
      <c r="J78" s="34">
        <v>2.73</v>
      </c>
      <c r="K78" s="34">
        <v>331.51564691950369</v>
      </c>
      <c r="L78" s="34">
        <v>161.08564555404257</v>
      </c>
      <c r="M78" s="23"/>
      <c r="N78" s="7"/>
      <c r="O78" s="12"/>
      <c r="P78" s="12"/>
      <c r="Q78" s="12"/>
      <c r="R78" s="12"/>
      <c r="S78" s="12"/>
    </row>
    <row r="79" spans="1:26">
      <c r="A79" s="2"/>
      <c r="B79" s="2"/>
      <c r="C79" s="3"/>
      <c r="D79" s="3"/>
      <c r="E79" s="12"/>
      <c r="F79" s="24">
        <v>46357</v>
      </c>
      <c r="G79" s="34">
        <v>172.90077335170372</v>
      </c>
      <c r="H79" s="34">
        <v>161.12009408732041</v>
      </c>
      <c r="I79" s="34">
        <v>126.96298999399114</v>
      </c>
      <c r="J79" s="34">
        <v>2.73</v>
      </c>
      <c r="K79" s="34">
        <v>331.51549608626584</v>
      </c>
      <c r="L79" s="34">
        <v>161.35315459222511</v>
      </c>
      <c r="M79" s="23"/>
      <c r="N79" s="7"/>
      <c r="O79" s="12"/>
      <c r="P79" s="12"/>
      <c r="Q79" s="12"/>
      <c r="R79" s="12"/>
      <c r="S79" s="12"/>
    </row>
    <row r="80" spans="1:26">
      <c r="A80" s="2"/>
      <c r="B80" s="2"/>
      <c r="C80" s="3"/>
      <c r="D80" s="3"/>
      <c r="E80" s="12"/>
      <c r="F80" s="24"/>
      <c r="G80" s="34"/>
      <c r="H80" s="34"/>
      <c r="I80" s="34"/>
      <c r="J80" s="34"/>
      <c r="K80" s="34"/>
      <c r="L80" s="34"/>
      <c r="M80" s="23"/>
      <c r="N80" s="7"/>
      <c r="O80" s="12"/>
      <c r="P80" s="12"/>
      <c r="Q80" s="12"/>
      <c r="R80" s="12"/>
      <c r="S80" s="12"/>
    </row>
    <row r="81" spans="1:19">
      <c r="A81" s="2"/>
      <c r="B81" s="2"/>
      <c r="C81" s="3"/>
      <c r="D81" s="3"/>
      <c r="E81" s="12"/>
      <c r="F81" s="24"/>
      <c r="G81" s="34"/>
      <c r="H81" s="34"/>
      <c r="I81" s="34"/>
      <c r="J81" s="34"/>
      <c r="K81" s="34"/>
      <c r="L81" s="34"/>
      <c r="M81" s="23"/>
      <c r="N81" s="7"/>
      <c r="O81" s="12"/>
      <c r="P81" s="12"/>
      <c r="Q81" s="12"/>
      <c r="R81" s="12"/>
      <c r="S81" s="12"/>
    </row>
    <row r="82" spans="1:19">
      <c r="A82" s="2"/>
      <c r="B82" s="2"/>
      <c r="C82" s="3"/>
      <c r="D82" s="3"/>
      <c r="E82" s="12"/>
      <c r="F82" s="24"/>
      <c r="G82" s="34"/>
      <c r="H82" s="34"/>
      <c r="I82" s="34"/>
      <c r="J82" s="34"/>
      <c r="K82" s="34"/>
      <c r="L82" s="34"/>
      <c r="M82" s="23"/>
      <c r="N82" s="7"/>
      <c r="O82" s="12"/>
      <c r="P82" s="12"/>
      <c r="Q82" s="12"/>
      <c r="R82" s="12"/>
      <c r="S82" s="12"/>
    </row>
    <row r="83" spans="1:19">
      <c r="A83" s="2"/>
      <c r="B83" s="2"/>
      <c r="C83" s="3"/>
      <c r="D83" s="3"/>
      <c r="E83" s="12"/>
      <c r="F83" s="24"/>
      <c r="G83" s="34"/>
      <c r="H83" s="34"/>
      <c r="I83" s="34"/>
      <c r="J83" s="34"/>
      <c r="K83" s="34"/>
      <c r="L83" s="34"/>
      <c r="M83" s="23"/>
      <c r="N83" s="7"/>
      <c r="O83" s="12"/>
      <c r="P83" s="12"/>
      <c r="Q83" s="12"/>
      <c r="R83" s="12"/>
      <c r="S83" s="12"/>
    </row>
    <row r="84" spans="1:19">
      <c r="A84" s="2"/>
      <c r="B84" s="2"/>
      <c r="C84" s="3"/>
      <c r="D84" s="3"/>
      <c r="E84" s="12"/>
      <c r="F84" s="24"/>
      <c r="G84" s="34"/>
      <c r="H84" s="34"/>
      <c r="I84" s="34"/>
      <c r="J84" s="34"/>
      <c r="K84" s="34"/>
      <c r="L84" s="34"/>
      <c r="M84" s="23"/>
      <c r="N84" s="7"/>
      <c r="O84" s="12"/>
      <c r="P84" s="12"/>
      <c r="Q84" s="12"/>
      <c r="R84" s="12"/>
      <c r="S84" s="12"/>
    </row>
    <row r="85" spans="1:19">
      <c r="A85" s="2"/>
      <c r="B85" s="2"/>
      <c r="C85" s="3"/>
      <c r="D85" s="3"/>
      <c r="E85" s="12"/>
      <c r="F85" s="24"/>
      <c r="G85" s="34"/>
      <c r="H85" s="34"/>
      <c r="I85" s="34"/>
      <c r="J85" s="34"/>
      <c r="K85" s="34"/>
      <c r="L85" s="34"/>
      <c r="M85" s="23"/>
      <c r="N85" s="7"/>
      <c r="O85" s="12"/>
      <c r="P85" s="12"/>
      <c r="Q85" s="12"/>
      <c r="R85" s="12"/>
      <c r="S85" s="12"/>
    </row>
    <row r="86" spans="1:19">
      <c r="A86" s="2"/>
      <c r="B86" s="2"/>
      <c r="C86" s="3"/>
      <c r="D86" s="3"/>
      <c r="E86" s="12"/>
      <c r="F86" s="24"/>
      <c r="G86" s="34"/>
      <c r="H86" s="34"/>
      <c r="I86" s="34"/>
      <c r="J86" s="34"/>
      <c r="K86" s="34"/>
      <c r="L86" s="34"/>
      <c r="M86" s="23"/>
      <c r="N86" s="7"/>
      <c r="O86" s="12"/>
      <c r="P86" s="12"/>
      <c r="Q86" s="12"/>
      <c r="R86" s="12"/>
      <c r="S86" s="12"/>
    </row>
    <row r="87" spans="1:19">
      <c r="A87" s="2"/>
      <c r="B87" s="2"/>
      <c r="C87" s="3"/>
      <c r="D87" s="3"/>
      <c r="E87" s="12"/>
      <c r="F87" s="24"/>
      <c r="G87" s="34"/>
      <c r="H87" s="34"/>
      <c r="I87" s="34"/>
      <c r="J87" s="34"/>
      <c r="K87" s="34"/>
      <c r="L87" s="34"/>
      <c r="M87" s="23"/>
      <c r="N87" s="7"/>
      <c r="O87" s="12"/>
      <c r="P87" s="12"/>
      <c r="Q87" s="12"/>
      <c r="R87" s="12"/>
      <c r="S87" s="12"/>
    </row>
    <row r="88" spans="1:19">
      <c r="A88" s="2"/>
      <c r="B88" s="2"/>
      <c r="C88" s="3"/>
      <c r="D88" s="3"/>
      <c r="E88" s="12"/>
      <c r="F88" s="24"/>
      <c r="G88" s="34"/>
      <c r="H88" s="34"/>
      <c r="I88" s="34"/>
      <c r="J88" s="34"/>
      <c r="K88" s="34"/>
      <c r="L88" s="34"/>
      <c r="M88" s="23"/>
      <c r="N88" s="7"/>
      <c r="O88" s="12"/>
      <c r="P88" s="12"/>
      <c r="Q88" s="12"/>
      <c r="R88" s="12"/>
      <c r="S88" s="12"/>
    </row>
    <row r="89" spans="1:19">
      <c r="A89" s="2"/>
      <c r="B89" s="2"/>
      <c r="C89" s="3"/>
      <c r="D89" s="3"/>
      <c r="E89" s="12"/>
      <c r="F89" s="35"/>
      <c r="G89" s="36"/>
      <c r="H89" s="36"/>
      <c r="I89" s="36"/>
      <c r="J89" s="36"/>
      <c r="K89" s="36"/>
      <c r="L89" s="36"/>
      <c r="M89" s="23"/>
      <c r="N89" s="7"/>
      <c r="O89" s="12"/>
      <c r="P89" s="12"/>
      <c r="Q89" s="12"/>
      <c r="R89" s="12"/>
      <c r="S89" s="12"/>
    </row>
    <row r="90" spans="1:19">
      <c r="A90" s="2"/>
      <c r="B90" s="2"/>
      <c r="C90" s="3"/>
      <c r="D90" s="3"/>
      <c r="E90" s="12"/>
      <c r="F90" s="12"/>
      <c r="G90" s="12"/>
      <c r="H90" s="12"/>
      <c r="I90" s="12"/>
      <c r="J90" s="12"/>
      <c r="K90" s="12"/>
      <c r="L90" s="12"/>
      <c r="M90" s="7"/>
      <c r="N90" s="7"/>
      <c r="O90" s="12"/>
      <c r="P90" s="12"/>
      <c r="Q90" s="12"/>
      <c r="R90" s="12"/>
      <c r="S90" s="12"/>
    </row>
    <row r="91" spans="1:19" ht="11.5" customHeight="1">
      <c r="A91" s="2"/>
      <c r="B91" s="2"/>
      <c r="C91" s="3"/>
      <c r="D91" s="3"/>
      <c r="E91" s="12"/>
      <c r="F91" s="7"/>
      <c r="G91" s="23"/>
      <c r="H91" s="23"/>
      <c r="I91" s="23"/>
      <c r="J91" s="23"/>
      <c r="K91" s="23"/>
      <c r="L91" s="23"/>
      <c r="M91" s="12"/>
      <c r="N91" s="12"/>
      <c r="O91" s="12"/>
      <c r="P91" s="12"/>
      <c r="Q91" s="12"/>
      <c r="R91" s="12"/>
      <c r="S91" s="12"/>
    </row>
    <row r="92" spans="1:19" ht="12" customHeight="1">
      <c r="A92" s="2"/>
      <c r="B92" s="2"/>
      <c r="C92" s="3"/>
      <c r="D92" s="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:19" ht="1.5" customHeight="1">
      <c r="A93" s="2"/>
      <c r="B93" s="2"/>
      <c r="C93" s="3"/>
      <c r="D93" s="3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9" fitToHeight="0" orientation="portrait" verticalDpi="4" r:id="rId1"/>
  <headerFooter>
    <oddHeader>&amp;C&amp;F&amp;R&amp;D</oddHeader>
    <oddFooter xml:space="preserve">&amp;C&amp;8Side &amp;P af &amp;N
  &amp;R&amp;A
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 filterMode="1">
    <tabColor rgb="FFFFC000"/>
    <pageSetUpPr fitToPage="1"/>
  </sheetPr>
  <dimension ref="A1:Z695"/>
  <sheetViews>
    <sheetView showGridLines="0" view="pageBreakPreview" zoomScale="60" zoomScaleNormal="100" workbookViewId="0">
      <selection activeCell="K230" sqref="K230"/>
    </sheetView>
  </sheetViews>
  <sheetFormatPr defaultColWidth="12.33203125" defaultRowHeight="11.5"/>
  <cols>
    <col min="1" max="1" width="2.77734375" style="37" customWidth="1"/>
    <col min="2" max="2" width="11" style="37" customWidth="1"/>
    <col min="3" max="3" width="9.6640625" style="37" customWidth="1"/>
    <col min="4" max="4" width="1.77734375" style="4" customWidth="1"/>
    <col min="5" max="5" width="14.6640625" style="4" customWidth="1"/>
    <col min="6" max="12" width="15.6640625" style="4" customWidth="1"/>
    <col min="13" max="19" width="14.6640625" style="4" customWidth="1"/>
    <col min="20" max="22" width="12.33203125" style="4"/>
    <col min="23" max="23" width="19.33203125" style="4" customWidth="1"/>
    <col min="24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23" t="s">
        <v>8</v>
      </c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6"/>
      <c r="U2" s="16"/>
      <c r="V2" s="16"/>
      <c r="W2" s="16"/>
    </row>
    <row r="3" spans="1:23" ht="14.25" customHeight="1">
      <c r="A3" s="2"/>
      <c r="B3" s="2"/>
      <c r="C3" s="3"/>
      <c r="D3" s="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"/>
      <c r="U3" s="12"/>
      <c r="V3" s="12"/>
      <c r="W3" s="12"/>
    </row>
    <row r="4" spans="1:23" ht="35.15" customHeight="1">
      <c r="A4" s="2"/>
      <c r="B4" s="2"/>
      <c r="C4" s="3"/>
      <c r="D4" s="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"/>
      <c r="U4" s="12"/>
      <c r="V4" s="12"/>
      <c r="W4" s="12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16"/>
      <c r="U6" s="16"/>
      <c r="V6" s="16"/>
      <c r="W6" s="16"/>
    </row>
    <row r="7" spans="1:23">
      <c r="A7" s="2"/>
      <c r="B7" s="2"/>
      <c r="C7" s="3"/>
      <c r="D7" s="3"/>
      <c r="E7" s="7"/>
      <c r="F7" s="8" t="s">
        <v>69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12"/>
      <c r="U7" s="12"/>
      <c r="V7" s="12"/>
      <c r="W7" s="12"/>
    </row>
    <row r="8" spans="1:23" ht="11.15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</row>
    <row r="9" spans="1:23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6"/>
      <c r="U9" s="16"/>
      <c r="V9" s="16"/>
      <c r="W9" s="16"/>
    </row>
    <row r="10" spans="1:23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4">
      <c r="A11" s="2"/>
      <c r="B11" s="2"/>
      <c r="C11" s="3"/>
      <c r="D11" s="3"/>
      <c r="E11" s="7"/>
      <c r="F11" s="124" t="s">
        <v>7</v>
      </c>
      <c r="G11" s="124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4.15" customHeight="1">
      <c r="A12" s="2"/>
      <c r="B12" s="2"/>
      <c r="C12" s="3"/>
      <c r="D12" s="3"/>
      <c r="E12" s="7"/>
      <c r="F12" s="14" t="s">
        <v>41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.75" customHeight="1">
      <c r="A16" s="2"/>
      <c r="B16" s="2"/>
      <c r="C16" s="3"/>
      <c r="D16" s="3"/>
      <c r="E16" s="17"/>
      <c r="F16" s="18" t="s">
        <v>6</v>
      </c>
      <c r="G16" s="18"/>
      <c r="H16" s="12"/>
      <c r="I16" s="12"/>
      <c r="J16" s="12"/>
      <c r="K16" s="12"/>
      <c r="L16" s="12"/>
      <c r="M16" s="12"/>
      <c r="N16" s="38"/>
      <c r="O16" s="39" t="s">
        <v>13</v>
      </c>
      <c r="P16" s="12"/>
      <c r="Q16" s="12"/>
      <c r="R16" s="12"/>
      <c r="S16" s="12"/>
      <c r="T16" s="12"/>
      <c r="U16" s="12"/>
      <c r="V16" s="12"/>
      <c r="W16" s="12"/>
    </row>
    <row r="17" spans="1:26" ht="11.5" customHeight="1">
      <c r="A17" s="2"/>
      <c r="B17" s="2"/>
      <c r="C17" s="3"/>
      <c r="D17" s="3"/>
      <c r="E17" s="12"/>
      <c r="F17" s="18"/>
      <c r="G17" s="18"/>
      <c r="H17" s="12"/>
      <c r="I17" s="12"/>
      <c r="J17" s="12"/>
      <c r="K17" s="12"/>
      <c r="L17" s="12"/>
      <c r="M17" s="12"/>
      <c r="N17" s="38"/>
      <c r="O17" s="39"/>
      <c r="P17" s="12"/>
      <c r="Q17" s="12"/>
      <c r="R17" s="12"/>
      <c r="S17" s="12"/>
      <c r="T17" s="12"/>
      <c r="U17" s="12"/>
      <c r="V17" s="12"/>
      <c r="W17" s="12"/>
    </row>
    <row r="18" spans="1:26" ht="11.5" customHeight="1">
      <c r="A18" s="2"/>
      <c r="B18" s="2"/>
      <c r="C18" s="3"/>
      <c r="D18" s="3"/>
      <c r="E18" s="12"/>
      <c r="F18" s="1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6">
      <c r="A19" s="2"/>
      <c r="B19" s="2"/>
      <c r="C19" s="3"/>
      <c r="D19" s="3"/>
      <c r="E19" s="12"/>
      <c r="F19" s="70" t="s">
        <v>3</v>
      </c>
      <c r="G19" s="71" t="s">
        <v>71</v>
      </c>
      <c r="H19" s="71" t="s">
        <v>10</v>
      </c>
      <c r="I19" s="71" t="s">
        <v>11</v>
      </c>
      <c r="J19" s="71" t="s">
        <v>12</v>
      </c>
      <c r="K19" s="71" t="s">
        <v>41</v>
      </c>
      <c r="L19" s="71" t="s">
        <v>4</v>
      </c>
      <c r="M19" s="72" t="s">
        <v>14</v>
      </c>
      <c r="N19" s="12"/>
      <c r="O19" s="70" t="s">
        <v>3</v>
      </c>
      <c r="P19" s="71" t="s">
        <v>71</v>
      </c>
      <c r="Q19" s="71" t="s">
        <v>10</v>
      </c>
      <c r="R19" s="71" t="s">
        <v>11</v>
      </c>
      <c r="S19" s="71" t="s">
        <v>12</v>
      </c>
      <c r="T19" s="71" t="s">
        <v>41</v>
      </c>
      <c r="U19" s="71" t="s">
        <v>15</v>
      </c>
      <c r="V19" s="12"/>
      <c r="W19" s="12"/>
      <c r="X19" s="3"/>
      <c r="Y19" s="3"/>
      <c r="Z19" s="3"/>
    </row>
    <row r="20" spans="1:26" ht="13.5" hidden="1" customHeight="1">
      <c r="A20" s="2"/>
      <c r="B20" s="2"/>
      <c r="C20" s="3"/>
      <c r="D20" s="3"/>
      <c r="E20" s="12"/>
      <c r="F20" s="24">
        <v>38534</v>
      </c>
      <c r="G20" s="73">
        <v>100</v>
      </c>
      <c r="H20" s="73">
        <v>110.3</v>
      </c>
      <c r="I20" s="73">
        <v>99.4</v>
      </c>
      <c r="J20" s="73">
        <v>3.36</v>
      </c>
      <c r="K20" s="73">
        <v>117.3</v>
      </c>
      <c r="L20" s="74">
        <v>90.292328719285351</v>
      </c>
      <c r="M20" s="75"/>
      <c r="N20" s="12"/>
      <c r="O20" s="24">
        <v>38534</v>
      </c>
      <c r="P20" s="76">
        <v>0.61188607679281115</v>
      </c>
      <c r="Q20" s="76">
        <v>8.4612136470404997E-2</v>
      </c>
      <c r="R20" s="76">
        <v>0.10203726514736527</v>
      </c>
      <c r="S20" s="76">
        <v>4.6808130372618377E-2</v>
      </c>
      <c r="T20" s="76">
        <v>0.15465639121680014</v>
      </c>
      <c r="U20" s="76">
        <v>0.99999999999999978</v>
      </c>
      <c r="V20" s="12"/>
      <c r="W20" s="12"/>
      <c r="X20" s="3"/>
      <c r="Y20" s="3"/>
      <c r="Z20" s="3"/>
    </row>
    <row r="21" spans="1:26" ht="13.5" hidden="1" customHeight="1">
      <c r="A21" s="2"/>
      <c r="B21" s="2"/>
      <c r="C21" s="3"/>
      <c r="D21" s="3"/>
      <c r="E21" s="12"/>
      <c r="F21" s="24">
        <v>38565</v>
      </c>
      <c r="G21" s="34">
        <v>100</v>
      </c>
      <c r="H21" s="34">
        <v>110.4</v>
      </c>
      <c r="I21" s="34">
        <v>99.8</v>
      </c>
      <c r="J21" s="34">
        <v>3.3</v>
      </c>
      <c r="K21" s="34">
        <v>122.9</v>
      </c>
      <c r="L21" s="34">
        <v>90.92752527499178</v>
      </c>
      <c r="M21" s="77">
        <f>IF(L21="","",L21/L20-1)</f>
        <v>7.03488950518949E-3</v>
      </c>
      <c r="N21" s="12"/>
      <c r="O21" s="24">
        <v>38565</v>
      </c>
      <c r="P21" s="78">
        <v>0.60761159635041417</v>
      </c>
      <c r="Q21" s="78">
        <v>8.4097232643549916E-2</v>
      </c>
      <c r="R21" s="78">
        <v>0.10173220307661331</v>
      </c>
      <c r="S21" s="78">
        <v>4.5651120314478294E-2</v>
      </c>
      <c r="T21" s="78">
        <v>0.16090784761494442</v>
      </c>
      <c r="U21" s="78">
        <v>1.0000000000000002</v>
      </c>
      <c r="V21" s="12"/>
      <c r="W21" s="12"/>
      <c r="X21" s="3"/>
      <c r="Y21" s="3"/>
      <c r="Z21" s="3"/>
    </row>
    <row r="22" spans="1:26" ht="13.5" hidden="1" customHeight="1">
      <c r="A22" s="2"/>
      <c r="B22" s="2"/>
      <c r="C22" s="3"/>
      <c r="D22" s="3"/>
      <c r="E22" s="12"/>
      <c r="F22" s="24">
        <v>38596</v>
      </c>
      <c r="G22" s="34">
        <v>100</v>
      </c>
      <c r="H22" s="34">
        <v>110.3</v>
      </c>
      <c r="I22" s="34">
        <v>100</v>
      </c>
      <c r="J22" s="34">
        <v>3.29</v>
      </c>
      <c r="K22" s="34">
        <v>127</v>
      </c>
      <c r="L22" s="34">
        <v>91.414653079921692</v>
      </c>
      <c r="M22" s="77">
        <f t="shared" ref="M22:M85" si="0">IF(L22="","",L22/L21-1)</f>
        <v>5.3573195075604652E-3</v>
      </c>
      <c r="N22" s="12"/>
      <c r="O22" s="24">
        <v>38596</v>
      </c>
      <c r="P22" s="78">
        <v>0.60437377294674866</v>
      </c>
      <c r="Q22" s="78">
        <v>8.3573328590412291E-2</v>
      </c>
      <c r="R22" s="78">
        <v>0.10139288116686444</v>
      </c>
      <c r="S22" s="78">
        <v>4.5270256358749608E-2</v>
      </c>
      <c r="T22" s="78">
        <v>0.16538976093722516</v>
      </c>
      <c r="U22" s="78">
        <v>1.0000000000000002</v>
      </c>
      <c r="V22" s="12"/>
      <c r="W22" s="12"/>
      <c r="X22" s="3"/>
      <c r="Y22" s="3"/>
      <c r="Z22" s="3"/>
    </row>
    <row r="23" spans="1:26" ht="13.5" hidden="1" customHeight="1">
      <c r="A23" s="2"/>
      <c r="B23" s="2"/>
      <c r="C23" s="3"/>
      <c r="D23" s="3"/>
      <c r="E23" s="12"/>
      <c r="F23" s="24">
        <v>38626</v>
      </c>
      <c r="G23" s="34">
        <v>100.5</v>
      </c>
      <c r="H23" s="34">
        <v>110.3</v>
      </c>
      <c r="I23" s="34">
        <v>100.1</v>
      </c>
      <c r="J23" s="34">
        <v>3.29</v>
      </c>
      <c r="K23" s="34">
        <v>126.5</v>
      </c>
      <c r="L23" s="34">
        <v>91.640641159377182</v>
      </c>
      <c r="M23" s="77">
        <f t="shared" si="0"/>
        <v>2.4721209548093093E-3</v>
      </c>
      <c r="N23" s="12"/>
      <c r="O23" s="24">
        <v>38626</v>
      </c>
      <c r="P23" s="78">
        <v>0.60589778919035231</v>
      </c>
      <c r="Q23" s="78">
        <v>8.3367234702559592E-2</v>
      </c>
      <c r="R23" s="78">
        <v>0.10124398666704328</v>
      </c>
      <c r="S23" s="78">
        <v>4.5158618790946271E-2</v>
      </c>
      <c r="T23" s="78">
        <v>0.16433237064909859</v>
      </c>
      <c r="U23" s="78">
        <v>1</v>
      </c>
      <c r="V23" s="12"/>
      <c r="W23" s="12"/>
      <c r="X23" s="3"/>
      <c r="Y23" s="3"/>
      <c r="Z23" s="3"/>
    </row>
    <row r="24" spans="1:26" ht="13.5" hidden="1" customHeight="1">
      <c r="A24" s="2"/>
      <c r="B24" s="2"/>
      <c r="C24" s="3"/>
      <c r="D24" s="3"/>
      <c r="E24" s="12"/>
      <c r="F24" s="24">
        <v>38657</v>
      </c>
      <c r="G24" s="34">
        <v>100.5</v>
      </c>
      <c r="H24" s="34">
        <v>111.2</v>
      </c>
      <c r="I24" s="34">
        <v>100</v>
      </c>
      <c r="J24" s="34">
        <v>3.34</v>
      </c>
      <c r="K24" s="34">
        <v>130.19999999999999</v>
      </c>
      <c r="L24" s="34">
        <v>92.197079298895403</v>
      </c>
      <c r="M24" s="77">
        <f t="shared" si="0"/>
        <v>6.0719581670154454E-3</v>
      </c>
      <c r="N24" s="12"/>
      <c r="O24" s="24">
        <v>38657</v>
      </c>
      <c r="P24" s="78">
        <v>0.60224100698945104</v>
      </c>
      <c r="Q24" s="78">
        <v>8.3540222323038191E-2</v>
      </c>
      <c r="R24" s="78">
        <v>0.10053241520367431</v>
      </c>
      <c r="S24" s="78">
        <v>4.556823159240312E-2</v>
      </c>
      <c r="T24" s="78">
        <v>0.16811812389143332</v>
      </c>
      <c r="U24" s="78">
        <v>0.99999999999999989</v>
      </c>
      <c r="V24" s="12"/>
      <c r="W24" s="12"/>
      <c r="X24" s="3"/>
      <c r="Y24" s="3"/>
      <c r="Z24" s="3"/>
    </row>
    <row r="25" spans="1:26" ht="13.5" hidden="1" customHeight="1">
      <c r="A25" s="2"/>
      <c r="B25" s="2"/>
      <c r="C25" s="3"/>
      <c r="D25" s="3"/>
      <c r="E25" s="12"/>
      <c r="F25" s="24">
        <v>38687</v>
      </c>
      <c r="G25" s="34">
        <v>100.5</v>
      </c>
      <c r="H25" s="34">
        <v>111.1</v>
      </c>
      <c r="I25" s="34">
        <v>100.1</v>
      </c>
      <c r="J25" s="34">
        <v>3.72</v>
      </c>
      <c r="K25" s="34">
        <v>132.80000000000001</v>
      </c>
      <c r="L25" s="34">
        <v>92.986932917933089</v>
      </c>
      <c r="M25" s="77">
        <f t="shared" si="0"/>
        <v>8.5670134568693879E-3</v>
      </c>
      <c r="N25" s="12"/>
      <c r="O25" s="24">
        <v>38687</v>
      </c>
      <c r="P25" s="78">
        <v>0.59712542543431646</v>
      </c>
      <c r="Q25" s="78">
        <v>8.2756123401011988E-2</v>
      </c>
      <c r="R25" s="78">
        <v>9.9778146891754849E-2</v>
      </c>
      <c r="S25" s="78">
        <v>5.0321535899550553E-2</v>
      </c>
      <c r="T25" s="78">
        <v>0.17001876837336627</v>
      </c>
      <c r="U25" s="78">
        <v>1.0000000000000002</v>
      </c>
      <c r="V25" s="12"/>
      <c r="W25" s="12"/>
      <c r="X25" s="3"/>
      <c r="Y25" s="3"/>
      <c r="Z25" s="3"/>
    </row>
    <row r="26" spans="1:26" ht="13.5" hidden="1" customHeight="1">
      <c r="A26" s="2"/>
      <c r="B26" s="2"/>
      <c r="C26" s="3"/>
      <c r="D26" s="3"/>
      <c r="E26" s="12"/>
      <c r="F26" s="24">
        <v>38718</v>
      </c>
      <c r="G26" s="34">
        <v>101.3</v>
      </c>
      <c r="H26" s="34">
        <v>110.8</v>
      </c>
      <c r="I26" s="34">
        <v>99.9</v>
      </c>
      <c r="J26" s="34">
        <v>3.8</v>
      </c>
      <c r="K26" s="34">
        <v>125.9</v>
      </c>
      <c r="L26" s="34">
        <v>92.668805416705865</v>
      </c>
      <c r="M26" s="77">
        <f t="shared" si="0"/>
        <v>-3.4212065205763142E-3</v>
      </c>
      <c r="N26" s="12"/>
      <c r="O26" s="24">
        <v>38718</v>
      </c>
      <c r="P26" s="78">
        <v>0.60394488282288639</v>
      </c>
      <c r="Q26" s="78">
        <v>8.2815990126871353E-2</v>
      </c>
      <c r="R26" s="78">
        <v>9.9920639096926736E-2</v>
      </c>
      <c r="S26" s="78">
        <v>5.1580185935738702E-2</v>
      </c>
      <c r="T26" s="78">
        <v>0.16173830201757691</v>
      </c>
      <c r="U26" s="78">
        <v>1</v>
      </c>
      <c r="V26" s="12"/>
      <c r="W26" s="12"/>
      <c r="X26" s="3"/>
      <c r="Y26" s="3"/>
      <c r="Z26" s="3"/>
    </row>
    <row r="27" spans="1:26" ht="13.5" hidden="1" customHeight="1">
      <c r="A27" s="2"/>
      <c r="B27" s="2"/>
      <c r="C27" s="3"/>
      <c r="D27" s="3"/>
      <c r="E27" s="12"/>
      <c r="F27" s="24">
        <v>38749</v>
      </c>
      <c r="G27" s="34">
        <v>101.3</v>
      </c>
      <c r="H27" s="34">
        <v>110.8</v>
      </c>
      <c r="I27" s="34">
        <v>99.4</v>
      </c>
      <c r="J27" s="34">
        <v>3.69</v>
      </c>
      <c r="K27" s="34">
        <v>125.1</v>
      </c>
      <c r="L27" s="34">
        <v>92.388858566310347</v>
      </c>
      <c r="M27" s="77">
        <f t="shared" si="0"/>
        <v>-3.0209394535375411E-3</v>
      </c>
      <c r="N27" s="12"/>
      <c r="O27" s="24">
        <v>38749</v>
      </c>
      <c r="P27" s="78">
        <v>0.60577489209437674</v>
      </c>
      <c r="Q27" s="78">
        <v>8.3066930293880376E-2</v>
      </c>
      <c r="R27" s="78">
        <v>9.972178928577409E-2</v>
      </c>
      <c r="S27" s="78">
        <v>5.0238843795552574E-2</v>
      </c>
      <c r="T27" s="78">
        <v>0.16119754453041629</v>
      </c>
      <c r="U27" s="78">
        <v>1</v>
      </c>
      <c r="V27" s="12"/>
      <c r="W27" s="12"/>
      <c r="X27" s="3"/>
      <c r="Y27" s="3"/>
      <c r="Z27" s="3"/>
    </row>
    <row r="28" spans="1:26" ht="13.5" hidden="1" customHeight="1">
      <c r="A28" s="2"/>
      <c r="B28" s="2"/>
      <c r="C28" s="3"/>
      <c r="D28" s="3"/>
      <c r="E28" s="12"/>
      <c r="F28" s="24">
        <v>38777</v>
      </c>
      <c r="G28" s="34">
        <v>101.3</v>
      </c>
      <c r="H28" s="34">
        <v>110.4</v>
      </c>
      <c r="I28" s="34">
        <v>99.8</v>
      </c>
      <c r="J28" s="34">
        <v>3.71</v>
      </c>
      <c r="K28" s="34">
        <v>126.1</v>
      </c>
      <c r="L28" s="34">
        <v>92.542432970583306</v>
      </c>
      <c r="M28" s="77">
        <f t="shared" si="0"/>
        <v>1.6622610848984198E-3</v>
      </c>
      <c r="N28" s="12"/>
      <c r="O28" s="24">
        <v>38777</v>
      </c>
      <c r="P28" s="78">
        <v>0.60476960711114658</v>
      </c>
      <c r="Q28" s="78">
        <v>8.2629697548409403E-2</v>
      </c>
      <c r="R28" s="78">
        <v>9.9956929698074348E-2</v>
      </c>
      <c r="S28" s="78">
        <v>5.0427317684094954E-2</v>
      </c>
      <c r="T28" s="78">
        <v>0.16221644795827481</v>
      </c>
      <c r="U28" s="78">
        <v>1</v>
      </c>
      <c r="V28" s="12"/>
      <c r="W28" s="12"/>
      <c r="X28" s="3"/>
      <c r="Y28" s="3"/>
      <c r="Z28" s="3"/>
    </row>
    <row r="29" spans="1:26" ht="13.5" hidden="1" customHeight="1">
      <c r="A29" s="2"/>
      <c r="B29" s="2"/>
      <c r="C29" s="3"/>
      <c r="D29" s="3"/>
      <c r="E29" s="12"/>
      <c r="F29" s="24">
        <v>38808</v>
      </c>
      <c r="G29" s="34">
        <v>102.1</v>
      </c>
      <c r="H29" s="34">
        <v>111.5</v>
      </c>
      <c r="I29" s="34">
        <v>99.4</v>
      </c>
      <c r="J29" s="34">
        <v>3.81</v>
      </c>
      <c r="K29" s="34">
        <v>126</v>
      </c>
      <c r="L29" s="34">
        <v>93.137418618440705</v>
      </c>
      <c r="M29" s="77">
        <f t="shared" si="0"/>
        <v>6.4293279175675622E-3</v>
      </c>
      <c r="N29" s="12"/>
      <c r="O29" s="24">
        <v>38808</v>
      </c>
      <c r="P29" s="78">
        <v>0.60565174143485312</v>
      </c>
      <c r="Q29" s="78">
        <v>8.2919881584678404E-2</v>
      </c>
      <c r="R29" s="78">
        <v>9.8920309613118512E-2</v>
      </c>
      <c r="S29" s="78">
        <v>5.1455718885897915E-2</v>
      </c>
      <c r="T29" s="78">
        <v>0.16105234848145214</v>
      </c>
      <c r="U29" s="78">
        <v>1.0000000000000002</v>
      </c>
      <c r="V29" s="12"/>
      <c r="W29" s="12"/>
      <c r="X29" s="3"/>
      <c r="Y29" s="3"/>
      <c r="Z29" s="3"/>
    </row>
    <row r="30" spans="1:26" ht="13.5" hidden="1" customHeight="1">
      <c r="A30" s="2"/>
      <c r="B30" s="2"/>
      <c r="C30" s="3"/>
      <c r="D30" s="3"/>
      <c r="E30" s="12"/>
      <c r="F30" s="24">
        <v>38838</v>
      </c>
      <c r="G30" s="34">
        <v>102.1</v>
      </c>
      <c r="H30" s="34">
        <v>111.9</v>
      </c>
      <c r="I30" s="34">
        <v>99.5</v>
      </c>
      <c r="J30" s="34">
        <v>4</v>
      </c>
      <c r="K30" s="34">
        <v>127.5</v>
      </c>
      <c r="L30" s="34">
        <v>93.591958180466236</v>
      </c>
      <c r="M30" s="77">
        <f t="shared" si="0"/>
        <v>4.8803109294628388E-3</v>
      </c>
      <c r="N30" s="12"/>
      <c r="O30" s="24">
        <v>38838</v>
      </c>
      <c r="P30" s="78">
        <v>0.60271032763559307</v>
      </c>
      <c r="Q30" s="78">
        <v>8.2813197857281348E-2</v>
      </c>
      <c r="R30" s="78">
        <v>9.8538926427594098E-2</v>
      </c>
      <c r="S30" s="78">
        <v>5.3759389574676381E-2</v>
      </c>
      <c r="T30" s="78">
        <v>0.16217815850485517</v>
      </c>
      <c r="U30" s="78">
        <v>1</v>
      </c>
      <c r="V30" s="12"/>
      <c r="W30" s="12"/>
      <c r="X30" s="3"/>
      <c r="Y30" s="3"/>
      <c r="Z30" s="3"/>
    </row>
    <row r="31" spans="1:26" ht="13.5" hidden="1" customHeight="1">
      <c r="A31" s="2"/>
      <c r="B31" s="2"/>
      <c r="C31" s="3"/>
      <c r="D31" s="3"/>
      <c r="E31" s="12"/>
      <c r="F31" s="24">
        <v>38869</v>
      </c>
      <c r="G31" s="34">
        <v>102.1</v>
      </c>
      <c r="H31" s="34">
        <v>112.4</v>
      </c>
      <c r="I31" s="34">
        <v>99.4</v>
      </c>
      <c r="J31" s="34">
        <v>4.13</v>
      </c>
      <c r="K31" s="34">
        <v>128.9</v>
      </c>
      <c r="L31" s="34">
        <v>93.947510099286902</v>
      </c>
      <c r="M31" s="77">
        <f t="shared" si="0"/>
        <v>3.7989580059334394E-3</v>
      </c>
      <c r="N31" s="12"/>
      <c r="O31" s="24">
        <v>38869</v>
      </c>
      <c r="P31" s="78">
        <v>0.60042932185632969</v>
      </c>
      <c r="Q31" s="78">
        <v>8.2868416385422444E-2</v>
      </c>
      <c r="R31" s="78">
        <v>9.8067338629474934E-2</v>
      </c>
      <c r="S31" s="78">
        <v>5.529650065200134E-2</v>
      </c>
      <c r="T31" s="78">
        <v>0.16333842247677166</v>
      </c>
      <c r="U31" s="78">
        <v>1</v>
      </c>
      <c r="V31" s="12"/>
      <c r="W31" s="12"/>
      <c r="X31" s="3"/>
      <c r="Y31" s="3"/>
      <c r="Z31" s="3"/>
    </row>
    <row r="32" spans="1:26" ht="13.5" hidden="1" customHeight="1">
      <c r="A32" s="2"/>
      <c r="B32" s="2"/>
      <c r="C32" s="3"/>
      <c r="D32" s="3"/>
      <c r="E32" s="12"/>
      <c r="F32" s="24">
        <v>38899</v>
      </c>
      <c r="G32" s="34">
        <v>102.9</v>
      </c>
      <c r="H32" s="34">
        <v>112.5</v>
      </c>
      <c r="I32" s="34">
        <v>98.8</v>
      </c>
      <c r="J32" s="34">
        <v>4.0999999999999996</v>
      </c>
      <c r="K32" s="34">
        <v>130.30000000000001</v>
      </c>
      <c r="L32" s="34">
        <v>94.469743503759773</v>
      </c>
      <c r="M32" s="77">
        <f t="shared" si="0"/>
        <v>5.5587785553972147E-3</v>
      </c>
      <c r="N32" s="12"/>
      <c r="O32" s="24">
        <v>38899</v>
      </c>
      <c r="P32" s="78">
        <v>0.60178874865918508</v>
      </c>
      <c r="Q32" s="78">
        <v>8.2483634476023249E-2</v>
      </c>
      <c r="R32" s="78">
        <v>9.6936534135910593E-2</v>
      </c>
      <c r="S32" s="78">
        <v>5.4591369819875349E-2</v>
      </c>
      <c r="T32" s="78">
        <v>0.16419971290900576</v>
      </c>
      <c r="U32" s="78">
        <v>1</v>
      </c>
      <c r="V32" s="12"/>
      <c r="W32" s="12"/>
      <c r="X32" s="3"/>
      <c r="Y32" s="3"/>
      <c r="Z32" s="3"/>
    </row>
    <row r="33" spans="1:26" ht="13.5" hidden="1" customHeight="1">
      <c r="A33" s="2"/>
      <c r="B33" s="2"/>
      <c r="C33" s="3"/>
      <c r="D33" s="3"/>
      <c r="E33" s="12"/>
      <c r="F33" s="24">
        <v>38930</v>
      </c>
      <c r="G33" s="34">
        <v>102.9</v>
      </c>
      <c r="H33" s="34">
        <v>112.8</v>
      </c>
      <c r="I33" s="34">
        <v>98</v>
      </c>
      <c r="J33" s="34">
        <v>4.21</v>
      </c>
      <c r="K33" s="34">
        <v>130.30000000000001</v>
      </c>
      <c r="L33" s="34">
        <v>94.554737143960068</v>
      </c>
      <c r="M33" s="77">
        <f t="shared" si="0"/>
        <v>8.9969165838699183E-4</v>
      </c>
      <c r="N33" s="12"/>
      <c r="O33" s="24">
        <v>38930</v>
      </c>
      <c r="P33" s="78">
        <v>0.60124781101898783</v>
      </c>
      <c r="Q33" s="78">
        <v>8.2629249987673292E-2</v>
      </c>
      <c r="R33" s="78">
        <v>9.6065193874741939E-2</v>
      </c>
      <c r="S33" s="78">
        <v>5.6005628530426309E-2</v>
      </c>
      <c r="T33" s="78">
        <v>0.16405211658817062</v>
      </c>
      <c r="U33" s="78">
        <v>1</v>
      </c>
      <c r="V33" s="12"/>
      <c r="W33" s="12"/>
      <c r="X33" s="3"/>
      <c r="Y33" s="3"/>
      <c r="Z33" s="3"/>
    </row>
    <row r="34" spans="1:26" ht="13.5" hidden="1" customHeight="1">
      <c r="A34" s="2"/>
      <c r="B34" s="2"/>
      <c r="C34" s="3"/>
      <c r="D34" s="3"/>
      <c r="E34" s="12"/>
      <c r="F34" s="24">
        <v>38961</v>
      </c>
      <c r="G34" s="34">
        <v>102.9</v>
      </c>
      <c r="H34" s="34">
        <v>112.5</v>
      </c>
      <c r="I34" s="34">
        <v>98.3</v>
      </c>
      <c r="J34" s="34">
        <v>4.16</v>
      </c>
      <c r="K34" s="34">
        <v>131.19999999999999</v>
      </c>
      <c r="L34" s="34">
        <v>94.606014083732617</v>
      </c>
      <c r="M34" s="77">
        <f t="shared" si="0"/>
        <v>5.4229900395652564E-4</v>
      </c>
      <c r="N34" s="12"/>
      <c r="O34" s="24">
        <v>38961</v>
      </c>
      <c r="P34" s="78">
        <v>0.60092193165399621</v>
      </c>
      <c r="Q34" s="78">
        <v>8.2364824981540505E-2</v>
      </c>
      <c r="R34" s="78">
        <v>9.6307043784929713E-2</v>
      </c>
      <c r="S34" s="78">
        <v>5.5310483727645819E-2</v>
      </c>
      <c r="T34" s="78">
        <v>0.16509571585188781</v>
      </c>
      <c r="U34" s="78">
        <v>1</v>
      </c>
      <c r="V34" s="12"/>
      <c r="W34" s="12"/>
      <c r="X34" s="3"/>
      <c r="Y34" s="3"/>
      <c r="Z34" s="3"/>
    </row>
    <row r="35" spans="1:26" ht="13.5" hidden="1" customHeight="1">
      <c r="A35" s="2"/>
      <c r="B35" s="2"/>
      <c r="C35" s="3"/>
      <c r="D35" s="3"/>
      <c r="E35" s="12"/>
      <c r="F35" s="24">
        <v>38991</v>
      </c>
      <c r="G35" s="34">
        <v>103.7</v>
      </c>
      <c r="H35" s="34">
        <v>112.5</v>
      </c>
      <c r="I35" s="34">
        <v>98.2</v>
      </c>
      <c r="J35" s="34">
        <v>4.1500000000000004</v>
      </c>
      <c r="K35" s="34">
        <v>133.9</v>
      </c>
      <c r="L35" s="34">
        <v>95.347584194028585</v>
      </c>
      <c r="M35" s="77">
        <f t="shared" si="0"/>
        <v>7.8385091844122012E-3</v>
      </c>
      <c r="N35" s="12"/>
      <c r="O35" s="24">
        <v>38991</v>
      </c>
      <c r="P35" s="78">
        <v>0.60088378917885721</v>
      </c>
      <c r="Q35" s="78">
        <v>8.1724228863008813E-2</v>
      </c>
      <c r="R35" s="78">
        <v>9.5460800843165008E-2</v>
      </c>
      <c r="S35" s="78">
        <v>5.4748380153405593E-2</v>
      </c>
      <c r="T35" s="78">
        <v>0.16718280096156343</v>
      </c>
      <c r="U35" s="78">
        <v>1</v>
      </c>
      <c r="V35" s="12"/>
      <c r="W35" s="12"/>
      <c r="X35" s="3"/>
      <c r="Y35" s="3"/>
      <c r="Z35" s="3"/>
    </row>
    <row r="36" spans="1:26" ht="13.5" hidden="1" customHeight="1">
      <c r="A36" s="2"/>
      <c r="B36" s="2"/>
      <c r="C36" s="3"/>
      <c r="D36" s="3"/>
      <c r="E36" s="12"/>
      <c r="F36" s="24">
        <v>39022</v>
      </c>
      <c r="G36" s="34">
        <v>103.7</v>
      </c>
      <c r="H36" s="34">
        <v>112.9</v>
      </c>
      <c r="I36" s="34">
        <v>97.8</v>
      </c>
      <c r="J36" s="34">
        <v>4.1399999999999997</v>
      </c>
      <c r="K36" s="34">
        <v>128.4</v>
      </c>
      <c r="L36" s="34">
        <v>94.670874120393535</v>
      </c>
      <c r="M36" s="77">
        <f t="shared" si="0"/>
        <v>-7.097296479562365E-3</v>
      </c>
      <c r="N36" s="12"/>
      <c r="O36" s="24">
        <v>39022</v>
      </c>
      <c r="P36" s="78">
        <v>0.60517892342156243</v>
      </c>
      <c r="Q36" s="78">
        <v>8.2601048026331614E-2</v>
      </c>
      <c r="R36" s="78">
        <v>9.5751535513114994E-2</v>
      </c>
      <c r="S36" s="78">
        <v>5.5006856313472408E-2</v>
      </c>
      <c r="T36" s="78">
        <v>0.16146163672551866</v>
      </c>
      <c r="U36" s="78">
        <v>1</v>
      </c>
      <c r="V36" s="12"/>
      <c r="W36" s="12"/>
      <c r="X36" s="3"/>
      <c r="Y36" s="3"/>
      <c r="Z36" s="3"/>
    </row>
    <row r="37" spans="1:26" ht="13.5" hidden="1" customHeight="1">
      <c r="A37" s="2"/>
      <c r="B37" s="2"/>
      <c r="C37" s="3"/>
      <c r="D37" s="3"/>
      <c r="E37" s="12"/>
      <c r="F37" s="24">
        <v>39052</v>
      </c>
      <c r="G37" s="34">
        <v>103.7</v>
      </c>
      <c r="H37" s="34">
        <v>112.8</v>
      </c>
      <c r="I37" s="34">
        <v>97.5</v>
      </c>
      <c r="J37" s="34">
        <v>4.3499999999999996</v>
      </c>
      <c r="K37" s="34">
        <v>124.1</v>
      </c>
      <c r="L37" s="34">
        <v>94.388387509788672</v>
      </c>
      <c r="M37" s="77">
        <f t="shared" si="0"/>
        <v>-2.9838808739172107E-3</v>
      </c>
      <c r="N37" s="12"/>
      <c r="O37" s="24">
        <v>39052</v>
      </c>
      <c r="P37" s="78">
        <v>0.60699010960025557</v>
      </c>
      <c r="Q37" s="78">
        <v>8.2774875375180634E-2</v>
      </c>
      <c r="R37" s="78">
        <v>9.5743506363951514E-2</v>
      </c>
      <c r="S37" s="78">
        <v>5.7970034848196746E-2</v>
      </c>
      <c r="T37" s="78">
        <v>0.1565214738124156</v>
      </c>
      <c r="U37" s="78">
        <v>1</v>
      </c>
      <c r="V37" s="12"/>
      <c r="W37" s="12"/>
      <c r="X37" s="3"/>
      <c r="Y37" s="3"/>
      <c r="Z37" s="3"/>
    </row>
    <row r="38" spans="1:26" ht="13.5" hidden="1" customHeight="1">
      <c r="A38" s="2"/>
      <c r="B38" s="2"/>
      <c r="C38" s="3"/>
      <c r="D38" s="3"/>
      <c r="E38" s="12"/>
      <c r="F38" s="24">
        <v>39083</v>
      </c>
      <c r="G38" s="34">
        <v>104.4</v>
      </c>
      <c r="H38" s="34">
        <v>112.7</v>
      </c>
      <c r="I38" s="34">
        <v>97.4</v>
      </c>
      <c r="J38" s="34">
        <v>4.3</v>
      </c>
      <c r="K38" s="34">
        <v>123.7</v>
      </c>
      <c r="L38" s="34">
        <v>94.648420509917287</v>
      </c>
      <c r="M38" s="77">
        <f t="shared" si="0"/>
        <v>2.754925759290483E-3</v>
      </c>
      <c r="N38" s="12"/>
      <c r="O38" s="24">
        <v>39083</v>
      </c>
      <c r="P38" s="78">
        <v>0.60940856382284847</v>
      </c>
      <c r="Q38" s="78">
        <v>8.2474282867115417E-2</v>
      </c>
      <c r="R38" s="78">
        <v>9.5382536090224512E-2</v>
      </c>
      <c r="S38" s="78">
        <v>5.7146278852902847E-2</v>
      </c>
      <c r="T38" s="78">
        <v>0.15558833836690877</v>
      </c>
      <c r="U38" s="78">
        <v>1</v>
      </c>
      <c r="V38" s="12"/>
      <c r="W38" s="12"/>
      <c r="X38" s="3"/>
      <c r="Y38" s="3"/>
      <c r="Z38" s="3"/>
    </row>
    <row r="39" spans="1:26" ht="13.5" hidden="1" customHeight="1">
      <c r="A39" s="2"/>
      <c r="B39" s="2"/>
      <c r="C39" s="3"/>
      <c r="D39" s="3"/>
      <c r="E39" s="12"/>
      <c r="F39" s="24">
        <v>39114</v>
      </c>
      <c r="G39" s="34">
        <v>104.4</v>
      </c>
      <c r="H39" s="34">
        <v>112.8</v>
      </c>
      <c r="I39" s="34">
        <v>97.6</v>
      </c>
      <c r="J39" s="34">
        <v>4.37</v>
      </c>
      <c r="K39" s="34">
        <v>123.1</v>
      </c>
      <c r="L39" s="34">
        <v>94.690506249993803</v>
      </c>
      <c r="M39" s="77">
        <f t="shared" si="0"/>
        <v>4.4465337984278541E-4</v>
      </c>
      <c r="N39" s="12"/>
      <c r="O39" s="24">
        <v>39114</v>
      </c>
      <c r="P39" s="78">
        <v>0.60913770868189332</v>
      </c>
      <c r="Q39" s="78">
        <v>8.2510774547554219E-2</v>
      </c>
      <c r="R39" s="78">
        <v>9.5535913087208865E-2</v>
      </c>
      <c r="S39" s="78">
        <v>5.8050754649041809E-2</v>
      </c>
      <c r="T39" s="78">
        <v>0.15476484903430182</v>
      </c>
      <c r="U39" s="78">
        <v>1</v>
      </c>
      <c r="V39" s="12"/>
      <c r="W39" s="12"/>
      <c r="X39" s="3"/>
      <c r="Y39" s="3"/>
      <c r="Z39" s="3"/>
    </row>
    <row r="40" spans="1:26" ht="13.5" hidden="1" customHeight="1">
      <c r="A40" s="2"/>
      <c r="B40" s="2"/>
      <c r="C40" s="3"/>
      <c r="D40" s="3"/>
      <c r="E40" s="12"/>
      <c r="F40" s="24">
        <v>39142</v>
      </c>
      <c r="G40" s="34">
        <v>104.4</v>
      </c>
      <c r="H40" s="34">
        <v>112.4</v>
      </c>
      <c r="I40" s="34">
        <v>97.9</v>
      </c>
      <c r="J40" s="34">
        <v>4.46</v>
      </c>
      <c r="K40" s="34">
        <v>118.5</v>
      </c>
      <c r="L40" s="34">
        <v>94.256195507008869</v>
      </c>
      <c r="M40" s="77">
        <f t="shared" si="0"/>
        <v>-4.5866345020725285E-3</v>
      </c>
      <c r="N40" s="12"/>
      <c r="O40" s="24">
        <v>39142</v>
      </c>
      <c r="P40" s="78">
        <v>0.6119444743211675</v>
      </c>
      <c r="Q40" s="78">
        <v>8.2597025515447148E-2</v>
      </c>
      <c r="R40" s="78">
        <v>9.6271129039771114E-2</v>
      </c>
      <c r="S40" s="78">
        <v>5.9519301229006207E-2</v>
      </c>
      <c r="T40" s="78">
        <v>0.14966806989460821</v>
      </c>
      <c r="U40" s="78">
        <v>1</v>
      </c>
      <c r="V40" s="12"/>
      <c r="W40" s="12"/>
      <c r="X40" s="3"/>
      <c r="Y40" s="3"/>
      <c r="Z40" s="3"/>
    </row>
    <row r="41" spans="1:26" ht="13.5" hidden="1" customHeight="1">
      <c r="A41" s="2"/>
      <c r="B41" s="2"/>
      <c r="C41" s="3"/>
      <c r="D41" s="3"/>
      <c r="E41" s="12"/>
      <c r="F41" s="24">
        <v>39173</v>
      </c>
      <c r="G41" s="34">
        <v>105.3</v>
      </c>
      <c r="H41" s="34">
        <v>113.6</v>
      </c>
      <c r="I41" s="34">
        <v>98.3</v>
      </c>
      <c r="J41" s="34">
        <v>4.4400000000000004</v>
      </c>
      <c r="K41" s="34">
        <v>122.2</v>
      </c>
      <c r="L41" s="34">
        <v>95.288944097184881</v>
      </c>
      <c r="M41" s="77">
        <f t="shared" si="0"/>
        <v>1.0956824478441929E-2</v>
      </c>
      <c r="N41" s="12"/>
      <c r="O41" s="24">
        <v>39173</v>
      </c>
      <c r="P41" s="78">
        <v>0.61053038347005051</v>
      </c>
      <c r="Q41" s="78">
        <v>8.2574094434012354E-2</v>
      </c>
      <c r="R41" s="78">
        <v>9.5616817113506961E-2</v>
      </c>
      <c r="S41" s="78">
        <v>5.8610216676148005E-2</v>
      </c>
      <c r="T41" s="78">
        <v>0.15266848830628221</v>
      </c>
      <c r="U41" s="78">
        <v>1</v>
      </c>
      <c r="V41" s="12"/>
      <c r="W41" s="12"/>
      <c r="X41" s="3"/>
      <c r="Y41" s="3"/>
      <c r="Z41" s="3"/>
    </row>
    <row r="42" spans="1:26" ht="13.5" hidden="1" customHeight="1">
      <c r="A42" s="2"/>
      <c r="B42" s="2"/>
      <c r="C42" s="3"/>
      <c r="D42" s="3"/>
      <c r="E42" s="12"/>
      <c r="F42" s="24">
        <v>39203</v>
      </c>
      <c r="G42" s="34">
        <v>105.3</v>
      </c>
      <c r="H42" s="34">
        <v>114.1</v>
      </c>
      <c r="I42" s="34">
        <v>98</v>
      </c>
      <c r="J42" s="34">
        <v>4.4800000000000004</v>
      </c>
      <c r="K42" s="34">
        <v>123.2</v>
      </c>
      <c r="L42" s="34">
        <v>95.46513183110342</v>
      </c>
      <c r="M42" s="77">
        <f t="shared" si="0"/>
        <v>1.8489840095075039E-3</v>
      </c>
      <c r="N42" s="12"/>
      <c r="O42" s="24">
        <v>39203</v>
      </c>
      <c r="P42" s="78">
        <v>0.60940360594731779</v>
      </c>
      <c r="Q42" s="78">
        <v>8.2784469590554979E-2</v>
      </c>
      <c r="R42" s="78">
        <v>9.5149076749615119E-2</v>
      </c>
      <c r="S42" s="78">
        <v>5.902909279752503E-2</v>
      </c>
      <c r="T42" s="78">
        <v>0.15363375491498701</v>
      </c>
      <c r="U42" s="78">
        <v>0.99999999999999989</v>
      </c>
      <c r="V42" s="12"/>
      <c r="W42" s="12"/>
      <c r="X42" s="3"/>
      <c r="Y42" s="3"/>
      <c r="Z42" s="3"/>
    </row>
    <row r="43" spans="1:26" ht="13.5" hidden="1" customHeight="1">
      <c r="A43" s="2"/>
      <c r="B43" s="2"/>
      <c r="C43" s="3"/>
      <c r="D43" s="3"/>
      <c r="E43" s="12"/>
      <c r="F43" s="24">
        <v>39234</v>
      </c>
      <c r="G43" s="34">
        <v>105.3</v>
      </c>
      <c r="H43" s="34">
        <v>114.3</v>
      </c>
      <c r="I43" s="34">
        <v>97.8</v>
      </c>
      <c r="J43" s="34">
        <v>4.59</v>
      </c>
      <c r="K43" s="34">
        <v>125.1</v>
      </c>
      <c r="L43" s="34">
        <v>95.825002310907635</v>
      </c>
      <c r="M43" s="77">
        <f t="shared" si="0"/>
        <v>3.7696536201394792E-3</v>
      </c>
      <c r="N43" s="12"/>
      <c r="O43" s="24">
        <v>39234</v>
      </c>
      <c r="P43" s="78">
        <v>0.60711499271718061</v>
      </c>
      <c r="Q43" s="78">
        <v>8.261813645666824E-2</v>
      </c>
      <c r="R43" s="78">
        <v>9.4598292165808354E-2</v>
      </c>
      <c r="S43" s="78">
        <v>6.02513411575799E-2</v>
      </c>
      <c r="T43" s="78">
        <v>0.15541723750276298</v>
      </c>
      <c r="U43" s="78">
        <v>1.0000000000000002</v>
      </c>
      <c r="V43" s="12"/>
      <c r="W43" s="12"/>
      <c r="X43" s="3"/>
      <c r="Y43" s="3"/>
      <c r="Z43" s="3"/>
    </row>
    <row r="44" spans="1:26" ht="13.5" hidden="1" customHeight="1">
      <c r="A44" s="2"/>
      <c r="B44" s="2"/>
      <c r="C44" s="3"/>
      <c r="D44" s="3"/>
      <c r="E44" s="12"/>
      <c r="F44" s="24">
        <v>39264</v>
      </c>
      <c r="G44" s="34">
        <v>106.3</v>
      </c>
      <c r="H44" s="34">
        <v>114.5</v>
      </c>
      <c r="I44" s="34">
        <v>97.6</v>
      </c>
      <c r="J44" s="34">
        <v>4.7699999999999996</v>
      </c>
      <c r="K44" s="34">
        <v>124.8</v>
      </c>
      <c r="L44" s="34">
        <v>96.5635045311178</v>
      </c>
      <c r="M44" s="77">
        <f t="shared" si="0"/>
        <v>7.7067800928829477E-3</v>
      </c>
      <c r="N44" s="12"/>
      <c r="O44" s="24">
        <v>39264</v>
      </c>
      <c r="P44" s="78">
        <v>0.60819335475785441</v>
      </c>
      <c r="Q44" s="78">
        <v>8.2129744247012429E-2</v>
      </c>
      <c r="R44" s="78">
        <v>9.3682846528918298E-2</v>
      </c>
      <c r="S44" s="78">
        <v>6.2135275942335831E-2</v>
      </c>
      <c r="T44" s="78">
        <v>0.15385877852387919</v>
      </c>
      <c r="U44" s="78">
        <v>1.0000000000000002</v>
      </c>
      <c r="V44" s="12"/>
      <c r="W44" s="12"/>
      <c r="X44" s="3"/>
      <c r="Y44" s="3"/>
      <c r="Z44" s="3"/>
    </row>
    <row r="45" spans="1:26" ht="13.5" hidden="1" customHeight="1">
      <c r="A45" s="2"/>
      <c r="B45" s="2"/>
      <c r="C45" s="3"/>
      <c r="D45" s="3"/>
      <c r="E45" s="12"/>
      <c r="F45" s="24">
        <v>39295</v>
      </c>
      <c r="G45" s="34">
        <v>106.3</v>
      </c>
      <c r="H45" s="34">
        <v>114.4</v>
      </c>
      <c r="I45" s="34">
        <v>97.6</v>
      </c>
      <c r="J45" s="34">
        <v>4.91</v>
      </c>
      <c r="K45" s="34">
        <v>127.6</v>
      </c>
      <c r="L45" s="34">
        <v>97.066012086455544</v>
      </c>
      <c r="M45" s="77">
        <f t="shared" si="0"/>
        <v>5.2039076023364661E-3</v>
      </c>
      <c r="N45" s="12"/>
      <c r="O45" s="24">
        <v>39295</v>
      </c>
      <c r="P45" s="78">
        <v>0.60504475774328026</v>
      </c>
      <c r="Q45" s="78">
        <v>8.1633203564105236E-2</v>
      </c>
      <c r="R45" s="78">
        <v>9.3197853510513476E-2</v>
      </c>
      <c r="S45" s="78">
        <v>6.3627839407163864E-2</v>
      </c>
      <c r="T45" s="78">
        <v>0.15649634577493732</v>
      </c>
      <c r="U45" s="78">
        <v>1</v>
      </c>
      <c r="V45" s="12"/>
      <c r="W45" s="12"/>
      <c r="X45" s="3"/>
      <c r="Y45" s="3"/>
      <c r="Z45" s="3"/>
    </row>
    <row r="46" spans="1:26" ht="13.5" hidden="1" customHeight="1">
      <c r="A46" s="2"/>
      <c r="B46" s="2"/>
      <c r="C46" s="3"/>
      <c r="D46" s="3"/>
      <c r="E46" s="12"/>
      <c r="F46" s="24">
        <v>39326</v>
      </c>
      <c r="G46" s="34">
        <v>106.3</v>
      </c>
      <c r="H46" s="34">
        <v>113.9</v>
      </c>
      <c r="I46" s="34">
        <v>97.6</v>
      </c>
      <c r="J46" s="34">
        <v>4.8099999999999996</v>
      </c>
      <c r="K46" s="34">
        <v>128.80000000000001</v>
      </c>
      <c r="L46" s="34">
        <v>97.048451031158649</v>
      </c>
      <c r="M46" s="77">
        <f t="shared" si="0"/>
        <v>-1.8091868532987831E-4</v>
      </c>
      <c r="N46" s="12"/>
      <c r="O46" s="24">
        <v>39326</v>
      </c>
      <c r="P46" s="78">
        <v>0.60515424145306573</v>
      </c>
      <c r="Q46" s="78">
        <v>8.1291122169941374E-2</v>
      </c>
      <c r="R46" s="78">
        <v>9.32147177947103E-2</v>
      </c>
      <c r="S46" s="78">
        <v>6.234323578710467E-2</v>
      </c>
      <c r="T46" s="78">
        <v>0.15799668279517798</v>
      </c>
      <c r="U46" s="78">
        <v>1</v>
      </c>
      <c r="V46" s="12"/>
      <c r="W46" s="12"/>
      <c r="X46" s="3"/>
      <c r="Y46" s="3"/>
      <c r="Z46" s="3"/>
    </row>
    <row r="47" spans="1:26" ht="13.5" hidden="1" customHeight="1">
      <c r="A47" s="2"/>
      <c r="B47" s="2"/>
      <c r="C47" s="3"/>
      <c r="D47" s="3"/>
      <c r="E47" s="12"/>
      <c r="F47" s="24">
        <v>39356</v>
      </c>
      <c r="G47" s="34">
        <v>107.5</v>
      </c>
      <c r="H47" s="34">
        <v>113.7</v>
      </c>
      <c r="I47" s="34">
        <v>97.4</v>
      </c>
      <c r="J47" s="34">
        <v>4.82</v>
      </c>
      <c r="K47" s="34">
        <v>128</v>
      </c>
      <c r="L47" s="34">
        <v>97.596384573721011</v>
      </c>
      <c r="M47" s="77">
        <f t="shared" si="0"/>
        <v>5.6459792685041865E-3</v>
      </c>
      <c r="N47" s="12"/>
      <c r="O47" s="24">
        <v>39356</v>
      </c>
      <c r="P47" s="78">
        <v>0.60854985000502004</v>
      </c>
      <c r="Q47" s="78">
        <v>8.0692791128711569E-2</v>
      </c>
      <c r="R47" s="78">
        <v>9.2501442800379877E-2</v>
      </c>
      <c r="S47" s="78">
        <v>6.2122107373570823E-2</v>
      </c>
      <c r="T47" s="78">
        <v>0.15613380869231785</v>
      </c>
      <c r="U47" s="78">
        <v>1</v>
      </c>
      <c r="V47" s="12"/>
      <c r="W47" s="12"/>
      <c r="X47" s="3"/>
      <c r="Y47" s="3"/>
      <c r="Z47" s="3"/>
    </row>
    <row r="48" spans="1:26" ht="13.5" hidden="1" customHeight="1">
      <c r="A48" s="2"/>
      <c r="B48" s="2"/>
      <c r="C48" s="3"/>
      <c r="D48" s="3"/>
      <c r="E48" s="12"/>
      <c r="F48" s="24">
        <v>39387</v>
      </c>
      <c r="G48" s="34">
        <v>107.5</v>
      </c>
      <c r="H48" s="34">
        <v>114.3</v>
      </c>
      <c r="I48" s="34">
        <v>97.4</v>
      </c>
      <c r="J48" s="34">
        <v>4.84</v>
      </c>
      <c r="K48" s="34">
        <v>130.69999999999999</v>
      </c>
      <c r="L48" s="34">
        <v>97.984528819412432</v>
      </c>
      <c r="M48" s="77">
        <f t="shared" si="0"/>
        <v>3.9770350857437631E-3</v>
      </c>
      <c r="N48" s="12"/>
      <c r="O48" s="24">
        <v>39387</v>
      </c>
      <c r="P48" s="78">
        <v>0.60613921308772511</v>
      </c>
      <c r="Q48" s="78">
        <v>8.0797277001495832E-2</v>
      </c>
      <c r="R48" s="78">
        <v>9.2135018598786866E-2</v>
      </c>
      <c r="S48" s="78">
        <v>6.2132771242752162E-2</v>
      </c>
      <c r="T48" s="78">
        <v>0.15879572006924014</v>
      </c>
      <c r="U48" s="78">
        <v>1</v>
      </c>
      <c r="V48" s="12"/>
      <c r="W48" s="12"/>
      <c r="X48" s="3"/>
      <c r="Y48" s="3"/>
      <c r="Z48" s="3"/>
    </row>
    <row r="49" spans="1:26" ht="13.5" hidden="1" customHeight="1">
      <c r="A49" s="2"/>
      <c r="B49" s="2"/>
      <c r="C49" s="3"/>
      <c r="D49" s="3"/>
      <c r="E49" s="12"/>
      <c r="F49" s="24">
        <v>39417</v>
      </c>
      <c r="G49" s="34">
        <v>107.5</v>
      </c>
      <c r="H49" s="34">
        <v>114.7</v>
      </c>
      <c r="I49" s="34">
        <v>97.3</v>
      </c>
      <c r="J49" s="34">
        <v>4.8499999999999996</v>
      </c>
      <c r="K49" s="34">
        <v>131.30000000000001</v>
      </c>
      <c r="L49" s="34">
        <v>98.08697283984219</v>
      </c>
      <c r="M49" s="77">
        <f t="shared" si="0"/>
        <v>1.0455122014063623E-3</v>
      </c>
      <c r="N49" s="12"/>
      <c r="O49" s="24">
        <v>39417</v>
      </c>
      <c r="P49" s="78">
        <v>0.60550614902089706</v>
      </c>
      <c r="Q49" s="78">
        <v>8.0995350499406107E-2</v>
      </c>
      <c r="R49" s="78">
        <v>9.1944295241314922E-2</v>
      </c>
      <c r="S49" s="78">
        <v>6.2196117936872256E-2</v>
      </c>
      <c r="T49" s="78">
        <v>0.15935808730150972</v>
      </c>
      <c r="U49" s="78">
        <v>1.0000000000000002</v>
      </c>
      <c r="V49" s="12"/>
      <c r="W49" s="12"/>
      <c r="X49" s="3"/>
      <c r="Y49" s="3"/>
      <c r="Z49" s="3"/>
    </row>
    <row r="50" spans="1:26" ht="13.5" hidden="1" customHeight="1">
      <c r="A50" s="2"/>
      <c r="B50" s="2"/>
      <c r="C50" s="3"/>
      <c r="D50" s="3"/>
      <c r="E50" s="12"/>
      <c r="F50" s="24">
        <v>39448</v>
      </c>
      <c r="G50" s="34">
        <v>108.6</v>
      </c>
      <c r="H50" s="34">
        <v>115.5</v>
      </c>
      <c r="I50" s="34">
        <v>97.1</v>
      </c>
      <c r="J50" s="34">
        <v>4.7699999999999996</v>
      </c>
      <c r="K50" s="34">
        <v>142.80000000000001</v>
      </c>
      <c r="L50" s="34">
        <v>100</v>
      </c>
      <c r="M50" s="77">
        <f t="shared" si="0"/>
        <v>1.9503376490998647E-2</v>
      </c>
      <c r="N50" s="12"/>
      <c r="O50" s="24">
        <v>39448</v>
      </c>
      <c r="P50" s="78">
        <v>0.6</v>
      </c>
      <c r="Q50" s="78">
        <v>0.08</v>
      </c>
      <c r="R50" s="78">
        <v>9.0000000000000024E-2</v>
      </c>
      <c r="S50" s="78">
        <v>6.0000000000000012E-2</v>
      </c>
      <c r="T50" s="78">
        <v>0.17000000000000004</v>
      </c>
      <c r="U50" s="78">
        <v>1</v>
      </c>
      <c r="V50" s="12"/>
      <c r="W50" s="12"/>
      <c r="X50" s="3"/>
      <c r="Y50" s="3"/>
      <c r="Z50" s="3"/>
    </row>
    <row r="51" spans="1:26" ht="13.5" hidden="1" customHeight="1">
      <c r="A51" s="2"/>
      <c r="B51" s="2"/>
      <c r="C51" s="3"/>
      <c r="D51" s="3"/>
      <c r="E51" s="12"/>
      <c r="F51" s="24">
        <v>39479</v>
      </c>
      <c r="G51" s="34">
        <v>108.6</v>
      </c>
      <c r="H51" s="34">
        <v>115.4</v>
      </c>
      <c r="I51" s="34">
        <v>96.7</v>
      </c>
      <c r="J51" s="34">
        <v>4.93</v>
      </c>
      <c r="K51" s="34">
        <v>136.30000000000001</v>
      </c>
      <c r="L51" s="34">
        <v>99.383446750672718</v>
      </c>
      <c r="M51" s="77">
        <f t="shared" si="0"/>
        <v>-6.1655324932727851E-3</v>
      </c>
      <c r="N51" s="12"/>
      <c r="O51" s="24">
        <v>39479</v>
      </c>
      <c r="P51" s="78">
        <v>0.60372226926808481</v>
      </c>
      <c r="Q51" s="78">
        <v>8.0426608800619914E-2</v>
      </c>
      <c r="R51" s="78">
        <v>9.0185288524547588E-2</v>
      </c>
      <c r="S51" s="78">
        <v>6.239729114238278E-2</v>
      </c>
      <c r="T51" s="78">
        <v>0.16326854226436499</v>
      </c>
      <c r="U51" s="78">
        <v>1</v>
      </c>
      <c r="V51" s="12"/>
      <c r="W51" s="12"/>
      <c r="X51" s="3"/>
      <c r="Y51" s="3"/>
      <c r="Z51" s="3"/>
    </row>
    <row r="52" spans="1:26" ht="13.5" hidden="1" customHeight="1">
      <c r="A52" s="2"/>
      <c r="B52" s="2"/>
      <c r="C52" s="3"/>
      <c r="D52" s="3"/>
      <c r="E52" s="12"/>
      <c r="F52" s="24">
        <v>39508</v>
      </c>
      <c r="G52" s="34">
        <v>108.6</v>
      </c>
      <c r="H52" s="34">
        <v>115.7</v>
      </c>
      <c r="I52" s="34">
        <v>97.6</v>
      </c>
      <c r="J52" s="34">
        <v>4.59</v>
      </c>
      <c r="K52" s="34">
        <v>140.19999999999999</v>
      </c>
      <c r="L52" s="34">
        <v>99.52425788527259</v>
      </c>
      <c r="M52" s="77">
        <f t="shared" si="0"/>
        <v>1.4168469619808555E-3</v>
      </c>
      <c r="N52" s="12"/>
      <c r="O52" s="24">
        <v>39508</v>
      </c>
      <c r="P52" s="78">
        <v>0.60286809743575775</v>
      </c>
      <c r="Q52" s="78">
        <v>8.0521603316960663E-2</v>
      </c>
      <c r="R52" s="78">
        <v>9.0895869685473696E-2</v>
      </c>
      <c r="S52" s="78">
        <v>5.8011835790988023E-2</v>
      </c>
      <c r="T52" s="78">
        <v>0.16770259377081992</v>
      </c>
      <c r="U52" s="78">
        <v>1</v>
      </c>
      <c r="V52" s="12"/>
      <c r="W52" s="12"/>
      <c r="X52" s="3"/>
      <c r="Y52" s="3"/>
      <c r="Z52" s="3"/>
    </row>
    <row r="53" spans="1:26" ht="13.5" hidden="1" customHeight="1">
      <c r="A53" s="2"/>
      <c r="B53" s="2"/>
      <c r="C53" s="3"/>
      <c r="D53" s="3"/>
      <c r="E53" s="12"/>
      <c r="F53" s="24">
        <v>39539</v>
      </c>
      <c r="G53" s="34">
        <v>109.9</v>
      </c>
      <c r="H53" s="34">
        <v>117.1</v>
      </c>
      <c r="I53" s="34">
        <v>97.3</v>
      </c>
      <c r="J53" s="34">
        <v>4.55</v>
      </c>
      <c r="K53" s="34">
        <v>140.9</v>
      </c>
      <c r="L53" s="34">
        <v>100.3446721091958</v>
      </c>
      <c r="M53" s="77">
        <f t="shared" si="0"/>
        <v>8.2433593714303921E-3</v>
      </c>
      <c r="N53" s="12"/>
      <c r="O53" s="24">
        <v>39539</v>
      </c>
      <c r="P53" s="78">
        <v>0.60509672081169263</v>
      </c>
      <c r="Q53" s="78">
        <v>8.0829627924801584E-2</v>
      </c>
      <c r="R53" s="78">
        <v>8.9875599775733478E-2</v>
      </c>
      <c r="S53" s="78">
        <v>5.7036116815683734E-2</v>
      </c>
      <c r="T53" s="78">
        <v>0.16716193467208845</v>
      </c>
      <c r="U53" s="78">
        <v>0.99999999999999978</v>
      </c>
      <c r="V53" s="12"/>
      <c r="W53" s="12"/>
      <c r="X53" s="3"/>
      <c r="Y53" s="3"/>
      <c r="Z53" s="3"/>
    </row>
    <row r="54" spans="1:26" ht="13.5" hidden="1" customHeight="1">
      <c r="A54" s="2"/>
      <c r="B54" s="2"/>
      <c r="C54" s="3"/>
      <c r="D54" s="3"/>
      <c r="E54" s="12"/>
      <c r="F54" s="24">
        <v>39569</v>
      </c>
      <c r="G54" s="34">
        <v>109.9</v>
      </c>
      <c r="H54" s="34">
        <v>117.6</v>
      </c>
      <c r="I54" s="34">
        <v>97.3</v>
      </c>
      <c r="J54" s="34">
        <v>4.72</v>
      </c>
      <c r="K54" s="34">
        <v>149.4</v>
      </c>
      <c r="L54" s="34">
        <v>101.60504538372001</v>
      </c>
      <c r="M54" s="77">
        <f t="shared" si="0"/>
        <v>1.2560440410355422E-2</v>
      </c>
      <c r="N54" s="12"/>
      <c r="O54" s="24">
        <v>39569</v>
      </c>
      <c r="P54" s="78">
        <v>0.59759071820588616</v>
      </c>
      <c r="Q54" s="78">
        <v>8.0167815630538333E-2</v>
      </c>
      <c r="R54" s="78">
        <v>8.8760725966451973E-2</v>
      </c>
      <c r="S54" s="78">
        <v>5.8433189964307485E-2</v>
      </c>
      <c r="T54" s="78">
        <v>0.1750475502328161</v>
      </c>
      <c r="U54" s="78">
        <v>1</v>
      </c>
      <c r="V54" s="12"/>
      <c r="W54" s="12"/>
      <c r="X54" s="3"/>
      <c r="Y54" s="3"/>
      <c r="Z54" s="3"/>
    </row>
    <row r="55" spans="1:26" ht="13.5" hidden="1" customHeight="1">
      <c r="A55" s="2"/>
      <c r="B55" s="2"/>
      <c r="C55" s="3"/>
      <c r="D55" s="3"/>
      <c r="E55" s="12"/>
      <c r="F55" s="24">
        <v>39600</v>
      </c>
      <c r="G55" s="34">
        <v>109.9</v>
      </c>
      <c r="H55" s="34">
        <v>118</v>
      </c>
      <c r="I55" s="34">
        <v>97.1</v>
      </c>
      <c r="J55" s="34">
        <v>4.9400000000000004</v>
      </c>
      <c r="K55" s="34">
        <v>150.80000000000001</v>
      </c>
      <c r="L55" s="34">
        <v>102.05760964772745</v>
      </c>
      <c r="M55" s="77">
        <f t="shared" si="0"/>
        <v>4.4541514872444843E-3</v>
      </c>
      <c r="N55" s="12"/>
      <c r="O55" s="24">
        <v>39600</v>
      </c>
      <c r="P55" s="78">
        <v>0.59494076192632961</v>
      </c>
      <c r="Q55" s="78">
        <v>8.0083789943459341E-2</v>
      </c>
      <c r="R55" s="78">
        <v>8.818548691337498E-2</v>
      </c>
      <c r="S55" s="78">
        <v>6.0885577267934664E-2</v>
      </c>
      <c r="T55" s="78">
        <v>0.17590438394890145</v>
      </c>
      <c r="U55" s="78">
        <v>1</v>
      </c>
      <c r="V55" s="12"/>
      <c r="W55" s="12"/>
      <c r="X55" s="3"/>
      <c r="Y55" s="3"/>
      <c r="Z55" s="3"/>
    </row>
    <row r="56" spans="1:26" ht="13.5" hidden="1" customHeight="1">
      <c r="A56" s="2"/>
      <c r="B56" s="2"/>
      <c r="C56" s="3"/>
      <c r="D56" s="3"/>
      <c r="E56" s="12"/>
      <c r="F56" s="24">
        <v>39630</v>
      </c>
      <c r="G56" s="34">
        <v>111</v>
      </c>
      <c r="H56" s="34">
        <v>118.4</v>
      </c>
      <c r="I56" s="34">
        <v>97</v>
      </c>
      <c r="J56" s="34">
        <v>5.22</v>
      </c>
      <c r="K56" s="34">
        <v>157.69999999999999</v>
      </c>
      <c r="L56" s="34">
        <v>103.85741111629648</v>
      </c>
      <c r="M56" s="77">
        <f t="shared" si="0"/>
        <v>1.763515209479638E-2</v>
      </c>
      <c r="N56" s="12"/>
      <c r="O56" s="24">
        <v>39630</v>
      </c>
      <c r="P56" s="78">
        <v>0.59048233719361365</v>
      </c>
      <c r="Q56" s="78">
        <v>7.896274047966316E-2</v>
      </c>
      <c r="R56" s="78">
        <v>8.6568027339674419E-2</v>
      </c>
      <c r="S56" s="78">
        <v>6.3221658091367233E-2</v>
      </c>
      <c r="T56" s="78">
        <v>0.18076523689568155</v>
      </c>
      <c r="U56" s="78">
        <v>1</v>
      </c>
      <c r="V56" s="12"/>
      <c r="W56" s="12"/>
      <c r="X56" s="3"/>
      <c r="Y56" s="3"/>
      <c r="Z56" s="3"/>
    </row>
    <row r="57" spans="1:26" ht="13.5" hidden="1" customHeight="1">
      <c r="A57" s="2"/>
      <c r="B57" s="2"/>
      <c r="C57" s="3"/>
      <c r="D57" s="3"/>
      <c r="E57" s="12"/>
      <c r="F57" s="24">
        <v>39661</v>
      </c>
      <c r="G57" s="34">
        <v>111</v>
      </c>
      <c r="H57" s="34">
        <v>118.8</v>
      </c>
      <c r="I57" s="34">
        <v>97.2</v>
      </c>
      <c r="J57" s="34">
        <v>5.48</v>
      </c>
      <c r="K57" s="34">
        <v>165.5</v>
      </c>
      <c r="L57" s="34">
        <v>105.15926978784404</v>
      </c>
      <c r="M57" s="77">
        <f t="shared" si="0"/>
        <v>1.2535057994944365E-2</v>
      </c>
      <c r="N57" s="12"/>
      <c r="O57" s="24">
        <v>39661</v>
      </c>
      <c r="P57" s="78">
        <v>0.58317223935229112</v>
      </c>
      <c r="Q57" s="78">
        <v>7.8248655065524392E-2</v>
      </c>
      <c r="R57" s="78">
        <v>8.5672607020119113E-2</v>
      </c>
      <c r="S57" s="78">
        <v>6.5548969433820672E-2</v>
      </c>
      <c r="T57" s="78">
        <v>0.18735752912824491</v>
      </c>
      <c r="U57" s="78">
        <v>1.0000000000000002</v>
      </c>
      <c r="V57" s="12"/>
      <c r="W57" s="12"/>
      <c r="X57" s="3"/>
      <c r="Y57" s="3"/>
      <c r="Z57" s="3"/>
    </row>
    <row r="58" spans="1:26" ht="13.5" hidden="1" customHeight="1">
      <c r="A58" s="2"/>
      <c r="B58" s="2"/>
      <c r="C58" s="3"/>
      <c r="D58" s="3"/>
      <c r="E58" s="12"/>
      <c r="F58" s="24">
        <v>39692</v>
      </c>
      <c r="G58" s="34">
        <v>111</v>
      </c>
      <c r="H58" s="34">
        <v>118.4</v>
      </c>
      <c r="I58" s="34">
        <v>97.6</v>
      </c>
      <c r="J58" s="34">
        <v>5.36</v>
      </c>
      <c r="K58" s="34">
        <v>166.2</v>
      </c>
      <c r="L58" s="34">
        <v>105.10102927747191</v>
      </c>
      <c r="M58" s="77">
        <f t="shared" si="0"/>
        <v>-5.5383144528897699E-4</v>
      </c>
      <c r="N58" s="12"/>
      <c r="O58" s="24">
        <v>39692</v>
      </c>
      <c r="P58" s="78">
        <v>0.58349539745158119</v>
      </c>
      <c r="Q58" s="78">
        <v>7.8028406165415495E-2</v>
      </c>
      <c r="R58" s="78">
        <v>8.6072839033768347E-2</v>
      </c>
      <c r="S58" s="78">
        <v>6.4149118340033548E-2</v>
      </c>
      <c r="T58" s="78">
        <v>0.18825423900920152</v>
      </c>
      <c r="U58" s="78">
        <v>1.0000000000000002</v>
      </c>
      <c r="V58" s="12"/>
      <c r="W58" s="12"/>
      <c r="X58" s="3"/>
      <c r="Y58" s="3"/>
      <c r="Z58" s="3"/>
    </row>
    <row r="59" spans="1:26" ht="13.5" hidden="1" customHeight="1">
      <c r="A59" s="2"/>
      <c r="B59" s="2"/>
      <c r="C59" s="3"/>
      <c r="D59" s="3"/>
      <c r="E59" s="12"/>
      <c r="F59" s="24">
        <v>39722</v>
      </c>
      <c r="G59" s="34">
        <v>112.4</v>
      </c>
      <c r="H59" s="34">
        <v>118.6</v>
      </c>
      <c r="I59" s="34">
        <v>97.6</v>
      </c>
      <c r="J59" s="34">
        <v>5.15</v>
      </c>
      <c r="K59" s="34">
        <v>153.4</v>
      </c>
      <c r="L59" s="34">
        <v>104.1004022871024</v>
      </c>
      <c r="M59" s="77">
        <f t="shared" si="0"/>
        <v>-9.520620276018521E-3</v>
      </c>
      <c r="N59" s="12"/>
      <c r="O59" s="24">
        <v>39722</v>
      </c>
      <c r="P59" s="78">
        <v>0.5965341742152519</v>
      </c>
      <c r="Q59" s="78">
        <v>7.8911497306830142E-2</v>
      </c>
      <c r="R59" s="78">
        <v>8.6900182674933033E-2</v>
      </c>
      <c r="S59" s="78">
        <v>6.2228265012057929E-2</v>
      </c>
      <c r="T59" s="78">
        <v>0.17542588079092694</v>
      </c>
      <c r="U59" s="78">
        <v>0.99999999999999989</v>
      </c>
      <c r="V59" s="12"/>
      <c r="W59" s="12"/>
      <c r="X59" s="3"/>
      <c r="Y59" s="3"/>
      <c r="Z59" s="3"/>
    </row>
    <row r="60" spans="1:26" ht="13.5" hidden="1" customHeight="1">
      <c r="A60" s="2"/>
      <c r="B60" s="2"/>
      <c r="C60" s="3"/>
      <c r="D60" s="3"/>
      <c r="E60" s="12"/>
      <c r="F60" s="24">
        <v>39753</v>
      </c>
      <c r="G60" s="34">
        <v>112.4</v>
      </c>
      <c r="H60" s="34">
        <v>119.1</v>
      </c>
      <c r="I60" s="34">
        <v>98</v>
      </c>
      <c r="J60" s="34">
        <v>5.15</v>
      </c>
      <c r="K60" s="34">
        <v>152.5</v>
      </c>
      <c r="L60" s="34">
        <v>104.06496664481814</v>
      </c>
      <c r="M60" s="77">
        <f t="shared" si="0"/>
        <v>-3.4039870649615889E-4</v>
      </c>
      <c r="N60" s="12"/>
      <c r="O60" s="24">
        <v>39753</v>
      </c>
      <c r="P60" s="78">
        <v>0.59673730282125026</v>
      </c>
      <c r="Q60" s="78">
        <v>7.9271160269587429E-2</v>
      </c>
      <c r="R60" s="78">
        <v>8.7286043020723819E-2</v>
      </c>
      <c r="S60" s="78">
        <v>6.2249454645899482E-2</v>
      </c>
      <c r="T60" s="78">
        <v>0.174456039242539</v>
      </c>
      <c r="U60" s="78">
        <v>1</v>
      </c>
      <c r="V60" s="12"/>
      <c r="W60" s="12"/>
      <c r="X60" s="3"/>
      <c r="Y60" s="3"/>
      <c r="Z60" s="3"/>
    </row>
    <row r="61" spans="1:26" ht="13.5" hidden="1" customHeight="1">
      <c r="A61" s="2"/>
      <c r="B61" s="2"/>
      <c r="C61" s="3"/>
      <c r="D61" s="3"/>
      <c r="E61" s="12"/>
      <c r="F61" s="24">
        <v>39783</v>
      </c>
      <c r="G61" s="34">
        <v>112.4</v>
      </c>
      <c r="H61" s="34">
        <v>118.9</v>
      </c>
      <c r="I61" s="34">
        <v>99.5</v>
      </c>
      <c r="J61" s="34">
        <v>5.45</v>
      </c>
      <c r="K61" s="34">
        <v>142</v>
      </c>
      <c r="L61" s="34">
        <v>103.31750424738101</v>
      </c>
      <c r="M61" s="77">
        <f t="shared" si="0"/>
        <v>-7.1826515832967841E-3</v>
      </c>
      <c r="N61" s="12"/>
      <c r="O61" s="24">
        <v>39783</v>
      </c>
      <c r="P61" s="78">
        <v>0.60105446764492776</v>
      </c>
      <c r="Q61" s="78">
        <v>7.9710576590961341E-2</v>
      </c>
      <c r="R61" s="78">
        <v>8.92632003506144E-2</v>
      </c>
      <c r="S61" s="78">
        <v>6.6352221357722771E-2</v>
      </c>
      <c r="T61" s="78">
        <v>0.16361953405577373</v>
      </c>
      <c r="U61" s="78">
        <v>1</v>
      </c>
      <c r="V61" s="12"/>
      <c r="W61" s="12"/>
      <c r="X61" s="3"/>
      <c r="Y61" s="3"/>
      <c r="Z61" s="3"/>
    </row>
    <row r="62" spans="1:26" ht="13.5" hidden="1" customHeight="1">
      <c r="A62" s="2"/>
      <c r="B62" s="2"/>
      <c r="C62" s="3"/>
      <c r="D62" s="3"/>
      <c r="E62" s="12"/>
      <c r="F62" s="24">
        <v>39814</v>
      </c>
      <c r="G62" s="34">
        <v>113.5</v>
      </c>
      <c r="H62" s="34">
        <v>118.6</v>
      </c>
      <c r="I62" s="34">
        <v>100.3</v>
      </c>
      <c r="J62" s="34">
        <v>4.97</v>
      </c>
      <c r="K62" s="34">
        <v>134.19999999999999</v>
      </c>
      <c r="L62" s="34">
        <v>102.44626518020767</v>
      </c>
      <c r="M62" s="77">
        <f t="shared" si="0"/>
        <v>-8.4326375624333982E-3</v>
      </c>
      <c r="N62" s="12"/>
      <c r="O62" s="24">
        <v>39814</v>
      </c>
      <c r="P62" s="78">
        <v>0.61209827620496648</v>
      </c>
      <c r="Q62" s="78">
        <v>8.0185632929307374E-2</v>
      </c>
      <c r="R62" s="78">
        <v>9.0746123594251271E-2</v>
      </c>
      <c r="S62" s="78">
        <v>6.1022940329227469E-2</v>
      </c>
      <c r="T62" s="78">
        <v>0.15594702694224749</v>
      </c>
      <c r="U62" s="78">
        <v>1</v>
      </c>
      <c r="V62" s="12"/>
      <c r="W62" s="12"/>
      <c r="X62" s="3"/>
      <c r="Y62" s="3"/>
      <c r="Z62" s="3"/>
    </row>
    <row r="63" spans="1:26" ht="13.5" hidden="1" customHeight="1">
      <c r="A63" s="2"/>
      <c r="B63" s="2"/>
      <c r="C63" s="3"/>
      <c r="D63" s="3"/>
      <c r="E63" s="12"/>
      <c r="F63" s="24">
        <v>39845</v>
      </c>
      <c r="G63" s="34">
        <v>113.5</v>
      </c>
      <c r="H63" s="34">
        <v>118.2</v>
      </c>
      <c r="I63" s="34">
        <v>100.3</v>
      </c>
      <c r="J63" s="34">
        <v>4.4400000000000004</v>
      </c>
      <c r="K63" s="34">
        <v>123.2</v>
      </c>
      <c r="L63" s="34">
        <v>100.44236907631156</v>
      </c>
      <c r="M63" s="77">
        <f t="shared" si="0"/>
        <v>-1.9560460309325678E-2</v>
      </c>
      <c r="N63" s="12"/>
      <c r="O63" s="24">
        <v>39845</v>
      </c>
      <c r="P63" s="78">
        <v>0.62431006852098359</v>
      </c>
      <c r="Q63" s="78">
        <v>8.1509556796623014E-2</v>
      </c>
      <c r="R63" s="78">
        <v>9.255657276213218E-2</v>
      </c>
      <c r="S63" s="78">
        <v>5.5603085746954078E-2</v>
      </c>
      <c r="T63" s="78">
        <v>0.14602071617330728</v>
      </c>
      <c r="U63" s="78">
        <v>1</v>
      </c>
      <c r="V63" s="12"/>
      <c r="W63" s="12"/>
      <c r="X63" s="3"/>
      <c r="Y63" s="3"/>
      <c r="Z63" s="3"/>
    </row>
    <row r="64" spans="1:26" ht="13.5" hidden="1" customHeight="1">
      <c r="A64" s="2"/>
      <c r="B64" s="2"/>
      <c r="C64" s="3"/>
      <c r="D64" s="3"/>
      <c r="E64" s="12"/>
      <c r="F64" s="24">
        <v>39873</v>
      </c>
      <c r="G64" s="34">
        <v>113.5</v>
      </c>
      <c r="H64" s="34">
        <v>117.8</v>
      </c>
      <c r="I64" s="34">
        <v>98.7</v>
      </c>
      <c r="J64" s="34">
        <v>4.42</v>
      </c>
      <c r="K64" s="34">
        <v>121.5</v>
      </c>
      <c r="L64" s="34">
        <v>100.03882454261431</v>
      </c>
      <c r="M64" s="77">
        <f t="shared" si="0"/>
        <v>-4.0176723967020322E-3</v>
      </c>
      <c r="N64" s="12"/>
      <c r="O64" s="24">
        <v>39873</v>
      </c>
      <c r="P64" s="78">
        <v>0.62682845992187897</v>
      </c>
      <c r="Q64" s="78">
        <v>8.1561407749565037E-2</v>
      </c>
      <c r="R64" s="78">
        <v>9.1447503134238772E-2</v>
      </c>
      <c r="S64" s="78">
        <v>5.5575907184961262E-2</v>
      </c>
      <c r="T64" s="78">
        <v>0.14458672200935599</v>
      </c>
      <c r="U64" s="78">
        <v>1</v>
      </c>
      <c r="V64" s="12"/>
      <c r="W64" s="12"/>
      <c r="X64" s="3"/>
      <c r="Y64" s="3"/>
      <c r="Z64" s="3"/>
    </row>
    <row r="65" spans="1:26" ht="13.5" hidden="1" customHeight="1">
      <c r="A65" s="2"/>
      <c r="B65" s="2"/>
      <c r="C65" s="3"/>
      <c r="D65" s="3"/>
      <c r="E65" s="12"/>
      <c r="F65" s="24">
        <v>39904</v>
      </c>
      <c r="G65" s="34">
        <v>114.5</v>
      </c>
      <c r="H65" s="34">
        <v>119.3</v>
      </c>
      <c r="I65" s="34">
        <v>100.5</v>
      </c>
      <c r="J65" s="34">
        <v>4.1500000000000004</v>
      </c>
      <c r="K65" s="34">
        <v>120.9</v>
      </c>
      <c r="L65" s="34">
        <v>100.45099393243727</v>
      </c>
      <c r="M65" s="77">
        <f t="shared" si="0"/>
        <v>4.1200942904660032E-3</v>
      </c>
      <c r="N65" s="12"/>
      <c r="O65" s="24">
        <v>39904</v>
      </c>
      <c r="P65" s="78">
        <v>0.62975652138231075</v>
      </c>
      <c r="Q65" s="78">
        <v>8.2261042322400946E-2</v>
      </c>
      <c r="R65" s="78">
        <v>9.2733169352123668E-2</v>
      </c>
      <c r="S65" s="78">
        <v>5.1966890339328539E-2</v>
      </c>
      <c r="T65" s="78">
        <v>0.14328237660383622</v>
      </c>
      <c r="U65" s="78">
        <v>1</v>
      </c>
      <c r="V65" s="12"/>
      <c r="W65" s="12"/>
      <c r="X65" s="3"/>
      <c r="Y65" s="3"/>
      <c r="Z65" s="3"/>
    </row>
    <row r="66" spans="1:26" ht="13.5" hidden="1" customHeight="1">
      <c r="A66" s="2"/>
      <c r="B66" s="2"/>
      <c r="C66" s="3"/>
      <c r="D66" s="3"/>
      <c r="E66" s="12"/>
      <c r="F66" s="24">
        <v>39934</v>
      </c>
      <c r="G66" s="34">
        <v>114.5</v>
      </c>
      <c r="H66" s="34">
        <v>119.7</v>
      </c>
      <c r="I66" s="34">
        <v>100.9</v>
      </c>
      <c r="J66" s="34">
        <v>3.93</v>
      </c>
      <c r="K66" s="34">
        <v>118.4</v>
      </c>
      <c r="L66" s="34">
        <v>99.941426133001997</v>
      </c>
      <c r="M66" s="77">
        <f t="shared" si="0"/>
        <v>-5.0727999742641305E-3</v>
      </c>
      <c r="N66" s="12"/>
      <c r="O66" s="24">
        <v>39934</v>
      </c>
      <c r="P66" s="78">
        <v>0.63296743858849258</v>
      </c>
      <c r="Q66" s="78">
        <v>8.2957682431663071E-2</v>
      </c>
      <c r="R66" s="78">
        <v>9.357695376196154E-2</v>
      </c>
      <c r="S66" s="78">
        <v>4.9462934617687228E-2</v>
      </c>
      <c r="T66" s="78">
        <v>0.14103499060019578</v>
      </c>
      <c r="U66" s="78">
        <v>1.0000000000000002</v>
      </c>
      <c r="V66" s="12"/>
      <c r="W66" s="12"/>
      <c r="X66" s="3"/>
      <c r="Y66" s="3"/>
      <c r="Z66" s="3"/>
    </row>
    <row r="67" spans="1:26" ht="13.5" hidden="1" customHeight="1">
      <c r="A67" s="2"/>
      <c r="B67" s="2"/>
      <c r="C67" s="3"/>
      <c r="D67" s="3"/>
      <c r="E67" s="12"/>
      <c r="F67" s="24">
        <v>39965</v>
      </c>
      <c r="G67" s="34">
        <v>114.5</v>
      </c>
      <c r="H67" s="34">
        <v>119.6</v>
      </c>
      <c r="I67" s="34">
        <v>99.7</v>
      </c>
      <c r="J67" s="34">
        <v>3.89</v>
      </c>
      <c r="K67" s="34">
        <v>122.3</v>
      </c>
      <c r="L67" s="34">
        <v>100.23724543427278</v>
      </c>
      <c r="M67" s="77">
        <f t="shared" si="0"/>
        <v>2.9599267562692155E-3</v>
      </c>
      <c r="N67" s="12"/>
      <c r="O67" s="24">
        <v>39965</v>
      </c>
      <c r="P67" s="78">
        <v>0.63109943049829431</v>
      </c>
      <c r="Q67" s="78">
        <v>8.2643758296556832E-2</v>
      </c>
      <c r="R67" s="78">
        <v>9.2191167379316916E-2</v>
      </c>
      <c r="S67" s="78">
        <v>4.8815006236526778E-2</v>
      </c>
      <c r="T67" s="78">
        <v>0.14525063758930537</v>
      </c>
      <c r="U67" s="78">
        <v>1.0000000000000002</v>
      </c>
      <c r="V67" s="12"/>
      <c r="W67" s="12"/>
      <c r="X67" s="3"/>
      <c r="Y67" s="3"/>
      <c r="Z67" s="3"/>
    </row>
    <row r="68" spans="1:26" ht="13.5" hidden="1" customHeight="1">
      <c r="A68" s="2"/>
      <c r="B68" s="2"/>
      <c r="C68" s="3"/>
      <c r="D68" s="3"/>
      <c r="E68" s="12"/>
      <c r="F68" s="24">
        <v>39995</v>
      </c>
      <c r="G68" s="34">
        <v>115.6</v>
      </c>
      <c r="H68" s="34">
        <v>119.9</v>
      </c>
      <c r="I68" s="34">
        <v>99.9</v>
      </c>
      <c r="J68" s="34">
        <v>3.81</v>
      </c>
      <c r="K68" s="34">
        <v>123.4</v>
      </c>
      <c r="L68" s="34">
        <v>100.9146205019299</v>
      </c>
      <c r="M68" s="77">
        <f t="shared" si="0"/>
        <v>6.7577182984470685E-3</v>
      </c>
      <c r="N68" s="12"/>
      <c r="O68" s="24">
        <v>39995</v>
      </c>
      <c r="P68" s="78">
        <v>0.63288553231685307</v>
      </c>
      <c r="Q68" s="78">
        <v>8.2294932720904254E-2</v>
      </c>
      <c r="R68" s="78">
        <v>9.1756043034506754E-2</v>
      </c>
      <c r="S68" s="78">
        <v>4.7490173439209721E-2</v>
      </c>
      <c r="T68" s="78">
        <v>0.14557331848852614</v>
      </c>
      <c r="U68" s="78">
        <v>1</v>
      </c>
      <c r="V68" s="12"/>
      <c r="W68" s="12"/>
      <c r="X68" s="3"/>
      <c r="Y68" s="3"/>
      <c r="Z68" s="3"/>
    </row>
    <row r="69" spans="1:26" ht="13.5" hidden="1" customHeight="1">
      <c r="A69" s="2"/>
      <c r="B69" s="2"/>
      <c r="C69" s="3"/>
      <c r="D69" s="3"/>
      <c r="E69" s="12"/>
      <c r="F69" s="24">
        <v>40026</v>
      </c>
      <c r="G69" s="34">
        <v>115.6</v>
      </c>
      <c r="H69" s="34">
        <v>120.2</v>
      </c>
      <c r="I69" s="34">
        <v>98.5</v>
      </c>
      <c r="J69" s="34">
        <v>3.69</v>
      </c>
      <c r="K69" s="34">
        <v>127.5</v>
      </c>
      <c r="L69" s="34">
        <v>101.14278843378494</v>
      </c>
      <c r="M69" s="77">
        <f t="shared" si="0"/>
        <v>2.2609997512765823E-3</v>
      </c>
      <c r="N69" s="12"/>
      <c r="O69" s="24">
        <v>40026</v>
      </c>
      <c r="P69" s="78">
        <v>0.63145780637370053</v>
      </c>
      <c r="Q69" s="78">
        <v>8.231472806379668E-2</v>
      </c>
      <c r="R69" s="78">
        <v>9.0266080974917673E-2</v>
      </c>
      <c r="S69" s="78">
        <v>4.5890661171566552E-2</v>
      </c>
      <c r="T69" s="78">
        <v>0.15007072341601863</v>
      </c>
      <c r="U69" s="78">
        <v>1</v>
      </c>
      <c r="V69" s="12"/>
      <c r="W69" s="12"/>
      <c r="X69" s="3"/>
      <c r="Y69" s="3"/>
      <c r="Z69" s="3"/>
    </row>
    <row r="70" spans="1:26" ht="13.5" hidden="1" customHeight="1">
      <c r="A70" s="2"/>
      <c r="B70" s="2"/>
      <c r="C70" s="3"/>
      <c r="D70" s="3"/>
      <c r="E70" s="12"/>
      <c r="F70" s="24">
        <v>40057</v>
      </c>
      <c r="G70" s="34">
        <v>115.6</v>
      </c>
      <c r="H70" s="34">
        <v>119.6</v>
      </c>
      <c r="I70" s="34">
        <v>98.3</v>
      </c>
      <c r="J70" s="34">
        <v>3.46</v>
      </c>
      <c r="K70" s="34">
        <v>124.8</v>
      </c>
      <c r="L70" s="34">
        <v>100.47195565458401</v>
      </c>
      <c r="M70" s="77">
        <f t="shared" si="0"/>
        <v>-6.6325319836333385E-3</v>
      </c>
      <c r="N70" s="12"/>
      <c r="O70" s="24">
        <v>40057</v>
      </c>
      <c r="P70" s="78">
        <v>0.63567393407259898</v>
      </c>
      <c r="Q70" s="78">
        <v>8.2450696117257569E-2</v>
      </c>
      <c r="R70" s="78">
        <v>9.0684265886129559E-2</v>
      </c>
      <c r="S70" s="78">
        <v>4.3317572844149853E-2</v>
      </c>
      <c r="T70" s="78">
        <v>0.14787353107986412</v>
      </c>
      <c r="U70" s="78">
        <v>1</v>
      </c>
      <c r="V70" s="12"/>
      <c r="W70" s="12"/>
      <c r="X70" s="3"/>
      <c r="Y70" s="3"/>
      <c r="Z70" s="3"/>
    </row>
    <row r="71" spans="1:26" ht="13.5" hidden="1" customHeight="1">
      <c r="A71" s="2"/>
      <c r="B71" s="2"/>
      <c r="C71" s="3"/>
      <c r="D71" s="3"/>
      <c r="E71" s="12"/>
      <c r="F71" s="24">
        <v>40087</v>
      </c>
      <c r="G71" s="34">
        <v>115.8</v>
      </c>
      <c r="H71" s="34">
        <v>119.9</v>
      </c>
      <c r="I71" s="34">
        <v>97.5</v>
      </c>
      <c r="J71" s="34">
        <v>3.36</v>
      </c>
      <c r="K71" s="34">
        <v>131.69999999999999</v>
      </c>
      <c r="L71" s="34">
        <v>101.22472416038572</v>
      </c>
      <c r="M71" s="77">
        <f t="shared" si="0"/>
        <v>7.4923246083682393E-3</v>
      </c>
      <c r="N71" s="12"/>
      <c r="O71" s="24">
        <v>40087</v>
      </c>
      <c r="P71" s="78">
        <v>0.63203828000673312</v>
      </c>
      <c r="Q71" s="78">
        <v>8.2042820799426527E-2</v>
      </c>
      <c r="R71" s="78">
        <v>8.9277350520686638E-2</v>
      </c>
      <c r="S71" s="78">
        <v>4.1752794382952048E-2</v>
      </c>
      <c r="T71" s="78">
        <v>0.15488875429020169</v>
      </c>
      <c r="U71" s="78">
        <v>1</v>
      </c>
      <c r="V71" s="12"/>
      <c r="W71" s="12"/>
      <c r="X71" s="3"/>
      <c r="Y71" s="3"/>
      <c r="Z71" s="3"/>
    </row>
    <row r="72" spans="1:26" ht="13.5" hidden="1" customHeight="1">
      <c r="A72" s="2"/>
      <c r="B72" s="2"/>
      <c r="C72" s="3"/>
      <c r="D72" s="3"/>
      <c r="E72" s="12"/>
      <c r="F72" s="24">
        <v>40118</v>
      </c>
      <c r="G72" s="34">
        <v>115.8</v>
      </c>
      <c r="H72" s="34">
        <v>120.1</v>
      </c>
      <c r="I72" s="34">
        <v>97.4</v>
      </c>
      <c r="J72" s="34">
        <v>3.23</v>
      </c>
      <c r="K72" s="34">
        <v>128.1</v>
      </c>
      <c r="L72" s="34">
        <v>100.63721473803184</v>
      </c>
      <c r="M72" s="77">
        <f t="shared" si="0"/>
        <v>-5.8040110973579528E-3</v>
      </c>
      <c r="N72" s="12"/>
      <c r="O72" s="24">
        <v>40118</v>
      </c>
      <c r="P72" s="78">
        <v>0.63572805267938592</v>
      </c>
      <c r="Q72" s="78">
        <v>8.2659429121412553E-2</v>
      </c>
      <c r="R72" s="78">
        <v>8.9706441187488759E-2</v>
      </c>
      <c r="S72" s="78">
        <v>4.0371676544676847E-2</v>
      </c>
      <c r="T72" s="78">
        <v>0.15153440046703587</v>
      </c>
      <c r="U72" s="78">
        <v>1</v>
      </c>
      <c r="V72" s="12"/>
      <c r="W72" s="12"/>
    </row>
    <row r="73" spans="1:26" ht="13.5" hidden="1" customHeight="1">
      <c r="A73" s="2"/>
      <c r="B73" s="2"/>
      <c r="C73" s="3"/>
      <c r="D73" s="3"/>
      <c r="E73" s="12"/>
      <c r="F73" s="24">
        <v>40148</v>
      </c>
      <c r="G73" s="34">
        <v>115.8</v>
      </c>
      <c r="H73" s="34">
        <v>120.1</v>
      </c>
      <c r="I73" s="34">
        <v>97</v>
      </c>
      <c r="J73" s="34">
        <v>3.69</v>
      </c>
      <c r="K73" s="34">
        <v>128.1</v>
      </c>
      <c r="L73" s="34">
        <v>101.17875591000653</v>
      </c>
      <c r="M73" s="77">
        <f t="shared" si="0"/>
        <v>5.3811224146491643E-3</v>
      </c>
      <c r="N73" s="12"/>
      <c r="O73" s="24">
        <v>40148</v>
      </c>
      <c r="P73" s="78">
        <v>0.632325432123235</v>
      </c>
      <c r="Q73" s="78">
        <v>8.2217009329643403E-2</v>
      </c>
      <c r="R73" s="78">
        <v>8.8859871067600085E-2</v>
      </c>
      <c r="S73" s="78">
        <v>4.5874347754291986E-2</v>
      </c>
      <c r="T73" s="78">
        <v>0.15072333972522964</v>
      </c>
      <c r="U73" s="78">
        <v>1</v>
      </c>
      <c r="V73" s="12"/>
      <c r="W73" s="12"/>
    </row>
    <row r="74" spans="1:26" ht="13.5" hidden="1" customHeight="1">
      <c r="A74" s="2"/>
      <c r="B74" s="2"/>
      <c r="C74" s="3"/>
      <c r="D74" s="3"/>
      <c r="E74" s="12"/>
      <c r="F74" s="24">
        <v>40179</v>
      </c>
      <c r="G74" s="34">
        <v>116.7</v>
      </c>
      <c r="H74" s="34">
        <v>120.1</v>
      </c>
      <c r="I74" s="34">
        <v>96.9</v>
      </c>
      <c r="J74" s="34">
        <v>3.39</v>
      </c>
      <c r="K74" s="34">
        <v>131.69999999999999</v>
      </c>
      <c r="L74" s="34">
        <v>101.71793762201605</v>
      </c>
      <c r="M74" s="77">
        <f t="shared" si="0"/>
        <v>5.3290012034650225E-3</v>
      </c>
      <c r="N74" s="12"/>
      <c r="O74" s="24">
        <v>40179</v>
      </c>
      <c r="P74" s="78">
        <v>0.63386202698226768</v>
      </c>
      <c r="Q74" s="78">
        <v>8.1781197231177646E-2</v>
      </c>
      <c r="R74" s="78">
        <v>8.8297724274177092E-2</v>
      </c>
      <c r="S74" s="78">
        <v>4.1921327182643207E-2</v>
      </c>
      <c r="T74" s="78">
        <v>0.15413772432973438</v>
      </c>
      <c r="U74" s="78">
        <v>0.99999999999999989</v>
      </c>
      <c r="V74" s="12"/>
      <c r="W74" s="12"/>
    </row>
    <row r="75" spans="1:26" ht="13.5" hidden="1" customHeight="1">
      <c r="A75" s="2"/>
      <c r="B75" s="2"/>
      <c r="C75" s="3"/>
      <c r="D75" s="3"/>
      <c r="E75" s="12"/>
      <c r="F75" s="24">
        <v>40210</v>
      </c>
      <c r="G75" s="34">
        <v>116.7</v>
      </c>
      <c r="H75" s="34">
        <v>119.9</v>
      </c>
      <c r="I75" s="34">
        <v>96.8</v>
      </c>
      <c r="J75" s="34">
        <v>3.32</v>
      </c>
      <c r="K75" s="34">
        <v>129.5</v>
      </c>
      <c r="L75" s="34">
        <v>101.34486093673642</v>
      </c>
      <c r="M75" s="77">
        <f t="shared" si="0"/>
        <v>-3.6677570741355803E-3</v>
      </c>
      <c r="N75" s="12"/>
      <c r="O75" s="24">
        <v>40210</v>
      </c>
      <c r="P75" s="78">
        <v>0.63619543729795003</v>
      </c>
      <c r="Q75" s="78">
        <v>8.1945565152495264E-2</v>
      </c>
      <c r="R75" s="78">
        <v>8.8531313101617284E-2</v>
      </c>
      <c r="S75" s="78">
        <v>4.1206831706421795E-2</v>
      </c>
      <c r="T75" s="78">
        <v>0.15212085274151571</v>
      </c>
      <c r="U75" s="78">
        <v>1.0000000000000002</v>
      </c>
      <c r="V75" s="12"/>
      <c r="W75" s="12"/>
    </row>
    <row r="76" spans="1:26" ht="13.5" hidden="1" customHeight="1">
      <c r="A76" s="2"/>
      <c r="B76" s="2"/>
      <c r="C76" s="3"/>
      <c r="D76" s="3"/>
      <c r="E76" s="12"/>
      <c r="F76" s="24">
        <v>40238</v>
      </c>
      <c r="G76" s="34">
        <v>116.7</v>
      </c>
      <c r="H76" s="34">
        <v>120.2</v>
      </c>
      <c r="I76" s="34">
        <v>97.8</v>
      </c>
      <c r="J76" s="34">
        <v>3.13</v>
      </c>
      <c r="K76" s="34">
        <v>136.4</v>
      </c>
      <c r="L76" s="34">
        <v>102.04076296881883</v>
      </c>
      <c r="M76" s="77">
        <f t="shared" si="0"/>
        <v>6.8666731164277461E-3</v>
      </c>
      <c r="N76" s="12"/>
      <c r="O76" s="24">
        <v>40238</v>
      </c>
      <c r="P76" s="78">
        <v>0.63185668399254324</v>
      </c>
      <c r="Q76" s="78">
        <v>8.1590345694349711E-2</v>
      </c>
      <c r="R76" s="78">
        <v>8.8835885793665678E-2</v>
      </c>
      <c r="S76" s="78">
        <v>3.858366797435725E-2</v>
      </c>
      <c r="T76" s="78">
        <v>0.15913341654508412</v>
      </c>
      <c r="U76" s="78">
        <v>1</v>
      </c>
      <c r="V76" s="12"/>
      <c r="W76" s="12"/>
    </row>
    <row r="77" spans="1:26" ht="13.5" hidden="1" customHeight="1">
      <c r="A77" s="2"/>
      <c r="B77" s="2"/>
      <c r="C77" s="3"/>
      <c r="D77" s="3"/>
      <c r="E77" s="12"/>
      <c r="F77" s="24">
        <v>40269</v>
      </c>
      <c r="G77" s="34">
        <v>117.1</v>
      </c>
      <c r="H77" s="34">
        <v>121.6</v>
      </c>
      <c r="I77" s="34">
        <v>98.1</v>
      </c>
      <c r="J77" s="34">
        <v>3</v>
      </c>
      <c r="K77" s="34">
        <v>134.30000000000001</v>
      </c>
      <c r="L77" s="34">
        <v>101.97301151351795</v>
      </c>
      <c r="M77" s="77">
        <f t="shared" si="0"/>
        <v>-6.6396460913942246E-4</v>
      </c>
      <c r="N77" s="12"/>
      <c r="O77" s="24">
        <v>40269</v>
      </c>
      <c r="P77" s="78">
        <v>0.63444367913081301</v>
      </c>
      <c r="Q77" s="78">
        <v>8.2595489703609484E-2</v>
      </c>
      <c r="R77" s="78">
        <v>8.9167592636617055E-2</v>
      </c>
      <c r="S77" s="78">
        <v>3.7005721902801082E-2</v>
      </c>
      <c r="T77" s="78">
        <v>0.15678751662615939</v>
      </c>
      <c r="U77" s="78">
        <v>1</v>
      </c>
      <c r="V77" s="12"/>
      <c r="W77" s="12"/>
    </row>
    <row r="78" spans="1:26" ht="13.5" hidden="1" customHeight="1">
      <c r="A78" s="2"/>
      <c r="B78" s="2"/>
      <c r="C78" s="3"/>
      <c r="D78" s="3"/>
      <c r="E78" s="12"/>
      <c r="F78" s="24">
        <v>40299</v>
      </c>
      <c r="G78" s="34">
        <v>117.1</v>
      </c>
      <c r="H78" s="34">
        <v>122.3</v>
      </c>
      <c r="I78" s="34">
        <v>98.4</v>
      </c>
      <c r="J78" s="34">
        <v>2.9</v>
      </c>
      <c r="K78" s="34">
        <v>139.9</v>
      </c>
      <c r="L78" s="34">
        <v>102.59018325031738</v>
      </c>
      <c r="M78" s="77">
        <f t="shared" si="0"/>
        <v>6.05230469944118E-3</v>
      </c>
      <c r="N78" s="12"/>
      <c r="O78" s="24">
        <v>40299</v>
      </c>
      <c r="P78" s="78">
        <v>0.6306269327819426</v>
      </c>
      <c r="Q78" s="78">
        <v>8.2571211032216027E-2</v>
      </c>
      <c r="R78" s="78">
        <v>8.8902213123867688E-2</v>
      </c>
      <c r="S78" s="78">
        <v>3.5556996064992213E-2</v>
      </c>
      <c r="T78" s="78">
        <v>0.16234264699698139</v>
      </c>
      <c r="U78" s="78">
        <v>0.99999999999999989</v>
      </c>
      <c r="V78" s="12"/>
      <c r="W78" s="12"/>
    </row>
    <row r="79" spans="1:26" ht="13.5" hidden="1" customHeight="1">
      <c r="A79" s="2"/>
      <c r="B79" s="2"/>
      <c r="C79" s="3"/>
      <c r="D79" s="3"/>
      <c r="E79" s="12"/>
      <c r="F79" s="24">
        <v>40330</v>
      </c>
      <c r="G79" s="34">
        <v>117.1</v>
      </c>
      <c r="H79" s="34">
        <v>122.5</v>
      </c>
      <c r="I79" s="34">
        <v>98.9</v>
      </c>
      <c r="J79" s="34">
        <v>2.75</v>
      </c>
      <c r="K79" s="34">
        <v>144.6</v>
      </c>
      <c r="L79" s="34">
        <v>103.02122460369419</v>
      </c>
      <c r="M79" s="77">
        <f t="shared" si="0"/>
        <v>4.2015847883327684E-3</v>
      </c>
      <c r="N79" s="12"/>
      <c r="O79" s="24">
        <v>40330</v>
      </c>
      <c r="P79" s="78">
        <v>0.62798838633068588</v>
      </c>
      <c r="Q79" s="78">
        <v>8.2360198274562452E-2</v>
      </c>
      <c r="R79" s="78">
        <v>8.8980094599757462E-2</v>
      </c>
      <c r="S79" s="78">
        <v>3.3576765469077015E-2</v>
      </c>
      <c r="T79" s="78">
        <v>0.16709455532591713</v>
      </c>
      <c r="U79" s="78">
        <v>0.99999999999999989</v>
      </c>
      <c r="V79" s="12"/>
      <c r="W79" s="12"/>
    </row>
    <row r="80" spans="1:26" ht="13.5" hidden="1" customHeight="1">
      <c r="A80" s="2"/>
      <c r="B80" s="2"/>
      <c r="C80" s="3"/>
      <c r="D80" s="3"/>
      <c r="E80" s="12"/>
      <c r="F80" s="24">
        <v>40360</v>
      </c>
      <c r="G80" s="34">
        <v>118.4</v>
      </c>
      <c r="H80" s="34">
        <v>122.5</v>
      </c>
      <c r="I80" s="34">
        <v>98.7</v>
      </c>
      <c r="J80" s="34">
        <v>2.42</v>
      </c>
      <c r="K80" s="34">
        <v>146.6</v>
      </c>
      <c r="L80" s="34">
        <v>103.54391995625241</v>
      </c>
      <c r="M80" s="77">
        <f t="shared" si="0"/>
        <v>5.0736666601367553E-3</v>
      </c>
      <c r="N80" s="12"/>
      <c r="O80" s="24">
        <v>40360</v>
      </c>
      <c r="P80" s="78">
        <v>0.63175476327844005</v>
      </c>
      <c r="Q80" s="78">
        <v>8.1944439503868094E-2</v>
      </c>
      <c r="R80" s="78">
        <v>8.8351887052097955E-2</v>
      </c>
      <c r="S80" s="78">
        <v>2.9398395951387719E-2</v>
      </c>
      <c r="T80" s="78">
        <v>0.16855051421420622</v>
      </c>
      <c r="U80" s="78">
        <v>1</v>
      </c>
      <c r="V80" s="12"/>
      <c r="W80" s="12"/>
    </row>
    <row r="81" spans="1:23" ht="13.5" hidden="1" customHeight="1">
      <c r="A81" s="2"/>
      <c r="B81" s="2"/>
      <c r="C81" s="3"/>
      <c r="D81" s="3"/>
      <c r="E81" s="12"/>
      <c r="F81" s="24">
        <v>40391</v>
      </c>
      <c r="G81" s="34">
        <v>118.4</v>
      </c>
      <c r="H81" s="34">
        <v>122.3</v>
      </c>
      <c r="I81" s="34">
        <v>100.4</v>
      </c>
      <c r="J81" s="34">
        <v>2.4900000000000002</v>
      </c>
      <c r="K81" s="34">
        <v>145.80000000000001</v>
      </c>
      <c r="L81" s="34">
        <v>103.68044887758984</v>
      </c>
      <c r="M81" s="77">
        <f t="shared" si="0"/>
        <v>1.3185604852039567E-3</v>
      </c>
      <c r="N81" s="12"/>
      <c r="O81" s="24">
        <v>40391</v>
      </c>
      <c r="P81" s="78">
        <v>0.63092285333482057</v>
      </c>
      <c r="Q81" s="78">
        <v>8.1702922418834617E-2</v>
      </c>
      <c r="R81" s="78">
        <v>8.9755304279750675E-2</v>
      </c>
      <c r="S81" s="78">
        <v>3.0208930474404039E-2</v>
      </c>
      <c r="T81" s="78">
        <v>0.16740998949219002</v>
      </c>
      <c r="U81" s="78">
        <v>0.99999999999999989</v>
      </c>
      <c r="V81" s="12"/>
      <c r="W81" s="12"/>
    </row>
    <row r="82" spans="1:23" ht="13.5" hidden="1" customHeight="1">
      <c r="A82" s="2"/>
      <c r="B82" s="2"/>
      <c r="C82" s="3"/>
      <c r="D82" s="3"/>
      <c r="E82" s="12"/>
      <c r="F82" s="24">
        <v>40422</v>
      </c>
      <c r="G82" s="34">
        <v>118.4</v>
      </c>
      <c r="H82" s="34">
        <v>122.3</v>
      </c>
      <c r="I82" s="34">
        <v>100.4</v>
      </c>
      <c r="J82" s="34">
        <v>2.52</v>
      </c>
      <c r="K82" s="34">
        <v>143.5</v>
      </c>
      <c r="L82" s="34">
        <v>103.44437520283691</v>
      </c>
      <c r="M82" s="77">
        <f t="shared" si="0"/>
        <v>-2.2769353075587917E-3</v>
      </c>
      <c r="N82" s="12"/>
      <c r="O82" s="24">
        <v>40422</v>
      </c>
      <c r="P82" s="78">
        <v>0.63236270229886826</v>
      </c>
      <c r="Q82" s="78">
        <v>8.188937923773508E-2</v>
      </c>
      <c r="R82" s="78">
        <v>8.9960137693537945E-2</v>
      </c>
      <c r="S82" s="78">
        <v>3.0642664857700137E-2</v>
      </c>
      <c r="T82" s="78">
        <v>0.16514511591215869</v>
      </c>
      <c r="U82" s="78">
        <v>1.0000000000000002</v>
      </c>
      <c r="V82" s="12"/>
      <c r="W82" s="12"/>
    </row>
    <row r="83" spans="1:23" ht="13.5" hidden="1" customHeight="1">
      <c r="A83" s="2"/>
      <c r="B83" s="2"/>
      <c r="C83" s="3"/>
      <c r="D83" s="3"/>
      <c r="E83" s="12"/>
      <c r="F83" s="24">
        <v>40452</v>
      </c>
      <c r="G83" s="34">
        <v>118.5</v>
      </c>
      <c r="H83" s="34">
        <v>122.7</v>
      </c>
      <c r="I83" s="34">
        <v>99.5</v>
      </c>
      <c r="J83" s="34">
        <v>2.31</v>
      </c>
      <c r="K83" s="34">
        <v>143.5</v>
      </c>
      <c r="L83" s="34">
        <v>103.17975935042105</v>
      </c>
      <c r="M83" s="77">
        <f t="shared" si="0"/>
        <v>-2.5580496947947839E-3</v>
      </c>
      <c r="N83" s="12"/>
      <c r="O83" s="24">
        <v>40452</v>
      </c>
      <c r="P83" s="78">
        <v>0.63451992592189888</v>
      </c>
      <c r="Q83" s="78">
        <v>8.2367911615667269E-2</v>
      </c>
      <c r="R83" s="78">
        <v>8.9382366652338882E-2</v>
      </c>
      <c r="S83" s="78">
        <v>2.8161147066550454E-2</v>
      </c>
      <c r="T83" s="78">
        <v>0.16556864874354468</v>
      </c>
      <c r="U83" s="78">
        <v>1.0000000000000002</v>
      </c>
      <c r="V83" s="12"/>
      <c r="W83" s="12"/>
    </row>
    <row r="84" spans="1:23" ht="13.5" hidden="1" customHeight="1">
      <c r="A84" s="2"/>
      <c r="B84" s="2"/>
      <c r="C84" s="3"/>
      <c r="D84" s="3"/>
      <c r="E84" s="12"/>
      <c r="F84" s="24">
        <v>40483</v>
      </c>
      <c r="G84" s="34">
        <v>118.5</v>
      </c>
      <c r="H84" s="34">
        <v>123.2</v>
      </c>
      <c r="I84" s="34">
        <v>99.4</v>
      </c>
      <c r="J84" s="34">
        <v>2.42</v>
      </c>
      <c r="K84" s="34">
        <v>147.4</v>
      </c>
      <c r="L84" s="34">
        <v>103.80777308415638</v>
      </c>
      <c r="M84" s="77">
        <f t="shared" si="0"/>
        <v>6.0865981631383903E-3</v>
      </c>
      <c r="N84" s="12"/>
      <c r="O84" s="24">
        <v>40483</v>
      </c>
      <c r="P84" s="78">
        <v>0.63068122274998295</v>
      </c>
      <c r="Q84" s="78">
        <v>8.2203221202090601E-2</v>
      </c>
      <c r="R84" s="78">
        <v>8.8752335326890294E-2</v>
      </c>
      <c r="S84" s="78">
        <v>2.9323672657585387E-2</v>
      </c>
      <c r="T84" s="78">
        <v>0.16903954806345084</v>
      </c>
      <c r="U84" s="78">
        <v>1</v>
      </c>
      <c r="V84" s="12"/>
      <c r="W84" s="12"/>
    </row>
    <row r="85" spans="1:23" ht="13.5" hidden="1" customHeight="1">
      <c r="A85" s="2"/>
      <c r="B85" s="2"/>
      <c r="C85" s="3"/>
      <c r="D85" s="3"/>
      <c r="E85" s="12"/>
      <c r="F85" s="24">
        <v>40513</v>
      </c>
      <c r="G85" s="34">
        <v>118.5</v>
      </c>
      <c r="H85" s="34">
        <v>123.1</v>
      </c>
      <c r="I85" s="34">
        <v>98.7</v>
      </c>
      <c r="J85" s="34">
        <v>2.85</v>
      </c>
      <c r="K85" s="34">
        <v>143.6</v>
      </c>
      <c r="L85" s="34">
        <v>103.82446466259717</v>
      </c>
      <c r="M85" s="77">
        <f t="shared" si="0"/>
        <v>1.6079314626327168E-4</v>
      </c>
      <c r="N85" s="12"/>
      <c r="O85" s="24">
        <v>40513</v>
      </c>
      <c r="P85" s="78">
        <v>0.63057982983517358</v>
      </c>
      <c r="Q85" s="78">
        <v>8.2123292945603513E-2</v>
      </c>
      <c r="R85" s="78">
        <v>8.8113150890167469E-2</v>
      </c>
      <c r="S85" s="78">
        <v>3.452852535312733E-2</v>
      </c>
      <c r="T85" s="78">
        <v>0.16465520097592823</v>
      </c>
      <c r="U85" s="78">
        <v>1</v>
      </c>
      <c r="V85" s="12"/>
      <c r="W85" s="12"/>
    </row>
    <row r="86" spans="1:23" ht="13.5" hidden="1" customHeight="1">
      <c r="A86" s="2"/>
      <c r="B86" s="2"/>
      <c r="C86" s="3"/>
      <c r="D86" s="3"/>
      <c r="E86" s="12"/>
      <c r="F86" s="24">
        <v>40544</v>
      </c>
      <c r="G86" s="34">
        <v>119.4</v>
      </c>
      <c r="H86" s="34">
        <v>123.2</v>
      </c>
      <c r="I86" s="34">
        <v>97.8</v>
      </c>
      <c r="J86" s="34">
        <v>2.77</v>
      </c>
      <c r="K86" s="34">
        <v>147.30000000000001</v>
      </c>
      <c r="L86" s="34">
        <v>104.58505674273316</v>
      </c>
      <c r="M86" s="77">
        <f t="shared" ref="M86:M149" si="1">IF(L86="","",L86/L85-1)</f>
        <v>7.3257500783434626E-3</v>
      </c>
      <c r="N86" s="12"/>
      <c r="O86" s="24">
        <v>40544</v>
      </c>
      <c r="P86" s="78">
        <v>0.63074833903852934</v>
      </c>
      <c r="Q86" s="78">
        <v>8.1592280953906471E-2</v>
      </c>
      <c r="R86" s="78">
        <v>8.6674730097388894E-2</v>
      </c>
      <c r="S86" s="78">
        <v>3.3315244434304385E-2</v>
      </c>
      <c r="T86" s="78">
        <v>0.16766940547587086</v>
      </c>
      <c r="U86" s="78">
        <v>0.99999999999999989</v>
      </c>
      <c r="V86" s="12"/>
      <c r="W86" s="12"/>
    </row>
    <row r="87" spans="1:23" ht="13.5" hidden="1" customHeight="1">
      <c r="A87" s="2"/>
      <c r="B87" s="2"/>
      <c r="C87" s="3"/>
      <c r="D87" s="3"/>
      <c r="E87" s="12"/>
      <c r="F87" s="24">
        <v>40575</v>
      </c>
      <c r="G87" s="34">
        <v>119.4</v>
      </c>
      <c r="H87" s="34">
        <v>123.3</v>
      </c>
      <c r="I87" s="34">
        <v>98.2</v>
      </c>
      <c r="J87" s="34">
        <v>2.68</v>
      </c>
      <c r="K87" s="34">
        <v>151.19999999999999</v>
      </c>
      <c r="L87" s="34">
        <v>104.98013649700204</v>
      </c>
      <c r="M87" s="77">
        <f t="shared" si="1"/>
        <v>3.7775927706453771E-3</v>
      </c>
      <c r="N87" s="12"/>
      <c r="O87" s="24">
        <v>40575</v>
      </c>
      <c r="P87" s="78">
        <v>0.62837459570852361</v>
      </c>
      <c r="Q87" s="78">
        <v>8.1351196761909605E-2</v>
      </c>
      <c r="R87" s="78">
        <v>8.6701704239858748E-2</v>
      </c>
      <c r="S87" s="78">
        <v>3.2111495515975134E-2</v>
      </c>
      <c r="T87" s="78">
        <v>0.17146100777373285</v>
      </c>
      <c r="U87" s="78">
        <v>1</v>
      </c>
      <c r="V87" s="12"/>
      <c r="W87" s="12"/>
    </row>
    <row r="88" spans="1:23" ht="13.5" hidden="1" customHeight="1">
      <c r="A88" s="2"/>
      <c r="B88" s="2"/>
      <c r="C88" s="3"/>
      <c r="D88" s="3"/>
      <c r="E88" s="12"/>
      <c r="F88" s="24">
        <v>40603</v>
      </c>
      <c r="G88" s="34">
        <v>119.4</v>
      </c>
      <c r="H88" s="34">
        <v>123.4</v>
      </c>
      <c r="I88" s="34">
        <v>99</v>
      </c>
      <c r="J88" s="34">
        <v>2.91</v>
      </c>
      <c r="K88" s="34">
        <v>156.6</v>
      </c>
      <c r="L88" s="34">
        <v>105.99337858333935</v>
      </c>
      <c r="M88" s="77">
        <f t="shared" si="1"/>
        <v>9.6517505134530168E-3</v>
      </c>
      <c r="N88" s="12"/>
      <c r="O88" s="24">
        <v>40603</v>
      </c>
      <c r="P88" s="78">
        <v>0.62236765834255925</v>
      </c>
      <c r="Q88" s="78">
        <v>8.0638868780522524E-2</v>
      </c>
      <c r="R88" s="78">
        <v>8.6572456022442207E-2</v>
      </c>
      <c r="S88" s="78">
        <v>3.4534019081319534E-2</v>
      </c>
      <c r="T88" s="78">
        <v>0.1758869977731565</v>
      </c>
      <c r="U88" s="78">
        <v>1</v>
      </c>
      <c r="V88" s="12"/>
      <c r="W88" s="12"/>
    </row>
    <row r="89" spans="1:23" ht="13.5" hidden="1" customHeight="1">
      <c r="A89" s="2"/>
      <c r="B89" s="2"/>
      <c r="C89" s="3"/>
      <c r="D89" s="3"/>
      <c r="E89" s="12"/>
      <c r="F89" s="24">
        <v>40634</v>
      </c>
      <c r="G89" s="34">
        <v>119.8</v>
      </c>
      <c r="H89" s="34">
        <v>124.9</v>
      </c>
      <c r="I89" s="34">
        <v>98.5</v>
      </c>
      <c r="J89" s="34">
        <v>2.96</v>
      </c>
      <c r="K89" s="34">
        <v>160</v>
      </c>
      <c r="L89" s="34">
        <v>106.73958017361328</v>
      </c>
      <c r="M89" s="77">
        <f t="shared" si="1"/>
        <v>7.04007741094137E-3</v>
      </c>
      <c r="N89" s="12"/>
      <c r="O89" s="24">
        <v>40634</v>
      </c>
      <c r="P89" s="78">
        <v>0.62008718037125532</v>
      </c>
      <c r="Q89" s="78">
        <v>8.1048494260621565E-2</v>
      </c>
      <c r="R89" s="78">
        <v>8.5533062018262801E-2</v>
      </c>
      <c r="S89" s="78">
        <v>3.4881816418948122E-2</v>
      </c>
      <c r="T89" s="78">
        <v>0.17844944693091216</v>
      </c>
      <c r="U89" s="78">
        <v>1</v>
      </c>
      <c r="V89" s="12"/>
      <c r="W89" s="12"/>
    </row>
    <row r="90" spans="1:23" ht="13.5" hidden="1" customHeight="1">
      <c r="A90" s="2"/>
      <c r="B90" s="2"/>
      <c r="C90" s="3"/>
      <c r="D90" s="3"/>
      <c r="E90" s="12"/>
      <c r="F90" s="24">
        <v>40664</v>
      </c>
      <c r="G90" s="34">
        <f>G89</f>
        <v>119.8</v>
      </c>
      <c r="H90" s="34">
        <v>125.6</v>
      </c>
      <c r="I90" s="34">
        <v>98.5</v>
      </c>
      <c r="J90" s="34">
        <v>3.07</v>
      </c>
      <c r="K90" s="34">
        <v>163.69999999999999</v>
      </c>
      <c r="L90" s="34">
        <v>107.36690599244852</v>
      </c>
      <c r="M90" s="77">
        <f t="shared" si="1"/>
        <v>5.8771621343731706E-3</v>
      </c>
      <c r="N90" s="12"/>
      <c r="O90" s="24">
        <v>40664</v>
      </c>
      <c r="P90" s="78">
        <v>0.61646412078338753</v>
      </c>
      <c r="Q90" s="78">
        <v>8.1026523202400655E-2</v>
      </c>
      <c r="R90" s="78">
        <v>8.503330748336109E-2</v>
      </c>
      <c r="S90" s="78">
        <v>3.5966717904652931E-2</v>
      </c>
      <c r="T90" s="78">
        <v>0.18150933062619781</v>
      </c>
      <c r="U90" s="78">
        <v>1</v>
      </c>
      <c r="V90" s="12"/>
      <c r="W90" s="12"/>
    </row>
    <row r="91" spans="1:23" ht="13.5" hidden="1" customHeight="1">
      <c r="A91" s="2"/>
      <c r="B91" s="2"/>
      <c r="C91" s="3"/>
      <c r="D91" s="3"/>
      <c r="E91" s="12"/>
      <c r="F91" s="24">
        <v>40695</v>
      </c>
      <c r="G91" s="34">
        <f t="shared" ref="G91:G97" si="2">G89</f>
        <v>119.8</v>
      </c>
      <c r="H91" s="34">
        <v>126.1</v>
      </c>
      <c r="I91" s="34">
        <v>97.8</v>
      </c>
      <c r="J91" s="34">
        <v>3</v>
      </c>
      <c r="K91" s="34">
        <v>169.4</v>
      </c>
      <c r="L91" s="34">
        <v>107.92717757579008</v>
      </c>
      <c r="M91" s="77">
        <f t="shared" si="1"/>
        <v>5.2182893617234161E-3</v>
      </c>
      <c r="N91" s="12"/>
      <c r="O91" s="24">
        <v>40695</v>
      </c>
      <c r="P91" s="78">
        <v>0.61326393213042263</v>
      </c>
      <c r="Q91" s="78">
        <v>8.092678165391369E-2</v>
      </c>
      <c r="R91" s="78">
        <v>8.3990721975758478E-2</v>
      </c>
      <c r="S91" s="78">
        <v>3.4964176683027218E-2</v>
      </c>
      <c r="T91" s="78">
        <v>0.18685438755687797</v>
      </c>
      <c r="U91" s="78">
        <v>1</v>
      </c>
      <c r="V91" s="12"/>
      <c r="W91" s="12"/>
    </row>
    <row r="92" spans="1:23" ht="13.5" hidden="1" customHeight="1">
      <c r="A92" s="2"/>
      <c r="B92" s="2"/>
      <c r="C92" s="3"/>
      <c r="D92" s="3"/>
      <c r="E92" s="12"/>
      <c r="F92" s="24">
        <v>40725</v>
      </c>
      <c r="G92" s="34">
        <v>120.4</v>
      </c>
      <c r="H92" s="34">
        <v>126.3</v>
      </c>
      <c r="I92" s="34">
        <v>97</v>
      </c>
      <c r="J92" s="34">
        <v>2.85</v>
      </c>
      <c r="K92" s="34">
        <v>163.5</v>
      </c>
      <c r="L92" s="34">
        <v>107.30731154423297</v>
      </c>
      <c r="M92" s="77">
        <f t="shared" si="1"/>
        <v>-5.7433729434999137E-3</v>
      </c>
      <c r="N92" s="12"/>
      <c r="O92" s="24">
        <v>40725</v>
      </c>
      <c r="P92" s="78">
        <v>0.61989566283332675</v>
      </c>
      <c r="Q92" s="78">
        <v>8.1523354020904049E-2</v>
      </c>
      <c r="R92" s="78">
        <v>8.3784889170737495E-2</v>
      </c>
      <c r="S92" s="78">
        <v>3.340784154208943E-2</v>
      </c>
      <c r="T92" s="78">
        <v>0.18138825243294232</v>
      </c>
      <c r="U92" s="78">
        <v>1</v>
      </c>
      <c r="V92" s="12"/>
      <c r="W92" s="12"/>
    </row>
    <row r="93" spans="1:23" ht="13.5" hidden="1" customHeight="1">
      <c r="A93" s="2"/>
      <c r="B93" s="2"/>
      <c r="C93" s="3"/>
      <c r="D93" s="3"/>
      <c r="E93" s="12"/>
      <c r="F93" s="24">
        <v>40756</v>
      </c>
      <c r="G93" s="34">
        <f>G92</f>
        <v>120.4</v>
      </c>
      <c r="H93" s="34">
        <v>126</v>
      </c>
      <c r="I93" s="34">
        <v>96.9</v>
      </c>
      <c r="J93" s="34">
        <v>2.89</v>
      </c>
      <c r="K93" s="34">
        <v>167.3</v>
      </c>
      <c r="L93" s="34">
        <v>107.77995894618687</v>
      </c>
      <c r="M93" s="77">
        <f t="shared" si="1"/>
        <v>4.4046150737739875E-3</v>
      </c>
      <c r="N93" s="12"/>
      <c r="O93" s="24">
        <v>40756</v>
      </c>
      <c r="P93" s="78">
        <v>0.61717723468225505</v>
      </c>
      <c r="Q93" s="78">
        <v>8.0973056703706317E-2</v>
      </c>
      <c r="R93" s="78">
        <v>8.3331469947683368E-2</v>
      </c>
      <c r="S93" s="78">
        <v>3.3728163949303253E-2</v>
      </c>
      <c r="T93" s="78">
        <v>0.18479007471705203</v>
      </c>
      <c r="U93" s="78">
        <v>1</v>
      </c>
      <c r="V93" s="12"/>
      <c r="W93" s="12"/>
    </row>
    <row r="94" spans="1:23" ht="13.5" hidden="1" customHeight="1">
      <c r="A94" s="2"/>
      <c r="B94" s="2"/>
      <c r="C94" s="3"/>
      <c r="D94" s="3"/>
      <c r="E94" s="12"/>
      <c r="F94" s="24">
        <v>40787</v>
      </c>
      <c r="G94" s="34">
        <f t="shared" si="2"/>
        <v>120.4</v>
      </c>
      <c r="H94" s="34">
        <v>125.9</v>
      </c>
      <c r="I94" s="34">
        <v>96.6</v>
      </c>
      <c r="J94" s="34">
        <v>2.7</v>
      </c>
      <c r="K94" s="34">
        <v>169.1</v>
      </c>
      <c r="L94" s="34">
        <v>107.72051815768442</v>
      </c>
      <c r="M94" s="77">
        <f t="shared" si="1"/>
        <v>-5.5150130955350374E-4</v>
      </c>
      <c r="N94" s="12"/>
      <c r="O94" s="24">
        <v>40787</v>
      </c>
      <c r="P94" s="78">
        <v>0.61751779655572825</v>
      </c>
      <c r="Q94" s="78">
        <v>8.0953438300224542E-2</v>
      </c>
      <c r="R94" s="78">
        <v>8.3119318193495578E-2</v>
      </c>
      <c r="S94" s="78">
        <v>3.1528129210470802E-2</v>
      </c>
      <c r="T94" s="78">
        <v>0.18688131774008093</v>
      </c>
      <c r="U94" s="78">
        <v>1</v>
      </c>
      <c r="V94" s="12"/>
      <c r="W94" s="12"/>
    </row>
    <row r="95" spans="1:23" ht="13.5" hidden="1" customHeight="1">
      <c r="A95" s="2"/>
      <c r="B95" s="2"/>
      <c r="C95" s="3"/>
      <c r="D95" s="3"/>
      <c r="E95" s="12"/>
      <c r="F95" s="24">
        <v>40817</v>
      </c>
      <c r="G95" s="34">
        <v>120.8</v>
      </c>
      <c r="H95" s="34">
        <v>125.9</v>
      </c>
      <c r="I95" s="34">
        <v>97.2</v>
      </c>
      <c r="J95" s="34">
        <v>2.39</v>
      </c>
      <c r="K95" s="34">
        <v>165.3</v>
      </c>
      <c r="L95" s="34">
        <v>107.1548073438632</v>
      </c>
      <c r="M95" s="77">
        <f t="shared" si="1"/>
        <v>-5.2516532922086689E-3</v>
      </c>
      <c r="N95" s="12"/>
      <c r="O95" s="24">
        <v>40817</v>
      </c>
      <c r="P95" s="78">
        <v>0.62284029196693758</v>
      </c>
      <c r="Q95" s="78">
        <v>8.138082216285876E-2</v>
      </c>
      <c r="R95" s="78">
        <v>8.4077131193429466E-2</v>
      </c>
      <c r="S95" s="78">
        <v>2.8055571025654716E-2</v>
      </c>
      <c r="T95" s="78">
        <v>0.18364618365111951</v>
      </c>
      <c r="U95" s="78">
        <v>1</v>
      </c>
      <c r="V95" s="12"/>
      <c r="W95" s="12"/>
    </row>
    <row r="96" spans="1:23" ht="13.5" hidden="1" customHeight="1">
      <c r="A96" s="2"/>
      <c r="B96" s="2"/>
      <c r="C96" s="3"/>
      <c r="D96" s="3"/>
      <c r="E96" s="12"/>
      <c r="F96" s="24">
        <v>40848</v>
      </c>
      <c r="G96" s="34">
        <f>G95</f>
        <v>120.8</v>
      </c>
      <c r="H96" s="34">
        <v>126.3</v>
      </c>
      <c r="I96" s="34">
        <v>96.9</v>
      </c>
      <c r="J96" s="34">
        <v>2.19</v>
      </c>
      <c r="K96" s="34">
        <v>168.5</v>
      </c>
      <c r="L96" s="34">
        <v>107.28408664030725</v>
      </c>
      <c r="M96" s="77">
        <f t="shared" si="1"/>
        <v>1.2064722026814412E-3</v>
      </c>
      <c r="N96" s="12"/>
      <c r="O96" s="24">
        <v>40848</v>
      </c>
      <c r="P96" s="78">
        <v>0.62208975796637833</v>
      </c>
      <c r="Q96" s="78">
        <v>8.1541002230663115E-2</v>
      </c>
      <c r="R96" s="78">
        <v>8.3716632085418061E-2</v>
      </c>
      <c r="S96" s="78">
        <v>2.5676846095244781E-2</v>
      </c>
      <c r="T96" s="78">
        <v>0.18697576162229576</v>
      </c>
      <c r="U96" s="78">
        <v>1</v>
      </c>
      <c r="V96" s="12"/>
      <c r="W96" s="12"/>
    </row>
    <row r="97" spans="1:23" ht="13.5" hidden="1" customHeight="1">
      <c r="A97" s="2"/>
      <c r="B97" s="2"/>
      <c r="C97" s="3"/>
      <c r="D97" s="3"/>
      <c r="E97" s="12"/>
      <c r="F97" s="24">
        <v>40878</v>
      </c>
      <c r="G97" s="34">
        <f t="shared" si="2"/>
        <v>120.8</v>
      </c>
      <c r="H97" s="34">
        <v>126.5</v>
      </c>
      <c r="I97" s="34">
        <v>98.1</v>
      </c>
      <c r="J97" s="34">
        <v>2.54</v>
      </c>
      <c r="K97" s="34">
        <v>169.8</v>
      </c>
      <c r="L97" s="34">
        <v>108.00417847192873</v>
      </c>
      <c r="M97" s="77">
        <f t="shared" si="1"/>
        <v>6.7120097133859247E-3</v>
      </c>
      <c r="N97" s="12"/>
      <c r="O97" s="24">
        <v>40878</v>
      </c>
      <c r="P97" s="78">
        <v>0.61794212442492791</v>
      </c>
      <c r="Q97" s="78">
        <v>8.1125609081708475E-2</v>
      </c>
      <c r="R97" s="78">
        <v>8.4188297890064517E-2</v>
      </c>
      <c r="S97" s="78">
        <v>2.9581897651205429E-2</v>
      </c>
      <c r="T97" s="78">
        <v>0.1871620709520937</v>
      </c>
      <c r="U97" s="78">
        <v>1</v>
      </c>
      <c r="V97" s="12"/>
      <c r="W97" s="12"/>
    </row>
    <row r="98" spans="1:23" ht="13.5" hidden="1" customHeight="1">
      <c r="A98" s="2"/>
      <c r="B98" s="2"/>
      <c r="C98" s="3"/>
      <c r="D98" s="3"/>
      <c r="E98" s="12"/>
      <c r="F98" s="24">
        <v>40909</v>
      </c>
      <c r="G98" s="34">
        <v>121.3</v>
      </c>
      <c r="H98" s="34">
        <v>126.4</v>
      </c>
      <c r="I98" s="34">
        <v>97.6</v>
      </c>
      <c r="J98" s="34">
        <v>2.23</v>
      </c>
      <c r="K98" s="34">
        <v>173.6</v>
      </c>
      <c r="L98" s="34">
        <v>108.28959502910448</v>
      </c>
      <c r="M98" s="77">
        <f t="shared" si="1"/>
        <v>2.6426436570685663E-3</v>
      </c>
      <c r="N98" s="12"/>
      <c r="O98" s="24">
        <v>40909</v>
      </c>
      <c r="P98" s="78">
        <v>0.61886439382863745</v>
      </c>
      <c r="Q98" s="78">
        <v>8.08478261704213E-2</v>
      </c>
      <c r="R98" s="78">
        <v>8.3538441277316369E-2</v>
      </c>
      <c r="S98" s="78">
        <v>2.5903056021097746E-2</v>
      </c>
      <c r="T98" s="78">
        <v>0.19084628270252729</v>
      </c>
      <c r="U98" s="78">
        <v>1.0000000000000002</v>
      </c>
      <c r="V98" s="12"/>
      <c r="W98" s="12"/>
    </row>
    <row r="99" spans="1:23" ht="13.5" hidden="1" customHeight="1">
      <c r="A99" s="2"/>
      <c r="B99" s="2"/>
      <c r="C99" s="3"/>
      <c r="D99" s="3"/>
      <c r="E99" s="12"/>
      <c r="F99" s="24">
        <v>40940</v>
      </c>
      <c r="G99" s="34">
        <f>G98</f>
        <v>121.3</v>
      </c>
      <c r="H99" s="34">
        <v>126.4</v>
      </c>
      <c r="I99" s="34">
        <v>98.3</v>
      </c>
      <c r="J99" s="34">
        <v>1.87</v>
      </c>
      <c r="K99" s="34">
        <v>169.6</v>
      </c>
      <c r="L99" s="34">
        <v>107.42545592963126</v>
      </c>
      <c r="M99" s="77">
        <f t="shared" si="1"/>
        <v>-7.9798903970503821E-3</v>
      </c>
      <c r="N99" s="12"/>
      <c r="O99" s="24">
        <v>40940</v>
      </c>
      <c r="P99" s="78">
        <v>0.62384258931639425</v>
      </c>
      <c r="Q99" s="78">
        <v>8.1498172655774262E-2</v>
      </c>
      <c r="R99" s="78">
        <v>8.4814399546491087E-2</v>
      </c>
      <c r="S99" s="78">
        <v>2.1896125434202846E-2</v>
      </c>
      <c r="T99" s="78">
        <v>0.18794871304713762</v>
      </c>
      <c r="U99" s="78">
        <v>1</v>
      </c>
      <c r="V99" s="12"/>
      <c r="W99" s="12"/>
    </row>
    <row r="100" spans="1:23" ht="13.5" hidden="1" customHeight="1">
      <c r="A100" s="2"/>
      <c r="B100" s="2"/>
      <c r="C100" s="3"/>
      <c r="D100" s="3"/>
      <c r="E100" s="12"/>
      <c r="F100" s="24">
        <v>40969</v>
      </c>
      <c r="G100" s="34">
        <f>G98</f>
        <v>121.3</v>
      </c>
      <c r="H100" s="34">
        <v>126.8</v>
      </c>
      <c r="I100" s="34">
        <v>99.2</v>
      </c>
      <c r="J100" s="34">
        <v>1.97</v>
      </c>
      <c r="K100" s="34">
        <v>174.9</v>
      </c>
      <c r="L100" s="34">
        <v>108.29331925732106</v>
      </c>
      <c r="M100" s="77">
        <f t="shared" si="1"/>
        <v>8.0787493074108152E-3</v>
      </c>
      <c r="N100" s="12"/>
      <c r="O100" s="24">
        <v>40969</v>
      </c>
      <c r="P100" s="78">
        <v>0.61884311096231148</v>
      </c>
      <c r="Q100" s="78">
        <v>8.1100884550551255E-2</v>
      </c>
      <c r="R100" s="78">
        <v>8.4905003921263614E-2</v>
      </c>
      <c r="S100" s="78">
        <v>2.2882181822274566E-2</v>
      </c>
      <c r="T100" s="78">
        <v>0.19226881874359911</v>
      </c>
      <c r="U100" s="78">
        <v>1</v>
      </c>
      <c r="V100" s="12"/>
      <c r="W100" s="12"/>
    </row>
    <row r="101" spans="1:23" ht="13.5" hidden="1" customHeight="1">
      <c r="A101" s="2"/>
      <c r="B101" s="2"/>
      <c r="C101" s="3"/>
      <c r="D101" s="3"/>
      <c r="E101" s="12"/>
      <c r="F101" s="24">
        <v>41000</v>
      </c>
      <c r="G101" s="34">
        <v>122.1</v>
      </c>
      <c r="H101" s="34">
        <v>128.4</v>
      </c>
      <c r="I101" s="34">
        <v>99.9</v>
      </c>
      <c r="J101" s="34">
        <v>2</v>
      </c>
      <c r="K101" s="34">
        <v>177.5</v>
      </c>
      <c r="L101" s="34">
        <v>109.25827194239672</v>
      </c>
      <c r="M101" s="77">
        <f t="shared" si="1"/>
        <v>8.9105467603480815E-3</v>
      </c>
      <c r="N101" s="12"/>
      <c r="O101" s="24">
        <v>41000</v>
      </c>
      <c r="P101" s="78">
        <v>0.61742294049348678</v>
      </c>
      <c r="Q101" s="78">
        <v>8.139893058344673E-2</v>
      </c>
      <c r="R101" s="78">
        <v>8.4748972292622529E-2</v>
      </c>
      <c r="S101" s="78">
        <v>2.3025471899890518E-2</v>
      </c>
      <c r="T101" s="78">
        <v>0.19340368473055355</v>
      </c>
      <c r="U101" s="78">
        <v>1.0000000000000002</v>
      </c>
      <c r="V101" s="12"/>
      <c r="W101" s="12"/>
    </row>
    <row r="102" spans="1:23" ht="13.5" hidden="1" customHeight="1">
      <c r="A102" s="2"/>
      <c r="B102" s="2"/>
      <c r="C102" s="3"/>
      <c r="D102" s="3"/>
      <c r="E102" s="12"/>
      <c r="F102" s="24">
        <v>41030</v>
      </c>
      <c r="G102" s="34">
        <f>G101</f>
        <v>122.1</v>
      </c>
      <c r="H102" s="34">
        <v>129</v>
      </c>
      <c r="I102" s="34">
        <v>99.3</v>
      </c>
      <c r="J102" s="34">
        <v>1.94</v>
      </c>
      <c r="K102" s="34">
        <v>180.6</v>
      </c>
      <c r="L102" s="34">
        <v>109.53779353454972</v>
      </c>
      <c r="M102" s="77">
        <f t="shared" si="1"/>
        <v>2.5583563347988392E-3</v>
      </c>
      <c r="N102" s="12"/>
      <c r="O102" s="24">
        <v>41030</v>
      </c>
      <c r="P102" s="78">
        <v>0.61584738343879686</v>
      </c>
      <c r="Q102" s="78">
        <v>8.1570612724152544E-2</v>
      </c>
      <c r="R102" s="78">
        <v>8.4025003555901451E-2</v>
      </c>
      <c r="S102" s="78">
        <v>2.2277713413657137E-2</v>
      </c>
      <c r="T102" s="78">
        <v>0.19627928686749208</v>
      </c>
      <c r="U102" s="78">
        <v>1</v>
      </c>
      <c r="V102" s="12"/>
      <c r="W102" s="12"/>
    </row>
    <row r="103" spans="1:23" ht="13.5" hidden="1" customHeight="1">
      <c r="A103" s="2"/>
      <c r="B103" s="2"/>
      <c r="C103" s="3"/>
      <c r="D103" s="3"/>
      <c r="E103" s="12"/>
      <c r="F103" s="24">
        <v>41061</v>
      </c>
      <c r="G103" s="34">
        <f t="shared" ref="G103:G109" si="3">G101</f>
        <v>122.1</v>
      </c>
      <c r="H103" s="34">
        <v>129</v>
      </c>
      <c r="I103" s="34">
        <v>99.8</v>
      </c>
      <c r="J103" s="34">
        <v>1.81</v>
      </c>
      <c r="K103" s="34">
        <v>178.2</v>
      </c>
      <c r="L103" s="34">
        <v>109.13490121154003</v>
      </c>
      <c r="M103" s="77">
        <f t="shared" si="1"/>
        <v>-3.6781124578944002E-3</v>
      </c>
      <c r="N103" s="12"/>
      <c r="O103" s="24">
        <v>41061</v>
      </c>
      <c r="P103" s="78">
        <v>0.61812090162755817</v>
      </c>
      <c r="Q103" s="78">
        <v>8.1871746213851279E-2</v>
      </c>
      <c r="R103" s="78">
        <v>8.4759846427122809E-2</v>
      </c>
      <c r="S103" s="78">
        <v>2.0861608289133492E-2</v>
      </c>
      <c r="T103" s="78">
        <v>0.19438589744233439</v>
      </c>
      <c r="U103" s="78">
        <v>1.0000000000000002</v>
      </c>
      <c r="V103" s="12"/>
      <c r="W103" s="12"/>
    </row>
    <row r="104" spans="1:23" ht="13.5" hidden="1" customHeight="1">
      <c r="A104" s="2"/>
      <c r="B104" s="2"/>
      <c r="C104" s="3"/>
      <c r="D104" s="3"/>
      <c r="E104" s="12"/>
      <c r="F104" s="24">
        <v>41091</v>
      </c>
      <c r="G104" s="34">
        <v>122.6</v>
      </c>
      <c r="H104" s="34">
        <v>129</v>
      </c>
      <c r="I104" s="34">
        <v>99.6</v>
      </c>
      <c r="J104" s="34">
        <v>1.54</v>
      </c>
      <c r="K104" s="34">
        <v>173.7</v>
      </c>
      <c r="L104" s="34">
        <v>108.51726978812567</v>
      </c>
      <c r="M104" s="77">
        <f t="shared" si="1"/>
        <v>-5.6593391899184553E-3</v>
      </c>
      <c r="N104" s="12"/>
      <c r="O104" s="24">
        <v>41091</v>
      </c>
      <c r="P104" s="78">
        <v>0.62418458151484035</v>
      </c>
      <c r="Q104" s="78">
        <v>8.2337723318234829E-2</v>
      </c>
      <c r="R104" s="78">
        <v>8.5071435122174757E-2</v>
      </c>
      <c r="S104" s="78">
        <v>1.7850678717047475E-2</v>
      </c>
      <c r="T104" s="78">
        <v>0.19055558132770262</v>
      </c>
      <c r="U104" s="78">
        <v>1</v>
      </c>
      <c r="V104" s="12"/>
      <c r="W104" s="12"/>
    </row>
    <row r="105" spans="1:23" ht="13.5" hidden="1" customHeight="1">
      <c r="A105" s="2"/>
      <c r="B105" s="2"/>
      <c r="C105" s="3"/>
      <c r="D105" s="3"/>
      <c r="E105" s="12"/>
      <c r="F105" s="24">
        <v>41122</v>
      </c>
      <c r="G105" s="34">
        <f>G104</f>
        <v>122.6</v>
      </c>
      <c r="H105" s="34">
        <v>128.80000000000001</v>
      </c>
      <c r="I105" s="34">
        <v>101</v>
      </c>
      <c r="J105" s="34">
        <v>1.64</v>
      </c>
      <c r="K105" s="34">
        <v>168.3</v>
      </c>
      <c r="L105" s="34">
        <v>108.11610912573073</v>
      </c>
      <c r="M105" s="77">
        <f t="shared" si="1"/>
        <v>-3.696744888423642E-3</v>
      </c>
      <c r="N105" s="12"/>
      <c r="O105" s="24">
        <v>41122</v>
      </c>
      <c r="P105" s="78">
        <v>0.62650059438472638</v>
      </c>
      <c r="Q105" s="78">
        <v>8.2515105226709906E-2</v>
      </c>
      <c r="R105" s="78">
        <v>8.6587309540730698E-2</v>
      </c>
      <c r="S105" s="78">
        <v>1.9080348880868628E-2</v>
      </c>
      <c r="T105" s="78">
        <v>0.18531664196696437</v>
      </c>
      <c r="U105" s="78">
        <v>1</v>
      </c>
      <c r="V105" s="12"/>
      <c r="W105" s="12"/>
    </row>
    <row r="106" spans="1:23" ht="13.5" hidden="1" customHeight="1">
      <c r="A106" s="2"/>
      <c r="B106" s="2"/>
      <c r="C106" s="3"/>
      <c r="D106" s="3"/>
      <c r="E106" s="12"/>
      <c r="F106" s="24">
        <v>41153</v>
      </c>
      <c r="G106" s="34">
        <f t="shared" si="3"/>
        <v>122.6</v>
      </c>
      <c r="H106" s="34">
        <v>128.80000000000001</v>
      </c>
      <c r="I106" s="34">
        <v>101.1</v>
      </c>
      <c r="J106" s="34">
        <v>1.44</v>
      </c>
      <c r="K106" s="34">
        <v>175.4</v>
      </c>
      <c r="L106" s="34">
        <v>108.71904368898144</v>
      </c>
      <c r="M106" s="77">
        <f t="shared" si="1"/>
        <v>5.5767319794088888E-3</v>
      </c>
      <c r="N106" s="12"/>
      <c r="O106" s="24">
        <v>41153</v>
      </c>
      <c r="P106" s="78">
        <v>0.62302614456034899</v>
      </c>
      <c r="Q106" s="78">
        <v>8.205749258366847E-2</v>
      </c>
      <c r="R106" s="78">
        <v>8.6192367816195423E-2</v>
      </c>
      <c r="S106" s="78">
        <v>1.6660565557389619E-2</v>
      </c>
      <c r="T106" s="78">
        <v>0.19206342948239755</v>
      </c>
      <c r="U106" s="78">
        <v>1</v>
      </c>
      <c r="V106" s="12"/>
      <c r="W106" s="12"/>
    </row>
    <row r="107" spans="1:23" ht="13.5" hidden="1" customHeight="1">
      <c r="A107" s="2"/>
      <c r="B107" s="2"/>
      <c r="C107" s="3"/>
      <c r="D107" s="3"/>
      <c r="E107" s="12"/>
      <c r="F107" s="24">
        <v>41183</v>
      </c>
      <c r="G107" s="34">
        <v>122.8</v>
      </c>
      <c r="H107" s="34">
        <v>129.19999999999999</v>
      </c>
      <c r="I107" s="34">
        <v>101.8</v>
      </c>
      <c r="J107" s="34">
        <v>1.46</v>
      </c>
      <c r="K107" s="34">
        <v>180.3</v>
      </c>
      <c r="L107" s="34">
        <v>109.53061868569037</v>
      </c>
      <c r="M107" s="77">
        <f t="shared" si="1"/>
        <v>7.4648835123185542E-3</v>
      </c>
      <c r="N107" s="12"/>
      <c r="O107" s="24">
        <v>41183</v>
      </c>
      <c r="P107" s="78">
        <v>0.61941861263554576</v>
      </c>
      <c r="Q107" s="78">
        <v>8.1702430391611403E-2</v>
      </c>
      <c r="R107" s="78">
        <v>8.6146079341875625E-2</v>
      </c>
      <c r="S107" s="78">
        <v>1.6766800091683499E-2</v>
      </c>
      <c r="T107" s="78">
        <v>0.19596607753928372</v>
      </c>
      <c r="U107" s="78">
        <v>1</v>
      </c>
      <c r="V107" s="12"/>
      <c r="W107" s="12"/>
    </row>
    <row r="108" spans="1:23" ht="13.5" hidden="1" customHeight="1">
      <c r="A108" s="2"/>
      <c r="B108" s="2"/>
      <c r="C108" s="3"/>
      <c r="D108" s="3"/>
      <c r="E108" s="12"/>
      <c r="F108" s="24">
        <v>41214</v>
      </c>
      <c r="G108" s="34">
        <f>G107</f>
        <v>122.8</v>
      </c>
      <c r="H108" s="34">
        <v>129.5</v>
      </c>
      <c r="I108" s="34">
        <v>101.4</v>
      </c>
      <c r="J108" s="34">
        <v>1.54</v>
      </c>
      <c r="K108" s="34">
        <v>180.5</v>
      </c>
      <c r="L108" s="34">
        <v>109.63876118087015</v>
      </c>
      <c r="M108" s="77">
        <f t="shared" si="1"/>
        <v>9.8732661677103373E-4</v>
      </c>
      <c r="N108" s="12"/>
      <c r="O108" s="24">
        <v>41214</v>
      </c>
      <c r="P108" s="78">
        <v>0.61880764737463134</v>
      </c>
      <c r="Q108" s="78">
        <v>8.1811367376723051E-2</v>
      </c>
      <c r="R108" s="78">
        <v>8.5722951319478283E-2</v>
      </c>
      <c r="S108" s="78">
        <v>1.7668084693545239E-2</v>
      </c>
      <c r="T108" s="78">
        <v>0.19598994923562216</v>
      </c>
      <c r="U108" s="78">
        <v>1</v>
      </c>
      <c r="V108" s="12"/>
      <c r="W108" s="12"/>
    </row>
    <row r="109" spans="1:23" ht="13.5" hidden="1" customHeight="1">
      <c r="A109" s="2"/>
      <c r="B109" s="2"/>
      <c r="C109" s="3"/>
      <c r="D109" s="3"/>
      <c r="E109" s="12"/>
      <c r="F109" s="24">
        <v>41244</v>
      </c>
      <c r="G109" s="34">
        <f t="shared" si="3"/>
        <v>122.8</v>
      </c>
      <c r="H109" s="34">
        <v>129.4</v>
      </c>
      <c r="I109" s="34">
        <v>100.5</v>
      </c>
      <c r="J109" s="34">
        <v>1.67</v>
      </c>
      <c r="K109" s="34">
        <v>180.5</v>
      </c>
      <c r="L109" s="34">
        <v>109.71193763101257</v>
      </c>
      <c r="M109" s="77">
        <f t="shared" si="1"/>
        <v>6.6743229633647871E-4</v>
      </c>
      <c r="N109" s="12"/>
      <c r="O109" s="24">
        <v>41244</v>
      </c>
      <c r="P109" s="78">
        <v>0.61839491063938057</v>
      </c>
      <c r="Q109" s="78">
        <v>8.1693667583508559E-2</v>
      </c>
      <c r="R109" s="78">
        <v>8.4905428097121816E-2</v>
      </c>
      <c r="S109" s="78">
        <v>1.9146767217643416E-2</v>
      </c>
      <c r="T109" s="78">
        <v>0.19585922646234571</v>
      </c>
      <c r="U109" s="78">
        <v>1</v>
      </c>
      <c r="V109" s="12"/>
      <c r="W109" s="12"/>
    </row>
    <row r="110" spans="1:23" ht="13.5" hidden="1" customHeight="1">
      <c r="A110" s="2"/>
      <c r="B110" s="2"/>
      <c r="C110" s="3"/>
      <c r="D110" s="3"/>
      <c r="E110" s="12"/>
      <c r="F110" s="24">
        <v>41275</v>
      </c>
      <c r="G110" s="34">
        <f>123.1*1.0101</f>
        <v>124.34330999999999</v>
      </c>
      <c r="H110" s="34">
        <v>129.30000000000001</v>
      </c>
      <c r="I110" s="34">
        <v>100.2</v>
      </c>
      <c r="J110" s="34">
        <v>1.47</v>
      </c>
      <c r="K110" s="34">
        <v>174.9</v>
      </c>
      <c r="L110" s="34">
        <v>109.61162330376909</v>
      </c>
      <c r="M110" s="77">
        <f t="shared" si="1"/>
        <v>-9.1434286377167773E-4</v>
      </c>
      <c r="N110" s="12"/>
      <c r="O110" s="24">
        <v>41275</v>
      </c>
      <c r="P110" s="78">
        <v>0.62673974944776334</v>
      </c>
      <c r="Q110" s="78">
        <v>8.1705241523744532E-2</v>
      </c>
      <c r="R110" s="78">
        <v>8.472945082674066E-2</v>
      </c>
      <c r="S110" s="78">
        <v>1.6869165404559825E-2</v>
      </c>
      <c r="T110" s="78">
        <v>0.1899563927971917</v>
      </c>
      <c r="U110" s="78">
        <v>1</v>
      </c>
      <c r="V110" s="12"/>
      <c r="W110" s="12"/>
    </row>
    <row r="111" spans="1:23" ht="13.5" hidden="1" customHeight="1">
      <c r="A111" s="2"/>
      <c r="B111" s="2"/>
      <c r="C111" s="3"/>
      <c r="D111" s="3"/>
      <c r="E111" s="12"/>
      <c r="F111" s="24">
        <v>41306</v>
      </c>
      <c r="G111" s="34">
        <f>123.1*1.0101</f>
        <v>124.34330999999999</v>
      </c>
      <c r="H111" s="34">
        <v>128.9</v>
      </c>
      <c r="I111" s="34">
        <v>100.7</v>
      </c>
      <c r="J111" s="34">
        <v>1.44</v>
      </c>
      <c r="K111" s="34">
        <v>170.5</v>
      </c>
      <c r="L111" s="34">
        <v>109.06871627848054</v>
      </c>
      <c r="M111" s="77">
        <f t="shared" si="1"/>
        <v>-4.9530059762364909E-3</v>
      </c>
      <c r="N111" s="12"/>
      <c r="O111" s="24">
        <v>41306</v>
      </c>
      <c r="P111" s="78">
        <v>0.62985944705320684</v>
      </c>
      <c r="Q111" s="78">
        <v>8.1857922535208821E-2</v>
      </c>
      <c r="R111" s="78">
        <v>8.5576111469102253E-2</v>
      </c>
      <c r="S111" s="78">
        <v>1.6607152046167049E-2</v>
      </c>
      <c r="T111" s="78">
        <v>0.18609936689631512</v>
      </c>
      <c r="U111" s="78">
        <v>1</v>
      </c>
      <c r="V111" s="12"/>
      <c r="W111" s="12"/>
    </row>
    <row r="112" spans="1:23" ht="13.5" hidden="1" customHeight="1">
      <c r="A112" s="2"/>
      <c r="B112" s="2"/>
      <c r="C112" s="3"/>
      <c r="D112" s="3"/>
      <c r="E112" s="12"/>
      <c r="F112" s="24">
        <v>41334</v>
      </c>
      <c r="G112" s="34">
        <f>123.1*1.0101</f>
        <v>124.34330999999999</v>
      </c>
      <c r="H112" s="34">
        <v>128.4</v>
      </c>
      <c r="I112" s="34">
        <v>99.5</v>
      </c>
      <c r="J112" s="34">
        <v>1.69</v>
      </c>
      <c r="K112" s="34">
        <v>171.1</v>
      </c>
      <c r="L112" s="34">
        <v>109.30875268340239</v>
      </c>
      <c r="M112" s="77">
        <f t="shared" si="1"/>
        <v>2.2007814258029335E-3</v>
      </c>
      <c r="N112" s="12"/>
      <c r="O112" s="24">
        <v>41334</v>
      </c>
      <c r="P112" s="78">
        <v>0.62847630806785382</v>
      </c>
      <c r="Q112" s="78">
        <v>8.136133909848281E-2</v>
      </c>
      <c r="R112" s="78">
        <v>8.4370655185051602E-2</v>
      </c>
      <c r="S112" s="78">
        <v>1.9447538384040088E-2</v>
      </c>
      <c r="T112" s="78">
        <v>0.18634415926457173</v>
      </c>
      <c r="U112" s="78">
        <v>1</v>
      </c>
      <c r="V112" s="12"/>
      <c r="W112" s="12"/>
    </row>
    <row r="113" spans="1:23" ht="13.5" hidden="1" customHeight="1">
      <c r="A113" s="2"/>
      <c r="B113" s="2"/>
      <c r="C113" s="3"/>
      <c r="D113" s="3"/>
      <c r="E113" s="12"/>
      <c r="F113" s="24">
        <v>41365</v>
      </c>
      <c r="G113" s="34">
        <f>123.7 * 1.0101</f>
        <v>124.94937</v>
      </c>
      <c r="H113" s="34">
        <v>129.9</v>
      </c>
      <c r="I113" s="34">
        <f>I112*(1+(((SUM(I$87:I$98)-SUM(I$75:I$86))/SUM(I$75:I$86))/12))</f>
        <v>99.411828002363066</v>
      </c>
      <c r="J113" s="34">
        <v>1.54</v>
      </c>
      <c r="K113" s="34">
        <v>174.5</v>
      </c>
      <c r="L113" s="34">
        <v>109.98126889310322</v>
      </c>
      <c r="M113" s="77">
        <f t="shared" si="1"/>
        <v>6.1524461051045698E-3</v>
      </c>
      <c r="N113" s="12"/>
      <c r="O113" s="24">
        <v>41365</v>
      </c>
      <c r="P113" s="78">
        <v>0.6276778018634166</v>
      </c>
      <c r="Q113" s="78">
        <v>8.1808499646859531E-2</v>
      </c>
      <c r="R113" s="78">
        <v>8.4015658681486347E-2</v>
      </c>
      <c r="S113" s="78">
        <v>1.7613062094435132E-2</v>
      </c>
      <c r="T113" s="78">
        <v>0.18888497771380253</v>
      </c>
      <c r="U113" s="78">
        <v>1</v>
      </c>
      <c r="V113" s="12"/>
      <c r="W113" s="12"/>
    </row>
    <row r="114" spans="1:23" ht="13.5" hidden="1" customHeight="1">
      <c r="A114" s="2"/>
      <c r="B114" s="2"/>
      <c r="C114" s="3"/>
      <c r="D114" s="3"/>
      <c r="E114" s="12"/>
      <c r="F114" s="24">
        <v>41395</v>
      </c>
      <c r="G114" s="34">
        <f>123.7 * 1.0101</f>
        <v>124.94937</v>
      </c>
      <c r="H114" s="34">
        <f>H113*(1+(((SUM(H$87:H$98)-SUM(H$75:H$86))/SUM(H$75:H$86))/12))</f>
        <v>130.2013098649202</v>
      </c>
      <c r="I114" s="34">
        <v>99.6</v>
      </c>
      <c r="J114" s="34">
        <v>1.45</v>
      </c>
      <c r="K114" s="34">
        <v>171.1</v>
      </c>
      <c r="L114" s="34">
        <v>109.47347302095449</v>
      </c>
      <c r="M114" s="77">
        <f t="shared" si="1"/>
        <v>-4.6171123252113366E-3</v>
      </c>
      <c r="N114" s="12"/>
      <c r="O114" s="24">
        <v>41395</v>
      </c>
      <c r="P114" s="78">
        <v>0.6305893035087935</v>
      </c>
      <c r="Q114" s="78">
        <v>8.2357897312013428E-2</v>
      </c>
      <c r="R114" s="78">
        <v>8.4328373090429024E-2</v>
      </c>
      <c r="S114" s="78">
        <v>1.6660651395613141E-2</v>
      </c>
      <c r="T114" s="78">
        <v>0.18606377469315097</v>
      </c>
      <c r="U114" s="78">
        <v>1</v>
      </c>
      <c r="V114" s="12"/>
      <c r="W114" s="12"/>
    </row>
    <row r="115" spans="1:23" ht="13.5" hidden="1" customHeight="1">
      <c r="A115" s="2"/>
      <c r="B115" s="2"/>
      <c r="C115" s="3"/>
      <c r="D115" s="3"/>
      <c r="E115" s="12"/>
      <c r="F115" s="24">
        <v>41426</v>
      </c>
      <c r="G115" s="34">
        <f>123.7 * 1.0101</f>
        <v>124.94937</v>
      </c>
      <c r="H115" s="34">
        <v>130</v>
      </c>
      <c r="I115" s="34">
        <v>100.5</v>
      </c>
      <c r="J115" s="34">
        <v>1.33</v>
      </c>
      <c r="K115" s="34">
        <v>164.4</v>
      </c>
      <c r="L115" s="34">
        <v>108.59665368749857</v>
      </c>
      <c r="M115" s="77">
        <f t="shared" si="1"/>
        <v>-8.0094228241766041E-3</v>
      </c>
      <c r="N115" s="12"/>
      <c r="O115" s="24">
        <v>41426</v>
      </c>
      <c r="P115" s="78">
        <v>0.63568073933128288</v>
      </c>
      <c r="Q115" s="78">
        <v>8.2915344981440847E-2</v>
      </c>
      <c r="R115" s="78">
        <v>8.5777403958794296E-2</v>
      </c>
      <c r="S115" s="78">
        <v>1.5405225833725252E-2</v>
      </c>
      <c r="T115" s="78">
        <v>0.18022128589475678</v>
      </c>
      <c r="U115" s="78">
        <v>1</v>
      </c>
      <c r="V115" s="12"/>
      <c r="W115" s="12"/>
    </row>
    <row r="116" spans="1:23" ht="13.5" hidden="1" customHeight="1">
      <c r="A116" s="2"/>
      <c r="B116" s="2"/>
      <c r="C116" s="3"/>
      <c r="D116" s="3"/>
      <c r="E116" s="12"/>
      <c r="F116" s="24">
        <v>41456</v>
      </c>
      <c r="G116" s="34">
        <f>124.1 * 1.0101</f>
        <v>125.35341</v>
      </c>
      <c r="H116" s="34">
        <v>130.1</v>
      </c>
      <c r="I116" s="34">
        <v>100.1</v>
      </c>
      <c r="J116" s="34">
        <v>1.38</v>
      </c>
      <c r="K116" s="34">
        <v>165.7</v>
      </c>
      <c r="L116" s="34">
        <v>109.00738642005834</v>
      </c>
      <c r="M116" s="77">
        <f t="shared" si="1"/>
        <v>3.7821859018023485E-3</v>
      </c>
      <c r="N116" s="12"/>
      <c r="O116" s="24">
        <v>41456</v>
      </c>
      <c r="P116" s="78">
        <v>0.63533334665443986</v>
      </c>
      <c r="Q116" s="78">
        <v>8.2666466073506917E-2</v>
      </c>
      <c r="R116" s="78">
        <v>8.511408406716954E-2</v>
      </c>
      <c r="S116" s="78">
        <v>1.5924141598209735E-2</v>
      </c>
      <c r="T116" s="78">
        <v>0.18096196160667402</v>
      </c>
      <c r="U116" s="78">
        <v>1.0000000000000002</v>
      </c>
      <c r="V116" s="12"/>
      <c r="W116" s="12"/>
    </row>
    <row r="117" spans="1:23" ht="13.5" hidden="1" customHeight="1">
      <c r="A117" s="2"/>
      <c r="B117" s="2"/>
      <c r="C117" s="3"/>
      <c r="D117" s="3"/>
      <c r="E117" s="12"/>
      <c r="F117" s="24">
        <v>41487</v>
      </c>
      <c r="G117" s="34">
        <f>124.1 * 1.0101</f>
        <v>125.35341</v>
      </c>
      <c r="H117" s="34">
        <v>130</v>
      </c>
      <c r="I117" s="34">
        <v>100.2</v>
      </c>
      <c r="J117" s="34">
        <v>1.56</v>
      </c>
      <c r="K117" s="34">
        <v>165.3</v>
      </c>
      <c r="L117" s="34">
        <v>109.18852485490915</v>
      </c>
      <c r="M117" s="77">
        <f t="shared" si="1"/>
        <v>1.6617078970482257E-3</v>
      </c>
      <c r="N117" s="12"/>
      <c r="O117" s="24">
        <v>41487</v>
      </c>
      <c r="P117" s="78">
        <v>0.63427935963360182</v>
      </c>
      <c r="Q117" s="78">
        <v>8.2465891139147179E-2</v>
      </c>
      <c r="R117" s="78">
        <v>8.5057771950825686E-2</v>
      </c>
      <c r="S117" s="78">
        <v>1.7971340427493397E-2</v>
      </c>
      <c r="T117" s="78">
        <v>0.18022563684893192</v>
      </c>
      <c r="U117" s="78">
        <v>0.99999999999999989</v>
      </c>
      <c r="V117" s="12"/>
      <c r="W117" s="12"/>
    </row>
    <row r="118" spans="1:23" ht="13.5" hidden="1" customHeight="1">
      <c r="A118" s="2"/>
      <c r="B118" s="2"/>
      <c r="C118" s="3"/>
      <c r="D118" s="3"/>
      <c r="E118" s="12"/>
      <c r="F118" s="24">
        <v>41518</v>
      </c>
      <c r="G118" s="34">
        <f>124.1 * 1.0101</f>
        <v>125.35341</v>
      </c>
      <c r="H118" s="34">
        <v>129.6</v>
      </c>
      <c r="I118" s="34">
        <v>99.6</v>
      </c>
      <c r="J118" s="34">
        <v>1.57</v>
      </c>
      <c r="K118" s="34">
        <v>169.4</v>
      </c>
      <c r="L118" s="34">
        <v>109.6058803113111</v>
      </c>
      <c r="M118" s="77">
        <f t="shared" si="1"/>
        <v>3.8223380795421313E-3</v>
      </c>
      <c r="N118" s="12"/>
      <c r="O118" s="24">
        <v>41518</v>
      </c>
      <c r="P118" s="78">
        <v>0.63186416118919053</v>
      </c>
      <c r="Q118" s="78">
        <v>8.1899103872230899E-2</v>
      </c>
      <c r="R118" s="78">
        <v>8.422650180989763E-2</v>
      </c>
      <c r="S118" s="78">
        <v>1.8017671695044979E-2</v>
      </c>
      <c r="T118" s="78">
        <v>0.18399256143363607</v>
      </c>
      <c r="U118" s="78">
        <v>1</v>
      </c>
      <c r="V118" s="12"/>
      <c r="W118" s="12"/>
    </row>
    <row r="119" spans="1:23" ht="13.5" hidden="1" customHeight="1">
      <c r="A119" s="2"/>
      <c r="B119" s="2"/>
      <c r="C119" s="3"/>
      <c r="D119" s="3"/>
      <c r="E119" s="12"/>
      <c r="F119" s="24">
        <v>41548</v>
      </c>
      <c r="G119" s="34">
        <f>124.4*1.0101</f>
        <v>125.65644</v>
      </c>
      <c r="H119" s="34">
        <v>129.69999999999999</v>
      </c>
      <c r="I119" s="34">
        <v>99.6</v>
      </c>
      <c r="J119" s="34">
        <v>1.7</v>
      </c>
      <c r="K119" s="34">
        <v>168.6</v>
      </c>
      <c r="L119" s="34">
        <v>109.8485105250808</v>
      </c>
      <c r="M119" s="77">
        <f t="shared" si="1"/>
        <v>2.213660554347685E-3</v>
      </c>
      <c r="N119" s="12"/>
      <c r="O119" s="24">
        <v>41548</v>
      </c>
      <c r="P119" s="78">
        <v>0.63199261584854427</v>
      </c>
      <c r="Q119" s="78">
        <v>8.1781261672170286E-2</v>
      </c>
      <c r="R119" s="78">
        <v>8.4040464748115676E-2</v>
      </c>
      <c r="S119" s="78">
        <v>1.9466488618304745E-2</v>
      </c>
      <c r="T119" s="78">
        <v>0.18271916911286501</v>
      </c>
      <c r="U119" s="78">
        <v>0.99999999999999989</v>
      </c>
      <c r="V119" s="12"/>
      <c r="W119" s="12"/>
    </row>
    <row r="120" spans="1:23" ht="13.5" hidden="1" customHeight="1">
      <c r="A120" s="2"/>
      <c r="B120" s="2"/>
      <c r="C120" s="3"/>
      <c r="D120" s="3"/>
      <c r="E120" s="12"/>
      <c r="F120" s="24">
        <v>41579</v>
      </c>
      <c r="G120" s="34">
        <f>G119</f>
        <v>125.65644</v>
      </c>
      <c r="H120" s="34">
        <v>130.1</v>
      </c>
      <c r="I120" s="34">
        <v>99.3</v>
      </c>
      <c r="J120" s="34">
        <v>1.63</v>
      </c>
      <c r="K120" s="34">
        <v>173.5</v>
      </c>
      <c r="L120" s="34">
        <v>110.34369278648441</v>
      </c>
      <c r="M120" s="77">
        <f t="shared" si="1"/>
        <v>4.5078650501186868E-3</v>
      </c>
      <c r="N120" s="12"/>
      <c r="O120" s="24">
        <v>41579</v>
      </c>
      <c r="P120" s="78">
        <v>0.62915646341605469</v>
      </c>
      <c r="Q120" s="78">
        <v>8.1665342020882284E-2</v>
      </c>
      <c r="R120" s="78">
        <v>8.3411323826689018E-2</v>
      </c>
      <c r="S120" s="78">
        <v>1.8581165933753675E-2</v>
      </c>
      <c r="T120" s="78">
        <v>0.18718570480262042</v>
      </c>
      <c r="U120" s="78">
        <v>1</v>
      </c>
      <c r="V120" s="12"/>
      <c r="W120" s="12"/>
    </row>
    <row r="121" spans="1:23" ht="13.5" hidden="1" customHeight="1">
      <c r="A121" s="2"/>
      <c r="B121" s="2"/>
      <c r="C121" s="3"/>
      <c r="D121" s="3"/>
      <c r="E121" s="12"/>
      <c r="F121" s="24">
        <v>41609</v>
      </c>
      <c r="G121" s="34">
        <f>G119</f>
        <v>125.65644</v>
      </c>
      <c r="H121" s="34">
        <v>130.30000000000001</v>
      </c>
      <c r="I121" s="34">
        <v>99.3</v>
      </c>
      <c r="J121" s="34">
        <v>1.69</v>
      </c>
      <c r="K121" s="34">
        <v>169.1</v>
      </c>
      <c r="L121" s="34">
        <v>109.90920777464092</v>
      </c>
      <c r="M121" s="77">
        <f t="shared" si="1"/>
        <v>-3.9375609141903967E-3</v>
      </c>
      <c r="N121" s="12"/>
      <c r="O121" s="24">
        <v>41609</v>
      </c>
      <c r="P121" s="78">
        <v>0.6316435985614488</v>
      </c>
      <c r="Q121" s="78">
        <v>8.2114214157683774E-2</v>
      </c>
      <c r="R121" s="78">
        <v>8.3741059348894115E-2</v>
      </c>
      <c r="S121" s="78">
        <v>1.9341292750292123E-2</v>
      </c>
      <c r="T121" s="78">
        <v>0.18315983518168116</v>
      </c>
      <c r="U121" s="78">
        <v>1</v>
      </c>
      <c r="V121" s="12"/>
      <c r="W121" s="12"/>
    </row>
    <row r="122" spans="1:23" ht="13.5" hidden="1" customHeight="1">
      <c r="A122" s="2"/>
      <c r="B122" s="2"/>
      <c r="C122" s="3"/>
      <c r="D122" s="3"/>
      <c r="E122" s="12"/>
      <c r="F122" s="24">
        <v>41640</v>
      </c>
      <c r="G122" s="34">
        <f>124.6*1.0101</f>
        <v>125.85845999999999</v>
      </c>
      <c r="H122" s="34">
        <v>130</v>
      </c>
      <c r="I122" s="34">
        <v>98.7</v>
      </c>
      <c r="J122" s="34">
        <v>1.49</v>
      </c>
      <c r="K122" s="34">
        <v>167</v>
      </c>
      <c r="L122" s="34">
        <v>109.44285671614631</v>
      </c>
      <c r="M122" s="77">
        <f t="shared" si="1"/>
        <v>-4.2430572282061707E-3</v>
      </c>
      <c r="N122" s="12"/>
      <c r="O122" s="24">
        <v>41640</v>
      </c>
      <c r="P122" s="78">
        <v>0.63535495015292331</v>
      </c>
      <c r="Q122" s="78">
        <v>8.2274250458235526E-2</v>
      </c>
      <c r="R122" s="78">
        <v>8.3589747155755845E-2</v>
      </c>
      <c r="S122" s="78">
        <v>1.7125044911236145E-2</v>
      </c>
      <c r="T122" s="78">
        <v>0.18165600732184933</v>
      </c>
      <c r="U122" s="78">
        <v>1.0000000000000002</v>
      </c>
      <c r="V122" s="12"/>
      <c r="W122" s="12"/>
    </row>
    <row r="123" spans="1:23" ht="13.5" hidden="1" customHeight="1">
      <c r="A123" s="2"/>
      <c r="B123" s="2"/>
      <c r="C123" s="3"/>
      <c r="D123" s="3"/>
      <c r="E123" s="12"/>
      <c r="F123" s="24">
        <v>41671</v>
      </c>
      <c r="G123" s="34">
        <f>G122</f>
        <v>125.85845999999999</v>
      </c>
      <c r="H123" s="34">
        <v>129.9</v>
      </c>
      <c r="I123" s="34">
        <v>99.1</v>
      </c>
      <c r="J123" s="34">
        <v>1.58</v>
      </c>
      <c r="K123" s="34">
        <v>167.8</v>
      </c>
      <c r="L123" s="34">
        <v>109.68145113185439</v>
      </c>
      <c r="M123" s="77">
        <f t="shared" si="1"/>
        <v>2.1800821256603431E-3</v>
      </c>
      <c r="N123" s="12"/>
      <c r="O123" s="24">
        <v>41671</v>
      </c>
      <c r="P123" s="78">
        <v>0.63397283730216669</v>
      </c>
      <c r="Q123" s="78">
        <v>8.2032125802076611E-2</v>
      </c>
      <c r="R123" s="78">
        <v>8.3745937041720814E-2</v>
      </c>
      <c r="S123" s="78">
        <v>1.8119940638445835E-2</v>
      </c>
      <c r="T123" s="78">
        <v>0.18212915921559017</v>
      </c>
      <c r="U123" s="78">
        <v>1.0000000000000002</v>
      </c>
      <c r="V123" s="12"/>
      <c r="W123" s="12"/>
    </row>
    <row r="124" spans="1:23" ht="13.5" hidden="1" customHeight="1">
      <c r="A124" s="2"/>
      <c r="B124" s="2"/>
      <c r="C124" s="3"/>
      <c r="D124" s="3"/>
      <c r="E124" s="12"/>
      <c r="F124" s="24">
        <v>41699</v>
      </c>
      <c r="G124" s="34">
        <f>G122</f>
        <v>125.85845999999999</v>
      </c>
      <c r="H124" s="34">
        <v>129.69999999999999</v>
      </c>
      <c r="I124" s="34">
        <v>98.9</v>
      </c>
      <c r="J124" s="34">
        <v>1.52</v>
      </c>
      <c r="K124" s="34">
        <v>166.5</v>
      </c>
      <c r="L124" s="34">
        <v>109.41882712501318</v>
      </c>
      <c r="M124" s="77">
        <f t="shared" si="1"/>
        <v>-2.3944249837238862E-3</v>
      </c>
      <c r="N124" s="12"/>
      <c r="O124" s="24">
        <v>41699</v>
      </c>
      <c r="P124" s="78">
        <v>0.63549448116488649</v>
      </c>
      <c r="Q124" s="78">
        <v>8.2102413447421627E-2</v>
      </c>
      <c r="R124" s="78">
        <v>8.3777523044971741E-2</v>
      </c>
      <c r="S124" s="78">
        <v>1.7473681045311801E-2</v>
      </c>
      <c r="T124" s="78">
        <v>0.18115190129740835</v>
      </c>
      <c r="U124" s="78">
        <v>1</v>
      </c>
      <c r="V124" s="12"/>
      <c r="W124" s="12"/>
    </row>
    <row r="125" spans="1:23" ht="13.5" hidden="1" customHeight="1">
      <c r="A125" s="2"/>
      <c r="B125" s="2"/>
      <c r="C125" s="3"/>
      <c r="D125" s="3"/>
      <c r="E125" s="12"/>
      <c r="F125" s="24">
        <v>41730</v>
      </c>
      <c r="G125" s="34">
        <f>125.1*1.0101</f>
        <v>126.36350999999999</v>
      </c>
      <c r="H125" s="34">
        <v>130.6</v>
      </c>
      <c r="I125" s="34">
        <v>99.1</v>
      </c>
      <c r="J125" s="34">
        <v>1.46</v>
      </c>
      <c r="K125" s="34">
        <v>167.3</v>
      </c>
      <c r="L125" s="34">
        <v>109.79850192376028</v>
      </c>
      <c r="M125" s="77">
        <f t="shared" si="1"/>
        <v>3.4699220300846711E-3</v>
      </c>
      <c r="N125" s="12"/>
      <c r="O125" s="24">
        <v>41730</v>
      </c>
      <c r="P125" s="78">
        <v>0.63583831017228321</v>
      </c>
      <c r="Q125" s="78">
        <v>8.2386255617299328E-2</v>
      </c>
      <c r="R125" s="78">
        <v>8.3656659610081147E-2</v>
      </c>
      <c r="S125" s="78">
        <v>1.6725892933371362E-2</v>
      </c>
      <c r="T125" s="78">
        <v>0.18139288166696491</v>
      </c>
      <c r="U125" s="78">
        <v>0.99999999999999989</v>
      </c>
      <c r="V125" s="12"/>
      <c r="W125" s="12"/>
    </row>
    <row r="126" spans="1:23" ht="13.5" hidden="1" customHeight="1">
      <c r="A126" s="2"/>
      <c r="B126" s="2"/>
      <c r="C126" s="3"/>
      <c r="D126" s="3"/>
      <c r="E126" s="12"/>
      <c r="F126" s="24">
        <v>41760</v>
      </c>
      <c r="G126" s="34">
        <f>G125</f>
        <v>126.36350999999999</v>
      </c>
      <c r="H126" s="34">
        <v>130.69999999999999</v>
      </c>
      <c r="I126" s="34">
        <v>98.8</v>
      </c>
      <c r="J126" s="34">
        <v>1.43</v>
      </c>
      <c r="K126" s="34">
        <v>166.4</v>
      </c>
      <c r="L126" s="34">
        <v>109.63274323931729</v>
      </c>
      <c r="M126" s="77">
        <f t="shared" si="1"/>
        <v>-1.509662532172662E-3</v>
      </c>
      <c r="N126" s="12"/>
      <c r="O126" s="24">
        <v>41760</v>
      </c>
      <c r="P126" s="78">
        <v>0.63679966276365774</v>
      </c>
      <c r="Q126" s="78">
        <v>8.2573997378251024E-2</v>
      </c>
      <c r="R126" s="78">
        <v>8.3529511762492986E-2</v>
      </c>
      <c r="S126" s="78">
        <v>1.6406979203633595E-2</v>
      </c>
      <c r="T126" s="78">
        <v>0.18068984889196474</v>
      </c>
      <c r="U126" s="78">
        <v>1</v>
      </c>
      <c r="V126" s="12"/>
      <c r="W126" s="12"/>
    </row>
    <row r="127" spans="1:23" ht="13.5" hidden="1" customHeight="1">
      <c r="A127" s="2"/>
      <c r="B127" s="2"/>
      <c r="C127" s="3"/>
      <c r="E127" s="12"/>
      <c r="F127" s="24">
        <v>41791</v>
      </c>
      <c r="G127" s="34">
        <f>G125</f>
        <v>126.36350999999999</v>
      </c>
      <c r="H127" s="34">
        <v>130.9</v>
      </c>
      <c r="I127" s="34">
        <v>98.7</v>
      </c>
      <c r="J127" s="34">
        <v>1.39</v>
      </c>
      <c r="K127" s="34">
        <v>165.5</v>
      </c>
      <c r="L127" s="34">
        <v>109.47986993556181</v>
      </c>
      <c r="M127" s="77">
        <f t="shared" si="1"/>
        <v>-1.3944128299496761E-3</v>
      </c>
      <c r="N127" s="12"/>
      <c r="O127" s="24">
        <v>41791</v>
      </c>
      <c r="P127" s="78">
        <v>0.63768886429755023</v>
      </c>
      <c r="Q127" s="78">
        <v>8.2815833376520917E-2</v>
      </c>
      <c r="R127" s="78">
        <v>8.3561486931714807E-2</v>
      </c>
      <c r="S127" s="78">
        <v>1.5970311930266934E-2</v>
      </c>
      <c r="T127" s="78">
        <v>0.17996350346394707</v>
      </c>
      <c r="U127" s="78">
        <v>1</v>
      </c>
      <c r="V127" s="12"/>
      <c r="W127" s="12"/>
    </row>
    <row r="128" spans="1:23" ht="13.5" hidden="1" customHeight="1">
      <c r="A128" s="2"/>
      <c r="B128" s="2"/>
      <c r="C128" s="3"/>
      <c r="E128" s="12"/>
      <c r="F128" s="24">
        <v>41821</v>
      </c>
      <c r="G128" s="34">
        <f>125.4*1.0101</f>
        <v>126.66654000000001</v>
      </c>
      <c r="H128" s="34">
        <v>130.80000000000001</v>
      </c>
      <c r="I128" s="34">
        <v>98.9</v>
      </c>
      <c r="J128" s="34">
        <v>1.3</v>
      </c>
      <c r="K128" s="34">
        <v>164.6</v>
      </c>
      <c r="L128" s="34">
        <v>109.43855060393879</v>
      </c>
      <c r="M128" s="77">
        <f t="shared" si="1"/>
        <v>-3.7741487679276986E-4</v>
      </c>
      <c r="N128" s="12"/>
      <c r="O128" s="24">
        <v>41821</v>
      </c>
      <c r="P128" s="78">
        <v>0.63945943569208796</v>
      </c>
      <c r="Q128" s="78">
        <v>8.2783810729801399E-2</v>
      </c>
      <c r="R128" s="78">
        <v>8.3762424305075245E-2</v>
      </c>
      <c r="S128" s="78">
        <v>1.4941902252562462E-2</v>
      </c>
      <c r="T128" s="78">
        <v>0.17905242702047303</v>
      </c>
      <c r="U128" s="78">
        <v>1</v>
      </c>
      <c r="V128" s="12"/>
      <c r="W128" s="12"/>
    </row>
    <row r="129" spans="1:23" ht="13.5" hidden="1" customHeight="1">
      <c r="A129" s="2"/>
      <c r="B129" s="2"/>
      <c r="C129" s="3"/>
      <c r="E129" s="12"/>
      <c r="F129" s="24">
        <v>41852</v>
      </c>
      <c r="G129" s="34">
        <f>G128</f>
        <v>126.66654000000001</v>
      </c>
      <c r="H129" s="34">
        <v>130.69999999999999</v>
      </c>
      <c r="I129" s="34">
        <v>99</v>
      </c>
      <c r="J129" s="34">
        <v>1.29</v>
      </c>
      <c r="K129" s="34">
        <v>166.5</v>
      </c>
      <c r="L129" s="34">
        <v>109.6545048519073</v>
      </c>
      <c r="M129" s="77">
        <f t="shared" si="1"/>
        <v>1.9732922884738713E-3</v>
      </c>
      <c r="N129" s="12"/>
      <c r="O129" s="24">
        <v>41852</v>
      </c>
      <c r="P129" s="78">
        <v>0.63820008039494114</v>
      </c>
      <c r="Q129" s="78">
        <v>8.2557610059340772E-2</v>
      </c>
      <c r="R129" s="78">
        <v>8.3681989339780466E-2</v>
      </c>
      <c r="S129" s="78">
        <v>1.4797764228887848E-2</v>
      </c>
      <c r="T129" s="78">
        <v>0.18076255597704979</v>
      </c>
      <c r="U129" s="78">
        <v>1</v>
      </c>
      <c r="V129" s="12"/>
      <c r="W129" s="12"/>
    </row>
    <row r="130" spans="1:23" ht="13.5" hidden="1" customHeight="1">
      <c r="A130" s="2"/>
      <c r="B130" s="2"/>
      <c r="C130" s="3"/>
      <c r="E130" s="12"/>
      <c r="F130" s="24">
        <v>41883</v>
      </c>
      <c r="G130" s="34">
        <f>G128</f>
        <v>126.66654000000001</v>
      </c>
      <c r="H130" s="34">
        <v>130.6</v>
      </c>
      <c r="I130" s="34">
        <v>98.9</v>
      </c>
      <c r="J130" s="34">
        <v>1.3</v>
      </c>
      <c r="K130" s="34">
        <v>164.9</v>
      </c>
      <c r="L130" s="34">
        <v>109.46041207580026</v>
      </c>
      <c r="M130" s="77">
        <f t="shared" si="1"/>
        <v>-1.7700392370488816E-3</v>
      </c>
      <c r="N130" s="12"/>
      <c r="O130" s="24">
        <v>41883</v>
      </c>
      <c r="P130" s="78">
        <v>0.63933172262948534</v>
      </c>
      <c r="Q130" s="78">
        <v>8.2640721648510315E-2</v>
      </c>
      <c r="R130" s="78">
        <v>8.3745695244337504E-2</v>
      </c>
      <c r="S130" s="78">
        <v>1.4938918050608013E-2</v>
      </c>
      <c r="T130" s="78">
        <v>0.17934294242705887</v>
      </c>
      <c r="U130" s="78">
        <v>1</v>
      </c>
      <c r="V130" s="12"/>
      <c r="W130" s="12"/>
    </row>
    <row r="131" spans="1:23" ht="13.5" hidden="1" customHeight="1">
      <c r="A131" s="2"/>
      <c r="B131" s="2"/>
      <c r="C131" s="3"/>
      <c r="E131" s="12"/>
      <c r="F131" s="24">
        <v>41913</v>
      </c>
      <c r="G131" s="34">
        <f>125.9*1.0101</f>
        <v>127.17159000000001</v>
      </c>
      <c r="H131" s="34">
        <v>130.4</v>
      </c>
      <c r="I131" s="34">
        <v>98.9</v>
      </c>
      <c r="J131" s="34">
        <v>1.22</v>
      </c>
      <c r="K131" s="34">
        <v>165.3</v>
      </c>
      <c r="L131" s="34">
        <v>109.67258252792016</v>
      </c>
      <c r="M131" s="77">
        <f t="shared" si="1"/>
        <v>1.93833047122971E-3</v>
      </c>
      <c r="N131" s="12"/>
      <c r="O131" s="24">
        <v>41913</v>
      </c>
      <c r="P131" s="78">
        <v>0.64063912184651273</v>
      </c>
      <c r="Q131" s="78">
        <v>8.2354535872584941E-2</v>
      </c>
      <c r="R131" s="78">
        <v>8.35836824457553E-2</v>
      </c>
      <c r="S131" s="78">
        <v>1.3992477970306585E-2</v>
      </c>
      <c r="T131" s="78">
        <v>0.17943018186484042</v>
      </c>
      <c r="U131" s="78">
        <v>0.99999999999999989</v>
      </c>
      <c r="V131" s="12"/>
      <c r="W131" s="12"/>
    </row>
    <row r="132" spans="1:23" ht="13.5" hidden="1" customHeight="1">
      <c r="A132" s="2"/>
      <c r="B132" s="2"/>
      <c r="C132" s="3"/>
      <c r="E132" s="12"/>
      <c r="F132" s="24">
        <v>41944</v>
      </c>
      <c r="G132" s="34">
        <f>G131</f>
        <v>127.17159000000001</v>
      </c>
      <c r="H132" s="34">
        <v>130.80000000000001</v>
      </c>
      <c r="I132" s="34">
        <f>+I$120*(103.5/103.3)</f>
        <v>99.492255566311712</v>
      </c>
      <c r="J132" s="34">
        <v>1.18</v>
      </c>
      <c r="K132" s="34">
        <v>163.6</v>
      </c>
      <c r="L132" s="34">
        <v>109.46534073069375</v>
      </c>
      <c r="M132" s="77">
        <f t="shared" si="1"/>
        <v>-1.8896408970185963E-3</v>
      </c>
      <c r="N132" s="12"/>
      <c r="O132" s="24">
        <v>41944</v>
      </c>
      <c r="P132" s="78">
        <v>0.64185199161971018</v>
      </c>
      <c r="Q132" s="78">
        <v>8.2763550538147074E-2</v>
      </c>
      <c r="R132" s="78">
        <v>8.3904058056816277E-2</v>
      </c>
      <c r="S132" s="78">
        <v>1.3559330466173407E-2</v>
      </c>
      <c r="T132" s="78">
        <v>0.17792106931915308</v>
      </c>
      <c r="U132" s="78">
        <v>1</v>
      </c>
      <c r="V132" s="12"/>
      <c r="W132" s="12"/>
    </row>
    <row r="133" spans="1:23" ht="13.5" hidden="1" customHeight="1">
      <c r="A133" s="2"/>
      <c r="B133" s="2"/>
      <c r="C133" s="3"/>
      <c r="E133" s="12"/>
      <c r="F133" s="24">
        <v>41974</v>
      </c>
      <c r="G133" s="34">
        <f>G131</f>
        <v>127.17159000000001</v>
      </c>
      <c r="H133" s="34">
        <v>130.9</v>
      </c>
      <c r="I133" s="34">
        <f>+I$120*(103.5/103.3)</f>
        <v>99.492255566311712</v>
      </c>
      <c r="J133" s="34">
        <v>1.23</v>
      </c>
      <c r="K133" s="34">
        <v>158.9</v>
      </c>
      <c r="L133" s="34">
        <v>108.97563640985737</v>
      </c>
      <c r="M133" s="77">
        <f t="shared" si="1"/>
        <v>-4.4736015762391057E-3</v>
      </c>
      <c r="N133" s="12"/>
      <c r="O133" s="24">
        <v>41974</v>
      </c>
      <c r="P133" s="78">
        <v>0.64473628488000789</v>
      </c>
      <c r="Q133" s="78">
        <v>8.319902471197263E-2</v>
      </c>
      <c r="R133" s="78">
        <v>8.4281098110169095E-2</v>
      </c>
      <c r="S133" s="78">
        <v>1.4197391841804432E-2</v>
      </c>
      <c r="T133" s="78">
        <v>0.17358620045604584</v>
      </c>
      <c r="U133" s="78">
        <v>1</v>
      </c>
      <c r="V133" s="12"/>
      <c r="W133" s="12"/>
    </row>
    <row r="134" spans="1:23" ht="13.5" hidden="1" customHeight="1">
      <c r="A134" s="2"/>
      <c r="B134" s="2"/>
      <c r="C134" s="3"/>
      <c r="E134" s="12"/>
      <c r="F134" s="24">
        <v>42005</v>
      </c>
      <c r="G134" s="34">
        <v>127.7</v>
      </c>
      <c r="H134" s="34">
        <v>130.6</v>
      </c>
      <c r="I134" s="34">
        <f>+I$120*(103.4/103.3)</f>
        <v>99.396127783155862</v>
      </c>
      <c r="J134" s="34">
        <v>1.17</v>
      </c>
      <c r="K134" s="34">
        <v>158.30000000000001</v>
      </c>
      <c r="L134" s="34">
        <v>109.09102214962684</v>
      </c>
      <c r="M134" s="77">
        <f t="shared" si="1"/>
        <v>1.0588214354216863E-3</v>
      </c>
      <c r="N134" s="12"/>
      <c r="O134" s="24">
        <v>42005</v>
      </c>
      <c r="P134" s="78">
        <v>0.6467304531355208</v>
      </c>
      <c r="Q134" s="78">
        <v>8.2920548984134618E-2</v>
      </c>
      <c r="R134" s="78">
        <v>8.4110608981766033E-2</v>
      </c>
      <c r="S134" s="78">
        <v>1.3490552056511109E-2</v>
      </c>
      <c r="T134" s="78">
        <v>0.1727478368420674</v>
      </c>
      <c r="U134" s="78">
        <v>0.99999999999999989</v>
      </c>
      <c r="V134" s="12"/>
      <c r="W134" s="12"/>
    </row>
    <row r="135" spans="1:23" ht="13.5" hidden="1" customHeight="1">
      <c r="A135" s="2"/>
      <c r="B135" s="2"/>
      <c r="C135" s="3"/>
      <c r="E135" s="12"/>
      <c r="F135" s="24">
        <v>42036</v>
      </c>
      <c r="G135" s="34">
        <f>G134</f>
        <v>127.7</v>
      </c>
      <c r="H135" s="34">
        <v>130.30000000000001</v>
      </c>
      <c r="I135" s="34">
        <f>+I$120*(103.8/103.3)</f>
        <v>99.780638915779292</v>
      </c>
      <c r="J135" s="34">
        <v>1.1000000000000001</v>
      </c>
      <c r="K135" s="34">
        <v>146.4</v>
      </c>
      <c r="L135" s="34">
        <v>107.60102193343101</v>
      </c>
      <c r="M135" s="77">
        <f t="shared" si="1"/>
        <v>-1.3658321160032516E-2</v>
      </c>
      <c r="N135" s="12"/>
      <c r="O135" s="24">
        <v>42036</v>
      </c>
      <c r="P135" s="78">
        <v>0.65568602342358473</v>
      </c>
      <c r="Q135" s="78">
        <v>8.387567388246317E-2</v>
      </c>
      <c r="R135" s="78">
        <v>8.5605211991969354E-2</v>
      </c>
      <c r="S135" s="78">
        <v>1.2859058156512242E-2</v>
      </c>
      <c r="T135" s="78">
        <v>0.16197403254547041</v>
      </c>
      <c r="U135" s="78">
        <v>0.99999999999999989</v>
      </c>
      <c r="V135" s="12"/>
      <c r="W135" s="12"/>
    </row>
    <row r="136" spans="1:23" ht="13.5" hidden="1" customHeight="1">
      <c r="A136" s="2"/>
      <c r="B136" s="2"/>
      <c r="C136" s="3"/>
      <c r="E136" s="12"/>
      <c r="F136" s="24">
        <v>42064</v>
      </c>
      <c r="G136" s="34">
        <f>G134</f>
        <v>127.7</v>
      </c>
      <c r="H136" s="34">
        <v>129.6</v>
      </c>
      <c r="I136" s="34">
        <v>99.8</v>
      </c>
      <c r="J136" s="34">
        <v>0.87</v>
      </c>
      <c r="K136" s="34">
        <v>139.80000000000001</v>
      </c>
      <c r="L136" s="34">
        <v>106.51656379649668</v>
      </c>
      <c r="M136" s="77">
        <f t="shared" si="1"/>
        <v>-1.0078511499688636E-2</v>
      </c>
      <c r="N136" s="12"/>
      <c r="O136" s="24">
        <v>42064</v>
      </c>
      <c r="P136" s="78">
        <v>0.66236164285808252</v>
      </c>
      <c r="Q136" s="78">
        <v>8.4274436356898477E-2</v>
      </c>
      <c r="R136" s="78">
        <v>8.6843370991597779E-2</v>
      </c>
      <c r="S136" s="78">
        <v>1.0273891530450425E-2</v>
      </c>
      <c r="T136" s="78">
        <v>0.15624665826297079</v>
      </c>
      <c r="U136" s="78">
        <v>1</v>
      </c>
      <c r="V136" s="12"/>
      <c r="W136" s="12"/>
    </row>
    <row r="137" spans="1:23" ht="13.5" hidden="1" customHeight="1">
      <c r="A137" s="2"/>
      <c r="B137" s="2"/>
      <c r="C137" s="3"/>
      <c r="E137" s="12"/>
      <c r="F137" s="24">
        <v>42095</v>
      </c>
      <c r="G137" s="34">
        <f>126.9*1.0101</f>
        <v>128.18169</v>
      </c>
      <c r="H137" s="34">
        <v>130.9</v>
      </c>
      <c r="I137" s="34">
        <v>100</v>
      </c>
      <c r="J137" s="34">
        <v>0.82</v>
      </c>
      <c r="K137" s="34">
        <v>148.1</v>
      </c>
      <c r="L137" s="34">
        <v>107.81647390481069</v>
      </c>
      <c r="M137" s="77">
        <f t="shared" si="1"/>
        <v>1.2203830671795979E-2</v>
      </c>
      <c r="N137" s="12"/>
      <c r="O137" s="24">
        <v>42095</v>
      </c>
      <c r="P137" s="78">
        <v>0.65684408601781064</v>
      </c>
      <c r="Q137" s="78">
        <v>8.4093518720260427E-2</v>
      </c>
      <c r="R137" s="78">
        <v>8.5968263670224435E-2</v>
      </c>
      <c r="S137" s="78">
        <v>9.5666877567443884E-3</v>
      </c>
      <c r="T137" s="78">
        <v>0.16352744383496021</v>
      </c>
      <c r="U137" s="78">
        <v>1</v>
      </c>
      <c r="V137" s="12"/>
      <c r="W137" s="12"/>
    </row>
    <row r="138" spans="1:23" ht="13.5" hidden="1" customHeight="1">
      <c r="A138" s="2"/>
      <c r="B138" s="2"/>
      <c r="C138" s="3"/>
      <c r="E138" s="12"/>
      <c r="F138" s="24">
        <v>42125</v>
      </c>
      <c r="G138" s="34">
        <f>126.9*1.0101</f>
        <v>128.18169</v>
      </c>
      <c r="H138" s="34">
        <v>131.5</v>
      </c>
      <c r="I138" s="34">
        <v>100.3</v>
      </c>
      <c r="J138" s="34">
        <v>0.84</v>
      </c>
      <c r="K138" s="34">
        <v>149.1</v>
      </c>
      <c r="L138" s="34">
        <v>108.03004358329109</v>
      </c>
      <c r="M138" s="77">
        <f t="shared" si="1"/>
        <v>1.9808631347835171E-3</v>
      </c>
      <c r="N138" s="12"/>
      <c r="O138" s="24">
        <v>42125</v>
      </c>
      <c r="P138" s="78">
        <v>0.65554554002440446</v>
      </c>
      <c r="Q138" s="78">
        <v>8.4311963654838964E-2</v>
      </c>
      <c r="R138" s="78">
        <v>8.6055703889861834E-2</v>
      </c>
      <c r="S138" s="78">
        <v>9.7806474804415407E-3</v>
      </c>
      <c r="T138" s="78">
        <v>0.16430614495045318</v>
      </c>
      <c r="U138" s="78">
        <v>0.99999999999999989</v>
      </c>
      <c r="V138" s="12"/>
      <c r="W138" s="12"/>
    </row>
    <row r="139" spans="1:23" ht="13.5" hidden="1" customHeight="1">
      <c r="A139" s="2"/>
      <c r="B139" s="2"/>
      <c r="C139" s="3"/>
      <c r="E139" s="12"/>
      <c r="F139" s="24">
        <v>42156</v>
      </c>
      <c r="G139" s="34">
        <f>126.9*1.0101</f>
        <v>128.18169</v>
      </c>
      <c r="H139" s="34">
        <f>H138*(1+(((SUM(H$111:H$122)-SUM(H$99:H$110))/SUM(H$99:H$110))/12))</f>
        <v>131.59655849136419</v>
      </c>
      <c r="I139" s="34">
        <f>+I$120*(106/103.3)</f>
        <v>101.89545014520814</v>
      </c>
      <c r="J139" s="34">
        <v>0.76</v>
      </c>
      <c r="K139" s="34">
        <v>150.1</v>
      </c>
      <c r="L139" s="34">
        <v>108.16294508673766</v>
      </c>
      <c r="M139" s="77">
        <f t="shared" si="1"/>
        <v>1.2302272501085731E-3</v>
      </c>
      <c r="N139" s="12"/>
      <c r="O139" s="24">
        <v>42156</v>
      </c>
      <c r="P139" s="78">
        <v>0.65474006095967419</v>
      </c>
      <c r="Q139" s="78">
        <v>8.4251340820532331E-2</v>
      </c>
      <c r="R139" s="78">
        <v>8.6965422465667908E-2</v>
      </c>
      <c r="S139" s="78">
        <v>8.8382841462081464E-3</v>
      </c>
      <c r="T139" s="78">
        <v>0.16520489160791743</v>
      </c>
      <c r="U139" s="78">
        <v>0.99999999999999989</v>
      </c>
      <c r="V139" s="12"/>
      <c r="W139" s="12"/>
    </row>
    <row r="140" spans="1:23" ht="13.5" hidden="1" customHeight="1">
      <c r="A140" s="2"/>
      <c r="B140" s="2"/>
      <c r="C140" s="3"/>
      <c r="E140" s="12"/>
      <c r="F140" s="24">
        <v>42186</v>
      </c>
      <c r="G140" s="34">
        <f>127.2*1.0101</f>
        <v>128.48472000000001</v>
      </c>
      <c r="H140" s="34">
        <f>H139*(1+(((SUM(H$111:H$122)-SUM(H$99:H$110))/SUM(H$99:H$110))/12))</f>
        <v>131.69318788419039</v>
      </c>
      <c r="I140" s="34">
        <f>+I$120*(106/103.3)</f>
        <v>101.89545014520814</v>
      </c>
      <c r="J140" s="34">
        <v>0.99</v>
      </c>
      <c r="K140" s="34">
        <v>151.5</v>
      </c>
      <c r="L140" s="34">
        <v>108.79099023339269</v>
      </c>
      <c r="M140" s="77">
        <f t="shared" si="1"/>
        <v>5.8064723196227241E-3</v>
      </c>
      <c r="N140" s="12"/>
      <c r="O140" s="24">
        <v>42186</v>
      </c>
      <c r="P140" s="78">
        <v>0.65249919131062895</v>
      </c>
      <c r="Q140" s="78">
        <v>8.3807708207086953E-2</v>
      </c>
      <c r="R140" s="78">
        <v>8.6463375270498605E-2</v>
      </c>
      <c r="S140" s="78">
        <v>1.1446563876258321E-2</v>
      </c>
      <c r="T140" s="78">
        <v>0.16578316133552706</v>
      </c>
      <c r="U140" s="78">
        <v>0.99999999999999989</v>
      </c>
      <c r="V140" s="12"/>
      <c r="W140" s="12"/>
    </row>
    <row r="141" spans="1:23" ht="13.5" hidden="1" customHeight="1">
      <c r="A141" s="2"/>
      <c r="B141" s="2"/>
      <c r="C141" s="3"/>
      <c r="E141" s="12"/>
      <c r="F141" s="24">
        <v>42217</v>
      </c>
      <c r="G141" s="34">
        <f>127.2*1.0101</f>
        <v>128.48472000000001</v>
      </c>
      <c r="H141" s="34">
        <v>131.6</v>
      </c>
      <c r="I141" s="34">
        <f>+I$120*(106.2/103.3)</f>
        <v>102.08770571151985</v>
      </c>
      <c r="J141" s="34">
        <v>1.1100000000000001</v>
      </c>
      <c r="K141" s="34">
        <v>150.30000000000001</v>
      </c>
      <c r="L141" s="34">
        <v>108.81445242973099</v>
      </c>
      <c r="M141" s="77">
        <f t="shared" si="1"/>
        <v>2.1566304606635001E-4</v>
      </c>
      <c r="N141" s="12"/>
      <c r="O141" s="24">
        <v>42217</v>
      </c>
      <c r="P141" s="78">
        <v>0.65235850168902754</v>
      </c>
      <c r="Q141" s="78">
        <v>8.3767838845100098E-2</v>
      </c>
      <c r="R141" s="78">
        <v>8.660783560476544E-2</v>
      </c>
      <c r="S141" s="78">
        <v>1.2831258935902654E-2</v>
      </c>
      <c r="T141" s="78">
        <v>0.1644345649252042</v>
      </c>
      <c r="U141" s="78">
        <v>1</v>
      </c>
      <c r="V141" s="12"/>
      <c r="W141" s="12"/>
    </row>
    <row r="142" spans="1:23" ht="13.5" hidden="1" customHeight="1">
      <c r="A142" s="2"/>
      <c r="B142" s="2"/>
      <c r="C142" s="3"/>
      <c r="E142" s="12"/>
      <c r="F142" s="24">
        <v>42248</v>
      </c>
      <c r="G142" s="34">
        <f>127.2*1.0101</f>
        <v>128.48472000000001</v>
      </c>
      <c r="H142" s="34">
        <v>131.5</v>
      </c>
      <c r="I142" s="34">
        <f>+I$120*(106.3/103.3)</f>
        <v>102.18383349467568</v>
      </c>
      <c r="J142" s="34">
        <v>1</v>
      </c>
      <c r="K142" s="34">
        <v>147.19999999999999</v>
      </c>
      <c r="L142" s="34">
        <v>108.30898762031161</v>
      </c>
      <c r="M142" s="77">
        <f t="shared" si="1"/>
        <v>-4.6451992187874769E-3</v>
      </c>
      <c r="N142" s="12"/>
      <c r="O142" s="24">
        <v>42248</v>
      </c>
      <c r="P142" s="78">
        <v>0.65540297909551304</v>
      </c>
      <c r="Q142" s="78">
        <v>8.4094822676719458E-2</v>
      </c>
      <c r="R142" s="78">
        <v>8.7093956015489152E-2</v>
      </c>
      <c r="S142" s="78">
        <v>1.1613640408399814E-2</v>
      </c>
      <c r="T142" s="78">
        <v>0.1617946018038785</v>
      </c>
      <c r="U142" s="78">
        <v>1</v>
      </c>
      <c r="V142" s="12"/>
      <c r="W142" s="12"/>
    </row>
    <row r="143" spans="1:23" ht="13.5" hidden="1" customHeight="1">
      <c r="A143" s="2"/>
      <c r="B143" s="2"/>
      <c r="C143" s="3"/>
      <c r="E143" s="12"/>
      <c r="F143" s="24">
        <v>42278</v>
      </c>
      <c r="G143" s="34">
        <f>127.8*1.0101</f>
        <v>129.09078</v>
      </c>
      <c r="H143" s="34">
        <v>131.1</v>
      </c>
      <c r="I143" s="34">
        <f>+I$120*(106.5/103.3)</f>
        <v>102.37608906098741</v>
      </c>
      <c r="J143" s="34">
        <v>1.07</v>
      </c>
      <c r="K143" s="34">
        <v>141.69999999999999</v>
      </c>
      <c r="L143" s="34">
        <v>108.06715817417273</v>
      </c>
      <c r="M143" s="77">
        <f t="shared" si="1"/>
        <v>-2.2327735809574145E-3</v>
      </c>
      <c r="N143" s="12"/>
      <c r="O143" s="24">
        <v>42278</v>
      </c>
      <c r="P143" s="78">
        <v>0.65996806183455259</v>
      </c>
      <c r="Q143" s="78">
        <v>8.4026633381848848E-2</v>
      </c>
      <c r="R143" s="78">
        <v>8.7453083401262122E-2</v>
      </c>
      <c r="S143" s="78">
        <v>1.2454403099194277E-2</v>
      </c>
      <c r="T143" s="78">
        <v>0.15609781828314237</v>
      </c>
      <c r="U143" s="78">
        <v>1.0000000000000002</v>
      </c>
      <c r="V143" s="12"/>
      <c r="W143" s="12"/>
    </row>
    <row r="144" spans="1:23" ht="13.5" hidden="1" customHeight="1">
      <c r="A144" s="2"/>
      <c r="B144" s="2"/>
      <c r="C144" s="3"/>
      <c r="E144" s="12"/>
      <c r="F144" s="24">
        <v>42309</v>
      </c>
      <c r="G144" s="34">
        <f>127.8*1.0101</f>
        <v>129.09078</v>
      </c>
      <c r="H144" s="34">
        <v>131.4</v>
      </c>
      <c r="I144" s="34">
        <f>+I$120*(106.5/103.3)</f>
        <v>102.37608906098741</v>
      </c>
      <c r="J144" s="34">
        <v>1.1200000000000001</v>
      </c>
      <c r="K144" s="34">
        <v>139.30000000000001</v>
      </c>
      <c r="L144" s="34">
        <v>107.86511619099868</v>
      </c>
      <c r="M144" s="77">
        <f t="shared" si="1"/>
        <v>-1.8695965230104417E-3</v>
      </c>
      <c r="N144" s="12"/>
      <c r="O144" s="24">
        <v>42309</v>
      </c>
      <c r="P144" s="78">
        <v>0.66120424699573555</v>
      </c>
      <c r="Q144" s="78">
        <v>8.4376664325683109E-2</v>
      </c>
      <c r="R144" s="78">
        <v>8.7616891637224054E-2</v>
      </c>
      <c r="S144" s="78">
        <v>1.306080298427478E-2</v>
      </c>
      <c r="T144" s="78">
        <v>0.15374139405708265</v>
      </c>
      <c r="U144" s="78">
        <v>1.0000000000000002</v>
      </c>
      <c r="V144" s="12"/>
      <c r="W144" s="12"/>
    </row>
    <row r="145" spans="1:23" ht="13.5" hidden="1" customHeight="1">
      <c r="A145" s="2"/>
      <c r="B145" s="2"/>
      <c r="C145" s="3"/>
      <c r="E145" s="12"/>
      <c r="F145" s="24">
        <v>42339</v>
      </c>
      <c r="G145" s="34">
        <f>127.8*1.0101</f>
        <v>129.09078</v>
      </c>
      <c r="H145" s="34">
        <v>131.4</v>
      </c>
      <c r="I145" s="34">
        <f>+I$120*(106.7/103.3)</f>
        <v>102.56834462729913</v>
      </c>
      <c r="J145" s="34">
        <v>1.08</v>
      </c>
      <c r="K145" s="34">
        <v>139.80000000000001</v>
      </c>
      <c r="L145" s="34">
        <v>107.89207352797142</v>
      </c>
      <c r="M145" s="77">
        <f t="shared" si="1"/>
        <v>2.4991709947275176E-4</v>
      </c>
      <c r="N145" s="12"/>
      <c r="O145" s="24">
        <v>42339</v>
      </c>
      <c r="P145" s="78">
        <v>0.66103904203571173</v>
      </c>
      <c r="Q145" s="78">
        <v>8.4355582423199571E-2</v>
      </c>
      <c r="R145" s="78">
        <v>8.7759497801720251E-2</v>
      </c>
      <c r="S145" s="78">
        <v>1.25911989789087E-2</v>
      </c>
      <c r="T145" s="78">
        <v>0.15425467876045984</v>
      </c>
      <c r="U145" s="78">
        <v>1</v>
      </c>
      <c r="V145" s="12"/>
      <c r="W145" s="12"/>
    </row>
    <row r="146" spans="1:23" ht="13.5" hidden="1" customHeight="1">
      <c r="A146" s="2"/>
      <c r="B146" s="2"/>
      <c r="C146" s="3"/>
      <c r="E146" s="12"/>
      <c r="F146" s="24">
        <v>42370</v>
      </c>
      <c r="G146" s="34">
        <f>128.2*1.0101</f>
        <v>129.49481999999998</v>
      </c>
      <c r="H146" s="34">
        <v>131</v>
      </c>
      <c r="I146" s="34">
        <f>+I$120*(106.8/103.3)</f>
        <v>102.66447241045498</v>
      </c>
      <c r="J146" s="34">
        <v>1.03</v>
      </c>
      <c r="K146" s="34">
        <v>138.5</v>
      </c>
      <c r="L146" s="34">
        <v>107.87881342950875</v>
      </c>
      <c r="M146" s="77">
        <f t="shared" si="1"/>
        <v>-1.2290150730331906E-4</v>
      </c>
      <c r="N146" s="12"/>
      <c r="O146" s="24">
        <v>42370</v>
      </c>
      <c r="P146" s="78">
        <v>0.66318952881571003</v>
      </c>
      <c r="Q146" s="78">
        <v>8.4109129356729817E-2</v>
      </c>
      <c r="R146" s="78">
        <v>8.7852543838209229E-2</v>
      </c>
      <c r="S146" s="78">
        <v>1.2009749116524276E-2</v>
      </c>
      <c r="T146" s="78">
        <v>0.15283904887282668</v>
      </c>
      <c r="U146" s="78">
        <v>1</v>
      </c>
      <c r="V146" s="12"/>
      <c r="W146" s="12"/>
    </row>
    <row r="147" spans="1:23" ht="13.5" hidden="1" customHeight="1">
      <c r="A147" s="2"/>
      <c r="B147" s="2"/>
      <c r="C147" s="3"/>
      <c r="E147" s="12"/>
      <c r="F147" s="24">
        <v>42401</v>
      </c>
      <c r="G147" s="34">
        <f>128.2*1.0101</f>
        <v>129.49481999999998</v>
      </c>
      <c r="H147" s="34">
        <f>H146*(1+(((SUM(H$123:H$134)-SUM(H$111:H$122))/SUM(H$111:H$122))/12))</f>
        <v>131.06588895517743</v>
      </c>
      <c r="I147" s="34">
        <f>+I$120*(106.8/103.3)</f>
        <v>102.66447241045498</v>
      </c>
      <c r="J147" s="34">
        <v>1.0900000000000001</v>
      </c>
      <c r="K147" s="34">
        <v>130.4</v>
      </c>
      <c r="L147" s="34">
        <v>106.99342825452446</v>
      </c>
      <c r="M147" s="77">
        <f t="shared" si="1"/>
        <v>-8.2072201838114811E-3</v>
      </c>
      <c r="N147" s="12"/>
      <c r="O147" s="24">
        <v>42401</v>
      </c>
      <c r="P147" s="78">
        <v>0.66867751239187345</v>
      </c>
      <c r="Q147" s="78">
        <v>8.4837191058016653E-2</v>
      </c>
      <c r="R147" s="78">
        <v>8.8579535590580891E-2</v>
      </c>
      <c r="S147" s="78">
        <v>1.2814517720923284E-2</v>
      </c>
      <c r="T147" s="78">
        <v>0.14509124323860581</v>
      </c>
      <c r="U147" s="78">
        <v>1</v>
      </c>
      <c r="V147" s="12"/>
      <c r="W147" s="12"/>
    </row>
    <row r="148" spans="1:23" ht="13.5" hidden="1" customHeight="1">
      <c r="A148" s="2"/>
      <c r="B148" s="2"/>
      <c r="C148" s="3"/>
      <c r="E148" s="12"/>
      <c r="F148" s="24">
        <v>42430</v>
      </c>
      <c r="G148" s="34">
        <f>128.2*1.0101</f>
        <v>129.49481999999998</v>
      </c>
      <c r="H148" s="34">
        <f>131/99.8*99.4</f>
        <v>130.47494989979961</v>
      </c>
      <c r="I148" s="34">
        <f>+I$120*(106.9/103.3)</f>
        <v>102.76060019361086</v>
      </c>
      <c r="J148" s="34">
        <f>+J147</f>
        <v>1.0900000000000001</v>
      </c>
      <c r="K148" s="34">
        <v>125.63455149501662</v>
      </c>
      <c r="L148" s="34">
        <v>106.39519100504542</v>
      </c>
      <c r="M148" s="77">
        <f t="shared" si="1"/>
        <v>-5.5913457418702572E-3</v>
      </c>
      <c r="N148" s="12"/>
      <c r="O148" s="24">
        <v>42430</v>
      </c>
      <c r="P148" s="78">
        <v>0.67243734206108119</v>
      </c>
      <c r="Q148" s="78">
        <v>8.4940173345401757E-2</v>
      </c>
      <c r="R148" s="78">
        <v>8.9161005237623256E-2</v>
      </c>
      <c r="S148" s="78">
        <v>1.2886570994782267E-2</v>
      </c>
      <c r="T148" s="78">
        <v>0.14057490836111153</v>
      </c>
      <c r="U148" s="78">
        <v>1</v>
      </c>
      <c r="V148" s="12"/>
      <c r="W148" s="12"/>
    </row>
    <row r="149" spans="1:23" ht="13.5" hidden="1" customHeight="1">
      <c r="A149" s="2"/>
      <c r="B149" s="2"/>
      <c r="C149" s="3"/>
      <c r="E149" s="12"/>
      <c r="F149" s="24">
        <v>42461</v>
      </c>
      <c r="G149" s="34">
        <f>128.7*1.0101</f>
        <v>129.99986999999999</v>
      </c>
      <c r="H149" s="34">
        <f>131/99.8*100.1</f>
        <v>131.3937875751503</v>
      </c>
      <c r="I149" s="34">
        <f>+I$120*(106.9/103.3)</f>
        <v>102.76060019361086</v>
      </c>
      <c r="J149" s="34">
        <v>0.96</v>
      </c>
      <c r="K149" s="34">
        <v>123.61284606866002</v>
      </c>
      <c r="L149" s="34">
        <v>106.33366536060261</v>
      </c>
      <c r="M149" s="77">
        <f t="shared" si="1"/>
        <v>-5.782746744624756E-4</v>
      </c>
      <c r="N149" s="12"/>
      <c r="O149" s="24">
        <v>42461</v>
      </c>
      <c r="P149" s="78">
        <v>0.67545054854561681</v>
      </c>
      <c r="Q149" s="78">
        <v>8.5587836858725952E-2</v>
      </c>
      <c r="R149" s="78">
        <v>8.9212594621736099E-2</v>
      </c>
      <c r="S149" s="78">
        <v>1.1356207516370691E-2</v>
      </c>
      <c r="T149" s="78">
        <v>0.13839281245755053</v>
      </c>
      <c r="U149" s="78">
        <v>1</v>
      </c>
      <c r="V149" s="12"/>
      <c r="W149" s="12"/>
    </row>
    <row r="150" spans="1:23" ht="13.5" hidden="1" customHeight="1">
      <c r="A150" s="2"/>
      <c r="B150" s="2"/>
      <c r="C150" s="3"/>
      <c r="E150" s="12"/>
      <c r="F150" s="24">
        <v>42491</v>
      </c>
      <c r="G150" s="34">
        <f>128.7*1.0101</f>
        <v>129.99986999999999</v>
      </c>
      <c r="H150" s="34">
        <f>131/99.8*100.2</f>
        <v>131.52505010020042</v>
      </c>
      <c r="I150" s="34">
        <f>+I$120*(107/103.3)</f>
        <v>102.85672797676669</v>
      </c>
      <c r="J150" s="34">
        <v>0.85</v>
      </c>
      <c r="K150" s="34">
        <v>130.25559246954597</v>
      </c>
      <c r="L150" s="34">
        <v>107.00406949674672</v>
      </c>
      <c r="M150" s="77">
        <f t="shared" ref="M150:M213" si="4">IF(L150="","",L150/L149-1)</f>
        <v>6.3047214056866085E-3</v>
      </c>
      <c r="N150" s="12"/>
      <c r="O150" s="24">
        <v>42491</v>
      </c>
      <c r="P150" s="78">
        <v>0.67121870162955566</v>
      </c>
      <c r="Q150" s="78">
        <v>8.5136576795123056E-2</v>
      </c>
      <c r="R150" s="78">
        <v>8.8736589398371743E-2</v>
      </c>
      <c r="S150" s="78">
        <v>9.9919787627293349E-3</v>
      </c>
      <c r="T150" s="78">
        <v>0.14491615341422018</v>
      </c>
      <c r="U150" s="78">
        <v>0.99999999999999989</v>
      </c>
      <c r="V150" s="12"/>
      <c r="W150" s="12"/>
    </row>
    <row r="151" spans="1:23" ht="13.5" hidden="1" customHeight="1">
      <c r="A151" s="2"/>
      <c r="B151" s="2"/>
      <c r="C151" s="3"/>
      <c r="E151" s="12"/>
      <c r="F151" s="24">
        <v>42522</v>
      </c>
      <c r="G151" s="34">
        <f>128.7*1.0101</f>
        <v>129.99986999999999</v>
      </c>
      <c r="H151" s="34">
        <f>131/99.8*100.3</f>
        <v>131.65631262525051</v>
      </c>
      <c r="I151" s="34">
        <f>+I$120*(106.8/103.3)</f>
        <v>102.66447241045498</v>
      </c>
      <c r="J151" s="34">
        <v>0.87</v>
      </c>
      <c r="K151" s="34">
        <v>129.53355481727576</v>
      </c>
      <c r="L151" s="34">
        <v>106.93461364985473</v>
      </c>
      <c r="M151" s="77">
        <f t="shared" si="4"/>
        <v>-6.4909537757451563E-4</v>
      </c>
      <c r="N151" s="12"/>
      <c r="O151" s="24">
        <v>42522</v>
      </c>
      <c r="P151" s="78">
        <v>0.67165466957090048</v>
      </c>
      <c r="Q151" s="78">
        <v>8.5276896277818995E-2</v>
      </c>
      <c r="R151" s="78">
        <v>8.8628254804965931E-2</v>
      </c>
      <c r="S151" s="78">
        <v>1.023372681014962E-2</v>
      </c>
      <c r="T151" s="78">
        <v>0.14420645253616507</v>
      </c>
      <c r="U151" s="78">
        <v>1.0000000000000002</v>
      </c>
      <c r="V151" s="12"/>
      <c r="W151" s="12"/>
    </row>
    <row r="152" spans="1:23" ht="13.5" hidden="1" customHeight="1">
      <c r="A152" s="2"/>
      <c r="B152" s="2"/>
      <c r="C152" s="3"/>
      <c r="E152" s="12"/>
      <c r="F152" s="24">
        <v>42552</v>
      </c>
      <c r="G152" s="34">
        <f>129.4*1.0101</f>
        <v>130.70694</v>
      </c>
      <c r="H152" s="34">
        <f>131/99.8*100.5</f>
        <v>131.91883767535072</v>
      </c>
      <c r="I152" s="34">
        <f>+I$120*(106.7/103.3)</f>
        <v>102.56834462729913</v>
      </c>
      <c r="J152" s="34">
        <v>0.83</v>
      </c>
      <c r="K152" s="34">
        <v>133.14374307862681</v>
      </c>
      <c r="L152" s="34">
        <v>107.71403946693805</v>
      </c>
      <c r="M152" s="77">
        <f t="shared" si="4"/>
        <v>7.2888075290145071E-3</v>
      </c>
      <c r="N152" s="12"/>
      <c r="O152" s="24">
        <v>42552</v>
      </c>
      <c r="P152" s="78">
        <v>0.67042123165096146</v>
      </c>
      <c r="Q152" s="78">
        <v>8.4828640307242437E-2</v>
      </c>
      <c r="R152" s="78">
        <v>8.7904550200323173E-2</v>
      </c>
      <c r="S152" s="78">
        <v>9.6925634058423697E-3</v>
      </c>
      <c r="T152" s="78">
        <v>0.1471530144356307</v>
      </c>
      <c r="U152" s="78">
        <v>1.0000000000000002</v>
      </c>
      <c r="V152" s="12"/>
      <c r="W152" s="12"/>
    </row>
    <row r="153" spans="1:23" ht="13.5" hidden="1" customHeight="1">
      <c r="A153" s="2"/>
      <c r="B153" s="2"/>
      <c r="C153" s="3"/>
      <c r="E153" s="12"/>
      <c r="F153" s="24">
        <v>42583</v>
      </c>
      <c r="G153" s="34">
        <f>129.4*1.0101</f>
        <v>130.70694</v>
      </c>
      <c r="H153" s="34">
        <f>131/99.8*100.6</f>
        <v>132.05010020040081</v>
      </c>
      <c r="I153" s="34">
        <f>+I$120*(107/103.3)</f>
        <v>102.85672797676669</v>
      </c>
      <c r="J153" s="34">
        <v>0.6</v>
      </c>
      <c r="K153" s="34">
        <v>138.48682170542637</v>
      </c>
      <c r="L153" s="34">
        <v>108.09652584565558</v>
      </c>
      <c r="M153" s="77">
        <f t="shared" si="4"/>
        <v>3.5509426682946987E-3</v>
      </c>
      <c r="N153" s="12"/>
      <c r="O153" s="24">
        <v>42583</v>
      </c>
      <c r="P153" s="78">
        <v>0.66804902785344378</v>
      </c>
      <c r="Q153" s="78">
        <v>8.4612592449708604E-2</v>
      </c>
      <c r="R153" s="78">
        <v>8.783979045214857E-2</v>
      </c>
      <c r="S153" s="78">
        <v>6.9818800856716705E-3</v>
      </c>
      <c r="T153" s="78">
        <v>0.15251670915902743</v>
      </c>
      <c r="U153" s="78">
        <v>1.0000000000000002</v>
      </c>
      <c r="V153" s="12"/>
      <c r="W153" s="12"/>
    </row>
    <row r="154" spans="1:23" ht="13.5" hidden="1" customHeight="1">
      <c r="A154" s="2"/>
      <c r="B154" s="2"/>
      <c r="C154" s="3"/>
      <c r="E154" s="12"/>
      <c r="F154" s="24">
        <v>42614</v>
      </c>
      <c r="G154" s="34">
        <f>129.4*1.0101</f>
        <v>130.70694</v>
      </c>
      <c r="H154" s="34">
        <f>131/99.8*100.5</f>
        <v>131.91883767535072</v>
      </c>
      <c r="I154" s="34">
        <f>+I$120*(107.2/103.3)</f>
        <v>103.04898354307842</v>
      </c>
      <c r="J154" s="34">
        <v>0.63</v>
      </c>
      <c r="K154" s="34">
        <v>134.44341085271319</v>
      </c>
      <c r="L154" s="34">
        <v>107.66155947609626</v>
      </c>
      <c r="M154" s="77">
        <f t="shared" si="4"/>
        <v>-4.0238700194711319E-3</v>
      </c>
      <c r="N154" s="12"/>
      <c r="O154" s="24">
        <v>42614</v>
      </c>
      <c r="P154" s="78">
        <v>0.6707480307449778</v>
      </c>
      <c r="Q154" s="78">
        <v>8.4869990314506941E-2</v>
      </c>
      <c r="R154" s="78">
        <v>8.8359524216788873E-2</v>
      </c>
      <c r="S154" s="78">
        <v>7.3605921560575688E-3</v>
      </c>
      <c r="T154" s="78">
        <v>0.14866186256766889</v>
      </c>
      <c r="U154" s="78">
        <v>1</v>
      </c>
      <c r="V154" s="12"/>
      <c r="W154" s="12"/>
    </row>
    <row r="155" spans="1:23" ht="13.5" hidden="1" customHeight="1">
      <c r="A155" s="2"/>
      <c r="B155" s="2"/>
      <c r="C155" s="3"/>
      <c r="E155" s="12"/>
      <c r="F155" s="24">
        <v>42644</v>
      </c>
      <c r="G155" s="34">
        <f>130*1.0101</f>
        <v>131.31299999999999</v>
      </c>
      <c r="H155" s="34">
        <f>131/99.8*100.2</f>
        <v>131.52505010020042</v>
      </c>
      <c r="I155" s="34">
        <f>+I$120*(107.1/103.3)</f>
        <v>102.95285575992254</v>
      </c>
      <c r="J155" s="34">
        <v>0.64</v>
      </c>
      <c r="K155" s="34">
        <v>131.55526024363235</v>
      </c>
      <c r="L155" s="34">
        <v>107.62900109168257</v>
      </c>
      <c r="M155" s="77">
        <f t="shared" si="4"/>
        <v>-3.0241420031551502E-4</v>
      </c>
      <c r="N155" s="12"/>
      <c r="O155" s="24">
        <v>42644</v>
      </c>
      <c r="P155" s="78">
        <v>0.6740619911795952</v>
      </c>
      <c r="Q155" s="78">
        <v>8.4642244076392051E-2</v>
      </c>
      <c r="R155" s="78">
        <v>8.83038036116362E-2</v>
      </c>
      <c r="S155" s="78">
        <v>7.4796889163277055E-3</v>
      </c>
      <c r="T155" s="78">
        <v>0.14551227221604879</v>
      </c>
      <c r="U155" s="78">
        <v>1</v>
      </c>
      <c r="V155" s="12"/>
      <c r="W155" s="12"/>
    </row>
    <row r="156" spans="1:23" ht="13.5" hidden="1" customHeight="1">
      <c r="A156" s="2"/>
      <c r="B156" s="2"/>
      <c r="C156" s="3"/>
      <c r="E156" s="12"/>
      <c r="F156" s="24">
        <v>42675</v>
      </c>
      <c r="G156" s="34">
        <f>130*1.0101</f>
        <v>131.31299999999999</v>
      </c>
      <c r="H156" s="34">
        <f>131/99.8*100.2</f>
        <v>131.52505010020042</v>
      </c>
      <c r="I156" s="34">
        <f>+I$120*(107.2/103.3)</f>
        <v>103.04898354307842</v>
      </c>
      <c r="J156" s="34">
        <v>0.56000000000000005</v>
      </c>
      <c r="K156" s="34">
        <v>135.45426356589147</v>
      </c>
      <c r="L156" s="34">
        <v>108.00141321946754</v>
      </c>
      <c r="M156" s="77">
        <f t="shared" si="4"/>
        <v>3.4601466519952329E-3</v>
      </c>
      <c r="N156" s="12"/>
      <c r="O156" s="24">
        <v>42675</v>
      </c>
      <c r="P156" s="78">
        <v>0.67173768029410663</v>
      </c>
      <c r="Q156" s="78">
        <v>8.4350379393538982E-2</v>
      </c>
      <c r="R156" s="78">
        <v>8.8081478641528127E-2</v>
      </c>
      <c r="S156" s="78">
        <v>6.5221601711069116E-3</v>
      </c>
      <c r="T156" s="78">
        <v>0.14930830149971933</v>
      </c>
      <c r="U156" s="78">
        <v>1</v>
      </c>
      <c r="V156" s="12"/>
      <c r="W156" s="12"/>
    </row>
    <row r="157" spans="1:23" ht="13.5" hidden="1" customHeight="1">
      <c r="A157" s="2"/>
      <c r="B157" s="2"/>
      <c r="C157" s="3"/>
      <c r="E157" s="12"/>
      <c r="F157" s="24">
        <v>42705</v>
      </c>
      <c r="G157" s="34">
        <f>130*1.0101</f>
        <v>131.31299999999999</v>
      </c>
      <c r="H157" s="34">
        <f>131/99.8*100.4</f>
        <v>131.78757515030063</v>
      </c>
      <c r="I157" s="34">
        <f>+I$120*(107.2/103.3)</f>
        <v>103.04898354307842</v>
      </c>
      <c r="J157" s="34">
        <v>0.77</v>
      </c>
      <c r="K157" s="34">
        <v>140.79734219269105</v>
      </c>
      <c r="L157" s="34">
        <v>108.91982850502217</v>
      </c>
      <c r="M157" s="77">
        <f t="shared" si="4"/>
        <v>8.5037339621505392E-3</v>
      </c>
      <c r="N157" s="12"/>
      <c r="O157" s="24">
        <v>42705</v>
      </c>
      <c r="P157" s="78">
        <v>0.66607356787368832</v>
      </c>
      <c r="Q157" s="78">
        <v>8.3806078825521366E-2</v>
      </c>
      <c r="R157" s="78">
        <v>8.7338772951765647E-2</v>
      </c>
      <c r="S157" s="78">
        <v>8.8923520392325817E-3</v>
      </c>
      <c r="T157" s="78">
        <v>0.15388922830979199</v>
      </c>
      <c r="U157" s="78">
        <v>0.99999999999999989</v>
      </c>
      <c r="V157" s="12"/>
      <c r="W157" s="12"/>
    </row>
    <row r="158" spans="1:23" ht="13.5" hidden="1" customHeight="1">
      <c r="A158" s="2"/>
      <c r="B158" s="2"/>
      <c r="C158" s="3"/>
      <c r="E158" s="12"/>
      <c r="F158" s="24">
        <v>42736</v>
      </c>
      <c r="G158" s="34">
        <f>130.5*1.0101</f>
        <v>131.81805</v>
      </c>
      <c r="H158" s="34">
        <f>131/99.8*100.3</f>
        <v>131.65631262525051</v>
      </c>
      <c r="I158" s="34">
        <f>+I$120*(107.2/103.3)</f>
        <v>103.04898354307842</v>
      </c>
      <c r="J158" s="34">
        <v>0.78</v>
      </c>
      <c r="K158" s="34">
        <v>137.62037652270212</v>
      </c>
      <c r="L158" s="34">
        <v>108.82413829511059</v>
      </c>
      <c r="M158" s="77">
        <f t="shared" si="4"/>
        <v>-8.78538014840613E-4</v>
      </c>
      <c r="N158" s="12"/>
      <c r="O158" s="24">
        <v>42736</v>
      </c>
      <c r="P158" s="78">
        <v>0.66922332742214574</v>
      </c>
      <c r="Q158" s="78">
        <v>8.3796224804446928E-2</v>
      </c>
      <c r="R158" s="78">
        <v>8.7415570853849753E-2</v>
      </c>
      <c r="S158" s="78">
        <v>9.0157578166256899E-3</v>
      </c>
      <c r="T158" s="78">
        <v>0.15054911910293192</v>
      </c>
      <c r="U158" s="78">
        <v>1</v>
      </c>
      <c r="V158" s="12"/>
      <c r="W158" s="12"/>
    </row>
    <row r="159" spans="1:23" ht="13.5" hidden="1" customHeight="1">
      <c r="A159" s="2"/>
      <c r="B159" s="2"/>
      <c r="C159" s="3"/>
      <c r="E159" s="12"/>
      <c r="F159" s="24">
        <v>42767</v>
      </c>
      <c r="G159" s="34">
        <f>G156*(1+(((SUM(G$135:G$146)-SUM(G$123:G$134))/SUM(G$123:G$134))/4))</f>
        <v>131.79126077521192</v>
      </c>
      <c r="H159" s="34">
        <f>131/99.8*100.3</f>
        <v>131.65631262525051</v>
      </c>
      <c r="I159" s="34">
        <f>+I$120*(107.1/103.3)</f>
        <v>102.95285575992254</v>
      </c>
      <c r="J159" s="34">
        <v>0.73</v>
      </c>
      <c r="K159" s="34">
        <v>144.98516057585826</v>
      </c>
      <c r="L159" s="34">
        <v>109.63471583497559</v>
      </c>
      <c r="M159" s="77">
        <f t="shared" si="4"/>
        <v>7.4485086908464559E-3</v>
      </c>
      <c r="N159" s="12"/>
      <c r="O159" s="24">
        <v>42767</v>
      </c>
      <c r="P159" s="78">
        <v>0.66432640419352662</v>
      </c>
      <c r="Q159" s="78">
        <v>8.3176682561511728E-2</v>
      </c>
      <c r="R159" s="78">
        <v>8.6688327715668131E-2</v>
      </c>
      <c r="S159" s="78">
        <v>8.3754400849895393E-3</v>
      </c>
      <c r="T159" s="78">
        <v>0.15743314544430398</v>
      </c>
      <c r="U159" s="78">
        <v>1</v>
      </c>
      <c r="V159" s="12"/>
      <c r="W159" s="12"/>
    </row>
    <row r="160" spans="1:23" ht="13.5" hidden="1" customHeight="1">
      <c r="A160" s="2"/>
      <c r="B160" s="2"/>
      <c r="C160" s="3"/>
      <c r="E160" s="12"/>
      <c r="F160" s="24">
        <v>42795</v>
      </c>
      <c r="G160" s="34">
        <f>G157*(1+(((SUM(G$135:G$146)-SUM(G$123:G$134))/SUM(G$123:G$134))/4))</f>
        <v>131.79126077521192</v>
      </c>
      <c r="H160" s="34">
        <f>131/99.8*100.3</f>
        <v>131.65631262525051</v>
      </c>
      <c r="I160" s="34">
        <f>+I$120*(107.4/103.3)</f>
        <v>103.24123910939014</v>
      </c>
      <c r="J160" s="34">
        <v>0.84</v>
      </c>
      <c r="K160" s="34">
        <v>148.16212624584716</v>
      </c>
      <c r="L160" s="34">
        <v>110.1779128029446</v>
      </c>
      <c r="M160" s="77">
        <f t="shared" si="4"/>
        <v>4.9546073415891456E-3</v>
      </c>
      <c r="N160" s="12"/>
      <c r="O160" s="24">
        <v>42795</v>
      </c>
      <c r="P160" s="78">
        <v>0.6610511552863787</v>
      </c>
      <c r="Q160" s="78">
        <v>8.2766606525183639E-2</v>
      </c>
      <c r="R160" s="78">
        <v>8.6502565914902699E-2</v>
      </c>
      <c r="S160" s="78">
        <v>9.5899781245145088E-3</v>
      </c>
      <c r="T160" s="78">
        <v>0.16008969414902052</v>
      </c>
      <c r="U160" s="78">
        <v>1</v>
      </c>
      <c r="V160" s="12"/>
      <c r="W160" s="12"/>
    </row>
    <row r="161" spans="1:23" ht="13.5" hidden="1" customHeight="1">
      <c r="A161" s="2"/>
      <c r="B161" s="2"/>
      <c r="C161" s="3"/>
      <c r="E161" s="12"/>
      <c r="F161" s="24">
        <v>42826</v>
      </c>
      <c r="G161" s="34">
        <f>131.1*1.0101</f>
        <v>132.42410999999998</v>
      </c>
      <c r="H161" s="34">
        <f>131/99.8*101.1</f>
        <v>132.70641282565131</v>
      </c>
      <c r="I161" s="34">
        <f>+I$120*(107.5/103.3)</f>
        <v>103.33736689254599</v>
      </c>
      <c r="J161" s="34">
        <v>0.78</v>
      </c>
      <c r="K161" s="34">
        <v>145.41838316722038</v>
      </c>
      <c r="L161" s="34">
        <v>110.18666840076489</v>
      </c>
      <c r="M161" s="77">
        <f t="shared" si="4"/>
        <v>7.9467813444145108E-5</v>
      </c>
      <c r="N161" s="12"/>
      <c r="O161" s="24">
        <v>42826</v>
      </c>
      <c r="P161" s="78">
        <v>0.66398678510366238</v>
      </c>
      <c r="Q161" s="78">
        <v>8.342012970489518E-2</v>
      </c>
      <c r="R161" s="78">
        <v>8.6576228317706019E-2</v>
      </c>
      <c r="S161" s="78">
        <v>8.9042720840163594E-3</v>
      </c>
      <c r="T161" s="78">
        <v>0.15711258478972015</v>
      </c>
      <c r="U161" s="78">
        <v>1.0000000000000002</v>
      </c>
      <c r="V161" s="12"/>
      <c r="W161" s="12"/>
    </row>
    <row r="162" spans="1:23" ht="13.5" hidden="1" customHeight="1">
      <c r="A162" s="2"/>
      <c r="B162" s="2"/>
      <c r="C162" s="3"/>
      <c r="E162" s="12"/>
      <c r="F162" s="24">
        <v>42856</v>
      </c>
      <c r="G162" s="34">
        <f>131.1*1.0101</f>
        <v>132.42410999999998</v>
      </c>
      <c r="H162" s="34">
        <f>131/99.8*101.2</f>
        <v>132.8376753507014</v>
      </c>
      <c r="I162" s="34">
        <f>+I$120*(107.9/103.3)</f>
        <v>103.7218780251694</v>
      </c>
      <c r="J162" s="34">
        <v>0.67</v>
      </c>
      <c r="K162" s="34">
        <v>143.1078626799557</v>
      </c>
      <c r="L162" s="34">
        <v>109.81782942046338</v>
      </c>
      <c r="M162" s="77">
        <f t="shared" si="4"/>
        <v>-3.3474011480225663E-3</v>
      </c>
      <c r="N162" s="12"/>
      <c r="O162" s="24">
        <v>42856</v>
      </c>
      <c r="P162" s="78">
        <v>0.66621688025345482</v>
      </c>
      <c r="Q162" s="78">
        <v>8.3783097835062867E-2</v>
      </c>
      <c r="R162" s="78">
        <v>8.7190233109481263E-2</v>
      </c>
      <c r="S162" s="78">
        <v>7.6742301322561364E-3</v>
      </c>
      <c r="T162" s="78">
        <v>0.15513555866974502</v>
      </c>
      <c r="U162" s="78">
        <v>1</v>
      </c>
      <c r="V162" s="12"/>
      <c r="W162" s="12"/>
    </row>
    <row r="163" spans="1:23" ht="13.5" hidden="1" customHeight="1">
      <c r="A163" s="2"/>
      <c r="B163" s="2"/>
      <c r="C163" s="3"/>
      <c r="E163" s="12"/>
      <c r="F163" s="24">
        <v>42887</v>
      </c>
      <c r="G163" s="34">
        <f>131.1*1.0101</f>
        <v>132.42410999999998</v>
      </c>
      <c r="H163" s="34">
        <f>131/99.8*101.4</f>
        <v>133.10020040080161</v>
      </c>
      <c r="I163" s="34">
        <f>+I$120*(107.7/103.3)</f>
        <v>103.5296224588577</v>
      </c>
      <c r="J163" s="34">
        <v>0.75</v>
      </c>
      <c r="K163" s="34">
        <v>145.70719822812848</v>
      </c>
      <c r="L163" s="34">
        <v>110.22833861979277</v>
      </c>
      <c r="M163" s="77">
        <f t="shared" si="4"/>
        <v>3.7380924527077308E-3</v>
      </c>
      <c r="N163" s="12"/>
      <c r="O163" s="24">
        <v>42887</v>
      </c>
      <c r="P163" s="78">
        <v>0.66373577456396504</v>
      </c>
      <c r="Q163" s="78">
        <v>8.3636037837979668E-2</v>
      </c>
      <c r="R163" s="78">
        <v>8.6704510596457396E-2</v>
      </c>
      <c r="S163" s="78">
        <v>8.5585634168824972E-3</v>
      </c>
      <c r="T163" s="78">
        <v>0.15736511358471533</v>
      </c>
      <c r="U163" s="78">
        <v>1</v>
      </c>
      <c r="V163" s="12"/>
      <c r="W163" s="12"/>
    </row>
    <row r="164" spans="1:23" ht="13.5" hidden="1" customHeight="1">
      <c r="A164" s="2"/>
      <c r="B164" s="2"/>
      <c r="C164" s="3"/>
      <c r="E164" s="12"/>
      <c r="F164" s="24">
        <v>42917</v>
      </c>
      <c r="G164" s="34">
        <f>131.4*1.0101</f>
        <v>132.72713999999999</v>
      </c>
      <c r="H164" s="34">
        <f>131/99.8*101.3</f>
        <v>132.96893787575152</v>
      </c>
      <c r="I164" s="34">
        <f>+I$120*(107.7/103.3)</f>
        <v>103.5296224588577</v>
      </c>
      <c r="J164" s="34">
        <f>+J163</f>
        <v>0.75</v>
      </c>
      <c r="K164" s="34">
        <v>140.36411960132892</v>
      </c>
      <c r="L164" s="34">
        <v>109.75058594376398</v>
      </c>
      <c r="M164" s="77">
        <f t="shared" si="4"/>
        <v>-4.3342091699003493E-3</v>
      </c>
      <c r="N164" s="12"/>
      <c r="O164" s="24">
        <v>42917</v>
      </c>
      <c r="P164" s="78">
        <v>0.66815052486174487</v>
      </c>
      <c r="Q164" s="78">
        <v>8.3917271546185182E-2</v>
      </c>
      <c r="R164" s="78">
        <v>8.7081941947780211E-2</v>
      </c>
      <c r="S164" s="78">
        <v>8.5958194965673283E-3</v>
      </c>
      <c r="T164" s="78">
        <v>0.15225444214772235</v>
      </c>
      <c r="U164" s="78">
        <v>0.99999999999999989</v>
      </c>
      <c r="V164" s="12"/>
      <c r="W164" s="12"/>
    </row>
    <row r="165" spans="1:23" ht="13.5" hidden="1" customHeight="1">
      <c r="A165" s="2"/>
      <c r="B165" s="2"/>
      <c r="C165" s="3"/>
      <c r="E165" s="12"/>
      <c r="F165" s="24">
        <v>42948</v>
      </c>
      <c r="G165" s="34">
        <f>131.4*1.0101</f>
        <v>132.72713999999999</v>
      </c>
      <c r="H165" s="34">
        <f>131/99.8*101.2</f>
        <v>132.8376753507014</v>
      </c>
      <c r="I165" s="34">
        <f>+I$120*(107.9/103.3)</f>
        <v>103.7218780251694</v>
      </c>
      <c r="J165" s="34">
        <v>0.66</v>
      </c>
      <c r="K165" s="34">
        <v>136.17630121816168</v>
      </c>
      <c r="L165" s="34">
        <v>109.14748480530514</v>
      </c>
      <c r="M165" s="77">
        <f t="shared" si="4"/>
        <v>-5.4951974358283806E-3</v>
      </c>
      <c r="N165" s="12"/>
      <c r="O165" s="24">
        <v>42948</v>
      </c>
      <c r="P165" s="78">
        <v>0.67184243166953606</v>
      </c>
      <c r="Q165" s="78">
        <v>8.4297663503481099E-2</v>
      </c>
      <c r="R165" s="78">
        <v>8.7725724177952422E-2</v>
      </c>
      <c r="S165" s="78">
        <v>7.6061182786406429E-3</v>
      </c>
      <c r="T165" s="78">
        <v>0.14852806237038979</v>
      </c>
      <c r="U165" s="78">
        <v>1</v>
      </c>
      <c r="V165" s="12"/>
      <c r="W165" s="12"/>
    </row>
    <row r="166" spans="1:23" ht="13.5" hidden="1" customHeight="1">
      <c r="A166" s="2"/>
      <c r="B166" s="2"/>
      <c r="C166" s="3"/>
      <c r="E166" s="12"/>
      <c r="F166" s="24">
        <v>42979</v>
      </c>
      <c r="G166" s="34">
        <f>131.4*1.0101</f>
        <v>132.72713999999999</v>
      </c>
      <c r="H166" s="34">
        <f>131/99.8*102</f>
        <v>133.88777555110221</v>
      </c>
      <c r="I166" s="34">
        <f>+I$120*(108.4/103.3)</f>
        <v>104.2025169409487</v>
      </c>
      <c r="J166" s="34">
        <v>0.63</v>
      </c>
      <c r="K166" s="34">
        <v>136.17630121816168</v>
      </c>
      <c r="L166" s="34">
        <v>109.22685315140764</v>
      </c>
      <c r="M166" s="77">
        <f t="shared" si="4"/>
        <v>7.271660564975857E-4</v>
      </c>
      <c r="N166" s="12"/>
      <c r="O166" s="24">
        <v>42979</v>
      </c>
      <c r="P166" s="78">
        <v>0.67135424565021373</v>
      </c>
      <c r="Q166" s="78">
        <v>8.490231011717278E-2</v>
      </c>
      <c r="R166" s="78">
        <v>8.8068197987518568E-2</v>
      </c>
      <c r="S166" s="78">
        <v>7.2551099599125176E-3</v>
      </c>
      <c r="T166" s="78">
        <v>0.14842013628518247</v>
      </c>
      <c r="U166" s="78">
        <v>1</v>
      </c>
      <c r="V166" s="12"/>
      <c r="W166" s="12"/>
    </row>
    <row r="167" spans="1:23" ht="13.5" hidden="1" customHeight="1">
      <c r="A167" s="2"/>
      <c r="B167" s="2"/>
      <c r="C167" s="3"/>
      <c r="E167" s="12"/>
      <c r="F167" s="24">
        <v>43009</v>
      </c>
      <c r="G167" s="34">
        <f>132.2*1.0101</f>
        <v>133.53521999999998</v>
      </c>
      <c r="H167" s="34">
        <f>131/99.8*101.7</f>
        <v>133.49398797595191</v>
      </c>
      <c r="I167" s="34">
        <f>+I$120*(108.3/103.3)</f>
        <v>104.10638915779282</v>
      </c>
      <c r="J167" s="34">
        <v>0.56999999999999995</v>
      </c>
      <c r="K167" s="34">
        <v>136.32070874861574</v>
      </c>
      <c r="L167" s="34">
        <v>109.57887653833215</v>
      </c>
      <c r="M167" s="77">
        <f t="shared" si="4"/>
        <v>3.2228648612311339E-3</v>
      </c>
      <c r="N167" s="12"/>
      <c r="O167" s="24">
        <v>43009</v>
      </c>
      <c r="P167" s="78">
        <v>0.67327177437410579</v>
      </c>
      <c r="Q167" s="78">
        <v>8.4380650008477429E-2</v>
      </c>
      <c r="R167" s="78">
        <v>8.770429517135106E-2</v>
      </c>
      <c r="S167" s="78">
        <v>6.543059709365264E-3</v>
      </c>
      <c r="T167" s="78">
        <v>0.14810022073670043</v>
      </c>
      <c r="U167" s="78">
        <v>1</v>
      </c>
      <c r="V167" s="12"/>
      <c r="W167" s="12"/>
    </row>
    <row r="168" spans="1:23" ht="13.5" hidden="1" customHeight="1">
      <c r="A168" s="2"/>
      <c r="B168" s="2"/>
      <c r="C168" s="3"/>
      <c r="E168" s="12"/>
      <c r="F168" s="24">
        <v>43040</v>
      </c>
      <c r="G168" s="34">
        <f>132.2*1.0101</f>
        <v>133.53521999999998</v>
      </c>
      <c r="H168" s="34">
        <f>131/99.8*101.8</f>
        <v>133.625250501002</v>
      </c>
      <c r="I168" s="34">
        <f>+I$120*(108.1/103.3)</f>
        <v>103.91413359148112</v>
      </c>
      <c r="J168" s="34">
        <v>0.52</v>
      </c>
      <c r="K168" s="34">
        <v>140.65293466223702</v>
      </c>
      <c r="L168" s="34">
        <v>110.02306842053326</v>
      </c>
      <c r="M168" s="77">
        <f t="shared" si="4"/>
        <v>4.0536269054165519E-3</v>
      </c>
      <c r="N168" s="12"/>
      <c r="O168" s="24">
        <v>43040</v>
      </c>
      <c r="P168" s="78">
        <v>0.67055360025857369</v>
      </c>
      <c r="Q168" s="78">
        <v>8.412261845628273E-2</v>
      </c>
      <c r="R168" s="78">
        <v>8.7188898449362937E-2</v>
      </c>
      <c r="S168" s="78">
        <v>5.9450082578536324E-3</v>
      </c>
      <c r="T168" s="78">
        <v>0.15218987457792707</v>
      </c>
      <c r="U168" s="78">
        <v>1</v>
      </c>
      <c r="V168" s="12"/>
      <c r="W168" s="12"/>
    </row>
    <row r="169" spans="1:23" ht="13.5" hidden="1" customHeight="1">
      <c r="A169" s="2"/>
      <c r="B169" s="2"/>
      <c r="C169" s="3"/>
      <c r="E169" s="12"/>
      <c r="F169" s="24">
        <v>43070</v>
      </c>
      <c r="G169" s="34">
        <f>132.2*1.0101</f>
        <v>133.53521999999998</v>
      </c>
      <c r="H169" s="34">
        <f>131/99.8*101.9</f>
        <v>133.75651302605212</v>
      </c>
      <c r="I169" s="34">
        <f>+I$120*(108.5/103.3)</f>
        <v>104.29864472410455</v>
      </c>
      <c r="J169" s="34">
        <v>0.63</v>
      </c>
      <c r="K169" s="34">
        <v>143.68549280177189</v>
      </c>
      <c r="L169" s="34">
        <v>110.5670397888849</v>
      </c>
      <c r="M169" s="77">
        <f t="shared" si="4"/>
        <v>4.944157404086047E-3</v>
      </c>
      <c r="N169" s="12"/>
      <c r="O169" s="24">
        <v>43070</v>
      </c>
      <c r="P169" s="78">
        <v>0.66725458854421249</v>
      </c>
      <c r="Q169" s="78">
        <v>8.3790977857835375E-2</v>
      </c>
      <c r="R169" s="78">
        <v>8.7080979500805678E-2</v>
      </c>
      <c r="S169" s="78">
        <v>7.1671705392653846E-3</v>
      </c>
      <c r="T169" s="78">
        <v>0.1547062835578811</v>
      </c>
      <c r="U169" s="78">
        <v>1</v>
      </c>
      <c r="V169" s="12"/>
      <c r="W169" s="12"/>
    </row>
    <row r="170" spans="1:23" ht="13.5" hidden="1" customHeight="1">
      <c r="A170" s="2"/>
      <c r="B170" s="2"/>
      <c r="C170" s="3"/>
      <c r="E170" s="12"/>
      <c r="F170" s="24">
        <v>43101</v>
      </c>
      <c r="G170" s="34">
        <f>132.9*1.0101</f>
        <v>134.24229</v>
      </c>
      <c r="H170" s="34">
        <f>131/99.8*101.6</f>
        <v>133.36272545090179</v>
      </c>
      <c r="I170" s="34">
        <f>+I$120*(108.7/103.3)</f>
        <v>104.49090029041626</v>
      </c>
      <c r="J170" s="34">
        <v>0.67</v>
      </c>
      <c r="K170" s="34">
        <v>259.86139518637111</v>
      </c>
      <c r="L170" s="34">
        <v>124.82893789570583</v>
      </c>
      <c r="M170" s="77">
        <f t="shared" si="4"/>
        <v>0.12898869440705285</v>
      </c>
      <c r="N170" s="12"/>
      <c r="O170" s="24">
        <v>43101</v>
      </c>
      <c r="P170" s="78">
        <v>0.59414917966930114</v>
      </c>
      <c r="Q170" s="78">
        <v>7.3999228132454367E-2</v>
      </c>
      <c r="R170" s="78">
        <v>7.7274022200185796E-2</v>
      </c>
      <c r="S170" s="78">
        <v>6.7513776036580058E-3</v>
      </c>
      <c r="T170" s="78">
        <v>0.24782619239440071</v>
      </c>
      <c r="U170" s="78">
        <v>1</v>
      </c>
      <c r="V170" s="12"/>
      <c r="W170" s="12"/>
    </row>
    <row r="171" spans="1:23" ht="13.5" hidden="1" customHeight="1">
      <c r="A171" s="2"/>
      <c r="B171" s="2"/>
      <c r="C171" s="3"/>
      <c r="E171" s="12"/>
      <c r="F171" s="24">
        <v>43132</v>
      </c>
      <c r="G171" s="34">
        <f>132.9*1.0101</f>
        <v>134.24229</v>
      </c>
      <c r="H171" s="34">
        <f>131/99.8*101.3</f>
        <v>132.96893787575152</v>
      </c>
      <c r="I171" s="34">
        <f>+I$120*(108.3/103.3)</f>
        <v>104.10638915779282</v>
      </c>
      <c r="J171" s="34">
        <v>0.61</v>
      </c>
      <c r="K171" s="34">
        <v>251.89399894453408</v>
      </c>
      <c r="L171" s="34">
        <v>123.74219532939698</v>
      </c>
      <c r="M171" s="77">
        <f t="shared" si="4"/>
        <v>-8.7058544647462544E-3</v>
      </c>
      <c r="N171" s="12"/>
      <c r="O171" s="24">
        <v>43132</v>
      </c>
      <c r="P171" s="78">
        <v>0.59936718313663351</v>
      </c>
      <c r="Q171" s="78">
        <v>7.4428691833688512E-2</v>
      </c>
      <c r="R171" s="78">
        <v>7.7665812432695533E-2</v>
      </c>
      <c r="S171" s="78">
        <v>6.2007595343024705E-3</v>
      </c>
      <c r="T171" s="78">
        <v>0.24233755306267996</v>
      </c>
      <c r="U171" s="78">
        <v>1</v>
      </c>
      <c r="V171" s="12"/>
      <c r="W171" s="12"/>
    </row>
    <row r="172" spans="1:23" ht="13.5" hidden="1" customHeight="1">
      <c r="A172" s="2"/>
      <c r="B172" s="2"/>
      <c r="C172" s="3"/>
      <c r="E172" s="12"/>
      <c r="F172" s="24">
        <v>43160</v>
      </c>
      <c r="G172" s="34">
        <f>132.9*1.0101</f>
        <v>134.24229</v>
      </c>
      <c r="H172" s="34">
        <f>131/99.8*101</f>
        <v>132.57515030060122</v>
      </c>
      <c r="I172" s="34">
        <f>+I$120*(108.9/103.3)</f>
        <v>104.68315585672798</v>
      </c>
      <c r="J172" s="34">
        <v>0.81</v>
      </c>
      <c r="K172" s="34">
        <v>259.36506284973689</v>
      </c>
      <c r="L172" s="34">
        <v>124.90914867480068</v>
      </c>
      <c r="M172" s="77">
        <f t="shared" si="4"/>
        <v>9.4305207879763486E-3</v>
      </c>
      <c r="N172" s="12"/>
      <c r="O172" s="24">
        <v>43160</v>
      </c>
      <c r="P172" s="78">
        <v>0.59376764501707235</v>
      </c>
      <c r="Q172" s="78">
        <v>7.3514986616570896E-2</v>
      </c>
      <c r="R172" s="78">
        <v>7.7366487671736928E-2</v>
      </c>
      <c r="S172" s="78">
        <v>8.1568718971971495E-3</v>
      </c>
      <c r="T172" s="78">
        <v>0.24719400879742262</v>
      </c>
      <c r="U172" s="78">
        <v>0.99999999999999989</v>
      </c>
      <c r="V172" s="12"/>
      <c r="W172" s="12"/>
    </row>
    <row r="173" spans="1:23" ht="13.5" hidden="1" customHeight="1">
      <c r="A173" s="2"/>
      <c r="B173" s="2"/>
      <c r="C173" s="3"/>
      <c r="E173" s="12"/>
      <c r="F173" s="24">
        <v>43191</v>
      </c>
      <c r="G173" s="34">
        <f>133.4*1.0101</f>
        <v>134.74734000000001</v>
      </c>
      <c r="H173" s="34">
        <f>131/99.8*101.7</f>
        <v>133.49398797595191</v>
      </c>
      <c r="I173" s="34">
        <f>+I$120*(109/103.3)</f>
        <v>104.77928363988383</v>
      </c>
      <c r="J173" s="34">
        <v>0.77</v>
      </c>
      <c r="K173" s="34">
        <v>257.81434402786198</v>
      </c>
      <c r="L173" s="34">
        <v>125.02577440782339</v>
      </c>
      <c r="M173" s="77">
        <f t="shared" si="4"/>
        <v>9.3368447595731929E-4</v>
      </c>
      <c r="N173" s="12"/>
      <c r="O173" s="24">
        <v>43191</v>
      </c>
      <c r="P173" s="78">
        <v>0.59544557553435662</v>
      </c>
      <c r="Q173" s="78">
        <v>7.3955445373546772E-2</v>
      </c>
      <c r="R173" s="78">
        <v>7.7365296502092507E-2</v>
      </c>
      <c r="S173" s="78">
        <v>7.7468303132453191E-3</v>
      </c>
      <c r="T173" s="78">
        <v>0.24548685227675882</v>
      </c>
      <c r="U173" s="78">
        <v>1</v>
      </c>
      <c r="V173" s="12"/>
      <c r="W173" s="12"/>
    </row>
    <row r="174" spans="1:23" ht="13.5" hidden="1" customHeight="1">
      <c r="A174" s="2"/>
      <c r="B174" s="2"/>
      <c r="C174" s="3"/>
      <c r="E174" s="12"/>
      <c r="F174" s="24">
        <v>43221</v>
      </c>
      <c r="G174" s="34">
        <f>133.4*1.0101</f>
        <v>134.74734000000001</v>
      </c>
      <c r="H174" s="34">
        <f>131/99.8*101.7</f>
        <v>133.49398797595191</v>
      </c>
      <c r="I174" s="34">
        <f>+I$120*(109/103.3)</f>
        <v>104.77928363988383</v>
      </c>
      <c r="J174" s="34">
        <v>0.62</v>
      </c>
      <c r="K174" s="34">
        <v>256.22884413086206</v>
      </c>
      <c r="L174" s="34">
        <v>124.64834517480229</v>
      </c>
      <c r="M174" s="77">
        <f t="shared" si="4"/>
        <v>-3.0188113995596177E-3</v>
      </c>
      <c r="N174" s="12"/>
      <c r="O174" s="24">
        <v>43221</v>
      </c>
      <c r="P174" s="78">
        <v>0.59724855628443863</v>
      </c>
      <c r="Q174" s="78">
        <v>7.4179378928267661E-2</v>
      </c>
      <c r="R174" s="78">
        <v>7.7599554923095101E-2</v>
      </c>
      <c r="S174" s="78">
        <v>6.2565950052751278E-3</v>
      </c>
      <c r="T174" s="78">
        <v>0.24471591485892352</v>
      </c>
      <c r="U174" s="78">
        <v>1</v>
      </c>
      <c r="V174" s="12"/>
      <c r="W174" s="12"/>
    </row>
    <row r="175" spans="1:23" ht="13.5" hidden="1" customHeight="1">
      <c r="A175" s="2"/>
      <c r="B175" s="2"/>
      <c r="C175" s="3"/>
      <c r="E175" s="12"/>
      <c r="F175" s="24">
        <v>43252</v>
      </c>
      <c r="G175" s="34">
        <f>133.4*1.0101</f>
        <v>134.74734000000001</v>
      </c>
      <c r="H175" s="34">
        <f>131/99.8*102.2</f>
        <v>134.15030060120242</v>
      </c>
      <c r="I175" s="34">
        <f>+I$120*(109.1/103.3)</f>
        <v>104.87541142303968</v>
      </c>
      <c r="J175" s="34">
        <v>0.76</v>
      </c>
      <c r="K175" s="34">
        <v>263.82999648571257</v>
      </c>
      <c r="L175" s="34">
        <v>125.78367777315935</v>
      </c>
      <c r="M175" s="77">
        <f t="shared" si="4"/>
        <v>9.1082845645877875E-3</v>
      </c>
      <c r="N175" s="12"/>
      <c r="O175" s="24">
        <v>43252</v>
      </c>
      <c r="P175" s="78">
        <v>0.59185774749846665</v>
      </c>
      <c r="Q175" s="78">
        <v>7.3871235736916493E-2</v>
      </c>
      <c r="R175" s="78">
        <v>7.6969685378048061E-2</v>
      </c>
      <c r="S175" s="78">
        <v>7.6001501919137618E-3</v>
      </c>
      <c r="T175" s="78">
        <v>0.24970118119465515</v>
      </c>
      <c r="U175" s="78">
        <v>1</v>
      </c>
      <c r="V175" s="12"/>
      <c r="W175" s="12"/>
    </row>
    <row r="176" spans="1:23" ht="13.5" hidden="1" customHeight="1">
      <c r="A176" s="2"/>
      <c r="B176" s="2"/>
      <c r="C176" s="3"/>
      <c r="E176" s="12"/>
      <c r="F176" s="24">
        <v>43282</v>
      </c>
      <c r="G176" s="34">
        <f>134*1.0101</f>
        <v>135.35339999999999</v>
      </c>
      <c r="H176" s="34">
        <f>131/99.8*102.4</f>
        <v>134.41282565130263</v>
      </c>
      <c r="I176" s="34">
        <f>+I$120*(109.2/103.3)</f>
        <v>104.97153920619556</v>
      </c>
      <c r="J176" s="34">
        <v>0.6</v>
      </c>
      <c r="K176" s="34">
        <v>266.07789375669353</v>
      </c>
      <c r="L176" s="34">
        <v>126.21192405818616</v>
      </c>
      <c r="M176" s="77">
        <f t="shared" si="4"/>
        <v>3.4046252471573446E-3</v>
      </c>
      <c r="N176" s="12"/>
      <c r="O176" s="24">
        <v>43282</v>
      </c>
      <c r="P176" s="78">
        <v>0.5925025272843879</v>
      </c>
      <c r="Q176" s="78">
        <v>7.3764656829088587E-2</v>
      </c>
      <c r="R176" s="78">
        <v>7.6778831894324467E-2</v>
      </c>
      <c r="S176" s="78">
        <v>5.9797597316093238E-3</v>
      </c>
      <c r="T176" s="78">
        <v>0.25097422426058957</v>
      </c>
      <c r="U176" s="78">
        <v>0.99999999999999989</v>
      </c>
      <c r="V176" s="12"/>
      <c r="W176" s="12"/>
    </row>
    <row r="177" spans="1:23" ht="13.5" hidden="1" customHeight="1">
      <c r="A177" s="2"/>
      <c r="B177" s="2"/>
      <c r="C177" s="3"/>
      <c r="E177" s="12"/>
      <c r="F177" s="24">
        <v>43313</v>
      </c>
      <c r="G177" s="34">
        <f>134*1.0101</f>
        <v>135.35339999999999</v>
      </c>
      <c r="H177" s="34">
        <f>131/99.8*102.3</f>
        <v>134.28156312625251</v>
      </c>
      <c r="I177" s="34">
        <f>+I$120*(108.2/103.3)</f>
        <v>104.01026137463697</v>
      </c>
      <c r="J177" s="34">
        <v>0.53</v>
      </c>
      <c r="K177" s="34">
        <v>267.60603685274799</v>
      </c>
      <c r="L177" s="34">
        <v>126.20796379995456</v>
      </c>
      <c r="M177" s="77">
        <f t="shared" si="4"/>
        <v>-3.1377845327584808E-5</v>
      </c>
      <c r="N177" s="12"/>
      <c r="O177" s="24">
        <v>43313</v>
      </c>
      <c r="P177" s="78">
        <v>0.5925211193204234</v>
      </c>
      <c r="Q177" s="78">
        <v>7.3694933419626199E-2</v>
      </c>
      <c r="R177" s="78">
        <v>7.6078116205512455E-2</v>
      </c>
      <c r="S177" s="78">
        <v>5.2822868430344398E-3</v>
      </c>
      <c r="T177" s="78">
        <v>0.25242354421140356</v>
      </c>
      <c r="U177" s="78">
        <v>1</v>
      </c>
      <c r="V177" s="12"/>
      <c r="W177" s="12"/>
    </row>
    <row r="178" spans="1:23" ht="13.5" hidden="1" customHeight="1">
      <c r="A178" s="2"/>
      <c r="B178" s="2"/>
      <c r="C178" s="3"/>
      <c r="E178" s="12"/>
      <c r="F178" s="24">
        <v>43344</v>
      </c>
      <c r="G178" s="34">
        <f>134*1.0101</f>
        <v>135.35339999999999</v>
      </c>
      <c r="H178" s="34">
        <f>131/99.8*103.1</f>
        <v>135.33166332665331</v>
      </c>
      <c r="I178" s="34">
        <f>+I$120*(108.8/103.3)</f>
        <v>104.58702807357211</v>
      </c>
      <c r="J178" s="34">
        <v>0.63</v>
      </c>
      <c r="K178" s="34">
        <v>283.5</v>
      </c>
      <c r="L178" s="34">
        <v>128.35186662497551</v>
      </c>
      <c r="M178" s="77">
        <f t="shared" si="4"/>
        <v>1.6987064528028784E-2</v>
      </c>
      <c r="N178" s="12"/>
      <c r="O178" s="24">
        <v>43344</v>
      </c>
      <c r="P178" s="78">
        <v>0.58262404703781079</v>
      </c>
      <c r="Q178" s="78">
        <v>7.3030661327795912E-2</v>
      </c>
      <c r="R178" s="78">
        <v>7.5222187012031663E-2</v>
      </c>
      <c r="S178" s="78">
        <v>6.1740654890832646E-3</v>
      </c>
      <c r="T178" s="78">
        <v>0.26294903913327827</v>
      </c>
      <c r="U178" s="78">
        <v>0.99999999999999989</v>
      </c>
      <c r="V178" s="12"/>
      <c r="W178" s="12"/>
    </row>
    <row r="179" spans="1:23" ht="13.5" hidden="1" customHeight="1">
      <c r="A179" s="2"/>
      <c r="B179" s="2"/>
      <c r="C179" s="3"/>
      <c r="E179" s="12"/>
      <c r="F179" s="24">
        <v>43374</v>
      </c>
      <c r="G179" s="34">
        <f>135.2*1.0101</f>
        <v>136.56551999999999</v>
      </c>
      <c r="H179" s="34">
        <f>131/99.8*102.7</f>
        <v>134.80661322645292</v>
      </c>
      <c r="I179" s="34">
        <f>+I$120*(108.7/103.3)</f>
        <v>104.49090029041626</v>
      </c>
      <c r="J179" s="34">
        <v>0.69</v>
      </c>
      <c r="K179" s="34">
        <v>283.8</v>
      </c>
      <c r="L179" s="34">
        <v>129.08749106387779</v>
      </c>
      <c r="M179" s="77">
        <f t="shared" si="4"/>
        <v>5.7313107962166931E-3</v>
      </c>
      <c r="N179" s="12"/>
      <c r="O179" s="24">
        <v>43374</v>
      </c>
      <c r="P179" s="78">
        <v>0.58449167238501498</v>
      </c>
      <c r="Q179" s="78">
        <v>7.233276066347262E-2</v>
      </c>
      <c r="R179" s="78">
        <v>7.4724778045342374E-2</v>
      </c>
      <c r="S179" s="78">
        <v>6.7235370456801445E-3</v>
      </c>
      <c r="T179" s="78">
        <v>0.26172725186048995</v>
      </c>
      <c r="U179" s="78">
        <v>1</v>
      </c>
      <c r="V179" s="12"/>
      <c r="W179" s="12"/>
    </row>
    <row r="180" spans="1:23" ht="13.5" hidden="1" customHeight="1">
      <c r="A180" s="2"/>
      <c r="B180" s="2"/>
      <c r="C180" s="3"/>
      <c r="E180" s="12"/>
      <c r="F180" s="24">
        <v>43405</v>
      </c>
      <c r="G180" s="34">
        <f>135.2*1.0101</f>
        <v>136.56551999999999</v>
      </c>
      <c r="H180" s="34">
        <f>131/99.8*102.4</f>
        <v>134.41282565130263</v>
      </c>
      <c r="I180" s="34">
        <f>+I$120*(109.4/103.3)</f>
        <v>105.16379477250727</v>
      </c>
      <c r="J180" s="34">
        <v>0.57999999999999996</v>
      </c>
      <c r="K180" s="34">
        <v>287.2</v>
      </c>
      <c r="L180" s="34">
        <v>129.38873083388702</v>
      </c>
      <c r="M180" s="77">
        <f t="shared" si="4"/>
        <v>2.333609302702877E-3</v>
      </c>
      <c r="N180" s="12"/>
      <c r="O180" s="24">
        <v>43405</v>
      </c>
      <c r="P180" s="78">
        <v>0.58313087275565911</v>
      </c>
      <c r="Q180" s="78">
        <v>7.1953555815023107E-2</v>
      </c>
      <c r="R180" s="78">
        <v>7.5030893576381555E-2</v>
      </c>
      <c r="S180" s="78">
        <v>5.6385107398904998E-3</v>
      </c>
      <c r="T180" s="78">
        <v>0.26424616711304566</v>
      </c>
      <c r="U180" s="78">
        <v>1</v>
      </c>
      <c r="V180" s="12"/>
      <c r="W180" s="12"/>
    </row>
    <row r="181" spans="1:23" ht="13.5" hidden="1" customHeight="1">
      <c r="A181" s="2"/>
      <c r="B181" s="2"/>
      <c r="C181" s="3"/>
      <c r="E181" s="12"/>
      <c r="F181" s="24">
        <v>43435</v>
      </c>
      <c r="G181" s="34">
        <f>135.2*1.0101</f>
        <v>136.56551999999999</v>
      </c>
      <c r="H181" s="34">
        <f>131/99.8*102.7</f>
        <v>134.80661322645292</v>
      </c>
      <c r="I181" s="34">
        <f>+I$120*(109.9/103.3)</f>
        <v>105.64443368828654</v>
      </c>
      <c r="J181" s="34">
        <v>0.62</v>
      </c>
      <c r="K181" s="34">
        <v>291.83</v>
      </c>
      <c r="L181" s="34">
        <v>130.06188108751118</v>
      </c>
      <c r="M181" s="77">
        <f t="shared" si="4"/>
        <v>5.2025415914185302E-3</v>
      </c>
      <c r="N181" s="12"/>
      <c r="O181" s="24">
        <v>43435</v>
      </c>
      <c r="P181" s="78">
        <v>0.58011281172494533</v>
      </c>
      <c r="Q181" s="78">
        <v>7.1790862301069819E-2</v>
      </c>
      <c r="R181" s="78">
        <v>7.4983707707278802E-2</v>
      </c>
      <c r="S181" s="78">
        <v>5.9961781831507225E-3</v>
      </c>
      <c r="T181" s="78">
        <v>0.26711644008355528</v>
      </c>
      <c r="U181" s="78">
        <v>0.99999999999999989</v>
      </c>
      <c r="V181" s="12"/>
      <c r="W181" s="12"/>
    </row>
    <row r="182" spans="1:23" ht="13.5" hidden="1" customHeight="1">
      <c r="A182" s="2"/>
      <c r="B182" s="2"/>
      <c r="C182" s="3"/>
      <c r="E182" s="12"/>
      <c r="F182" s="24">
        <v>43466</v>
      </c>
      <c r="G182" s="34">
        <f>135.8*1.0101</f>
        <v>137.17158000000001</v>
      </c>
      <c r="H182" s="34">
        <f>131/99.8*102.4</f>
        <v>134.41282565130263</v>
      </c>
      <c r="I182" s="34">
        <f>+I$120*(109.9/103.3)</f>
        <v>105.64443368828654</v>
      </c>
      <c r="J182" s="34">
        <v>0.63</v>
      </c>
      <c r="K182" s="34">
        <v>291.39999999999998</v>
      </c>
      <c r="L182" s="34">
        <v>130.33083367679788</v>
      </c>
      <c r="M182" s="77">
        <f t="shared" si="4"/>
        <v>2.0678817424280016E-3</v>
      </c>
      <c r="N182" s="12"/>
      <c r="O182" s="24">
        <v>43466</v>
      </c>
      <c r="P182" s="78">
        <v>0.58148483499195802</v>
      </c>
      <c r="Q182" s="78">
        <v>7.1433435997029907E-2</v>
      </c>
      <c r="R182" s="78">
        <v>7.4828970245902612E-2</v>
      </c>
      <c r="S182" s="78">
        <v>6.0803173572406581E-3</v>
      </c>
      <c r="T182" s="78">
        <v>0.26617244140786889</v>
      </c>
      <c r="U182" s="78">
        <v>1</v>
      </c>
      <c r="V182" s="12"/>
      <c r="W182" s="12"/>
    </row>
    <row r="183" spans="1:23" ht="13.5" hidden="1" customHeight="1">
      <c r="A183" s="2"/>
      <c r="B183" s="2"/>
      <c r="C183" s="3"/>
      <c r="E183" s="12"/>
      <c r="F183" s="24">
        <v>43497</v>
      </c>
      <c r="G183" s="34">
        <f>135.8*1.0101</f>
        <v>137.17158000000001</v>
      </c>
      <c r="H183" s="34">
        <f>131/99.8*102.1</f>
        <v>134.0190380761523</v>
      </c>
      <c r="I183" s="34">
        <f>+I$120*(109.7/103.3)</f>
        <v>105.45217812197484</v>
      </c>
      <c r="J183" s="34">
        <v>0.63</v>
      </c>
      <c r="K183" s="34">
        <v>279.39999999999998</v>
      </c>
      <c r="L183" s="34">
        <v>128.85723892548819</v>
      </c>
      <c r="M183" s="77">
        <f t="shared" si="4"/>
        <v>-1.130657043876504E-2</v>
      </c>
      <c r="N183" s="12"/>
      <c r="O183" s="24">
        <v>43497</v>
      </c>
      <c r="P183" s="78">
        <v>0.58813462050618748</v>
      </c>
      <c r="Q183" s="78">
        <v>7.2038668633729458E-2</v>
      </c>
      <c r="R183" s="78">
        <v>7.5546970924126336E-2</v>
      </c>
      <c r="S183" s="78">
        <v>6.1498510816836299E-3</v>
      </c>
      <c r="T183" s="78">
        <v>0.25812988885427296</v>
      </c>
      <c r="U183" s="78">
        <v>0.99999999999999978</v>
      </c>
      <c r="V183" s="12"/>
      <c r="W183" s="12"/>
    </row>
    <row r="184" spans="1:23" ht="13.5" hidden="1" customHeight="1">
      <c r="A184" s="2"/>
      <c r="B184" s="2"/>
      <c r="C184" s="3"/>
      <c r="E184" s="12"/>
      <c r="F184" s="24">
        <v>43525</v>
      </c>
      <c r="G184" s="34">
        <f>135.8*1.0101</f>
        <v>137.17158000000001</v>
      </c>
      <c r="H184" s="34">
        <f>131/99.8*102.3</f>
        <v>134.28156312625251</v>
      </c>
      <c r="I184" s="34">
        <f>+I$172*(103.3/103.6)</f>
        <v>104.38001930501932</v>
      </c>
      <c r="J184" s="34">
        <v>0.68</v>
      </c>
      <c r="K184" s="34">
        <v>275.10000000000002</v>
      </c>
      <c r="L184" s="34">
        <v>128.39822129835932</v>
      </c>
      <c r="M184" s="77">
        <f t="shared" si="4"/>
        <v>-3.5622183973249566E-3</v>
      </c>
      <c r="N184" s="12"/>
      <c r="O184" s="24">
        <v>43525</v>
      </c>
      <c r="P184" s="78">
        <v>0.59023717422700406</v>
      </c>
      <c r="Q184" s="78">
        <v>7.2437821920069631E-2</v>
      </c>
      <c r="R184" s="78">
        <v>7.5597500370920515E-2</v>
      </c>
      <c r="S184" s="78">
        <v>6.6616648057928789E-3</v>
      </c>
      <c r="T184" s="78">
        <v>0.25506583867621291</v>
      </c>
      <c r="U184" s="78">
        <v>1</v>
      </c>
      <c r="V184" s="12"/>
      <c r="W184" s="12"/>
    </row>
    <row r="185" spans="1:23" ht="13.5" hidden="1" customHeight="1">
      <c r="A185" s="2"/>
      <c r="B185" s="2"/>
      <c r="C185" s="3"/>
      <c r="E185" s="12"/>
      <c r="F185" s="24">
        <v>43556</v>
      </c>
      <c r="G185" s="34">
        <f>136.4*1.0101</f>
        <v>137.77764000000002</v>
      </c>
      <c r="H185" s="34">
        <f>131/99.8*102.8</f>
        <v>134.93787575150301</v>
      </c>
      <c r="I185" s="34">
        <f>+I$172*(103.6/103.6)</f>
        <v>104.68315585672798</v>
      </c>
      <c r="J185" s="34">
        <v>0.55000000000000004</v>
      </c>
      <c r="K185" s="34">
        <v>284.7</v>
      </c>
      <c r="L185" s="34">
        <v>129.78604459101641</v>
      </c>
      <c r="M185" s="77">
        <f t="shared" si="4"/>
        <v>1.0808742353464629E-2</v>
      </c>
      <c r="N185" s="12"/>
      <c r="O185" s="24">
        <v>43556</v>
      </c>
      <c r="P185" s="78">
        <v>0.58650560877938629</v>
      </c>
      <c r="Q185" s="78">
        <v>7.2013492682135541E-2</v>
      </c>
      <c r="R185" s="78">
        <v>7.5006323778056522E-2</v>
      </c>
      <c r="S185" s="78">
        <v>5.3304952897759881E-3</v>
      </c>
      <c r="T185" s="78">
        <v>0.26114407947064561</v>
      </c>
      <c r="U185" s="78">
        <v>1</v>
      </c>
      <c r="V185" s="12"/>
      <c r="W185" s="12"/>
    </row>
    <row r="186" spans="1:23" ht="13.5" hidden="1" customHeight="1">
      <c r="A186" s="2"/>
      <c r="B186" s="2"/>
      <c r="C186" s="3"/>
      <c r="E186" s="12"/>
      <c r="F186" s="24">
        <v>43586</v>
      </c>
      <c r="G186" s="34">
        <f>136.4*1.0101</f>
        <v>137.77764000000002</v>
      </c>
      <c r="H186" s="34">
        <f>131/99.8*102.9</f>
        <v>135.06913827655313</v>
      </c>
      <c r="I186" s="34">
        <f>+I$172*(103.7/103.6)</f>
        <v>104.78420137396422</v>
      </c>
      <c r="J186" s="34">
        <f>+J185</f>
        <v>0.55000000000000004</v>
      </c>
      <c r="K186" s="34">
        <v>283</v>
      </c>
      <c r="L186" s="34">
        <v>129.60215191534192</v>
      </c>
      <c r="M186" s="77">
        <f t="shared" si="4"/>
        <v>-1.4168909781785421E-3</v>
      </c>
      <c r="N186" s="12"/>
      <c r="O186" s="24">
        <v>43586</v>
      </c>
      <c r="P186" s="78">
        <v>0.58733780241276812</v>
      </c>
      <c r="Q186" s="78">
        <v>7.2185824160824419E-2</v>
      </c>
      <c r="R186" s="78">
        <v>7.5185253011166839E-2</v>
      </c>
      <c r="S186" s="78">
        <v>5.3380587370414892E-3</v>
      </c>
      <c r="T186" s="78">
        <v>0.25995306167819898</v>
      </c>
      <c r="U186" s="78">
        <v>0.99999999999999989</v>
      </c>
      <c r="V186" s="12"/>
      <c r="W186" s="12"/>
    </row>
    <row r="187" spans="1:23" ht="13.5" hidden="1" customHeight="1">
      <c r="A187" s="2"/>
      <c r="B187" s="2"/>
      <c r="C187" s="3"/>
      <c r="E187" s="12"/>
      <c r="F187" s="24">
        <v>43617</v>
      </c>
      <c r="G187" s="34">
        <f>136.4*1.0101</f>
        <v>137.77764000000002</v>
      </c>
      <c r="H187" s="34">
        <f>131/99.8*103.2</f>
        <v>135.46292585170343</v>
      </c>
      <c r="I187" s="34">
        <f>+I$172*(104.5/103.6)</f>
        <v>105.592565511854</v>
      </c>
      <c r="J187" s="34">
        <v>0.59</v>
      </c>
      <c r="K187" s="34">
        <v>286.39999999999998</v>
      </c>
      <c r="L187" s="34">
        <v>130.15967561602997</v>
      </c>
      <c r="M187" s="77">
        <f t="shared" si="4"/>
        <v>4.3018089780810786E-3</v>
      </c>
      <c r="N187" s="12"/>
      <c r="O187" s="24">
        <v>43617</v>
      </c>
      <c r="P187" s="78">
        <v>0.58482200984025801</v>
      </c>
      <c r="Q187" s="78">
        <v>7.2086177493133882E-2</v>
      </c>
      <c r="R187" s="78">
        <v>7.5440742585671877E-2</v>
      </c>
      <c r="S187" s="78">
        <v>5.7017533369488156E-3</v>
      </c>
      <c r="T187" s="78">
        <v>0.26194931674398741</v>
      </c>
      <c r="U187" s="78">
        <v>1</v>
      </c>
      <c r="V187" s="12"/>
      <c r="W187" s="12"/>
    </row>
    <row r="188" spans="1:23" ht="13.5" hidden="1" customHeight="1">
      <c r="E188" s="12"/>
      <c r="F188" s="24">
        <v>43647</v>
      </c>
      <c r="G188" s="34">
        <f>136.6*1.0101</f>
        <v>137.97966</v>
      </c>
      <c r="H188" s="34">
        <f>131/99.8*103.1</f>
        <v>135.33166332665331</v>
      </c>
      <c r="I188" s="34">
        <f>+I$172*(104.6/103.6)</f>
        <v>105.69361102909022</v>
      </c>
      <c r="J188" s="34">
        <v>0.56999999999999995</v>
      </c>
      <c r="K188" s="34">
        <v>293</v>
      </c>
      <c r="L188" s="34">
        <v>131.03215065216111</v>
      </c>
      <c r="M188" s="77">
        <f t="shared" si="4"/>
        <v>6.7031131723540582E-3</v>
      </c>
      <c r="N188" s="12"/>
      <c r="O188" s="24">
        <v>43647</v>
      </c>
      <c r="P188" s="78">
        <v>0.58177978438251232</v>
      </c>
      <c r="Q188" s="78">
        <v>7.1536807231091723E-2</v>
      </c>
      <c r="R188" s="78">
        <v>7.5010133271448121E-2</v>
      </c>
      <c r="S188" s="78">
        <v>5.4717954983336502E-3</v>
      </c>
      <c r="T188" s="78">
        <v>0.26620147961661422</v>
      </c>
      <c r="U188" s="78">
        <v>1</v>
      </c>
      <c r="V188" s="12"/>
      <c r="W188" s="12"/>
    </row>
    <row r="189" spans="1:23" ht="13.5" hidden="1" customHeight="1">
      <c r="E189" s="12"/>
      <c r="F189" s="24">
        <v>43678</v>
      </c>
      <c r="G189" s="34">
        <f>136.6*1.0101</f>
        <v>137.97966</v>
      </c>
      <c r="H189" s="34">
        <f>131/99.8*102.9</f>
        <v>135.06913827655313</v>
      </c>
      <c r="I189" s="34">
        <f>+I$172*(105/103.6)</f>
        <v>106.09779309803513</v>
      </c>
      <c r="J189" s="34">
        <v>0.39</v>
      </c>
      <c r="K189" s="34">
        <v>274.2</v>
      </c>
      <c r="L189" s="34">
        <v>128.58704276679097</v>
      </c>
      <c r="M189" s="77">
        <f t="shared" si="4"/>
        <v>-1.8660365972782755E-2</v>
      </c>
      <c r="N189" s="12"/>
      <c r="O189" s="24">
        <v>43678</v>
      </c>
      <c r="P189" s="78">
        <v>0.59284244130139441</v>
      </c>
      <c r="Q189" s="78">
        <v>7.2755683214463587E-2</v>
      </c>
      <c r="R189" s="78">
        <v>7.6728765755001579E-2</v>
      </c>
      <c r="S189" s="78">
        <v>3.8150503128495873E-3</v>
      </c>
      <c r="T189" s="78">
        <v>0.2538580594162908</v>
      </c>
      <c r="U189" s="78">
        <v>0.99999999999999989</v>
      </c>
      <c r="V189" s="12"/>
      <c r="W189" s="12"/>
    </row>
    <row r="190" spans="1:23" ht="13.5" hidden="1" customHeight="1">
      <c r="E190" s="12"/>
      <c r="F190" s="24">
        <v>43709</v>
      </c>
      <c r="G190" s="34">
        <f>136.6*1.0101</f>
        <v>137.97966</v>
      </c>
      <c r="H190" s="34">
        <f>131/99.8*103.5</f>
        <v>135.85671342685373</v>
      </c>
      <c r="I190" s="34">
        <f>+I$172*(104.4/103.6)</f>
        <v>105.49151999461779</v>
      </c>
      <c r="J190" s="34">
        <v>0.3</v>
      </c>
      <c r="K190" s="34">
        <v>279.8</v>
      </c>
      <c r="L190" s="34">
        <v>129.13867354557129</v>
      </c>
      <c r="M190" s="77">
        <f t="shared" si="4"/>
        <v>4.2899406262943973E-3</v>
      </c>
      <c r="N190" s="12"/>
      <c r="O190" s="24">
        <v>43709</v>
      </c>
      <c r="P190" s="78">
        <v>0.59031004625186867</v>
      </c>
      <c r="Q190" s="78">
        <v>7.286731813507244E-2</v>
      </c>
      <c r="R190" s="78">
        <v>7.596443275872794E-2</v>
      </c>
      <c r="S190" s="78">
        <v>2.9221183724864042E-3</v>
      </c>
      <c r="T190" s="78">
        <v>0.25793608448184452</v>
      </c>
      <c r="U190" s="78">
        <v>1</v>
      </c>
      <c r="V190" s="12"/>
      <c r="W190" s="12"/>
    </row>
    <row r="191" spans="1:23" ht="13.5" hidden="1" customHeight="1">
      <c r="E191" s="12"/>
      <c r="F191" s="24">
        <v>43739</v>
      </c>
      <c r="G191" s="34">
        <f>137.8*1.0101</f>
        <v>139.19178000000002</v>
      </c>
      <c r="H191" s="34">
        <f>131/99.8*103.1</f>
        <v>135.33166332665331</v>
      </c>
      <c r="I191" s="34">
        <f>+I$172*(104.1/103.6)</f>
        <v>105.18838344290909</v>
      </c>
      <c r="J191" s="34">
        <v>0.21</v>
      </c>
      <c r="K191" s="34">
        <v>278.5</v>
      </c>
      <c r="L191" s="34">
        <v>129.47582704490443</v>
      </c>
      <c r="M191" s="77">
        <f t="shared" si="4"/>
        <v>2.6107864520861224E-3</v>
      </c>
      <c r="N191" s="12"/>
      <c r="O191" s="24">
        <v>43739</v>
      </c>
      <c r="P191" s="78">
        <v>0.59394512216501583</v>
      </c>
      <c r="Q191" s="78">
        <v>7.239669300608588E-2</v>
      </c>
      <c r="R191" s="78">
        <v>7.5548902108751009E-2</v>
      </c>
      <c r="S191" s="78">
        <v>2.0401564479261012E-3</v>
      </c>
      <c r="T191" s="78">
        <v>0.25606912627222117</v>
      </c>
      <c r="U191" s="78">
        <v>1</v>
      </c>
      <c r="V191" s="12"/>
      <c r="W191" s="12"/>
    </row>
    <row r="192" spans="1:23" ht="13.5" hidden="1" customHeight="1">
      <c r="E192" s="12"/>
      <c r="F192" s="24">
        <v>43770</v>
      </c>
      <c r="G192" s="34">
        <f>137.8*1.0101</f>
        <v>139.19178000000002</v>
      </c>
      <c r="H192" s="34">
        <f>131/99.8*102.9</f>
        <v>135.06913827655313</v>
      </c>
      <c r="I192" s="34">
        <f>+I$172*(103.9/103.6)</f>
        <v>104.98629240843665</v>
      </c>
      <c r="J192" s="34">
        <v>0.26</v>
      </c>
      <c r="K192" s="34">
        <v>280.39999999999998</v>
      </c>
      <c r="L192" s="34">
        <v>129.72793404944301</v>
      </c>
      <c r="M192" s="77">
        <f t="shared" si="4"/>
        <v>1.947135695461899E-3</v>
      </c>
      <c r="N192" s="12"/>
      <c r="O192" s="24">
        <v>43770</v>
      </c>
      <c r="P192" s="78">
        <v>0.59279087788673834</v>
      </c>
      <c r="Q192" s="78">
        <v>7.2115833937968221E-2</v>
      </c>
      <c r="R192" s="78">
        <v>7.5257219304709799E-2</v>
      </c>
      <c r="S192" s="78">
        <v>2.5209992555079693E-3</v>
      </c>
      <c r="T192" s="78">
        <v>0.25731506961507566</v>
      </c>
      <c r="U192" s="78">
        <v>1</v>
      </c>
      <c r="V192" s="12"/>
      <c r="W192" s="12"/>
    </row>
    <row r="193" spans="5:23" ht="13.5" hidden="1" customHeight="1">
      <c r="E193" s="12"/>
      <c r="F193" s="24">
        <v>43800</v>
      </c>
      <c r="G193" s="34">
        <f>137.8*1.0101</f>
        <v>139.19178000000002</v>
      </c>
      <c r="H193" s="34">
        <f>131/99.8*103.3</f>
        <v>135.59418837675352</v>
      </c>
      <c r="I193" s="34">
        <f>+I$172*(103.7/103.6)</f>
        <v>104.78420137396422</v>
      </c>
      <c r="J193" s="34">
        <v>0.34</v>
      </c>
      <c r="K193" s="34">
        <v>283.89999999999998</v>
      </c>
      <c r="L193" s="34">
        <v>130.26280375327551</v>
      </c>
      <c r="M193" s="77">
        <f t="shared" si="4"/>
        <v>4.1230110365331196E-3</v>
      </c>
      <c r="N193" s="12"/>
      <c r="O193" s="24">
        <v>43800</v>
      </c>
      <c r="P193" s="78">
        <v>0.59035683016049401</v>
      </c>
      <c r="Q193" s="78">
        <v>7.2098903024698277E-2</v>
      </c>
      <c r="R193" s="78">
        <v>7.4803937131605311E-2</v>
      </c>
      <c r="S193" s="78">
        <v>3.2831548504427838E-3</v>
      </c>
      <c r="T193" s="78">
        <v>0.25945717483275954</v>
      </c>
      <c r="U193" s="78">
        <v>0.99999999999999989</v>
      </c>
      <c r="V193" s="12"/>
      <c r="W193" s="12"/>
    </row>
    <row r="194" spans="5:23" ht="13.5" hidden="1" customHeight="1">
      <c r="E194" s="12"/>
      <c r="F194" s="24">
        <v>43831</v>
      </c>
      <c r="G194" s="34">
        <f>138.6*1.0101</f>
        <v>139.99985999999998</v>
      </c>
      <c r="H194" s="34">
        <f>131/99.8*103.1</f>
        <v>135.33166332665331</v>
      </c>
      <c r="I194" s="34">
        <f>+I$172*(103.9/103.6)</f>
        <v>104.98629240843665</v>
      </c>
      <c r="J194" s="34">
        <v>0.23</v>
      </c>
      <c r="K194" s="34">
        <v>279.2</v>
      </c>
      <c r="L194" s="34">
        <v>130.01197764945698</v>
      </c>
      <c r="M194" s="77">
        <f t="shared" si="4"/>
        <v>-1.9255389611726459E-3</v>
      </c>
      <c r="N194" s="12"/>
      <c r="O194" s="24">
        <v>43831</v>
      </c>
      <c r="P194" s="78">
        <v>0.59492971608219591</v>
      </c>
      <c r="Q194" s="78">
        <v>7.2098139507980705E-2</v>
      </c>
      <c r="R194" s="78">
        <v>7.5092801134285639E-2</v>
      </c>
      <c r="S194" s="78">
        <v>2.2252424840476792E-3</v>
      </c>
      <c r="T194" s="78">
        <v>0.25565410079149015</v>
      </c>
      <c r="U194" s="78">
        <v>1</v>
      </c>
      <c r="V194" s="12"/>
      <c r="W194" s="12"/>
    </row>
    <row r="195" spans="5:23" ht="13.5" hidden="1" customHeight="1">
      <c r="E195" s="12"/>
      <c r="F195" s="24">
        <v>43862</v>
      </c>
      <c r="G195" s="34">
        <f>138.6*1.0101</f>
        <v>139.99985999999998</v>
      </c>
      <c r="H195" s="34">
        <f>131/99.8*102.9</f>
        <v>135.06913827655313</v>
      </c>
      <c r="I195" s="34">
        <f>+I$172*(104/103.6)</f>
        <v>105.08733792567287</v>
      </c>
      <c r="J195" s="34">
        <v>0.36</v>
      </c>
      <c r="K195" s="34">
        <v>280.10000000000002</v>
      </c>
      <c r="L195" s="34">
        <v>130.27385546600436</v>
      </c>
      <c r="M195" s="77">
        <f t="shared" si="4"/>
        <v>2.0142591573637514E-3</v>
      </c>
      <c r="N195" s="12"/>
      <c r="O195" s="24">
        <v>43862</v>
      </c>
      <c r="P195" s="78">
        <v>0.59373378237401286</v>
      </c>
      <c r="Q195" s="78">
        <v>7.1813627650458817E-2</v>
      </c>
      <c r="R195" s="78">
        <v>7.5013977653679023E-2</v>
      </c>
      <c r="S195" s="78">
        <v>3.4759866978636682E-3</v>
      </c>
      <c r="T195" s="78">
        <v>0.25596262562398564</v>
      </c>
      <c r="U195" s="78">
        <v>1</v>
      </c>
      <c r="V195" s="12"/>
      <c r="W195" s="12"/>
    </row>
    <row r="196" spans="5:23" ht="13.5" hidden="1" customHeight="1">
      <c r="E196" s="12"/>
      <c r="F196" s="24">
        <v>43891</v>
      </c>
      <c r="G196" s="34">
        <f>138.6*1.0101</f>
        <v>139.99985999999998</v>
      </c>
      <c r="H196" s="34">
        <f>131/99.8*103</f>
        <v>135.20040080160322</v>
      </c>
      <c r="I196" s="34">
        <f>+I$172*(104.9/103.6)</f>
        <v>105.99674758079891</v>
      </c>
      <c r="J196" s="34">
        <v>0.28999999999999998</v>
      </c>
      <c r="K196" s="34">
        <v>299.10000000000002</v>
      </c>
      <c r="L196" s="34">
        <v>132.54137019078701</v>
      </c>
      <c r="M196" s="77">
        <f t="shared" si="4"/>
        <v>1.7405754337057822E-2</v>
      </c>
      <c r="N196" s="12"/>
      <c r="O196" s="24">
        <v>43891</v>
      </c>
      <c r="P196" s="78">
        <v>0.58357619842723429</v>
      </c>
      <c r="Q196" s="78">
        <v>7.0653637518401799E-2</v>
      </c>
      <c r="R196" s="78">
        <v>7.4368693859987234E-2</v>
      </c>
      <c r="S196" s="78">
        <v>2.7521963420836315E-3</v>
      </c>
      <c r="T196" s="78">
        <v>0.26864927385229287</v>
      </c>
      <c r="U196" s="78">
        <v>0.99999999999999989</v>
      </c>
      <c r="V196" s="12"/>
      <c r="W196" s="12"/>
    </row>
    <row r="197" spans="5:23" ht="13.5" hidden="1" customHeight="1">
      <c r="E197" s="12"/>
      <c r="F197" s="24">
        <v>43922</v>
      </c>
      <c r="G197" s="34">
        <f>139.2*1.0101</f>
        <v>140.60592</v>
      </c>
      <c r="H197" s="34">
        <f>131/99.8*103.6</f>
        <v>135.98797595190382</v>
      </c>
      <c r="I197" s="34">
        <f>+I$172*(105/103.6)</f>
        <v>106.09779309803513</v>
      </c>
      <c r="J197" s="34">
        <v>0.1</v>
      </c>
      <c r="K197" s="34">
        <v>284.5</v>
      </c>
      <c r="L197" s="34">
        <v>130.96306818084614</v>
      </c>
      <c r="M197" s="77">
        <f t="shared" si="4"/>
        <v>-1.1907995274750616E-2</v>
      </c>
      <c r="N197" s="12"/>
      <c r="O197" s="24">
        <v>43922</v>
      </c>
      <c r="P197" s="78">
        <v>0.59316591928046469</v>
      </c>
      <c r="Q197" s="78">
        <v>7.1921654831776691E-2</v>
      </c>
      <c r="R197" s="78">
        <v>7.5336697747162784E-2</v>
      </c>
      <c r="S197" s="78">
        <v>9.6047049957866918E-4</v>
      </c>
      <c r="T197" s="78">
        <v>0.25861525764101717</v>
      </c>
      <c r="U197" s="78">
        <v>1</v>
      </c>
      <c r="V197" s="12"/>
      <c r="W197" s="12"/>
    </row>
    <row r="198" spans="5:23" ht="13.5" hidden="1" customHeight="1">
      <c r="E198" s="12"/>
      <c r="F198" s="24">
        <v>43952</v>
      </c>
      <c r="G198" s="34">
        <f>139.2*1.0101</f>
        <v>140.60592</v>
      </c>
      <c r="H198" s="34">
        <f>131/99.8*103.3</f>
        <v>135.59418837675352</v>
      </c>
      <c r="I198" s="34">
        <f>+I$172*(105.2/103.6)</f>
        <v>106.29988413250759</v>
      </c>
      <c r="J198" s="34">
        <v>0.45</v>
      </c>
      <c r="K198" s="34">
        <v>271.39999999999998</v>
      </c>
      <c r="L198" s="34">
        <v>129.83531361392804</v>
      </c>
      <c r="M198" s="77">
        <f t="shared" si="4"/>
        <v>-8.6112411887051543E-3</v>
      </c>
      <c r="N198" s="12"/>
      <c r="O198" s="24">
        <v>43952</v>
      </c>
      <c r="P198" s="78">
        <v>0.59831818144850513</v>
      </c>
      <c r="Q198" s="78">
        <v>7.2336292755141529E-2</v>
      </c>
      <c r="R198" s="78">
        <v>7.6135820129295387E-2</v>
      </c>
      <c r="S198" s="78">
        <v>4.3596593260613135E-3</v>
      </c>
      <c r="T198" s="78">
        <v>0.2488500463409965</v>
      </c>
      <c r="U198" s="78">
        <v>0.99999999999999989</v>
      </c>
      <c r="V198" s="12"/>
      <c r="W198" s="12"/>
    </row>
    <row r="199" spans="5:23" ht="13.5" hidden="1" customHeight="1">
      <c r="E199" s="12"/>
      <c r="F199" s="24">
        <v>43983</v>
      </c>
      <c r="G199" s="34">
        <f>139.2*1.0101</f>
        <v>140.60592</v>
      </c>
      <c r="H199" s="34">
        <f>131/99.8*103.2</f>
        <v>135.46292585170343</v>
      </c>
      <c r="I199" s="34">
        <f>+I$172*(105.2/103.6)</f>
        <v>106.29988413250759</v>
      </c>
      <c r="J199" s="34">
        <v>0.35</v>
      </c>
      <c r="K199" s="34">
        <v>248.4</v>
      </c>
      <c r="L199" s="34">
        <v>126.96234043568394</v>
      </c>
      <c r="M199" s="77">
        <f t="shared" si="4"/>
        <v>-2.2127825614432051E-2</v>
      </c>
      <c r="N199" s="12"/>
      <c r="O199" s="24">
        <v>43983</v>
      </c>
      <c r="P199" s="78">
        <v>0.61185725202217756</v>
      </c>
      <c r="Q199" s="78">
        <v>7.3901547866147929E-2</v>
      </c>
      <c r="R199" s="78">
        <v>7.7858663047789697E-2</v>
      </c>
      <c r="S199" s="78">
        <v>3.4675760608718839E-3</v>
      </c>
      <c r="T199" s="78">
        <v>0.2329149610030129</v>
      </c>
      <c r="U199" s="78">
        <v>0.99999999999999989</v>
      </c>
      <c r="V199" s="12"/>
      <c r="W199" s="12"/>
    </row>
    <row r="200" spans="5:23" ht="13.5" hidden="1" customHeight="1">
      <c r="E200" s="12"/>
      <c r="F200" s="24">
        <v>44013</v>
      </c>
      <c r="G200" s="34">
        <f>139.8*1.0101</f>
        <v>141.21198000000001</v>
      </c>
      <c r="H200" s="34">
        <f>131/99.8*103.1</f>
        <v>135.33166332665331</v>
      </c>
      <c r="I200" s="34">
        <f>+I$172*(105.3/103.6)</f>
        <v>106.4009296497438</v>
      </c>
      <c r="J200" s="34">
        <v>0.23</v>
      </c>
      <c r="K200" s="34">
        <v>240.3</v>
      </c>
      <c r="L200" s="34">
        <v>126.18225582763009</v>
      </c>
      <c r="M200" s="77">
        <f t="shared" si="4"/>
        <v>-6.1442204466057859E-3</v>
      </c>
      <c r="N200" s="12"/>
      <c r="O200" s="24">
        <v>44013</v>
      </c>
      <c r="P200" s="78">
        <v>0.61829349932420374</v>
      </c>
      <c r="Q200" s="78">
        <v>7.428636967057993E-2</v>
      </c>
      <c r="R200" s="78">
        <v>7.8414468967305348E-2</v>
      </c>
      <c r="S200" s="78">
        <v>2.2927801869054814E-3</v>
      </c>
      <c r="T200" s="78">
        <v>0.22671288185100558</v>
      </c>
      <c r="U200" s="78">
        <v>1</v>
      </c>
      <c r="V200" s="12"/>
      <c r="W200" s="12"/>
    </row>
    <row r="201" spans="5:23" ht="13.5" hidden="1" customHeight="1">
      <c r="E201" s="12"/>
      <c r="F201" s="24">
        <v>44044</v>
      </c>
      <c r="G201" s="34">
        <f>139.8*1.0101</f>
        <v>141.21198000000001</v>
      </c>
      <c r="H201" s="34">
        <f>131/99.8*103.2</f>
        <v>135.46292585170343</v>
      </c>
      <c r="I201" s="34">
        <f>+I$172*(105.5/103.6)</f>
        <v>106.60302068421623</v>
      </c>
      <c r="J201" s="34">
        <v>0.22</v>
      </c>
      <c r="K201" s="34">
        <v>251.28</v>
      </c>
      <c r="L201" s="34">
        <v>127.50470484520677</v>
      </c>
      <c r="M201" s="77">
        <f t="shared" si="4"/>
        <v>1.0480467391415171E-2</v>
      </c>
      <c r="N201" s="12"/>
      <c r="O201" s="24">
        <v>44044</v>
      </c>
      <c r="P201" s="78">
        <v>0.61188070356307467</v>
      </c>
      <c r="Q201" s="78">
        <v>7.3587194216061802E-2</v>
      </c>
      <c r="R201" s="78">
        <v>7.7748563051178651E-2</v>
      </c>
      <c r="S201" s="78">
        <v>2.1703478321398639E-3</v>
      </c>
      <c r="T201" s="78">
        <v>0.23461319133754516</v>
      </c>
      <c r="U201" s="78">
        <v>1</v>
      </c>
      <c r="V201" s="12"/>
      <c r="W201" s="12"/>
    </row>
    <row r="202" spans="5:23" ht="13.5" hidden="1" customHeight="1">
      <c r="E202" s="12"/>
      <c r="F202" s="24">
        <v>44075</v>
      </c>
      <c r="G202" s="34">
        <f>139.8*1.0101</f>
        <v>141.21198000000001</v>
      </c>
      <c r="H202" s="34">
        <f>131/99.8*104</f>
        <v>136.51302605210421</v>
      </c>
      <c r="I202" s="34">
        <f>+I$172*(105.7/103.6)</f>
        <v>106.80511171868869</v>
      </c>
      <c r="J202" s="34">
        <v>0.17</v>
      </c>
      <c r="K202" s="34">
        <v>261.19</v>
      </c>
      <c r="L202" s="34">
        <v>128.71310088138168</v>
      </c>
      <c r="M202" s="77">
        <f t="shared" si="4"/>
        <v>9.477266251797678E-3</v>
      </c>
      <c r="N202" s="12"/>
      <c r="O202" s="24">
        <v>44075</v>
      </c>
      <c r="P202" s="78">
        <v>0.60613618951023607</v>
      </c>
      <c r="Q202" s="78">
        <v>7.3461424106583448E-2</v>
      </c>
      <c r="R202" s="78">
        <v>7.7164643817351816E-2</v>
      </c>
      <c r="S202" s="78">
        <v>1.6613419809106071E-3</v>
      </c>
      <c r="T202" s="78">
        <v>0.24157640058491797</v>
      </c>
      <c r="U202" s="78">
        <v>0.99999999999999978</v>
      </c>
      <c r="V202" s="12"/>
      <c r="W202" s="12"/>
    </row>
    <row r="203" spans="5:23" ht="13.5" hidden="1" customHeight="1">
      <c r="E203" s="12"/>
      <c r="F203" s="24">
        <v>44105</v>
      </c>
      <c r="G203" s="34">
        <f>140.2*1.0101</f>
        <v>141.61601999999999</v>
      </c>
      <c r="H203" s="34">
        <f>131/99.8*103.6</f>
        <v>135.98797595190382</v>
      </c>
      <c r="I203" s="34">
        <f>+I$172*(106/103.6)</f>
        <v>107.10824827039735</v>
      </c>
      <c r="J203" s="34">
        <v>0.22</v>
      </c>
      <c r="K203" s="34">
        <v>261.33</v>
      </c>
      <c r="L203" s="34">
        <v>129.00770954287776</v>
      </c>
      <c r="M203" s="77">
        <f t="shared" si="4"/>
        <v>2.2888785949426449E-3</v>
      </c>
      <c r="N203" s="12"/>
      <c r="O203" s="24">
        <v>44105</v>
      </c>
      <c r="P203" s="78">
        <v>0.60648232035791405</v>
      </c>
      <c r="Q203" s="78">
        <v>7.3011765101392428E-2</v>
      </c>
      <c r="R203" s="78">
        <v>7.720693685416552E-2</v>
      </c>
      <c r="S203" s="78">
        <v>2.1450621883683024E-3</v>
      </c>
      <c r="T203" s="78">
        <v>0.24115391549815976</v>
      </c>
      <c r="U203" s="78">
        <v>1</v>
      </c>
      <c r="V203" s="12"/>
      <c r="W203" s="12"/>
    </row>
    <row r="204" spans="5:23" ht="13.5" hidden="1" customHeight="1">
      <c r="E204" s="12"/>
      <c r="F204" s="24">
        <v>44136</v>
      </c>
      <c r="G204" s="34">
        <f>140.2*1.0101</f>
        <v>141.61601999999999</v>
      </c>
      <c r="H204" s="34">
        <f>131/99.8*103.5</f>
        <v>135.85671342685373</v>
      </c>
      <c r="I204" s="34">
        <f>+I$172*(105.9/103.6)</f>
        <v>107.00720275316112</v>
      </c>
      <c r="J204" s="34">
        <v>0.15</v>
      </c>
      <c r="K204" s="34">
        <v>261.33</v>
      </c>
      <c r="L204" s="34">
        <v>128.90117095170589</v>
      </c>
      <c r="M204" s="77">
        <f t="shared" si="4"/>
        <v>-8.258311968283305E-4</v>
      </c>
      <c r="N204" s="12"/>
      <c r="O204" s="24">
        <v>44136</v>
      </c>
      <c r="P204" s="78">
        <v>0.6069835863394758</v>
      </c>
      <c r="Q204" s="78">
        <v>7.3001577404692111E-2</v>
      </c>
      <c r="R204" s="78">
        <v>7.7197852516220272E-2</v>
      </c>
      <c r="S204" s="78">
        <v>1.4637512125759468E-3</v>
      </c>
      <c r="T204" s="78">
        <v>0.24135323252703594</v>
      </c>
      <c r="U204" s="78">
        <v>1</v>
      </c>
      <c r="V204" s="12"/>
      <c r="W204" s="12"/>
    </row>
    <row r="205" spans="5:23" ht="13.5" hidden="1" customHeight="1">
      <c r="E205" s="12"/>
      <c r="F205" s="24">
        <v>44166</v>
      </c>
      <c r="G205" s="34">
        <f>140.2*1.0101</f>
        <v>141.61601999999999</v>
      </c>
      <c r="H205" s="34">
        <f>131/99.8*103.7</f>
        <v>136.11923847695391</v>
      </c>
      <c r="I205" s="34">
        <f>+I$172*(105.7/103.6)</f>
        <v>106.80511171868869</v>
      </c>
      <c r="J205" s="34">
        <v>0.08</v>
      </c>
      <c r="K205" s="34">
        <v>257.3</v>
      </c>
      <c r="L205" s="34">
        <v>128.33274928557307</v>
      </c>
      <c r="M205" s="77">
        <f t="shared" si="4"/>
        <v>-4.4097478861986339E-3</v>
      </c>
      <c r="N205" s="12"/>
      <c r="O205" s="24">
        <v>44166</v>
      </c>
      <c r="P205" s="78">
        <v>0.60967208653434501</v>
      </c>
      <c r="Q205" s="78">
        <v>7.3466612493900629E-2</v>
      </c>
      <c r="R205" s="78">
        <v>7.7393343783489235E-2</v>
      </c>
      <c r="S205" s="78">
        <v>7.8412510740874931E-4</v>
      </c>
      <c r="T205" s="78">
        <v>0.23868383208085653</v>
      </c>
      <c r="U205" s="78">
        <v>1.0000000000000002</v>
      </c>
      <c r="V205" s="12"/>
      <c r="W205" s="12"/>
    </row>
    <row r="206" spans="5:23" ht="13.5" hidden="1" customHeight="1">
      <c r="E206" s="12"/>
      <c r="F206" s="24">
        <v>44197</v>
      </c>
      <c r="G206" s="34">
        <f>141*1.0101</f>
        <v>142.42410000000001</v>
      </c>
      <c r="H206" s="34">
        <f>131/99.8*103.6</f>
        <v>135.98797595190382</v>
      </c>
      <c r="I206" s="34">
        <f>+I$172*(106.1/103.6)</f>
        <v>107.20929378763357</v>
      </c>
      <c r="J206" s="34">
        <v>0.15</v>
      </c>
      <c r="K206" s="34">
        <v>259.39999999999998</v>
      </c>
      <c r="L206" s="34">
        <v>129.14574686240408</v>
      </c>
      <c r="M206" s="77">
        <f t="shared" si="4"/>
        <v>6.3350748842907478E-3</v>
      </c>
      <c r="N206" s="12"/>
      <c r="O206" s="24">
        <v>44197</v>
      </c>
      <c r="P206" s="78">
        <v>0.6092910527679577</v>
      </c>
      <c r="Q206" s="78">
        <v>7.2933726539586602E-2</v>
      </c>
      <c r="R206" s="78">
        <v>7.7197173168072702E-2</v>
      </c>
      <c r="S206" s="78">
        <v>1.460979163983183E-3</v>
      </c>
      <c r="T206" s="78">
        <v>0.23911706836039992</v>
      </c>
      <c r="U206" s="78">
        <v>1</v>
      </c>
      <c r="V206" s="12"/>
      <c r="W206" s="12"/>
    </row>
    <row r="207" spans="5:23" ht="13.5" hidden="1" customHeight="1">
      <c r="E207" s="12"/>
      <c r="F207" s="24">
        <v>44228</v>
      </c>
      <c r="G207" s="34">
        <f>141*1.0101</f>
        <v>142.42410000000001</v>
      </c>
      <c r="H207" s="34">
        <f>131/99.8*103.4</f>
        <v>135.72545090180361</v>
      </c>
      <c r="I207" s="34">
        <f>+I$172*(105.8/103.6)</f>
        <v>106.90615723592491</v>
      </c>
      <c r="J207" s="34">
        <v>-0.01</v>
      </c>
      <c r="K207" s="34">
        <v>269.8</v>
      </c>
      <c r="L207" s="34">
        <v>130.13621118537162</v>
      </c>
      <c r="M207" s="77">
        <f t="shared" si="4"/>
        <v>7.6693530141787036E-3</v>
      </c>
      <c r="N207" s="12"/>
      <c r="O207" s="24">
        <v>44228</v>
      </c>
      <c r="P207" s="78">
        <v>0.60465374971008412</v>
      </c>
      <c r="Q207" s="78">
        <v>7.2238902197394664E-2</v>
      </c>
      <c r="R207" s="78">
        <v>7.639301155046839E-2</v>
      </c>
      <c r="S207" s="78">
        <v>-9.6657311885957225E-5</v>
      </c>
      <c r="T207" s="78">
        <v>0.2468109938539387</v>
      </c>
      <c r="U207" s="78">
        <v>1</v>
      </c>
      <c r="V207" s="12"/>
      <c r="W207" s="12"/>
    </row>
    <row r="208" spans="5:23" ht="13.5" hidden="1" customHeight="1">
      <c r="E208" s="12"/>
      <c r="F208" s="24">
        <v>44256</v>
      </c>
      <c r="G208" s="34">
        <f>141*1.0101</f>
        <v>142.42410000000001</v>
      </c>
      <c r="H208" s="34">
        <f>131/99.8*103.6</f>
        <v>135.98797595190382</v>
      </c>
      <c r="I208" s="34">
        <f>+I$172*(106.9/103.6)</f>
        <v>108.01765792552338</v>
      </c>
      <c r="J208" s="34">
        <v>0.14000000000000001</v>
      </c>
      <c r="K208" s="34">
        <v>281.58141202986616</v>
      </c>
      <c r="L208" s="34">
        <v>131.84898453595849</v>
      </c>
      <c r="M208" s="77">
        <f t="shared" si="4"/>
        <v>1.3161389401041612E-2</v>
      </c>
      <c r="N208" s="12"/>
      <c r="O208" s="24">
        <v>44256</v>
      </c>
      <c r="P208" s="78">
        <v>0.59679904508356951</v>
      </c>
      <c r="Q208" s="78">
        <v>7.1438400671523072E-2</v>
      </c>
      <c r="R208" s="78">
        <v>7.6184572982846324E-2</v>
      </c>
      <c r="S208" s="78">
        <v>1.3356237027581403E-3</v>
      </c>
      <c r="T208" s="78">
        <v>0.25424235755930291</v>
      </c>
      <c r="U208" s="78">
        <v>1</v>
      </c>
      <c r="V208" s="12"/>
      <c r="W208" s="12"/>
    </row>
    <row r="209" spans="5:23" ht="13.5" hidden="1" customHeight="1">
      <c r="E209" s="12"/>
      <c r="F209" s="24">
        <v>44287</v>
      </c>
      <c r="G209" s="34">
        <f>141.6*1.0101</f>
        <v>143.03016</v>
      </c>
      <c r="H209" s="34">
        <f>131/99.8*104.2</f>
        <v>136.77555110220442</v>
      </c>
      <c r="I209" s="34">
        <f>+I$172*(107.1/103.6)</f>
        <v>108.21974895999581</v>
      </c>
      <c r="J209" s="34">
        <v>0.33</v>
      </c>
      <c r="K209" s="34">
        <v>296.22835944490731</v>
      </c>
      <c r="L209" s="34">
        <v>134.23984590165244</v>
      </c>
      <c r="M209" s="77">
        <f t="shared" si="4"/>
        <v>1.8133331660524776E-2</v>
      </c>
      <c r="N209" s="12"/>
      <c r="O209" s="24">
        <v>44287</v>
      </c>
      <c r="P209" s="78">
        <v>0.58866417280602024</v>
      </c>
      <c r="Q209" s="78">
        <v>7.0572423422736633E-2</v>
      </c>
      <c r="R209" s="78">
        <v>7.4967693218494863E-2</v>
      </c>
      <c r="S209" s="78">
        <v>3.092184267901726E-3</v>
      </c>
      <c r="T209" s="78">
        <v>0.2627035262848465</v>
      </c>
      <c r="U209" s="78">
        <v>0.99999999999999989</v>
      </c>
      <c r="V209" s="12"/>
      <c r="W209" s="12"/>
    </row>
    <row r="210" spans="5:23" ht="13.5" hidden="1" customHeight="1">
      <c r="E210" s="12"/>
      <c r="F210" s="24">
        <v>44317</v>
      </c>
      <c r="G210" s="34">
        <f>141.6*1.0101</f>
        <v>143.03016</v>
      </c>
      <c r="H210" s="34">
        <f>131/99.8*104.3</f>
        <v>136.90681362725451</v>
      </c>
      <c r="I210" s="34">
        <f>+I$172*(107.7/103.6)</f>
        <v>108.82602206341316</v>
      </c>
      <c r="J210" s="34">
        <v>0.44</v>
      </c>
      <c r="K210" s="34">
        <v>308.39999999999998</v>
      </c>
      <c r="L210" s="34">
        <v>135.89268628661833</v>
      </c>
      <c r="M210" s="77">
        <f t="shared" si="4"/>
        <v>1.2312591495201808E-2</v>
      </c>
      <c r="N210" s="12"/>
      <c r="O210" s="24">
        <v>44317</v>
      </c>
      <c r="P210" s="78">
        <v>0.581504347324727</v>
      </c>
      <c r="Q210" s="78">
        <v>6.9780966738715242E-2</v>
      </c>
      <c r="R210" s="78">
        <v>7.44707523434045E-2</v>
      </c>
      <c r="S210" s="78">
        <v>4.072766052541827E-3</v>
      </c>
      <c r="T210" s="78">
        <v>0.27017116754061149</v>
      </c>
      <c r="U210" s="78">
        <v>1</v>
      </c>
      <c r="V210" s="12"/>
      <c r="W210" s="12"/>
    </row>
    <row r="211" spans="5:23" ht="13.5" hidden="1" customHeight="1">
      <c r="E211" s="12"/>
      <c r="F211" s="24">
        <v>44348</v>
      </c>
      <c r="G211" s="34">
        <f>141.6*1.0101</f>
        <v>143.03016</v>
      </c>
      <c r="H211" s="34">
        <f>131/99.8*104.7</f>
        <v>137.43186372745492</v>
      </c>
      <c r="I211" s="34">
        <f>+I$172*(108/103.6)</f>
        <v>109.12915861512184</v>
      </c>
      <c r="J211" s="34">
        <v>0.39</v>
      </c>
      <c r="K211" s="34">
        <v>301.8</v>
      </c>
      <c r="L211" s="34">
        <v>135.10863552588924</v>
      </c>
      <c r="M211" s="77">
        <f t="shared" si="4"/>
        <v>-5.7696317745563608E-3</v>
      </c>
      <c r="N211" s="12"/>
      <c r="O211" s="24">
        <v>44348</v>
      </c>
      <c r="P211" s="78">
        <v>0.58487888311300273</v>
      </c>
      <c r="Q211" s="78">
        <v>7.0455082987530712E-2</v>
      </c>
      <c r="R211" s="78">
        <v>7.5111557795467035E-2</v>
      </c>
      <c r="S211" s="78">
        <v>3.6309006883712318E-3</v>
      </c>
      <c r="T211" s="78">
        <v>0.26592357541562822</v>
      </c>
      <c r="U211" s="78">
        <v>1</v>
      </c>
      <c r="V211" s="12"/>
      <c r="W211" s="12"/>
    </row>
    <row r="212" spans="5:23" ht="13.5" hidden="1" customHeight="1">
      <c r="E212" s="12"/>
      <c r="F212" s="24">
        <v>44378</v>
      </c>
      <c r="G212" s="34">
        <f>142.6*1.0101</f>
        <v>144.04025999999999</v>
      </c>
      <c r="H212" s="34">
        <f>131/99.8*104.9</f>
        <v>137.69438877755513</v>
      </c>
      <c r="I212" s="34">
        <f>+I$172*(108.2/103.6)</f>
        <v>109.33124964959428</v>
      </c>
      <c r="J212" s="34">
        <v>0.48</v>
      </c>
      <c r="K212" s="34">
        <v>307.2</v>
      </c>
      <c r="L212" s="34">
        <v>136.45974306767161</v>
      </c>
      <c r="M212" s="77">
        <f t="shared" si="4"/>
        <v>1.0000156811023952E-2</v>
      </c>
      <c r="N212" s="12"/>
      <c r="O212" s="24">
        <v>44378</v>
      </c>
      <c r="P212" s="78">
        <v>0.58317751708049048</v>
      </c>
      <c r="Q212" s="78">
        <v>6.9890749221421605E-2</v>
      </c>
      <c r="R212" s="78">
        <v>7.4505585732246388E-2</v>
      </c>
      <c r="S212" s="78">
        <v>4.4245546073338549E-3</v>
      </c>
      <c r="T212" s="78">
        <v>0.26800159335850771</v>
      </c>
      <c r="U212" s="78">
        <v>1</v>
      </c>
      <c r="V212" s="12"/>
      <c r="W212" s="12"/>
    </row>
    <row r="213" spans="5:23" ht="13.5" hidden="1" customHeight="1">
      <c r="E213" s="12"/>
      <c r="F213" s="24">
        <v>44409</v>
      </c>
      <c r="G213" s="34">
        <f>142.6*1.0101</f>
        <v>144.04025999999999</v>
      </c>
      <c r="H213" s="34">
        <f>131/99.8*105</f>
        <v>137.82565130260522</v>
      </c>
      <c r="I213" s="34">
        <f>+I$172*(108.4/103.6)</f>
        <v>109.53334068406674</v>
      </c>
      <c r="J213" s="34">
        <v>0.42</v>
      </c>
      <c r="K213" s="34">
        <v>309.3</v>
      </c>
      <c r="L213" s="34">
        <v>136.66215614634447</v>
      </c>
      <c r="M213" s="77">
        <f t="shared" si="4"/>
        <v>1.4833171609629492E-3</v>
      </c>
      <c r="N213" s="12"/>
      <c r="O213" s="24">
        <v>44409</v>
      </c>
      <c r="P213" s="78">
        <v>0.5823137610856074</v>
      </c>
      <c r="Q213" s="78">
        <v>6.9853760012145535E-2</v>
      </c>
      <c r="R213" s="78">
        <v>7.4532748300710772E-2</v>
      </c>
      <c r="S213" s="78">
        <v>3.8657511464016531E-3</v>
      </c>
      <c r="T213" s="78">
        <v>0.26943397945513459</v>
      </c>
      <c r="U213" s="78">
        <v>0.99999999999999989</v>
      </c>
      <c r="V213" s="12"/>
      <c r="W213" s="12"/>
    </row>
    <row r="214" spans="5:23" ht="13.5" hidden="1" customHeight="1">
      <c r="E214" s="12"/>
      <c r="F214" s="24">
        <v>44440</v>
      </c>
      <c r="G214" s="34">
        <f>142.6*1.0101</f>
        <v>144.04025999999999</v>
      </c>
      <c r="H214" s="34">
        <f>131/99.8*105.7</f>
        <v>138.74448897795594</v>
      </c>
      <c r="I214" s="34">
        <f>+I$172*(108.5/103.6)</f>
        <v>109.63438620130296</v>
      </c>
      <c r="J214" s="34">
        <v>0.37</v>
      </c>
      <c r="K214" s="34">
        <v>319.16740987747175</v>
      </c>
      <c r="L214" s="34">
        <v>137.84699365313097</v>
      </c>
      <c r="M214" s="77">
        <f t="shared" ref="M214:M277" si="5">IF(L214="","",L214/L213-1)</f>
        <v>8.66982886994494E-3</v>
      </c>
      <c r="N214" s="12"/>
      <c r="O214" s="24">
        <v>44440</v>
      </c>
      <c r="P214" s="78">
        <v>0.57730859436729454</v>
      </c>
      <c r="Q214" s="78">
        <v>6.9715034328271405E-2</v>
      </c>
      <c r="R214" s="78">
        <v>7.3960282456518839E-2</v>
      </c>
      <c r="S214" s="78">
        <v>3.3762709849339953E-3</v>
      </c>
      <c r="T214" s="78">
        <v>0.2756398178629812</v>
      </c>
      <c r="U214" s="78">
        <v>1</v>
      </c>
      <c r="V214" s="12"/>
      <c r="W214" s="12"/>
    </row>
    <row r="215" spans="5:23" ht="13.5" hidden="1" customHeight="1">
      <c r="E215" s="12"/>
      <c r="F215" s="24">
        <v>44470</v>
      </c>
      <c r="G215" s="34">
        <f>144.1*1.0101</f>
        <v>145.55540999999999</v>
      </c>
      <c r="H215" s="34">
        <f>131/99.8*105.5</f>
        <v>138.48196392785573</v>
      </c>
      <c r="I215" s="34">
        <f>+I$172*(108.7/103.6)</f>
        <v>109.83647723577542</v>
      </c>
      <c r="J215" s="34">
        <v>0.4</v>
      </c>
      <c r="K215" s="34">
        <v>311.79312688554614</v>
      </c>
      <c r="L215" s="34">
        <v>137.8445475642348</v>
      </c>
      <c r="M215" s="77">
        <f t="shared" si="5"/>
        <v>-1.7744956428478176E-5</v>
      </c>
      <c r="N215" s="12"/>
      <c r="O215" s="24">
        <v>44470</v>
      </c>
      <c r="P215" s="78">
        <v>0.58339161767487524</v>
      </c>
      <c r="Q215" s="78">
        <v>6.9584357965654056E-2</v>
      </c>
      <c r="R215" s="78">
        <v>7.4097929638943946E-2</v>
      </c>
      <c r="S215" s="78">
        <v>3.6500874570580149E-3</v>
      </c>
      <c r="T215" s="78">
        <v>0.26927600726346868</v>
      </c>
      <c r="U215" s="78">
        <v>0.99999999999999989</v>
      </c>
      <c r="V215" s="12"/>
      <c r="W215" s="12"/>
    </row>
    <row r="216" spans="5:23" ht="13.5" hidden="1" customHeight="1">
      <c r="E216" s="12"/>
      <c r="F216" s="24">
        <v>44501</v>
      </c>
      <c r="G216" s="34">
        <f>144.1*1.0101</f>
        <v>145.55540999999999</v>
      </c>
      <c r="H216" s="34">
        <f>131/99.8*105.8</f>
        <v>138.87575150300603</v>
      </c>
      <c r="I216" s="34">
        <f>+I$172*(109.3/103.6)</f>
        <v>110.44275033919274</v>
      </c>
      <c r="J216" s="34">
        <v>0.45</v>
      </c>
      <c r="K216" s="34">
        <v>316.58785517630309</v>
      </c>
      <c r="L216" s="34">
        <v>138.5618959633488</v>
      </c>
      <c r="M216" s="77">
        <f t="shared" si="5"/>
        <v>5.2040389829690614E-3</v>
      </c>
      <c r="N216" s="12"/>
      <c r="O216" s="24">
        <v>44501</v>
      </c>
      <c r="P216" s="78">
        <v>0.58037134258347278</v>
      </c>
      <c r="Q216" s="78">
        <v>6.9420958802037788E-2</v>
      </c>
      <c r="R216" s="78">
        <v>7.4121204214187192E-2</v>
      </c>
      <c r="S216" s="78">
        <v>4.0850894245758607E-3</v>
      </c>
      <c r="T216" s="78">
        <v>0.2720014049757265</v>
      </c>
      <c r="U216" s="78">
        <v>1.0000000000000002</v>
      </c>
      <c r="V216" s="12"/>
      <c r="W216" s="12"/>
    </row>
    <row r="217" spans="5:23" ht="13.5" hidden="1" customHeight="1">
      <c r="E217" s="12"/>
      <c r="F217" s="24">
        <v>44531</v>
      </c>
      <c r="G217" s="34">
        <f>144.1*1.0101</f>
        <v>145.55540999999999</v>
      </c>
      <c r="H217" s="34">
        <f>131/99.8*106.8</f>
        <v>140.18837675350701</v>
      </c>
      <c r="I217" s="34">
        <f>+I$172*(109.8/103.6)</f>
        <v>110.94797792537386</v>
      </c>
      <c r="J217" s="34">
        <v>0.49</v>
      </c>
      <c r="K217" s="34">
        <v>339.38944946544825</v>
      </c>
      <c r="L217" s="34">
        <v>141.46458620603661</v>
      </c>
      <c r="M217" s="77">
        <f t="shared" si="5"/>
        <v>2.0948690276694881E-2</v>
      </c>
      <c r="N217" s="12"/>
      <c r="O217" s="24">
        <v>44531</v>
      </c>
      <c r="P217" s="78">
        <v>0.56846279162783597</v>
      </c>
      <c r="Q217" s="78">
        <v>6.8639209981006533E-2</v>
      </c>
      <c r="R217" s="78">
        <v>7.2932437467958175E-2</v>
      </c>
      <c r="S217" s="78">
        <v>4.3569363738863477E-3</v>
      </c>
      <c r="T217" s="78">
        <v>0.28560862454931302</v>
      </c>
      <c r="U217" s="78">
        <v>1</v>
      </c>
      <c r="V217" s="12"/>
      <c r="W217" s="12"/>
    </row>
    <row r="218" spans="5:23" ht="13.5" hidden="1" customHeight="1">
      <c r="E218" s="12"/>
      <c r="F218" s="24">
        <v>44562</v>
      </c>
      <c r="G218" s="34">
        <f>144.9*1.0101</f>
        <v>146.36349000000001</v>
      </c>
      <c r="H218" s="34">
        <f>131/99.8*107.1</f>
        <v>140.58216432865731</v>
      </c>
      <c r="I218" s="34">
        <f>+I$172*(109.7/103.6)</f>
        <v>110.84693240813765</v>
      </c>
      <c r="J218" s="34">
        <v>0.42</v>
      </c>
      <c r="K218" s="34">
        <v>346.32333898816671</v>
      </c>
      <c r="L218" s="34">
        <v>142.66633079846505</v>
      </c>
      <c r="M218" s="77">
        <f t="shared" si="5"/>
        <v>8.4950207303342573E-3</v>
      </c>
      <c r="N218" s="12"/>
      <c r="O218" s="24">
        <v>44562</v>
      </c>
      <c r="P218" s="78">
        <v>0.56680371729798695</v>
      </c>
      <c r="Q218" s="78">
        <v>6.82522127880901E-2</v>
      </c>
      <c r="R218" s="78">
        <v>7.2252230288897615E-2</v>
      </c>
      <c r="S218" s="78">
        <v>3.703059326161186E-3</v>
      </c>
      <c r="T218" s="78">
        <v>0.28898878029886421</v>
      </c>
      <c r="U218" s="78">
        <v>1</v>
      </c>
      <c r="V218" s="12"/>
      <c r="W218" s="12"/>
    </row>
    <row r="219" spans="5:23" ht="13.5" hidden="1" customHeight="1">
      <c r="E219" s="12"/>
      <c r="F219" s="24">
        <v>44593</v>
      </c>
      <c r="G219" s="34">
        <f>144.9*1.0101</f>
        <v>146.36349000000001</v>
      </c>
      <c r="H219" s="34">
        <f>131/99.8*106.6</f>
        <v>139.92585170340681</v>
      </c>
      <c r="I219" s="34">
        <f>+I$172*(110.3/103.6)</f>
        <v>111.45320551155497</v>
      </c>
      <c r="J219" s="34">
        <v>0.54</v>
      </c>
      <c r="K219" s="34">
        <v>345.07052521822072</v>
      </c>
      <c r="L219" s="34">
        <v>142.6790498156127</v>
      </c>
      <c r="M219" s="77">
        <f t="shared" si="5"/>
        <v>8.9152199236330887E-5</v>
      </c>
      <c r="N219" s="12"/>
      <c r="O219" s="24">
        <v>44593</v>
      </c>
      <c r="P219" s="78">
        <v>0.56675319000467383</v>
      </c>
      <c r="Q219" s="78">
        <v>6.7927519118914981E-2</v>
      </c>
      <c r="R219" s="78">
        <v>7.2640935030016091E-2</v>
      </c>
      <c r="S219" s="78">
        <v>4.7606518539103802E-3</v>
      </c>
      <c r="T219" s="78">
        <v>0.28791770399248473</v>
      </c>
      <c r="U219" s="78">
        <v>1</v>
      </c>
      <c r="V219" s="12"/>
      <c r="W219" s="12"/>
    </row>
    <row r="220" spans="5:23" ht="13.5" hidden="1" customHeight="1">
      <c r="E220" s="12"/>
      <c r="F220" s="24">
        <v>44621</v>
      </c>
      <c r="G220" s="34">
        <f>144.9*1.0101</f>
        <v>146.36349000000001</v>
      </c>
      <c r="H220" s="34">
        <f>131/99.8*108.1</f>
        <v>141.89478957915833</v>
      </c>
      <c r="I220" s="34">
        <f>+I$172*(113.2/103.6)</f>
        <v>114.38352551140548</v>
      </c>
      <c r="J220" s="34">
        <v>0.7</v>
      </c>
      <c r="K220" s="34">
        <v>413.01484112624917</v>
      </c>
      <c r="L220" s="34">
        <v>151.37779186562912</v>
      </c>
      <c r="M220" s="77">
        <f t="shared" si="5"/>
        <v>6.0967199187673238E-2</v>
      </c>
      <c r="N220" s="12"/>
      <c r="O220" s="24">
        <v>44621</v>
      </c>
      <c r="P220" s="78">
        <v>0.53418540218642663</v>
      </c>
      <c r="Q220" s="78">
        <v>6.4925048862817289E-2</v>
      </c>
      <c r="R220" s="78">
        <v>7.0266833456988254E-2</v>
      </c>
      <c r="S220" s="78">
        <v>5.8165939257171151E-3</v>
      </c>
      <c r="T220" s="78">
        <v>0.32480612156805078</v>
      </c>
      <c r="U220" s="78">
        <v>1</v>
      </c>
      <c r="V220" s="12"/>
      <c r="W220" s="12"/>
    </row>
    <row r="221" spans="5:23" ht="13.5" hidden="1" customHeight="1">
      <c r="E221" s="12"/>
      <c r="F221" s="24">
        <v>44652</v>
      </c>
      <c r="G221" s="34">
        <f>145.2*1.0101</f>
        <v>146.66651999999999</v>
      </c>
      <c r="H221" s="34">
        <f>131/99.8*109.2</f>
        <v>143.33867735470943</v>
      </c>
      <c r="I221" s="34">
        <f>+I$172*(113.6/103.6)</f>
        <v>114.78770758035037</v>
      </c>
      <c r="J221" s="34">
        <v>1.04</v>
      </c>
      <c r="K221" s="34">
        <v>433.99992356538684</v>
      </c>
      <c r="L221" s="34">
        <v>154.60870435421779</v>
      </c>
      <c r="M221" s="77">
        <f t="shared" si="5"/>
        <v>2.1343371763915098E-2</v>
      </c>
      <c r="N221" s="12"/>
      <c r="O221" s="24">
        <v>44652</v>
      </c>
      <c r="P221" s="78">
        <v>0.52410520389388704</v>
      </c>
      <c r="Q221" s="78">
        <v>6.4215143112321321E-2</v>
      </c>
      <c r="R221" s="78">
        <v>6.9041546755164912E-2</v>
      </c>
      <c r="S221" s="78">
        <v>8.4612060238977316E-3</v>
      </c>
      <c r="T221" s="78">
        <v>0.3341769002147289</v>
      </c>
      <c r="U221" s="78">
        <v>1</v>
      </c>
      <c r="V221" s="12"/>
      <c r="W221" s="12"/>
    </row>
    <row r="222" spans="5:23" ht="13.5" hidden="1" customHeight="1">
      <c r="E222" s="12"/>
      <c r="F222" s="24">
        <v>44682</v>
      </c>
      <c r="G222" s="34">
        <f>145.2*1.0101</f>
        <v>146.66651999999999</v>
      </c>
      <c r="H222" s="34">
        <f>131/99.8*109.9</f>
        <v>144.25751503006015</v>
      </c>
      <c r="I222" s="34">
        <f>+I$172*(113.8/103.6)</f>
        <v>114.98979861482283</v>
      </c>
      <c r="J222" s="34">
        <v>1.24</v>
      </c>
      <c r="K222" s="34">
        <v>486.25194142398522</v>
      </c>
      <c r="L222" s="34">
        <v>161.16319043430875</v>
      </c>
      <c r="M222" s="77">
        <f t="shared" si="5"/>
        <v>4.2394030190397558E-2</v>
      </c>
      <c r="N222" s="12"/>
      <c r="O222" s="24">
        <v>44682</v>
      </c>
      <c r="P222" s="78">
        <v>0.50278991313693266</v>
      </c>
      <c r="Q222" s="78">
        <v>6.1998415928464473E-2</v>
      </c>
      <c r="R222" s="78">
        <v>6.6350244505397976E-2</v>
      </c>
      <c r="S222" s="78">
        <v>9.6780686921727373E-3</v>
      </c>
      <c r="T222" s="78">
        <v>0.35918335773703225</v>
      </c>
      <c r="U222" s="78">
        <v>1</v>
      </c>
      <c r="V222" s="12"/>
      <c r="W222" s="12"/>
    </row>
    <row r="223" spans="5:23" ht="13.5" hidden="1" customHeight="1">
      <c r="E223" s="12"/>
      <c r="F223" s="24">
        <v>44713</v>
      </c>
      <c r="G223" s="34">
        <f>145.2*1.0101</f>
        <v>146.66651999999999</v>
      </c>
      <c r="H223" s="34">
        <f>131/99.8*111.7</f>
        <v>146.62024048096194</v>
      </c>
      <c r="I223" s="34">
        <f>+I$172*(115.9/103.6)</f>
        <v>117.11175447678353</v>
      </c>
      <c r="J223" s="34">
        <v>1.58</v>
      </c>
      <c r="K223" s="34">
        <v>483.67683514169744</v>
      </c>
      <c r="L223" s="34">
        <v>161.64528159953753</v>
      </c>
      <c r="M223" s="77">
        <f t="shared" si="5"/>
        <v>2.9913230429952087E-3</v>
      </c>
      <c r="N223" s="12"/>
      <c r="O223" s="24">
        <v>44713</v>
      </c>
      <c r="P223" s="78">
        <v>0.50129039163719613</v>
      </c>
      <c r="Q223" s="78">
        <v>6.2825925951536687E-2</v>
      </c>
      <c r="R223" s="78">
        <v>6.7373099199012992E-2</v>
      </c>
      <c r="S223" s="78">
        <v>1.2294954507682242E-2</v>
      </c>
      <c r="T223" s="78">
        <v>0.35621562870457202</v>
      </c>
      <c r="U223" s="78">
        <v>1</v>
      </c>
      <c r="V223" s="12"/>
      <c r="W223" s="12"/>
    </row>
    <row r="224" spans="5:23" ht="13.5" hidden="1" customHeight="1">
      <c r="E224" s="12"/>
      <c r="F224" s="24">
        <v>44743</v>
      </c>
      <c r="G224" s="34">
        <f>145.9*1.0101</f>
        <v>147.37359000000001</v>
      </c>
      <c r="H224" s="34">
        <f>131/99.8*112.7</f>
        <v>147.93286573146295</v>
      </c>
      <c r="I224" s="34">
        <f>+I$172*(116.1/103.6)</f>
        <v>117.31384551125596</v>
      </c>
      <c r="J224" s="34">
        <v>1.84</v>
      </c>
      <c r="K224" s="34">
        <v>500.90848074223828</v>
      </c>
      <c r="L224" s="34">
        <v>164.52406918097898</v>
      </c>
      <c r="M224" s="77">
        <f t="shared" si="5"/>
        <v>1.7809289284257623E-2</v>
      </c>
      <c r="N224" s="12"/>
      <c r="O224" s="24">
        <v>44743</v>
      </c>
      <c r="P224" s="78">
        <v>0.49489338145783091</v>
      </c>
      <c r="Q224" s="78">
        <v>6.2279229473622348E-2</v>
      </c>
      <c r="R224" s="78">
        <v>6.6308453509114199E-2</v>
      </c>
      <c r="S224" s="78">
        <v>1.406764019591009E-2</v>
      </c>
      <c r="T224" s="78">
        <v>0.36245129536352244</v>
      </c>
      <c r="U224" s="78">
        <v>1</v>
      </c>
      <c r="V224" s="12"/>
      <c r="W224" s="12"/>
    </row>
    <row r="225" spans="5:23" ht="13.5" hidden="1" customHeight="1">
      <c r="E225" s="12"/>
      <c r="F225" s="24">
        <v>44774</v>
      </c>
      <c r="G225" s="34">
        <f>145.9*1.0101</f>
        <v>147.37359000000001</v>
      </c>
      <c r="H225" s="34">
        <f>131/99.8*113.6</f>
        <v>149.11422845691382</v>
      </c>
      <c r="I225" s="34">
        <f>+I$172*(116.6/103.6)</f>
        <v>117.8190730974371</v>
      </c>
      <c r="J225" s="34">
        <v>2.0699999999999998</v>
      </c>
      <c r="K225" s="34">
        <v>521.50744042251551</v>
      </c>
      <c r="L225" s="34">
        <v>167.39444295191416</v>
      </c>
      <c r="M225" s="77">
        <f t="shared" si="5"/>
        <v>1.744652794709145E-2</v>
      </c>
      <c r="N225" s="12"/>
      <c r="O225" s="24">
        <v>44774</v>
      </c>
      <c r="P225" s="78">
        <v>0.48640726354079811</v>
      </c>
      <c r="Q225" s="78">
        <v>6.1700126156904921E-2</v>
      </c>
      <c r="R225" s="78">
        <v>6.5452107606478668E-2</v>
      </c>
      <c r="S225" s="78">
        <v>1.5554719374128938E-2</v>
      </c>
      <c r="T225" s="78">
        <v>0.37088578332168931</v>
      </c>
      <c r="U225" s="78">
        <v>0.99999999999999989</v>
      </c>
      <c r="V225" s="12"/>
      <c r="W225" s="12"/>
    </row>
    <row r="226" spans="5:23" ht="13.5" hidden="1" customHeight="1">
      <c r="E226" s="12"/>
      <c r="F226" s="24">
        <v>44805</v>
      </c>
      <c r="G226" s="34">
        <f>145.9*1.0101</f>
        <v>147.37359000000001</v>
      </c>
      <c r="H226" s="34">
        <f>131/99.8*114.9</f>
        <v>150.82064128256513</v>
      </c>
      <c r="I226" s="34">
        <f>+I$172*(117.7/103.6)</f>
        <v>118.93057378703557</v>
      </c>
      <c r="J226" s="34">
        <v>1.9</v>
      </c>
      <c r="K226" s="34">
        <v>517.68474726246677</v>
      </c>
      <c r="L226" s="34">
        <v>166.9470785518979</v>
      </c>
      <c r="M226" s="77">
        <f t="shared" si="5"/>
        <v>-2.6725164355949627E-3</v>
      </c>
      <c r="N226" s="12"/>
      <c r="O226" s="24">
        <v>44805</v>
      </c>
      <c r="P226" s="78">
        <v>0.48771067834448889</v>
      </c>
      <c r="Q226" s="78">
        <v>6.2573430064542926E-2</v>
      </c>
      <c r="R226" s="78">
        <v>6.6246625515239535E-2</v>
      </c>
      <c r="S226" s="78">
        <v>1.4315537160929072E-2</v>
      </c>
      <c r="T226" s="78">
        <v>0.36915372891479975</v>
      </c>
      <c r="U226" s="78">
        <v>1.0000000000000002</v>
      </c>
      <c r="V226" s="12"/>
      <c r="W226" s="12"/>
    </row>
    <row r="227" spans="5:23" ht="13.5" hidden="1" customHeight="1">
      <c r="E227" s="12"/>
      <c r="F227" s="24">
        <v>44835</v>
      </c>
      <c r="G227" s="34">
        <f>147.2*1.0101</f>
        <v>148.68671999999998</v>
      </c>
      <c r="H227" s="34">
        <f>131/99.8*114.9</f>
        <v>150.82064128256513</v>
      </c>
      <c r="I227" s="34">
        <f>+I$172*(118.4/103.6)</f>
        <v>119.63789240768914</v>
      </c>
      <c r="J227" s="34">
        <v>2.52</v>
      </c>
      <c r="K227" s="34">
        <v>478.51780914721439</v>
      </c>
      <c r="L227" s="34">
        <v>163.85548372613067</v>
      </c>
      <c r="M227" s="77">
        <f t="shared" si="5"/>
        <v>-1.8518412257248151E-2</v>
      </c>
      <c r="N227" s="12"/>
      <c r="O227" s="24">
        <v>44835</v>
      </c>
      <c r="P227" s="78">
        <v>0.50134031066866103</v>
      </c>
      <c r="Q227" s="78">
        <v>6.3754053918068543E-2</v>
      </c>
      <c r="R227" s="78">
        <v>6.7897978396885633E-2</v>
      </c>
      <c r="S227" s="78">
        <v>1.9345164706557914E-2</v>
      </c>
      <c r="T227" s="78">
        <v>0.34766249230982682</v>
      </c>
      <c r="U227" s="78">
        <v>0.99999999999999989</v>
      </c>
      <c r="V227" s="12"/>
      <c r="W227" s="12"/>
    </row>
    <row r="228" spans="5:23" ht="13.5" hidden="1" customHeight="1">
      <c r="E228" s="12"/>
      <c r="F228" s="24">
        <v>44866</v>
      </c>
      <c r="G228" s="34">
        <f>147.2*1.0101</f>
        <v>148.68671999999998</v>
      </c>
      <c r="H228" s="34">
        <f>131/99.8*116.4</f>
        <v>152.78957915831666</v>
      </c>
      <c r="I228" s="34">
        <f>+I$172*(118.5/103.6)</f>
        <v>119.73893792492535</v>
      </c>
      <c r="J228" s="34">
        <v>3.22</v>
      </c>
      <c r="K228" s="34">
        <v>503.61072839666508</v>
      </c>
      <c r="L228" s="34">
        <v>167.86901231186832</v>
      </c>
      <c r="M228" s="77">
        <f t="shared" si="5"/>
        <v>2.4494319594734471E-2</v>
      </c>
      <c r="N228" s="12"/>
      <c r="O228" s="24">
        <v>44866</v>
      </c>
      <c r="P228" s="78">
        <v>0.48935391937261236</v>
      </c>
      <c r="Q228" s="78">
        <v>6.304217703973132E-2</v>
      </c>
      <c r="R228" s="78">
        <v>6.6330601705341871E-2</v>
      </c>
      <c r="S228" s="78">
        <v>2.4127826867081946E-2</v>
      </c>
      <c r="T228" s="78">
        <v>0.35714547501523258</v>
      </c>
      <c r="U228" s="78">
        <v>1</v>
      </c>
      <c r="V228" s="12"/>
      <c r="W228" s="12"/>
    </row>
    <row r="229" spans="5:23" ht="13.5" hidden="1" customHeight="1">
      <c r="E229" s="12"/>
      <c r="F229" s="24">
        <v>44896</v>
      </c>
      <c r="G229" s="34">
        <f>147.2*1.0101</f>
        <v>148.68671999999998</v>
      </c>
      <c r="H229" s="34">
        <f>131/99.8*117.6</f>
        <v>154.36472945891785</v>
      </c>
      <c r="I229" s="34">
        <f>+I$172*(120.6/103.6)</f>
        <v>121.86089378688604</v>
      </c>
      <c r="J229" s="34">
        <v>3.06</v>
      </c>
      <c r="K229" s="34">
        <v>529.39824045174726</v>
      </c>
      <c r="L229" s="34">
        <v>171.0441241827462</v>
      </c>
      <c r="M229" s="77">
        <f t="shared" si="5"/>
        <v>1.89142226260266E-2</v>
      </c>
      <c r="N229" s="12"/>
      <c r="O229" s="24">
        <v>44896</v>
      </c>
      <c r="P229" s="78">
        <v>0.4802699859379827</v>
      </c>
      <c r="Q229" s="78">
        <v>6.2509772634740599E-2</v>
      </c>
      <c r="R229" s="78">
        <v>6.625295753446532E-2</v>
      </c>
      <c r="S229" s="78">
        <v>2.2503296281965197E-2</v>
      </c>
      <c r="T229" s="78">
        <v>0.36846398761084626</v>
      </c>
      <c r="U229" s="78">
        <v>1.0000000000000002</v>
      </c>
      <c r="V229" s="12"/>
      <c r="W229" s="12"/>
    </row>
    <row r="230" spans="5:23" ht="13.5" customHeight="1">
      <c r="E230" s="12"/>
      <c r="F230" s="24">
        <v>44927</v>
      </c>
      <c r="G230" s="34">
        <f>148.2*1.0101</f>
        <v>149.69681999999997</v>
      </c>
      <c r="H230" s="34">
        <f>131/99.8*116.6</f>
        <v>153.05210420841684</v>
      </c>
      <c r="I230" s="34">
        <f>+I$172*(120.9/103.6)</f>
        <v>122.16403033859473</v>
      </c>
      <c r="J230" s="34">
        <v>2.86</v>
      </c>
      <c r="K230" s="34">
        <v>497.98242201286706</v>
      </c>
      <c r="L230" s="34">
        <v>167.54791150243406</v>
      </c>
      <c r="M230" s="77">
        <f t="shared" si="5"/>
        <v>-2.0440413823141546E-2</v>
      </c>
      <c r="N230" s="12"/>
      <c r="O230" s="24">
        <v>44927</v>
      </c>
      <c r="P230" s="78">
        <v>0.49362253860838556</v>
      </c>
      <c r="Q230" s="78">
        <v>6.327152306371378E-2</v>
      </c>
      <c r="R230" s="78">
        <v>6.7803701606110808E-2</v>
      </c>
      <c r="S230" s="78">
        <v>2.1471376422840683E-2</v>
      </c>
      <c r="T230" s="78">
        <v>0.35383086029894928</v>
      </c>
      <c r="U230" s="78">
        <v>1</v>
      </c>
      <c r="V230" s="12"/>
      <c r="W230" s="12"/>
    </row>
    <row r="231" spans="5:23" ht="13.5" customHeight="1">
      <c r="E231" s="12"/>
      <c r="F231" s="24">
        <v>44958</v>
      </c>
      <c r="G231" s="34">
        <f>148.2*1.0101</f>
        <v>149.69681999999997</v>
      </c>
      <c r="H231" s="34">
        <f>131/99.8*115.9</f>
        <v>152.13326653306615</v>
      </c>
      <c r="I231" s="34">
        <f>+I$172*(121/103.6)</f>
        <v>122.26507585583094</v>
      </c>
      <c r="J231" s="34">
        <v>3.33</v>
      </c>
      <c r="K231" s="34">
        <v>457.74608399865093</v>
      </c>
      <c r="L231" s="34">
        <v>163.29482029489157</v>
      </c>
      <c r="M231" s="77">
        <f t="shared" si="5"/>
        <v>-2.5384328395407718E-2</v>
      </c>
      <c r="N231" s="12"/>
      <c r="O231" s="24">
        <v>44958</v>
      </c>
      <c r="P231" s="78">
        <v>0.50647917224201111</v>
      </c>
      <c r="Q231" s="78">
        <v>6.4529720486455944E-2</v>
      </c>
      <c r="R231" s="78">
        <v>6.962722440176132E-2</v>
      </c>
      <c r="S231" s="78">
        <v>2.565102333141216E-2</v>
      </c>
      <c r="T231" s="78">
        <v>0.33371285953835966</v>
      </c>
      <c r="U231" s="78">
        <v>1.0000000000000002</v>
      </c>
      <c r="V231" s="12"/>
      <c r="W231" s="12"/>
    </row>
    <row r="232" spans="5:23" ht="13.5" customHeight="1">
      <c r="E232" s="12"/>
      <c r="F232" s="24">
        <v>44986</v>
      </c>
      <c r="G232" s="34">
        <f>148.2*1.0101</f>
        <v>149.69681999999997</v>
      </c>
      <c r="H232" s="34">
        <f>131/99.8*116.4</f>
        <v>152.78957915831666</v>
      </c>
      <c r="I232" s="34">
        <f>+I$172*(122.7/103.6)</f>
        <v>123.98284964884677</v>
      </c>
      <c r="J232" s="34">
        <v>3.26</v>
      </c>
      <c r="K232" s="34">
        <v>471.41518553582063</v>
      </c>
      <c r="L232" s="34">
        <v>165.03924335743383</v>
      </c>
      <c r="M232" s="77">
        <f t="shared" si="5"/>
        <v>1.0682660107601993E-2</v>
      </c>
      <c r="N232" s="12"/>
      <c r="O232" s="24">
        <v>44986</v>
      </c>
      <c r="P232" s="78">
        <v>0.50112581548405011</v>
      </c>
      <c r="Q232" s="78">
        <v>6.4123100532701038E-2</v>
      </c>
      <c r="R232" s="78">
        <v>6.9859176297245223E-2</v>
      </c>
      <c r="S232" s="78">
        <v>2.4846387122223233E-2</v>
      </c>
      <c r="T232" s="78">
        <v>0.34004552056378046</v>
      </c>
      <c r="U232" s="78">
        <v>1</v>
      </c>
      <c r="V232" s="12"/>
      <c r="W232" s="12"/>
    </row>
    <row r="233" spans="5:23" ht="13.5" customHeight="1">
      <c r="E233" s="12"/>
      <c r="F233" s="24">
        <v>45017</v>
      </c>
      <c r="G233" s="34">
        <f>149.4*1.0101</f>
        <v>150.90894</v>
      </c>
      <c r="H233" s="34">
        <f>131/99.8*117.5</f>
        <v>154.23346693386776</v>
      </c>
      <c r="I233" s="34">
        <f>+I$172*(122.3/103.6)</f>
        <v>123.57866757990186</v>
      </c>
      <c r="J233" s="34">
        <v>3.58</v>
      </c>
      <c r="K233" s="34">
        <v>440.51021240017332</v>
      </c>
      <c r="L233" s="34">
        <v>162.49469871276281</v>
      </c>
      <c r="M233" s="77">
        <f t="shared" si="5"/>
        <v>-1.5417815744344976E-2</v>
      </c>
      <c r="N233" s="12"/>
      <c r="O233" s="24">
        <v>45017</v>
      </c>
      <c r="P233" s="78">
        <v>0.51309430789342536</v>
      </c>
      <c r="Q233" s="78">
        <v>6.5742683430114218E-2</v>
      </c>
      <c r="R233" s="78">
        <v>7.0721812393808967E-2</v>
      </c>
      <c r="S233" s="78">
        <v>2.7712563485213323E-2</v>
      </c>
      <c r="T233" s="78">
        <v>0.32272863279743824</v>
      </c>
      <c r="U233" s="78">
        <v>1</v>
      </c>
      <c r="V233" s="12"/>
      <c r="W233" s="12"/>
    </row>
    <row r="234" spans="5:23" ht="13.5" customHeight="1">
      <c r="E234" s="12"/>
      <c r="F234" s="24">
        <v>45047</v>
      </c>
      <c r="G234" s="34">
        <f>149.4*1.0101</f>
        <v>150.90894</v>
      </c>
      <c r="H234" s="34">
        <f>131/99.8*117.3</f>
        <v>153.97094188376755</v>
      </c>
      <c r="I234" s="34">
        <f>+I$172*(122.9/103.6)</f>
        <v>124.1849406833192</v>
      </c>
      <c r="J234" s="34">
        <v>3.32</v>
      </c>
      <c r="K234" s="34">
        <v>449.12168409072592</v>
      </c>
      <c r="L234" s="34">
        <v>163.23102533608576</v>
      </c>
      <c r="M234" s="77">
        <f t="shared" si="5"/>
        <v>4.5313885877873439E-3</v>
      </c>
      <c r="N234" s="12"/>
      <c r="O234" s="24">
        <v>45047</v>
      </c>
      <c r="P234" s="78">
        <v>0.51077976628958788</v>
      </c>
      <c r="Q234" s="78">
        <v>6.533472396765988E-2</v>
      </c>
      <c r="R234" s="78">
        <v>7.074818389489787E-2</v>
      </c>
      <c r="S234" s="78">
        <v>2.5583988217511983E-2</v>
      </c>
      <c r="T234" s="78">
        <v>0.32755333763034228</v>
      </c>
      <c r="U234" s="78">
        <v>0.99999999999999978</v>
      </c>
      <c r="V234" s="12"/>
      <c r="W234" s="12"/>
    </row>
    <row r="235" spans="5:23" ht="13.5" customHeight="1">
      <c r="E235" s="12"/>
      <c r="F235" s="24">
        <v>45078</v>
      </c>
      <c r="G235" s="34">
        <f>149.4*1.0101</f>
        <v>150.90894</v>
      </c>
      <c r="H235" s="34">
        <f>131/99.8*117.6</f>
        <v>154.36472945891785</v>
      </c>
      <c r="I235" s="34">
        <f>+I$172*(123/103.6)</f>
        <v>124.28598620055541</v>
      </c>
      <c r="J235" s="34">
        <v>3.35</v>
      </c>
      <c r="K235" s="34">
        <v>437.18048745998027</v>
      </c>
      <c r="L235" s="34">
        <v>161.8838619876328</v>
      </c>
      <c r="M235" s="77">
        <f t="shared" si="5"/>
        <v>-8.2531084129332521E-3</v>
      </c>
      <c r="N235" s="12"/>
      <c r="O235" s="24">
        <v>45078</v>
      </c>
      <c r="P235" s="78">
        <v>0.51503036775058642</v>
      </c>
      <c r="Q235" s="78">
        <v>6.6046912779907707E-2</v>
      </c>
      <c r="R235" s="78">
        <v>7.1394980055471402E-2</v>
      </c>
      <c r="S235" s="78">
        <v>2.6029997223005096E-2</v>
      </c>
      <c r="T235" s="78">
        <v>0.32149774219102928</v>
      </c>
      <c r="U235" s="78">
        <v>1</v>
      </c>
      <c r="V235" s="12"/>
      <c r="W235" s="12"/>
    </row>
    <row r="236" spans="5:23" ht="13.5" customHeight="1">
      <c r="E236" s="12"/>
      <c r="F236" s="24">
        <v>45108</v>
      </c>
      <c r="G236" s="34">
        <f>150.8*1.0101</f>
        <v>152.32308</v>
      </c>
      <c r="H236" s="34">
        <f>131/99.8*116</f>
        <v>152.26452905811624</v>
      </c>
      <c r="I236" s="34">
        <f>+I$172*(122.7/103.6)</f>
        <v>123.98284964884677</v>
      </c>
      <c r="J236" s="34">
        <v>3.45</v>
      </c>
      <c r="K236" s="34">
        <v>410.98711278725386</v>
      </c>
      <c r="L236" s="34">
        <v>159.49902415295571</v>
      </c>
      <c r="M236" s="77">
        <f t="shared" si="5"/>
        <v>-1.4731782435850715E-2</v>
      </c>
      <c r="N236" s="12"/>
      <c r="O236" s="24">
        <v>45108</v>
      </c>
      <c r="P236" s="78">
        <v>0.52762954655666927</v>
      </c>
      <c r="Q236" s="78">
        <v>6.6122416379353205E-2</v>
      </c>
      <c r="R236" s="78">
        <v>7.2285743808779737E-2</v>
      </c>
      <c r="S236" s="78">
        <v>2.7207831925967409E-2</v>
      </c>
      <c r="T236" s="78">
        <v>0.3067544613292304</v>
      </c>
      <c r="U236" s="78">
        <v>1</v>
      </c>
      <c r="V236" s="12"/>
      <c r="W236" s="12"/>
    </row>
    <row r="237" spans="5:23" ht="13.5" customHeight="1">
      <c r="E237" s="12"/>
      <c r="F237" s="24">
        <v>45139</v>
      </c>
      <c r="G237" s="34">
        <f>150.8*1.0101</f>
        <v>152.32308</v>
      </c>
      <c r="H237" s="34">
        <f>131/99.8*116.4</f>
        <v>152.78957915831666</v>
      </c>
      <c r="I237" s="34">
        <f>+I$172*(123.3/103.6)</f>
        <v>124.58912275226409</v>
      </c>
      <c r="J237" s="34">
        <v>3.69</v>
      </c>
      <c r="K237" s="34">
        <v>430.04033031427906</v>
      </c>
      <c r="L237" s="34">
        <v>162.16189723418225</v>
      </c>
      <c r="M237" s="77">
        <f t="shared" si="5"/>
        <v>1.6695231180053449E-2</v>
      </c>
      <c r="N237" s="12"/>
      <c r="O237" s="24">
        <v>45139</v>
      </c>
      <c r="P237" s="78">
        <v>0.51896530088398507</v>
      </c>
      <c r="Q237" s="78">
        <v>6.5260879245675696E-2</v>
      </c>
      <c r="R237" s="78">
        <v>7.1446405078851874E-2</v>
      </c>
      <c r="S237" s="78">
        <v>2.8622688270965032E-2</v>
      </c>
      <c r="T237" s="78">
        <v>0.31570472652052234</v>
      </c>
      <c r="U237" s="78">
        <v>1</v>
      </c>
      <c r="V237" s="12"/>
      <c r="W237" s="12"/>
    </row>
    <row r="238" spans="5:23" ht="13.5" customHeight="1">
      <c r="E238" s="12"/>
      <c r="F238" s="24">
        <v>45170</v>
      </c>
      <c r="G238" s="34">
        <f>150.8*1.0101</f>
        <v>152.32308</v>
      </c>
      <c r="H238" s="34">
        <f>131/99.8*118.5</f>
        <v>155.54609218436875</v>
      </c>
      <c r="I238" s="34">
        <f>+I$172*(124.6/103.6)</f>
        <v>125.90271447633499</v>
      </c>
      <c r="J238" s="34">
        <v>3.67</v>
      </c>
      <c r="K238" s="34">
        <v>424.7062868394512</v>
      </c>
      <c r="L238" s="34">
        <v>161.81481663610168</v>
      </c>
      <c r="M238" s="77">
        <f t="shared" si="5"/>
        <v>-2.1403338515417758E-3</v>
      </c>
      <c r="N238" s="12"/>
      <c r="O238" s="24">
        <v>45170</v>
      </c>
      <c r="P238" s="78">
        <v>0.52007844237966738</v>
      </c>
      <c r="Q238" s="78">
        <v>6.6580771321096341E-2</v>
      </c>
      <c r="R238" s="78">
        <v>7.2354555303257878E-2</v>
      </c>
      <c r="S238" s="78">
        <v>2.8528612504251549E-2</v>
      </c>
      <c r="T238" s="78">
        <v>0.31245761849172698</v>
      </c>
      <c r="U238" s="78">
        <v>1</v>
      </c>
      <c r="V238" s="12"/>
      <c r="W238" s="12"/>
    </row>
    <row r="239" spans="5:23" ht="13.5" customHeight="1">
      <c r="E239" s="12"/>
      <c r="F239" s="24">
        <v>45200</v>
      </c>
      <c r="G239" s="34">
        <f>151.6*1.0101</f>
        <v>153.13115999999999</v>
      </c>
      <c r="H239" s="34">
        <f>131/99.8*117.7</f>
        <v>154.49599198396794</v>
      </c>
      <c r="I239" s="34">
        <f>+I$172*(124.3/103.6)</f>
        <v>125.59957792462635</v>
      </c>
      <c r="J239" s="34">
        <v>3.67</v>
      </c>
      <c r="K239" s="34">
        <v>452.81437220898084</v>
      </c>
      <c r="L239" s="34">
        <v>165.50654660075188</v>
      </c>
      <c r="M239" s="77">
        <f t="shared" si="5"/>
        <v>2.2814536031965149E-2</v>
      </c>
      <c r="N239" s="12"/>
      <c r="O239" s="24">
        <v>45200</v>
      </c>
      <c r="P239" s="78">
        <v>0.51117525298147293</v>
      </c>
      <c r="Q239" s="78">
        <v>6.4656180130520782E-2</v>
      </c>
      <c r="R239" s="78">
        <v>7.0570317844402958E-2</v>
      </c>
      <c r="S239" s="78">
        <v>2.7892263454652316E-2</v>
      </c>
      <c r="T239" s="78">
        <v>0.32570598558895097</v>
      </c>
      <c r="U239" s="78">
        <v>1</v>
      </c>
      <c r="V239" s="12"/>
      <c r="W239" s="12"/>
    </row>
    <row r="240" spans="5:23" ht="13.5" customHeight="1">
      <c r="E240" s="12"/>
      <c r="F240" s="24">
        <v>45231</v>
      </c>
      <c r="G240" s="34">
        <f>151.6*1.0101</f>
        <v>153.13115999999999</v>
      </c>
      <c r="H240" s="34">
        <f>131/99.8*117.4</f>
        <v>154.10220440881764</v>
      </c>
      <c r="I240" s="34">
        <f>+I$172*(124/103.6)</f>
        <v>125.29644137291767</v>
      </c>
      <c r="J240" s="34">
        <v>3.81</v>
      </c>
      <c r="K240" s="34">
        <v>463.72264597558586</v>
      </c>
      <c r="L240" s="34">
        <v>166.92578641939727</v>
      </c>
      <c r="M240" s="77">
        <f t="shared" si="5"/>
        <v>8.5751279800974078E-3</v>
      </c>
      <c r="N240" s="12"/>
      <c r="O240" s="24">
        <v>45231</v>
      </c>
      <c r="P240" s="78">
        <v>0.50682912834189997</v>
      </c>
      <c r="Q240" s="78">
        <v>6.3943061098424667E-2</v>
      </c>
      <c r="R240" s="78">
        <v>6.9801439002546983E-2</v>
      </c>
      <c r="S240" s="78">
        <v>2.8710080886770545E-2</v>
      </c>
      <c r="T240" s="78">
        <v>0.3307162906703579</v>
      </c>
      <c r="U240" s="78">
        <v>1</v>
      </c>
      <c r="V240" s="12"/>
      <c r="W240" s="12"/>
    </row>
    <row r="241" spans="5:23" ht="13.5" customHeight="1">
      <c r="E241" s="12"/>
      <c r="F241" s="24">
        <v>45261</v>
      </c>
      <c r="G241" s="79">
        <f>151.6*1.0101</f>
        <v>153.13115999999999</v>
      </c>
      <c r="H241" s="79">
        <f>131/99.8*117.7</f>
        <v>154.49599198396794</v>
      </c>
      <c r="I241" s="79">
        <f>+I$172*(123.9/103.6)</f>
        <v>125.19539585568144</v>
      </c>
      <c r="J241" s="79">
        <v>3.78</v>
      </c>
      <c r="K241" s="79">
        <v>461.36781983575446</v>
      </c>
      <c r="L241" s="79">
        <v>166.6255929549236</v>
      </c>
      <c r="M241" s="77">
        <f t="shared" si="5"/>
        <v>-1.798364835732702E-3</v>
      </c>
      <c r="N241" s="12"/>
      <c r="O241" s="24">
        <v>45261</v>
      </c>
      <c r="P241" s="80">
        <v>0.50774223412136021</v>
      </c>
      <c r="Q241" s="80">
        <v>6.4221953542836246E-2</v>
      </c>
      <c r="R241" s="80">
        <v>6.9870800710522707E-2</v>
      </c>
      <c r="S241" s="80">
        <v>2.8535334199340835E-2</v>
      </c>
      <c r="T241" s="80">
        <v>0.32962967742593996</v>
      </c>
      <c r="U241" s="80">
        <v>1</v>
      </c>
      <c r="V241" s="12"/>
      <c r="W241" s="12"/>
    </row>
    <row r="242" spans="5:23" ht="13.5" customHeight="1">
      <c r="E242" s="12"/>
      <c r="F242" s="24">
        <v>45292</v>
      </c>
      <c r="G242" s="81" cm="1">
        <f t="array" ref="G242">IF(G483="","",
G483*LOOKUP($F242,_xlfn._xlws.FILTER($F$454:$F$463,G$454:G$463&lt;&gt;""),_xlfn._xlws.FILTER(G$454:G$463,G$454:G$463&lt;&gt;"")))</f>
        <v>155.05035000000001</v>
      </c>
      <c r="H242" s="81" cm="1">
        <f t="array" ref="H242">IF(H483="","",
H483*LOOKUP($F242,_xlfn._xlws.FILTER($F$454:$F$463,H$454:H$463&lt;&gt;""),_xlfn._xlws.FILTER(H$454:H$463,H$454:H$463&lt;&gt;"")))</f>
        <v>153.97094188376755</v>
      </c>
      <c r="I242" s="81" cm="1">
        <f t="array" ref="I242">IF(I483="","",
I483*LOOKUP($F242,_xlfn._xlws.FILTER($F$454:$F$463,I$454:I$463&lt;&gt;""),_xlfn._xlws.FILTER(I$454:I$463,I$454:I$463&lt;&gt;"")))</f>
        <v>125.2015771995201</v>
      </c>
      <c r="J242" s="82">
        <f>IF(J483="","",J483)</f>
        <v>3.51</v>
      </c>
      <c r="K242" s="83" cm="1">
        <f t="array" ref="K242">IF(M483="","",
$N$477*(M483/LOOKUP($F242,_xlfn._xlws.FILTER($F$468:$F$477,G$468:G$477&lt;&gt;""),_xlfn._xlws.FILTER(G$468:G$477,G$468:G$477&lt;&gt;"")))*(N483/LOOKUP($F242,_xlfn._xlws.FILTER($F$468:$F$477,H$468:H$477&lt;&gt;""),_xlfn._xlws.FILTER(H$468:H$477,H$468:H$477&lt;&gt;""))))</f>
        <v>456.72931445557043</v>
      </c>
      <c r="L242" s="84">
        <f>IF(V483="","",V483)</f>
        <v>166.72014015198874</v>
      </c>
      <c r="M242" s="77">
        <f t="shared" si="5"/>
        <v>5.674230194081531E-4</v>
      </c>
      <c r="N242" s="12"/>
      <c r="O242" s="24">
        <v>45292</v>
      </c>
      <c r="P242" s="85">
        <f t="shared" ref="P242:P305" si="6">IFERROR((G242*Q$480)/$L242*($L$171/Q$481),"")</f>
        <v>0.51381420815437251</v>
      </c>
      <c r="Q242" s="85">
        <f t="shared" ref="Q242:Q305" si="7">IFERROR((H242*R$480)/$L242*($L$171/R$481),"")</f>
        <v>6.3967400540624164E-2</v>
      </c>
      <c r="R242" s="85">
        <f t="shared" ref="R242:R305" si="8">IFERROR((I242*S$480)/$L242*($L$171/S$481),"")</f>
        <v>6.9605733222923447E-2</v>
      </c>
      <c r="S242" s="85">
        <f t="shared" ref="S242:S305" si="9">IFERROR((J242*T$480)/$L242*($L$171/T$481),"")</f>
        <v>2.648206950640556E-2</v>
      </c>
      <c r="T242" s="86">
        <f t="shared" ref="T242:T305" si="10">IFERROR((K242*U$480)/$L242*($L$171/U$481),"")</f>
        <v>0.32613058857567406</v>
      </c>
      <c r="U242" s="87">
        <f>IF(P242="","",SUM(P242:T242))</f>
        <v>0.99999999999999978</v>
      </c>
      <c r="V242" s="12"/>
      <c r="W242" s="12"/>
    </row>
    <row r="243" spans="5:23" ht="13.5" customHeight="1">
      <c r="E243" s="12"/>
      <c r="F243" s="24">
        <v>45323</v>
      </c>
      <c r="G243" s="81" cm="1">
        <f t="array" ref="G243">IF(G484="","",
G484*LOOKUP($F243,_xlfn._xlws.FILTER($F$454:$F$463,G$454:G$463&lt;&gt;""),_xlfn._xlws.FILTER(G$454:G$463,G$454:G$463&lt;&gt;"")))</f>
        <v>155.05035000000001</v>
      </c>
      <c r="H243" s="81" cm="1">
        <f t="array" ref="H243">IF(H484="","",
H484*LOOKUP($F243,_xlfn._xlws.FILTER($F$454:$F$463,H$454:H$463&lt;&gt;""),_xlfn._xlws.FILTER(H$454:H$463,H$454:H$463&lt;&gt;"")))</f>
        <v>153.18336673346695</v>
      </c>
      <c r="I243" s="81" cm="1">
        <f t="array" ref="I243">IF(I484="","",
I484*LOOKUP($F243,_xlfn._xlws.FILTER($F$454:$F$463,I$454:I$463&lt;&gt;""),_xlfn._xlws.FILTER(I$454:I$463,I$454:I$463&lt;&gt;"")))</f>
        <v>124.99882160891359</v>
      </c>
      <c r="J243" s="88">
        <f t="shared" ref="J243:J306" si="11">IF(J484="","",J484)</f>
        <v>3.18</v>
      </c>
      <c r="K243" s="89" cm="1">
        <f t="array" ref="K243">IF(M484="","",
$N$477*(M484/LOOKUP($F243,_xlfn._xlws.FILTER($F$468:$F$477,G$468:G$477&lt;&gt;""),_xlfn._xlws.FILTER(G$468:G$477,G$468:G$477&lt;&gt;"")))*(N484/LOOKUP($F243,_xlfn._xlws.FILTER($F$468:$F$477,H$468:H$477&lt;&gt;""),_xlfn._xlws.FILTER(H$468:H$477,H$468:H$477&lt;&gt;""))))</f>
        <v>433.02505256764056</v>
      </c>
      <c r="L243" s="84">
        <f t="shared" ref="L243:L306" si="12">IF(V484="","",V484)</f>
        <v>163.4097662134065</v>
      </c>
      <c r="M243" s="77">
        <f t="shared" si="5"/>
        <v>-1.9855873055075302E-2</v>
      </c>
      <c r="N243" s="12"/>
      <c r="O243" s="24">
        <v>45323</v>
      </c>
      <c r="P243" s="85">
        <f t="shared" si="6"/>
        <v>0.52422311579411651</v>
      </c>
      <c r="Q243" s="85">
        <f t="shared" si="7"/>
        <v>6.4929432122642017E-2</v>
      </c>
      <c r="R243" s="85">
        <f t="shared" si="8"/>
        <v>7.0900808847727259E-2</v>
      </c>
      <c r="S243" s="85">
        <f t="shared" si="9"/>
        <v>2.4478341121767253E-2</v>
      </c>
      <c r="T243" s="86">
        <f t="shared" si="10"/>
        <v>0.31546830211374699</v>
      </c>
      <c r="U243" s="87">
        <f t="shared" ref="U243:U306" si="13">IF(P243="","",SUM(P243:T243))</f>
        <v>1</v>
      </c>
      <c r="V243" s="12"/>
      <c r="W243" s="12"/>
    </row>
    <row r="244" spans="5:23" ht="13.5" customHeight="1">
      <c r="E244" s="12"/>
      <c r="F244" s="24">
        <v>45352</v>
      </c>
      <c r="G244" s="81" cm="1">
        <f t="array" ref="G244">IF(G485="","",
G485*LOOKUP($F244,_xlfn._xlws.FILTER($F$454:$F$463,G$454:G$463&lt;&gt;""),_xlfn._xlws.FILTER(G$454:G$463,G$454:G$463&lt;&gt;"")))</f>
        <v>155.05035000000001</v>
      </c>
      <c r="H244" s="81" cm="1">
        <f t="array" ref="H244">IF(H485="","",
H485*LOOKUP($F244,_xlfn._xlws.FILTER($F$454:$F$463,H$454:H$463&lt;&gt;""),_xlfn._xlws.FILTER(H$454:H$463,H$454:H$463&lt;&gt;"")))</f>
        <v>154.62725450901803</v>
      </c>
      <c r="I244" s="81" cm="1">
        <f t="array" ref="I244">IF(I485="","",
I485*LOOKUP($F244,_xlfn._xlws.FILTER($F$454:$F$463,I$454:I$463&lt;&gt;""),_xlfn._xlws.FILTER(I$454:I$463,I$454:I$463&lt;&gt;"")))</f>
        <v>123.98504365588104</v>
      </c>
      <c r="J244" s="88">
        <f t="shared" si="11"/>
        <v>3.23</v>
      </c>
      <c r="K244" s="89" cm="1">
        <f t="array" ref="K244">IF(M485="","",
$N$477*(M485/LOOKUP($F244,_xlfn._xlws.FILTER($F$468:$F$477,G$468:G$477&lt;&gt;""),_xlfn._xlws.FILTER(G$468:G$477,G$468:G$477&lt;&gt;"")))*(N485/LOOKUP($F244,_xlfn._xlws.FILTER($F$468:$F$477,H$468:H$477&lt;&gt;""),_xlfn._xlws.FILTER(H$468:H$477,H$468:H$477&lt;&gt;""))))</f>
        <v>346.98148256159197</v>
      </c>
      <c r="L244" s="84">
        <f t="shared" si="12"/>
        <v>153.23542169368963</v>
      </c>
      <c r="M244" s="77">
        <f t="shared" si="5"/>
        <v>-6.2262768961003134E-2</v>
      </c>
      <c r="N244" s="12"/>
      <c r="O244" s="24">
        <v>45352</v>
      </c>
      <c r="P244" s="85">
        <f t="shared" si="6"/>
        <v>0.55902986299614688</v>
      </c>
      <c r="Q244" s="85">
        <f t="shared" si="7"/>
        <v>6.9893192762144146E-2</v>
      </c>
      <c r="R244" s="85">
        <f t="shared" si="8"/>
        <v>7.499519021342417E-2</v>
      </c>
      <c r="S244" s="85">
        <f t="shared" si="9"/>
        <v>2.6514059457365794E-2</v>
      </c>
      <c r="T244" s="86">
        <f t="shared" si="10"/>
        <v>0.26956769457091884</v>
      </c>
      <c r="U244" s="87">
        <f t="shared" si="13"/>
        <v>0.99999999999999978</v>
      </c>
      <c r="V244" s="12"/>
      <c r="W244" s="12"/>
    </row>
    <row r="245" spans="5:23" ht="13.5" customHeight="1">
      <c r="E245" s="12"/>
      <c r="F245" s="24">
        <v>45383</v>
      </c>
      <c r="G245" s="81" cm="1">
        <f t="array" ref="G245">IF(G486="","",
G486*LOOKUP($F245,_xlfn._xlws.FILTER($F$454:$F$463,G$454:G$463&lt;&gt;""),_xlfn._xlws.FILTER(G$454:G$463,G$454:G$463&lt;&gt;"")))</f>
        <v>156.36348000000001</v>
      </c>
      <c r="H245" s="81" cm="1">
        <f t="array" ref="H245">IF(H486="","",
H486*LOOKUP($F245,_xlfn._xlws.FILTER($F$454:$F$463,H$454:H$463&lt;&gt;""),_xlfn._xlws.FILTER(H$454:H$463,H$454:H$463&lt;&gt;"")))</f>
        <v>155.41482965931866</v>
      </c>
      <c r="I245" s="81" cm="1">
        <f t="array" ref="I245">IF(I486="","",
I486*LOOKUP($F245,_xlfn._xlws.FILTER($F$454:$F$463,I$454:I$463&lt;&gt;""),_xlfn._xlws.FILTER(I$454:I$463,I$454:I$463&lt;&gt;"")))</f>
        <v>124.28917704179081</v>
      </c>
      <c r="J245" s="88">
        <f t="shared" si="11"/>
        <v>3.38</v>
      </c>
      <c r="K245" s="89" cm="1">
        <f t="array" ref="K245">IF(M486="","",
$N$477*(M486/LOOKUP($F245,_xlfn._xlws.FILTER($F$468:$F$477,G$468:G$477&lt;&gt;""),_xlfn._xlws.FILTER(G$468:G$477,G$468:G$477&lt;&gt;"")))*(N486/LOOKUP($F245,_xlfn._xlws.FILTER($F$468:$F$477,H$468:H$477&lt;&gt;""),_xlfn._xlws.FILTER(H$468:H$477,H$468:H$477&lt;&gt;""))))</f>
        <v>356.00429398553581</v>
      </c>
      <c r="L245" s="84">
        <f t="shared" si="12"/>
        <v>155.30647150395401</v>
      </c>
      <c r="M245" s="77">
        <f t="shared" si="5"/>
        <v>1.3515476952870031E-2</v>
      </c>
      <c r="N245" s="12"/>
      <c r="O245" s="24">
        <v>45383</v>
      </c>
      <c r="P245" s="85">
        <f t="shared" si="6"/>
        <v>0.55624638269646098</v>
      </c>
      <c r="Q245" s="85">
        <f t="shared" si="7"/>
        <v>6.9312395175448377E-2</v>
      </c>
      <c r="R245" s="85">
        <f t="shared" si="8"/>
        <v>7.4176619853848325E-2</v>
      </c>
      <c r="S245" s="85">
        <f t="shared" si="9"/>
        <v>2.7375371327883032E-2</v>
      </c>
      <c r="T245" s="86">
        <f t="shared" si="10"/>
        <v>0.27288923094635908</v>
      </c>
      <c r="U245" s="87">
        <f t="shared" si="13"/>
        <v>0.99999999999999978</v>
      </c>
      <c r="V245" s="12"/>
      <c r="W245" s="12"/>
    </row>
    <row r="246" spans="5:23" ht="13.5" customHeight="1">
      <c r="E246" s="12"/>
      <c r="F246" s="24">
        <v>45413</v>
      </c>
      <c r="G246" s="81" cm="1">
        <f t="array" ref="G246">IF(G487="","",
G487*LOOKUP($F246,_xlfn._xlws.FILTER($F$454:$F$463,G$454:G$463&lt;&gt;""),_xlfn._xlws.FILTER(G$454:G$463,G$454:G$463&lt;&gt;"")))</f>
        <v>156.36348000000001</v>
      </c>
      <c r="H246" s="81" cm="1">
        <f t="array" ref="H246">IF(H487="","",
H487*LOOKUP($F246,_xlfn._xlws.FILTER($F$454:$F$463,H$454:H$463&lt;&gt;""),_xlfn._xlws.FILTER(H$454:H$463,H$454:H$463&lt;&gt;"")))</f>
        <v>155.41482965931866</v>
      </c>
      <c r="I246" s="81" cm="1">
        <f t="array" ref="I246">IF(I487="","",
I487*LOOKUP($F246,_xlfn._xlws.FILTER($F$454:$F$463,I$454:I$463&lt;&gt;""),_xlfn._xlws.FILTER(I$454:I$463,I$454:I$463&lt;&gt;"")))</f>
        <v>123.88366586057779</v>
      </c>
      <c r="J246" s="88">
        <f t="shared" si="11"/>
        <v>3.39</v>
      </c>
      <c r="K246" s="89" cm="1">
        <f t="array" ref="K246">IF(M487="","",
$N$477*(M487/LOOKUP($F246,_xlfn._xlws.FILTER($F$468:$F$477,G$468:G$477&lt;&gt;""),_xlfn._xlws.FILTER(G$468:G$477,G$468:G$477&lt;&gt;"")))*(N487/LOOKUP($F246,_xlfn._xlws.FILTER($F$468:$F$477,H$468:H$477&lt;&gt;""),_xlfn._xlws.FILTER(H$468:H$477,H$468:H$477&lt;&gt;""))))</f>
        <v>347.22945411158304</v>
      </c>
      <c r="L246" s="84">
        <f t="shared" si="12"/>
        <v>154.23684032546961</v>
      </c>
      <c r="M246" s="77">
        <f t="shared" si="5"/>
        <v>-6.8872286397747562E-3</v>
      </c>
      <c r="N246" s="12"/>
      <c r="O246" s="24">
        <v>45413</v>
      </c>
      <c r="P246" s="85">
        <f t="shared" si="6"/>
        <v>0.56010394663900398</v>
      </c>
      <c r="Q246" s="85">
        <f t="shared" si="7"/>
        <v>6.9793076047661828E-2</v>
      </c>
      <c r="R246" s="85">
        <f t="shared" si="8"/>
        <v>7.4447343922778575E-2</v>
      </c>
      <c r="S246" s="85">
        <f t="shared" si="9"/>
        <v>2.764677319891955E-2</v>
      </c>
      <c r="T246" s="86">
        <f t="shared" si="10"/>
        <v>0.26800886019163589</v>
      </c>
      <c r="U246" s="87">
        <f t="shared" si="13"/>
        <v>0.99999999999999978</v>
      </c>
      <c r="V246" s="12"/>
      <c r="W246" s="12"/>
    </row>
    <row r="247" spans="5:23" ht="13.5" customHeight="1">
      <c r="E247" s="12"/>
      <c r="F247" s="24">
        <v>45444</v>
      </c>
      <c r="G247" s="81" cm="1">
        <f t="array" ref="G247">IF(G488="","",
G488*LOOKUP($F247,_xlfn._xlws.FILTER($F$454:$F$463,G$454:G$463&lt;&gt;""),_xlfn._xlws.FILTER(G$454:G$463,G$454:G$463&lt;&gt;"")))</f>
        <v>156.36348000000001</v>
      </c>
      <c r="H247" s="81" cm="1">
        <f t="array" ref="H247">IF(H488="","",
H488*LOOKUP($F247,_xlfn._xlws.FILTER($F$454:$F$463,H$454:H$463&lt;&gt;""),_xlfn._xlws.FILTER(H$454:H$463,H$454:H$463&lt;&gt;"")))</f>
        <v>155.54609218436875</v>
      </c>
      <c r="I247" s="81" cm="1">
        <f t="array" ref="I247">IF(I488="","",
I488*LOOKUP($F247,_xlfn._xlws.FILTER($F$454:$F$463,I$454:I$463&lt;&gt;""),_xlfn._xlws.FILTER(I$454:I$463,I$454:I$463&lt;&gt;"")))</f>
        <v>124.39055483709407</v>
      </c>
      <c r="J247" s="88">
        <f t="shared" si="11"/>
        <v>3.43</v>
      </c>
      <c r="K247" s="89" cm="1">
        <f t="array" ref="K247">IF(M488="","",
$N$477*(M488/LOOKUP($F247,_xlfn._xlws.FILTER($F$468:$F$477,G$468:G$477&lt;&gt;""),_xlfn._xlws.FILTER(G$468:G$477,G$468:G$477&lt;&gt;"")))*(N488/LOOKUP($F247,_xlfn._xlws.FILTER($F$468:$F$477,H$468:H$477&lt;&gt;""),_xlfn._xlws.FILTER(H$468:H$477,H$468:H$477&lt;&gt;""))))</f>
        <v>344.995736175785</v>
      </c>
      <c r="L247" s="84">
        <f t="shared" si="12"/>
        <v>154.07731026602255</v>
      </c>
      <c r="M247" s="77">
        <f t="shared" si="5"/>
        <v>-1.0343187730662562E-3</v>
      </c>
      <c r="N247" s="12"/>
      <c r="O247" s="24">
        <v>45444</v>
      </c>
      <c r="P247" s="85">
        <f t="shared" si="6"/>
        <v>0.56068387249408014</v>
      </c>
      <c r="Q247" s="85">
        <f t="shared" si="7"/>
        <v>6.9924346967194365E-2</v>
      </c>
      <c r="R247" s="85">
        <f t="shared" si="8"/>
        <v>7.4829354028601816E-2</v>
      </c>
      <c r="S247" s="85">
        <f t="shared" si="9"/>
        <v>2.8001951756270162E-2</v>
      </c>
      <c r="T247" s="86">
        <f t="shared" si="10"/>
        <v>0.26656047475385342</v>
      </c>
      <c r="U247" s="87">
        <f t="shared" si="13"/>
        <v>1</v>
      </c>
      <c r="V247" s="12"/>
      <c r="W247" s="12"/>
    </row>
    <row r="248" spans="5:23" ht="13.5" customHeight="1">
      <c r="E248" s="12"/>
      <c r="F248" s="24">
        <v>45474</v>
      </c>
      <c r="G248" s="81" cm="1">
        <f t="array" ref="G248">IF(G489="","",
G489*LOOKUP($F248,_xlfn._xlws.FILTER($F$454:$F$463,G$454:G$463&lt;&gt;""),_xlfn._xlws.FILTER(G$454:G$463,G$454:G$463&lt;&gt;"")))</f>
        <v>157.67660999999998</v>
      </c>
      <c r="H248" s="81" cm="1">
        <f t="array" ref="H248">IF(H489="","",
H489*LOOKUP($F248,_xlfn._xlws.FILTER($F$454:$F$463,H$454:H$463&lt;&gt;""),_xlfn._xlws.FILTER(H$454:H$463,H$454:H$463&lt;&gt;"")))</f>
        <v>155.54609218436875</v>
      </c>
      <c r="I248" s="81" cm="1">
        <f t="array" ref="I248">IF(I489="","",
I489*LOOKUP($F248,_xlfn._xlws.FILTER($F$454:$F$463,I$454:I$463&lt;&gt;""),_xlfn._xlws.FILTER(I$454:I$463,I$454:I$463&lt;&gt;"")))</f>
        <v>124.89744381361034</v>
      </c>
      <c r="J248" s="88">
        <f t="shared" si="11"/>
        <v>3.49</v>
      </c>
      <c r="K248" s="89" cm="1">
        <f t="array" ref="K248">IF(M489="","",
$N$477*(M489/LOOKUP($F248,_xlfn._xlws.FILTER($F$468:$F$477,G$468:G$477&lt;&gt;""),_xlfn._xlws.FILTER(G$468:G$477,G$468:G$477&lt;&gt;"")))*(N489/LOOKUP($F248,_xlfn._xlws.FILTER($F$468:$F$477,H$468:H$477&lt;&gt;""),_xlfn._xlws.FILTER(H$468:H$477,H$468:H$477&lt;&gt;""))))</f>
        <v>326.26900479199838</v>
      </c>
      <c r="L248" s="84">
        <f t="shared" si="12"/>
        <v>152.69587786859492</v>
      </c>
      <c r="M248" s="77">
        <f t="shared" si="5"/>
        <v>-8.9658392598008785E-3</v>
      </c>
      <c r="N248" s="12"/>
      <c r="O248" s="24">
        <v>45474</v>
      </c>
      <c r="P248" s="85">
        <f t="shared" si="6"/>
        <v>0.57050753685858036</v>
      </c>
      <c r="Q248" s="85">
        <f t="shared" si="7"/>
        <v>7.0556949232676483E-2</v>
      </c>
      <c r="R248" s="85">
        <f t="shared" si="8"/>
        <v>7.5814018424461185E-2</v>
      </c>
      <c r="S248" s="85">
        <f t="shared" si="9"/>
        <v>2.8749545620976591E-2</v>
      </c>
      <c r="T248" s="86">
        <f t="shared" si="10"/>
        <v>0.2543719498633053</v>
      </c>
      <c r="U248" s="87">
        <f t="shared" si="13"/>
        <v>1</v>
      </c>
      <c r="V248" s="12"/>
      <c r="W248" s="12"/>
    </row>
    <row r="249" spans="5:23" ht="13.5" customHeight="1">
      <c r="E249" s="12"/>
      <c r="F249" s="24">
        <v>45505</v>
      </c>
      <c r="G249" s="81" cm="1">
        <f t="array" ref="G249">IF(G490="","",
G490*LOOKUP($F249,_xlfn._xlws.FILTER($F$454:$F$463,G$454:G$463&lt;&gt;""),_xlfn._xlws.FILTER(G$454:G$463,G$454:G$463&lt;&gt;"")))</f>
        <v>157.67660999999998</v>
      </c>
      <c r="H249" s="81" cm="1">
        <f t="array" ref="H249">IF(H490="","",
H490*LOOKUP($F249,_xlfn._xlws.FILTER($F$454:$F$463,H$454:H$463&lt;&gt;""),_xlfn._xlws.FILTER(H$454:H$463,H$454:H$463&lt;&gt;"")))</f>
        <v>155.54609218436875</v>
      </c>
      <c r="I249" s="81" cm="1">
        <f t="array" ref="I249">IF(I490="","",
I490*LOOKUP($F249,_xlfn._xlws.FILTER($F$454:$F$463,I$454:I$463&lt;&gt;""),_xlfn._xlws.FILTER(I$454:I$463,I$454:I$463&lt;&gt;"")))</f>
        <v>124.89744381361034</v>
      </c>
      <c r="J249" s="88">
        <f t="shared" si="11"/>
        <v>3.4</v>
      </c>
      <c r="K249" s="89" cm="1">
        <f t="array" ref="K249">IF(M490="","",
$N$477*(M490/LOOKUP($F249,_xlfn._xlws.FILTER($F$468:$F$477,G$468:G$477&lt;&gt;""),_xlfn._xlws.FILTER(G$468:G$477,G$468:G$477&lt;&gt;"")))*(N490/LOOKUP($F249,_xlfn._xlws.FILTER($F$468:$F$477,H$468:H$477&lt;&gt;""),_xlfn._xlws.FILTER(H$468:H$477,H$468:H$477&lt;&gt;""))))</f>
        <v>314.50516106150991</v>
      </c>
      <c r="L249" s="84">
        <f t="shared" si="12"/>
        <v>151.18221273446221</v>
      </c>
      <c r="M249" s="77">
        <f t="shared" si="5"/>
        <v>-9.9129403835991337E-3</v>
      </c>
      <c r="N249" s="12"/>
      <c r="O249" s="24">
        <v>45505</v>
      </c>
      <c r="P249" s="85">
        <f t="shared" si="6"/>
        <v>0.57621956707485678</v>
      </c>
      <c r="Q249" s="85">
        <f t="shared" si="7"/>
        <v>7.1263378858837989E-2</v>
      </c>
      <c r="R249" s="85">
        <f t="shared" si="8"/>
        <v>7.6573082829538813E-2</v>
      </c>
      <c r="S249" s="85">
        <f t="shared" si="9"/>
        <v>2.8288576297398917E-2</v>
      </c>
      <c r="T249" s="86">
        <f t="shared" si="10"/>
        <v>0.24765539493936745</v>
      </c>
      <c r="U249" s="87">
        <f t="shared" si="13"/>
        <v>1</v>
      </c>
      <c r="V249" s="12"/>
      <c r="W249" s="12"/>
    </row>
    <row r="250" spans="5:23" ht="13.5" customHeight="1">
      <c r="E250" s="12"/>
      <c r="F250" s="24">
        <v>45536</v>
      </c>
      <c r="G250" s="81" cm="1">
        <f t="array" ref="G250">IF(G491="","",
G491*LOOKUP($F250,_xlfn._xlws.FILTER($F$454:$F$463,G$454:G$463&lt;&gt;""),_xlfn._xlws.FILTER(G$454:G$463,G$454:G$463&lt;&gt;"")))</f>
        <v>157.67660999999998</v>
      </c>
      <c r="H250" s="81" cm="1">
        <f t="array" ref="H250">IF(H491="","",
H491*LOOKUP($F250,_xlfn._xlws.FILTER($F$454:$F$463,H$454:H$463&lt;&gt;""),_xlfn._xlws.FILTER(H$454:H$463,H$454:H$463&lt;&gt;"")))</f>
        <v>157.25250501002006</v>
      </c>
      <c r="I250" s="81" cm="1">
        <f t="array" ref="I250">IF(I491="","",
I491*LOOKUP($F250,_xlfn._xlws.FILTER($F$454:$F$463,I$454:I$463&lt;&gt;""),_xlfn._xlws.FILTER(I$454:I$463,I$454:I$463&lt;&gt;"")))</f>
        <v>125.10019940421685</v>
      </c>
      <c r="J250" s="88">
        <f t="shared" si="11"/>
        <v>3.12</v>
      </c>
      <c r="K250" s="89" cm="1">
        <f t="array" ref="K250">IF(M491="","",
$N$477*(M491/LOOKUP($F250,_xlfn._xlws.FILTER($F$468:$F$477,G$468:G$477&lt;&gt;""),_xlfn._xlws.FILTER(G$468:G$477,G$468:G$477&lt;&gt;"")))*(N491/LOOKUP($F250,_xlfn._xlws.FILTER($F$468:$F$477,H$468:H$477&lt;&gt;""),_xlfn._xlws.FILTER(H$468:H$477,H$468:H$477&lt;&gt;""))))</f>
        <v>329.35592946914937</v>
      </c>
      <c r="L250" s="84">
        <f t="shared" si="12"/>
        <v>152.73494619286586</v>
      </c>
      <c r="M250" s="77">
        <f t="shared" si="5"/>
        <v>1.0270609421036081E-2</v>
      </c>
      <c r="N250" s="12"/>
      <c r="O250" s="24">
        <v>45536</v>
      </c>
      <c r="P250" s="85">
        <f t="shared" si="6"/>
        <v>0.57036160579300188</v>
      </c>
      <c r="Q250" s="85">
        <f t="shared" si="7"/>
        <v>7.1312745841469946E-2</v>
      </c>
      <c r="R250" s="85">
        <f t="shared" si="8"/>
        <v>7.5917669055163117E-2</v>
      </c>
      <c r="S250" s="85">
        <f t="shared" si="9"/>
        <v>2.5695025269011455E-2</v>
      </c>
      <c r="T250" s="86">
        <f t="shared" si="10"/>
        <v>0.25671295404135358</v>
      </c>
      <c r="U250" s="87">
        <f t="shared" si="13"/>
        <v>1</v>
      </c>
      <c r="V250" s="12"/>
      <c r="W250" s="12"/>
    </row>
    <row r="251" spans="5:23" ht="13.5" customHeight="1">
      <c r="E251" s="12"/>
      <c r="F251" s="24">
        <v>45566</v>
      </c>
      <c r="G251" s="81" cm="1">
        <f t="array" ref="G251">IF(G492="","",
G492*LOOKUP($F251,_xlfn._xlws.FILTER($F$454:$F$463,G$454:G$463&lt;&gt;""),_xlfn._xlws.FILTER(G$454:G$463,G$454:G$463&lt;&gt;"")))</f>
        <v>162.86760950617284</v>
      </c>
      <c r="H251" s="81" cm="1">
        <f t="array" ref="H251">IF(H492="","",
H492*LOOKUP($F251,_xlfn._xlws.FILTER($F$454:$F$463,H$454:H$463&lt;&gt;""),_xlfn._xlws.FILTER(H$454:H$463,H$454:H$463&lt;&gt;"")))</f>
        <v>156.59619238476955</v>
      </c>
      <c r="I251" s="81" cm="1">
        <f t="array" ref="I251">IF(I492="","",
I492*LOOKUP($F251,_xlfn._xlws.FILTER($F$454:$F$463,I$454:I$463&lt;&gt;""),_xlfn._xlws.FILTER(I$454:I$463,I$454:I$463&lt;&gt;"")))</f>
        <v>125.30295499482335</v>
      </c>
      <c r="J251" s="88">
        <f t="shared" si="11"/>
        <v>3.05</v>
      </c>
      <c r="K251" s="89" cm="1">
        <f t="array" ref="K251">IF(M492="","",
$N$477*(M492/LOOKUP($F251,_xlfn._xlws.FILTER($F$468:$F$477,G$468:G$477&lt;&gt;""),_xlfn._xlws.FILTER(G$468:G$477,G$468:G$477&lt;&gt;"")))*(N492/LOOKUP($F251,_xlfn._xlws.FILTER($F$468:$F$477,H$468:H$477&lt;&gt;""),_xlfn._xlws.FILTER(H$468:H$477,H$468:H$477&lt;&gt;""))))</f>
        <v>310.87338847930516</v>
      </c>
      <c r="L251" s="84">
        <f t="shared" si="12"/>
        <v>153.28788302490673</v>
      </c>
      <c r="M251" s="77">
        <f t="shared" si="5"/>
        <v>3.6202378422462989E-3</v>
      </c>
      <c r="N251" s="12"/>
      <c r="O251" s="24">
        <v>45566</v>
      </c>
      <c r="P251" s="85">
        <f t="shared" si="6"/>
        <v>0.58701381298952648</v>
      </c>
      <c r="Q251" s="85">
        <f t="shared" si="7"/>
        <v>7.075894912101971E-2</v>
      </c>
      <c r="R251" s="85">
        <f t="shared" si="8"/>
        <v>7.5766419818716152E-2</v>
      </c>
      <c r="S251" s="85">
        <f t="shared" si="9"/>
        <v>2.502792726805432E-2</v>
      </c>
      <c r="T251" s="86">
        <f t="shared" si="10"/>
        <v>0.24143289080268335</v>
      </c>
      <c r="U251" s="87">
        <f t="shared" si="13"/>
        <v>1</v>
      </c>
      <c r="V251" s="12"/>
      <c r="W251" s="12"/>
    </row>
    <row r="252" spans="5:23" ht="13.5" customHeight="1">
      <c r="E252" s="12"/>
      <c r="F252" s="24">
        <v>45597</v>
      </c>
      <c r="G252" s="81" cm="1">
        <f t="array" ref="G252">IF(G493="","",
G493*LOOKUP($F252,_xlfn._xlws.FILTER($F$454:$F$463,G$454:G$463&lt;&gt;""),_xlfn._xlws.FILTER(G$454:G$463,G$454:G$463&lt;&gt;"")))</f>
        <v>162.86760950617284</v>
      </c>
      <c r="H252" s="81" cm="1">
        <f t="array" ref="H252">IF(H493="","",
H493*LOOKUP($F252,_xlfn._xlws.FILTER($F$454:$F$463,H$454:H$463&lt;&gt;""),_xlfn._xlws.FILTER(H$454:H$463,H$454:H$463&lt;&gt;"")))</f>
        <v>156.07114228456916</v>
      </c>
      <c r="I252" s="81" cm="1">
        <f t="array" ref="I252">IF(I493="","",
I493*LOOKUP($F252,_xlfn._xlws.FILTER($F$454:$F$463,I$454:I$463&lt;&gt;""),_xlfn._xlws.FILTER(I$454:I$463,I$454:I$463&lt;&gt;"")))</f>
        <v>125.2015771995201</v>
      </c>
      <c r="J252" s="88">
        <f t="shared" si="11"/>
        <v>2.82</v>
      </c>
      <c r="K252" s="89" cm="1">
        <f t="array" ref="K252">IF(M493="","",
$N$477*(M493/LOOKUP($F252,_xlfn._xlws.FILTER($F$468:$F$477,G$468:G$477&lt;&gt;""),_xlfn._xlws.FILTER(G$468:G$477,G$468:G$477&lt;&gt;"")))*(N493/LOOKUP($F252,_xlfn._xlws.FILTER($F$468:$F$477,H$468:H$477&lt;&gt;""),_xlfn._xlws.FILTER(H$468:H$477,H$468:H$477&lt;&gt;""))))</f>
        <v>297.13127726725315</v>
      </c>
      <c r="L252" s="84">
        <f t="shared" si="12"/>
        <v>151.31684562173675</v>
      </c>
      <c r="M252" s="77">
        <f t="shared" si="5"/>
        <v>-1.2858403184090705E-2</v>
      </c>
      <c r="N252" s="12"/>
      <c r="O252" s="24">
        <v>45597</v>
      </c>
      <c r="P252" s="85">
        <f t="shared" si="6"/>
        <v>0.59466019351527521</v>
      </c>
      <c r="Q252" s="85">
        <f t="shared" si="7"/>
        <v>7.1440310329651285E-2</v>
      </c>
      <c r="R252" s="85">
        <f t="shared" si="8"/>
        <v>7.6691247102237486E-2</v>
      </c>
      <c r="S252" s="85">
        <f t="shared" si="9"/>
        <v>2.3442002090025078E-2</v>
      </c>
      <c r="T252" s="86">
        <f t="shared" si="10"/>
        <v>0.23376624696281081</v>
      </c>
      <c r="U252" s="87">
        <f t="shared" si="13"/>
        <v>0.99999999999999989</v>
      </c>
      <c r="V252" s="12"/>
      <c r="W252" s="12"/>
    </row>
    <row r="253" spans="5:23" ht="13.5" customHeight="1">
      <c r="E253" s="12"/>
      <c r="F253" s="24">
        <v>45627</v>
      </c>
      <c r="G253" s="81" cm="1">
        <f t="array" ref="G253">IF(G494="","",
G494*LOOKUP($F253,_xlfn._xlws.FILTER($F$454:$F$463,G$454:G$463&lt;&gt;""),_xlfn._xlws.FILTER(G$454:G$463,G$454:G$463&lt;&gt;"")))</f>
        <v>162.86760950617284</v>
      </c>
      <c r="H253" s="81" cm="1">
        <f t="array" ref="H253">IF(H494="","",
H494*LOOKUP($F253,_xlfn._xlws.FILTER($F$454:$F$463,H$454:H$463&lt;&gt;""),_xlfn._xlws.FILTER(H$454:H$463,H$454:H$463&lt;&gt;"")))</f>
        <v>156.98997995991985</v>
      </c>
      <c r="I253" s="81" cm="1">
        <f t="array" ref="I253">IF(I494="","",
I494*LOOKUP($F253,_xlfn._xlws.FILTER($F$454:$F$463,I$454:I$463&lt;&gt;""),_xlfn._xlws.FILTER(I$454:I$463,I$454:I$463&lt;&gt;"")))</f>
        <v>124.59331042770059</v>
      </c>
      <c r="J253" s="88">
        <f t="shared" si="11"/>
        <v>2.9</v>
      </c>
      <c r="K253" s="89" cm="1">
        <f t="array" ref="K253">IF(M494="","",
$N$477*(M494/LOOKUP($F253,_xlfn._xlws.FILTER($F$468:$F$477,G$468:G$477&lt;&gt;""),_xlfn._xlws.FILTER(G$468:G$477,G$468:G$477&lt;&gt;"")))*(N494/LOOKUP($F253,_xlfn._xlws.FILTER($F$468:$F$477,H$468:H$477&lt;&gt;""),_xlfn._xlws.FILTER(H$468:H$477,H$468:H$477&lt;&gt;""))))</f>
        <v>304.41953895906971</v>
      </c>
      <c r="L253" s="84">
        <f t="shared" si="12"/>
        <v>152.29238818987142</v>
      </c>
      <c r="M253" s="77">
        <f t="shared" si="5"/>
        <v>6.4470189298906355E-3</v>
      </c>
      <c r="N253" s="12"/>
      <c r="O253" s="24">
        <v>45627</v>
      </c>
      <c r="P253" s="85">
        <f t="shared" si="6"/>
        <v>0.5908509661517507</v>
      </c>
      <c r="Q253" s="85">
        <f t="shared" si="7"/>
        <v>7.1400579995841998E-2</v>
      </c>
      <c r="R253" s="85">
        <f t="shared" si="8"/>
        <v>7.5829782007438354E-2</v>
      </c>
      <c r="S253" s="85">
        <f t="shared" si="9"/>
        <v>2.3952600556703146E-2</v>
      </c>
      <c r="T253" s="86">
        <f t="shared" si="10"/>
        <v>0.23796607128826558</v>
      </c>
      <c r="U253" s="87">
        <f t="shared" si="13"/>
        <v>0.99999999999999978</v>
      </c>
      <c r="V253" s="12"/>
      <c r="W253" s="12"/>
    </row>
    <row r="254" spans="5:23" ht="13.5" customHeight="1">
      <c r="E254" s="12"/>
      <c r="F254" s="24">
        <v>45658</v>
      </c>
      <c r="G254" s="81" cm="1">
        <f t="array" ref="G254">IF(G495="","",
G495*LOOKUP($F254,_xlfn._xlws.FILTER($F$454:$F$463,G$454:G$463&lt;&gt;""),_xlfn._xlws.FILTER(G$454:G$463,G$454:G$463&lt;&gt;"")))</f>
        <v>161.82940960493826</v>
      </c>
      <c r="H254" s="81" cm="1">
        <f t="array" ref="H254">IF(H495="","",
H495*LOOKUP($F254,_xlfn._xlws.FILTER($F$454:$F$463,H$454:H$463&lt;&gt;""),_xlfn._xlws.FILTER(H$454:H$463,H$454:H$463&lt;&gt;"")))</f>
        <v>156.46492985971946</v>
      </c>
      <c r="I254" s="81" cm="1">
        <f t="array" ref="I254">IF(I495="","",
I495*LOOKUP($F254,_xlfn._xlws.FILTER($F$454:$F$463,I$454:I$463&lt;&gt;""),_xlfn._xlws.FILTER(I$454:I$463,I$454:I$463&lt;&gt;"")))</f>
        <v>124.89744381361034</v>
      </c>
      <c r="J254" s="88">
        <f t="shared" si="11"/>
        <v>2.67</v>
      </c>
      <c r="K254" s="89" cm="1">
        <f t="array" ref="K254">IF(M495="","",
$N$477*(M495/LOOKUP($F254,_xlfn._xlws.FILTER($F$468:$F$477,G$468:G$477&lt;&gt;""),_xlfn._xlws.FILTER(G$468:G$477,G$468:G$477&lt;&gt;"")))*(N495/LOOKUP($F254,_xlfn._xlws.FILTER($F$468:$F$477,H$468:H$477&lt;&gt;""),_xlfn._xlws.FILTER(H$468:H$477,H$468:H$477&lt;&gt;""))))</f>
        <v>314.9767490681192</v>
      </c>
      <c r="L254" s="84">
        <f t="shared" si="12"/>
        <v>152.67812202911554</v>
      </c>
      <c r="M254" s="77">
        <f t="shared" si="5"/>
        <v>2.5328504190453849E-3</v>
      </c>
      <c r="N254" s="12"/>
      <c r="O254" s="24">
        <v>45658</v>
      </c>
      <c r="P254" s="85">
        <f t="shared" si="6"/>
        <v>0.58560134487925153</v>
      </c>
      <c r="Q254" s="85">
        <f t="shared" si="7"/>
        <v>7.0981995292912173E-2</v>
      </c>
      <c r="R254" s="85">
        <f t="shared" si="8"/>
        <v>7.5822835283900783E-2</v>
      </c>
      <c r="S254" s="85">
        <f t="shared" si="9"/>
        <v>2.1997195940078935E-2</v>
      </c>
      <c r="T254" s="86">
        <f t="shared" si="10"/>
        <v>0.24559662860385642</v>
      </c>
      <c r="U254" s="87">
        <f t="shared" si="13"/>
        <v>0.99999999999999989</v>
      </c>
      <c r="V254" s="12"/>
      <c r="W254" s="12"/>
    </row>
    <row r="255" spans="5:23" ht="13.5" customHeight="1">
      <c r="E255" s="12"/>
      <c r="F255" s="24">
        <v>45689</v>
      </c>
      <c r="G255" s="81" cm="1">
        <f t="array" ref="G255">IF(G496="","",
G496*LOOKUP($F255,_xlfn._xlws.FILTER($F$454:$F$463,G$454:G$463&lt;&gt;""),_xlfn._xlws.FILTER(G$454:G$463,G$454:G$463&lt;&gt;"")))</f>
        <v>161.82940960493826</v>
      </c>
      <c r="H255" s="81" cm="1">
        <f t="array" ref="H255">IF(H496="","",
H496*LOOKUP($F255,_xlfn._xlws.FILTER($F$454:$F$463,H$454:H$463&lt;&gt;""),_xlfn._xlws.FILTER(H$454:H$463,H$454:H$463&lt;&gt;"")))</f>
        <v>156.07114228456916</v>
      </c>
      <c r="I255" s="81" cm="1">
        <f t="array" ref="I255">IF(I496="","",
I496*LOOKUP($F255,_xlfn._xlws.FILTER($F$454:$F$463,I$454:I$463&lt;&gt;""),_xlfn._xlws.FILTER(I$454:I$463,I$454:I$463&lt;&gt;"")))</f>
        <v>125.20157719952012</v>
      </c>
      <c r="J255" s="88">
        <f t="shared" si="11"/>
        <v>2.82</v>
      </c>
      <c r="K255" s="89" cm="1">
        <f t="array" ref="K255">IF(M496="","",
$N$477*(M496/LOOKUP($F255,_xlfn._xlws.FILTER($F$468:$F$477,G$468:G$477&lt;&gt;""),_xlfn._xlws.FILTER(G$468:G$477,G$468:G$477&lt;&gt;"")))*(N496/LOOKUP($F255,_xlfn._xlws.FILTER($F$468:$F$477,H$468:H$477&lt;&gt;""),_xlfn._xlws.FILTER(H$468:H$477,H$468:H$477&lt;&gt;""))))</f>
        <v>310.76640400521984</v>
      </c>
      <c r="L255" s="84">
        <f t="shared" si="12"/>
        <v>152.36648388964974</v>
      </c>
      <c r="M255" s="77">
        <f t="shared" si="5"/>
        <v>-2.0411446992147919E-3</v>
      </c>
      <c r="N255" s="12"/>
      <c r="O255" s="24">
        <v>45689</v>
      </c>
      <c r="P255" s="85">
        <f t="shared" si="6"/>
        <v>0.58679908672462366</v>
      </c>
      <c r="Q255" s="85">
        <f t="shared" si="7"/>
        <v>7.0948164802109345E-2</v>
      </c>
      <c r="R255" s="85">
        <f t="shared" si="8"/>
        <v>7.6162928368894683E-2</v>
      </c>
      <c r="S255" s="85">
        <f t="shared" si="9"/>
        <v>2.3280512359199451E-2</v>
      </c>
      <c r="T255" s="86">
        <f t="shared" si="10"/>
        <v>0.24280930774517287</v>
      </c>
      <c r="U255" s="87">
        <f t="shared" si="13"/>
        <v>1</v>
      </c>
      <c r="V255" s="12"/>
      <c r="W255" s="12"/>
    </row>
    <row r="256" spans="5:23" ht="13.5" customHeight="1">
      <c r="E256" s="12"/>
      <c r="F256" s="24">
        <v>45717</v>
      </c>
      <c r="G256" s="81" cm="1">
        <f t="array" ref="G256">IF(G497="","",
G497*LOOKUP($F256,_xlfn._xlws.FILTER($F$454:$F$463,G$454:G$463&lt;&gt;""),_xlfn._xlws.FILTER(G$454:G$463,G$454:G$463&lt;&gt;"")))</f>
        <v>161.82940960493826</v>
      </c>
      <c r="H256" s="81" cm="1">
        <f t="array" ref="H256">IF(H497="","",
H497*LOOKUP($F256,_xlfn._xlws.FILTER($F$454:$F$463,H$454:H$463&lt;&gt;""),_xlfn._xlws.FILTER(H$454:H$463,H$454:H$463&lt;&gt;"")))</f>
        <v>156.98997995991985</v>
      </c>
      <c r="I256" s="81" cm="1">
        <f t="array" ref="I256">IF(I497="","",
I497*LOOKUP($F256,_xlfn._xlws.FILTER($F$454:$F$463,I$454:I$463&lt;&gt;""),_xlfn._xlws.FILTER(I$454:I$463,I$454:I$463&lt;&gt;"")))</f>
        <v>124.43144447509424</v>
      </c>
      <c r="J256" s="88">
        <f t="shared" si="11"/>
        <v>2.73</v>
      </c>
      <c r="K256" s="89" cm="1">
        <f t="array" ref="K256">IF(M497="","",
$N$477*(M497/LOOKUP($F256,_xlfn._xlws.FILTER($F$468:$F$477,G$468:G$477&lt;&gt;""),_xlfn._xlws.FILTER(G$468:G$477,G$468:G$477&lt;&gt;"")))*(N497/LOOKUP($F256,_xlfn._xlws.FILTER($F$468:$F$477,H$468:H$477&lt;&gt;""),_xlfn._xlws.FILTER(H$468:H$477,H$468:H$477&lt;&gt;""))))</f>
        <v>326.79642045556278</v>
      </c>
      <c r="L256" s="84">
        <f t="shared" si="12"/>
        <v>154.1538720466842</v>
      </c>
      <c r="M256" s="77">
        <f t="shared" si="5"/>
        <v>1.1730848618446643E-2</v>
      </c>
      <c r="N256" s="12"/>
      <c r="O256" s="24">
        <v>45717</v>
      </c>
      <c r="P256" s="85">
        <f t="shared" si="6"/>
        <v>0.57999525024458631</v>
      </c>
      <c r="Q256" s="85">
        <f t="shared" si="7"/>
        <v>7.0538382859534704E-2</v>
      </c>
      <c r="R256" s="85">
        <f t="shared" si="8"/>
        <v>7.4816775091603283E-2</v>
      </c>
      <c r="S256" s="85">
        <f t="shared" si="9"/>
        <v>2.2276198570678769E-2</v>
      </c>
      <c r="T256" s="86">
        <f t="shared" si="10"/>
        <v>0.2523733932335967</v>
      </c>
      <c r="U256" s="87">
        <f t="shared" si="13"/>
        <v>0.99999999999999978</v>
      </c>
      <c r="V256" s="12"/>
      <c r="W256" s="12"/>
    </row>
    <row r="257" spans="5:23" ht="13.5" customHeight="1">
      <c r="E257" s="12"/>
      <c r="F257" s="24">
        <v>45748</v>
      </c>
      <c r="G257" s="81" cm="1">
        <f t="array" ref="G257">IF(G498="","",
G498*LOOKUP($F257,_xlfn._xlws.FILTER($F$454:$F$463,G$454:G$463&lt;&gt;""),_xlfn._xlws.FILTER(G$454:G$463,G$454:G$463&lt;&gt;"")))</f>
        <v>163.25693446913579</v>
      </c>
      <c r="H257" s="81" cm="1">
        <f t="array" ref="H257">IF(H498="","",
H498*LOOKUP($F257,_xlfn._xlws.FILTER($F$454:$F$463,H$454:H$463&lt;&gt;""),_xlfn._xlws.FILTER(H$454:H$463,H$454:H$463&lt;&gt;"")))</f>
        <v>158.56513026052104</v>
      </c>
      <c r="I257" s="81" cm="1">
        <f t="array" ref="I257">IF(I498="","",
I498*LOOKUP($F257,_xlfn._xlws.FILTER($F$454:$F$463,I$454:I$463&lt;&gt;""),_xlfn._xlws.FILTER(I$454:I$463,I$454:I$463&lt;&gt;"")))</f>
        <v>124.21140655382972</v>
      </c>
      <c r="J257" s="88">
        <f t="shared" si="11"/>
        <v>2.69</v>
      </c>
      <c r="K257" s="89" cm="1">
        <f t="array" ref="K257">IF(M498="","",
$N$477*(M498/LOOKUP($F257,_xlfn._xlws.FILTER($F$468:$F$477,G$468:G$477&lt;&gt;""),_xlfn._xlws.FILTER(G$468:G$477,G$468:G$477&lt;&gt;"")))*(N498/LOOKUP($F257,_xlfn._xlws.FILTER($F$468:$F$477,H$468:H$477&lt;&gt;""),_xlfn._xlws.FILTER(H$468:H$477,H$468:H$477&lt;&gt;""))))</f>
        <v>322.65613799003734</v>
      </c>
      <c r="L257" s="84">
        <f t="shared" si="12"/>
        <v>154.4880610373981</v>
      </c>
      <c r="M257" s="77">
        <f t="shared" si="5"/>
        <v>2.167892290196205E-3</v>
      </c>
      <c r="N257" s="12"/>
      <c r="O257" s="24">
        <v>45748</v>
      </c>
      <c r="P257" s="85">
        <f t="shared" si="6"/>
        <v>0.58384577266672222</v>
      </c>
      <c r="Q257" s="85">
        <f t="shared" si="7"/>
        <v>7.1092006019624968E-2</v>
      </c>
      <c r="R257" s="85">
        <f t="shared" si="8"/>
        <v>7.4522915448208299E-2</v>
      </c>
      <c r="S257" s="85">
        <f t="shared" si="9"/>
        <v>2.1902325500240655E-2</v>
      </c>
      <c r="T257" s="86">
        <f t="shared" si="10"/>
        <v>0.2486369803652039</v>
      </c>
      <c r="U257" s="87">
        <f t="shared" si="13"/>
        <v>1</v>
      </c>
      <c r="V257" s="12"/>
      <c r="W257" s="12"/>
    </row>
    <row r="258" spans="5:23" ht="13.5" customHeight="1">
      <c r="E258" s="12"/>
      <c r="F258" s="24">
        <v>45778</v>
      </c>
      <c r="G258" s="81" cm="1">
        <f t="array" ref="G258">IF(G499="","",
G499*LOOKUP($F258,_xlfn._xlws.FILTER($F$454:$F$463,G$454:G$463&lt;&gt;""),_xlfn._xlws.FILTER(G$454:G$463,G$454:G$463&lt;&gt;"")))</f>
        <v>163.25693446913579</v>
      </c>
      <c r="H258" s="81" cm="1">
        <f t="array" ref="H258">IF(H499="","",
H499*LOOKUP($F258,_xlfn._xlws.FILTER($F$454:$F$463,H$454:H$463&lt;&gt;""),_xlfn._xlws.FILTER(H$454:H$463,H$454:H$463&lt;&gt;"")))</f>
        <v>157.77755511022045</v>
      </c>
      <c r="I258" s="81" cm="1">
        <f t="array" ref="I258">IF(I499="","",
I499*LOOKUP($F258,_xlfn._xlws.FILTER($F$454:$F$463,I$454:I$463&lt;&gt;""),_xlfn._xlws.FILTER(I$454:I$463,I$454:I$463&lt;&gt;"")))</f>
        <v>124.10138759319744</v>
      </c>
      <c r="J258" s="88">
        <f t="shared" si="11"/>
        <v>2.75</v>
      </c>
      <c r="K258" s="89" cm="1">
        <f t="array" ref="K258">IF(M499="","",
$N$477*(M499/LOOKUP($F258,_xlfn._xlws.FILTER($F$468:$F$477,G$468:G$477&lt;&gt;""),_xlfn._xlws.FILTER(G$468:G$477,G$468:G$477&lt;&gt;"")))*(N499/LOOKUP($F258,_xlfn._xlws.FILTER($F$468:$F$477,H$468:H$477&lt;&gt;""),_xlfn._xlws.FILTER(H$468:H$477,H$468:H$477&lt;&gt;""))))</f>
        <v>312.9518565961605</v>
      </c>
      <c r="L258" s="84">
        <f t="shared" si="12"/>
        <v>153.34351304925661</v>
      </c>
      <c r="M258" s="77">
        <f t="shared" si="5"/>
        <v>-7.408650095390934E-3</v>
      </c>
      <c r="N258" s="12"/>
      <c r="O258" s="24">
        <v>45778</v>
      </c>
      <c r="P258" s="85">
        <f t="shared" si="6"/>
        <v>0.58820356708007926</v>
      </c>
      <c r="Q258" s="85">
        <f t="shared" si="7"/>
        <v>7.1266891491911039E-2</v>
      </c>
      <c r="R258" s="85">
        <f t="shared" si="8"/>
        <v>7.5012650028229988E-2</v>
      </c>
      <c r="S258" s="85">
        <f t="shared" si="9"/>
        <v>2.2557977367743082E-2</v>
      </c>
      <c r="T258" s="86">
        <f t="shared" si="10"/>
        <v>0.24295891403203662</v>
      </c>
      <c r="U258" s="87">
        <f t="shared" si="13"/>
        <v>1</v>
      </c>
      <c r="V258" s="12"/>
      <c r="W258" s="12"/>
    </row>
    <row r="259" spans="5:23" ht="13.5" customHeight="1">
      <c r="E259" s="12"/>
      <c r="F259" s="24">
        <v>45809</v>
      </c>
      <c r="G259" s="81" cm="1">
        <f t="array" ref="G259">IF(G500="","",
G500*LOOKUP($F259,_xlfn._xlws.FILTER($F$454:$F$463,G$454:G$463&lt;&gt;""),_xlfn._xlws.FILTER(G$454:G$463,G$454:G$463&lt;&gt;"")))</f>
        <v>163.25693446913579</v>
      </c>
      <c r="H259" s="81" cm="1">
        <f t="array" ref="H259">IF(H500="","",
H500*LOOKUP($F259,_xlfn._xlws.FILTER($F$454:$F$463,H$454:H$463&lt;&gt;""),_xlfn._xlws.FILTER(H$454:H$463,H$454:H$463&lt;&gt;"")))</f>
        <v>157.90881763527054</v>
      </c>
      <c r="I259" s="81" cm="1">
        <f t="array" ref="I259">IF(I500="","",
I500*LOOKUP($F259,_xlfn._xlws.FILTER($F$454:$F$463,I$454:I$463&lt;&gt;""),_xlfn._xlws.FILTER(I$454:I$463,I$454:I$463&lt;&gt;"")))</f>
        <v>126.08172888457825</v>
      </c>
      <c r="J259" s="88">
        <f t="shared" si="11"/>
        <v>2.61</v>
      </c>
      <c r="K259" s="89" cm="1">
        <f t="array" ref="K259">IF(M500="","",
$N$477*(M500/LOOKUP($F259,_xlfn._xlws.FILTER($F$468:$F$477,G$468:G$477&lt;&gt;""),_xlfn._xlws.FILTER(G$468:G$477,G$468:G$477&lt;&gt;"")))*(N500/LOOKUP($F259,_xlfn._xlws.FILTER($F$468:$F$477,H$468:H$477&lt;&gt;""),_xlfn._xlws.FILTER(H$468:H$477,H$468:H$477&lt;&gt;""))))</f>
        <v>294.59459420304904</v>
      </c>
      <c r="L259" s="84">
        <f t="shared" si="12"/>
        <v>151.17466959254048</v>
      </c>
      <c r="M259" s="77">
        <f t="shared" si="5"/>
        <v>-1.4143692247480133E-2</v>
      </c>
      <c r="N259" s="12"/>
      <c r="O259" s="24">
        <v>45809</v>
      </c>
      <c r="P259" s="85">
        <f t="shared" si="6"/>
        <v>0.59664229204053165</v>
      </c>
      <c r="Q259" s="85">
        <f t="shared" si="7"/>
        <v>7.2349470394584892E-2</v>
      </c>
      <c r="R259" s="85">
        <f t="shared" si="8"/>
        <v>7.7303010389777674E-2</v>
      </c>
      <c r="S259" s="85">
        <f t="shared" si="9"/>
        <v>2.1716725935457412E-2</v>
      </c>
      <c r="T259" s="86">
        <f t="shared" si="10"/>
        <v>0.23198850123964834</v>
      </c>
      <c r="U259" s="87">
        <f t="shared" si="13"/>
        <v>0.99999999999999989</v>
      </c>
      <c r="V259" s="12"/>
      <c r="W259" s="12"/>
    </row>
    <row r="260" spans="5:23" ht="13.5" customHeight="1">
      <c r="E260" s="12"/>
      <c r="F260" s="24">
        <v>45839</v>
      </c>
      <c r="G260" s="81" cm="1">
        <f t="array" ref="G260">IF(G501="","",
G501*LOOKUP($F260,_xlfn._xlws.FILTER($F$454:$F$463,G$454:G$463&lt;&gt;""),_xlfn._xlws.FILTER(G$454:G$463,G$454:G$463&lt;&gt;"")))</f>
        <v>163.90580940740739</v>
      </c>
      <c r="H260" s="81" cm="1">
        <f t="array" ref="H260">IF(H501="","",
H501*LOOKUP($F260,_xlfn._xlws.FILTER($F$454:$F$463,H$454:H$463&lt;&gt;""),_xlfn._xlws.FILTER(H$454:H$463,H$454:H$463&lt;&gt;"")))</f>
        <v>158.04008016032066</v>
      </c>
      <c r="I260" s="81" cm="1">
        <f t="array" ref="I260">IF(I501="","",
I501*LOOKUP($F260,_xlfn._xlws.FILTER($F$454:$F$463,I$454:I$463&lt;&gt;""),_xlfn._xlws.FILTER(I$454:I$463,I$454:I$463&lt;&gt;"")))</f>
        <v>126.41178576647506</v>
      </c>
      <c r="J260" s="88">
        <f t="shared" si="11"/>
        <v>2.67</v>
      </c>
      <c r="K260" s="89" cm="1">
        <f t="array" ref="K260">IF(M501="","",
$N$477*(M501/LOOKUP($F260,_xlfn._xlws.FILTER($F$468:$F$477,G$468:G$477&lt;&gt;""),_xlfn._xlws.FILTER(G$468:G$477,G$468:G$477&lt;&gt;"")))*(N501/LOOKUP($F260,_xlfn._xlws.FILTER($F$468:$F$477,H$468:H$477&lt;&gt;""),_xlfn._xlws.FILTER(H$468:H$477,H$468:H$477&lt;&gt;""))))</f>
        <v>275.60212539636592</v>
      </c>
      <c r="L260" s="84">
        <f t="shared" si="12"/>
        <v>149.38731161299614</v>
      </c>
      <c r="M260" s="77">
        <f t="shared" si="5"/>
        <v>-1.1823131377510454E-2</v>
      </c>
      <c r="N260" s="12"/>
      <c r="O260" s="24">
        <v>45839</v>
      </c>
      <c r="P260" s="85">
        <f t="shared" si="6"/>
        <v>0.60618063761527274</v>
      </c>
      <c r="Q260" s="85">
        <f t="shared" si="7"/>
        <v>7.327596260036856E-2</v>
      </c>
      <c r="R260" s="85">
        <f t="shared" si="8"/>
        <v>7.8432694340805062E-2</v>
      </c>
      <c r="S260" s="85">
        <f t="shared" si="9"/>
        <v>2.2481765886103278E-2</v>
      </c>
      <c r="T260" s="86">
        <f t="shared" si="10"/>
        <v>0.21962893955745019</v>
      </c>
      <c r="U260" s="87">
        <f t="shared" si="13"/>
        <v>0.99999999999999978</v>
      </c>
      <c r="V260" s="12"/>
      <c r="W260" s="12"/>
    </row>
    <row r="261" spans="5:23" ht="13.5" customHeight="1">
      <c r="E261" s="12"/>
      <c r="F261" s="24">
        <v>45870</v>
      </c>
      <c r="G261" s="81" cm="1">
        <f t="array" ref="G261">IF(G502="","",
G502*LOOKUP($F261,_xlfn._xlws.FILTER($F$454:$F$463,G$454:G$463&lt;&gt;""),_xlfn._xlws.FILTER(G$454:G$463,G$454:G$463&lt;&gt;"")))</f>
        <v>163.90580940740739</v>
      </c>
      <c r="H261" s="81" cm="1">
        <f t="array" ref="H261">IF(H502="","",
H502*LOOKUP($F261,_xlfn._xlws.FILTER($F$454:$F$463,H$454:H$463&lt;&gt;""),_xlfn._xlws.FILTER(H$454:H$463,H$454:H$463&lt;&gt;"")))</f>
        <v>158.43386773547095</v>
      </c>
      <c r="I261" s="81" cm="1">
        <f t="array" ref="I261">IF(I502="","",
I502*LOOKUP($F261,_xlfn._xlws.FILTER($F$454:$F$463,I$454:I$463&lt;&gt;""),_xlfn._xlws.FILTER(I$454:I$463,I$454:I$463&lt;&gt;"")))</f>
        <v>125.86169096331372</v>
      </c>
      <c r="J261" s="88">
        <f t="shared" si="11"/>
        <v>2.75</v>
      </c>
      <c r="K261" s="89" cm="1">
        <f t="array" ref="K261">IF(M502="","",
$N$477*(M502/LOOKUP($F261,_xlfn._xlws.FILTER($F$468:$F$477,G$468:G$477&lt;&gt;""),_xlfn._xlws.FILTER(G$468:G$477,G$468:G$477&lt;&gt;"")))*(N502/LOOKUP($F261,_xlfn._xlws.FILTER($F$468:$F$477,H$468:H$477&lt;&gt;""),_xlfn._xlws.FILTER(H$468:H$477,H$468:H$477&lt;&gt;""))))</f>
        <v>289.37487509345993</v>
      </c>
      <c r="L261" s="84">
        <f t="shared" si="12"/>
        <v>151.10384177294989</v>
      </c>
      <c r="M261" s="77">
        <f t="shared" si="5"/>
        <v>1.1490468242715268E-2</v>
      </c>
      <c r="N261" s="12"/>
      <c r="O261" s="24">
        <v>45870</v>
      </c>
      <c r="P261" s="85">
        <f t="shared" si="6"/>
        <v>0.59929446361309147</v>
      </c>
      <c r="Q261" s="85">
        <f t="shared" si="7"/>
        <v>7.2624059453718914E-2</v>
      </c>
      <c r="R261" s="85">
        <f t="shared" si="8"/>
        <v>7.7204272593834472E-2</v>
      </c>
      <c r="S261" s="85">
        <f t="shared" si="9"/>
        <v>2.2892333221104025E-2</v>
      </c>
      <c r="T261" s="86">
        <f t="shared" si="10"/>
        <v>0.22798487111825097</v>
      </c>
      <c r="U261" s="87">
        <f t="shared" si="13"/>
        <v>0.99999999999999978</v>
      </c>
      <c r="V261" s="12"/>
      <c r="W261" s="12"/>
    </row>
    <row r="262" spans="5:23" ht="13.5" customHeight="1">
      <c r="E262" s="12"/>
      <c r="F262" s="24">
        <v>45901</v>
      </c>
      <c r="G262" s="81" cm="1">
        <f t="array" ref="G262">IF(G503="","",
G503*LOOKUP($F262,_xlfn._xlws.FILTER($F$454:$F$463,G$454:G$463&lt;&gt;""),_xlfn._xlws.FILTER(G$454:G$463,G$454:G$463&lt;&gt;"")))</f>
        <v>163.90580940740739</v>
      </c>
      <c r="H262" s="81" cm="1">
        <f t="array" ref="H262">IF(H503="","",
H503*LOOKUP($F262,_xlfn._xlws.FILTER($F$454:$F$463,H$454:H$463&lt;&gt;""),_xlfn._xlws.FILTER(H$454:H$463,H$454:H$463&lt;&gt;"")))</f>
        <v>160.79659318637275</v>
      </c>
      <c r="I262" s="81" cm="1">
        <f t="array" ref="I262">IF(I503="","",
I503*LOOKUP($F262,_xlfn._xlws.FILTER($F$454:$F$463,I$454:I$463&lt;&gt;""),_xlfn._xlws.FILTER(I$454:I$463,I$454:I$463&lt;&gt;"")))</f>
        <v>126.30176680584279</v>
      </c>
      <c r="J262" s="88">
        <f t="shared" si="11"/>
        <v>2.69</v>
      </c>
      <c r="K262" s="89" cm="1">
        <f t="array" ref="K262">IF(M503="","",
$N$477*(M503/LOOKUP($F262,_xlfn._xlws.FILTER($F$468:$F$477,G$468:G$477&lt;&gt;""),_xlfn._xlws.FILTER(G$468:G$477,G$468:G$477&lt;&gt;"")))*(N503/LOOKUP($F262,_xlfn._xlws.FILTER($F$468:$F$477,H$468:H$477&lt;&gt;""),_xlfn._xlws.FILTER(H$468:H$477,H$468:H$477&lt;&gt;""))))</f>
        <v>309.48050511984741</v>
      </c>
      <c r="L262" s="84">
        <f t="shared" si="12"/>
        <v>153.62633916615147</v>
      </c>
      <c r="M262" s="77">
        <f t="shared" si="5"/>
        <v>1.6693800525547919E-2</v>
      </c>
      <c r="N262" s="12"/>
      <c r="O262" s="24">
        <v>45901</v>
      </c>
      <c r="P262" s="85">
        <f t="shared" si="6"/>
        <v>0.58945423224111826</v>
      </c>
      <c r="Q262" s="85">
        <f t="shared" si="7"/>
        <v>7.2496854565035448E-2</v>
      </c>
      <c r="R262" s="85">
        <f t="shared" si="8"/>
        <v>7.6202114700469281E-2</v>
      </c>
      <c r="S262" s="85">
        <f t="shared" si="9"/>
        <v>2.2025180168373491E-2</v>
      </c>
      <c r="T262" s="86">
        <f t="shared" si="10"/>
        <v>0.23982161832500351</v>
      </c>
      <c r="U262" s="87">
        <f t="shared" si="13"/>
        <v>1</v>
      </c>
      <c r="V262" s="12"/>
      <c r="W262" s="12"/>
    </row>
    <row r="263" spans="5:23" ht="13.5" customHeight="1">
      <c r="E263" s="12"/>
      <c r="F263" s="24">
        <v>45931</v>
      </c>
      <c r="G263" s="81" cm="1">
        <f t="array" ref="G263">IF(G504="","",
G504*LOOKUP($F263,_xlfn._xlws.FILTER($F$454:$F$463,G$454:G$463&lt;&gt;""),_xlfn._xlws.FILTER(G$454:G$463,G$454:G$463&lt;&gt;"")))</f>
        <v>167.53950906172838</v>
      </c>
      <c r="H263" s="81" cm="1">
        <f t="array" ref="H263">IF(H504="","",
H504*LOOKUP($F263,_xlfn._xlws.FILTER($F$454:$F$463,H$454:H$463&lt;&gt;""),_xlfn._xlws.FILTER(H$454:H$463,H$454:H$463&lt;&gt;"")))</f>
        <v>159.74649298597197</v>
      </c>
      <c r="I263" s="81" cm="1">
        <f t="array" ref="I263">IF(I504="","",
I504*LOOKUP($F263,_xlfn._xlws.FILTER($F$454:$F$463,I$454:I$463&lt;&gt;""),_xlfn._xlws.FILTER(I$454:I$463,I$454:I$463&lt;&gt;"")))</f>
        <v>124.65148239635877</v>
      </c>
      <c r="J263" s="88">
        <f t="shared" si="11"/>
        <v>2.73</v>
      </c>
      <c r="K263" s="89" cm="1">
        <f t="array" ref="K263">IF(M504="","",
$N$477*(M504/LOOKUP($F263,_xlfn._xlws.FILTER($F$468:$F$477,G$468:G$477&lt;&gt;""),_xlfn._xlws.FILTER(G$468:G$477,G$468:G$477&lt;&gt;"")))*(N504/LOOKUP($F263,_xlfn._xlws.FILTER($F$468:$F$477,H$468:H$477&lt;&gt;""),_xlfn._xlws.FILTER(H$468:H$477,H$468:H$477&lt;&gt;""))))</f>
        <v>311.74349921240537</v>
      </c>
      <c r="L263" s="84">
        <f t="shared" si="12"/>
        <v>155.72793086720716</v>
      </c>
      <c r="M263" s="77">
        <f t="shared" si="5"/>
        <v>1.367989182364604E-2</v>
      </c>
      <c r="N263" s="12"/>
      <c r="O263" s="24">
        <v>45931</v>
      </c>
      <c r="P263" s="85">
        <f t="shared" si="6"/>
        <v>0.5943908980202075</v>
      </c>
      <c r="Q263" s="85">
        <f t="shared" si="7"/>
        <v>7.1051429844705499E-2</v>
      </c>
      <c r="R263" s="85">
        <f t="shared" si="8"/>
        <v>7.4191510630405619E-2</v>
      </c>
      <c r="S263" s="85">
        <f t="shared" si="9"/>
        <v>2.2051036349279976E-2</v>
      </c>
      <c r="T263" s="86">
        <f t="shared" si="10"/>
        <v>0.23831512515540135</v>
      </c>
      <c r="U263" s="87">
        <f t="shared" si="13"/>
        <v>0.99999999999999989</v>
      </c>
      <c r="V263" s="12"/>
      <c r="W263" s="12"/>
    </row>
    <row r="264" spans="5:23" ht="13.5" customHeight="1">
      <c r="E264" s="12"/>
      <c r="F264" s="24">
        <v>45962</v>
      </c>
      <c r="G264" s="81" cm="1">
        <f t="array" ref="G264">IF(G505="","",
G505*LOOKUP($F264,_xlfn._xlws.FILTER($F$454:$F$463,G$454:G$463&lt;&gt;""),_xlfn._xlws.FILTER(G$454:G$463,G$454:G$463&lt;&gt;"")))</f>
        <v>167.53950906172838</v>
      </c>
      <c r="H264" s="81" cm="1">
        <f t="array" ref="H264">IF(H505="","",
H505*LOOKUP($F264,_xlfn._xlws.FILTER($F$454:$F$463,H$454:H$463&lt;&gt;""),_xlfn._xlws.FILTER(H$454:H$463,H$454:H$463&lt;&gt;"")))</f>
        <v>159.61523046092185</v>
      </c>
      <c r="I264" s="81" cm="1">
        <f t="array" ref="I264">IF(I505="","",
I505*LOOKUP($F264,_xlfn._xlws.FILTER($F$454:$F$463,I$454:I$463&lt;&gt;""),_xlfn._xlws.FILTER(I$454:I$463,I$454:I$463&lt;&gt;"")))</f>
        <v>124.65148239635877</v>
      </c>
      <c r="J264" s="88">
        <f t="shared" si="11"/>
        <v>2.76</v>
      </c>
      <c r="K264" s="89" cm="1">
        <f t="array" ref="K264">IF(M505="","",
$N$477*(M505/LOOKUP($F264,_xlfn._xlws.FILTER($F$468:$F$477,G$468:G$477&lt;&gt;""),_xlfn._xlws.FILTER(G$468:G$477,G$468:G$477&lt;&gt;"")))*(N505/LOOKUP($F264,_xlfn._xlws.FILTER($F$468:$F$477,H$468:H$477&lt;&gt;""),_xlfn._xlws.FILTER(H$468:H$477,H$468:H$477&lt;&gt;""))))</f>
        <v>336.37620172601083</v>
      </c>
      <c r="L264" s="84">
        <f t="shared" si="12"/>
        <v>158.68903952458996</v>
      </c>
      <c r="M264" s="77">
        <f t="shared" si="5"/>
        <v>1.9014627889121671E-2</v>
      </c>
      <c r="N264" s="12"/>
      <c r="O264" s="24">
        <v>45962</v>
      </c>
      <c r="P264" s="85">
        <f t="shared" si="6"/>
        <v>0.5832996718128397</v>
      </c>
      <c r="Q264" s="85">
        <f t="shared" si="7"/>
        <v>6.9668330033168607E-2</v>
      </c>
      <c r="R264" s="85">
        <f t="shared" si="8"/>
        <v>7.2807110516256837E-2</v>
      </c>
      <c r="S264" s="85">
        <f t="shared" si="9"/>
        <v>2.1877365466501448E-2</v>
      </c>
      <c r="T264" s="86">
        <f t="shared" si="10"/>
        <v>0.25234752217123335</v>
      </c>
      <c r="U264" s="87">
        <f t="shared" si="13"/>
        <v>1</v>
      </c>
      <c r="V264" s="12"/>
      <c r="W264" s="12"/>
    </row>
    <row r="265" spans="5:23" ht="13.5" customHeight="1">
      <c r="E265" s="12"/>
      <c r="F265" s="24">
        <v>45992</v>
      </c>
      <c r="G265" s="81" cm="1">
        <f t="array" ref="G265">IF(G506="","",
G506*LOOKUP($F265,_xlfn._xlws.FILTER($F$454:$F$463,G$454:G$463&lt;&gt;""),_xlfn._xlws.FILTER(G$454:G$463,G$454:G$463&lt;&gt;"")))</f>
        <v>167.53950906172838</v>
      </c>
      <c r="H265" s="81" t="str" cm="1">
        <f t="array" ref="H265">IF(H506="","",
H506*LOOKUP($F265,_xlfn._xlws.FILTER($F$454:$F$463,H$454:H$463&lt;&gt;""),_xlfn._xlws.FILTER(H$454:H$463,H$454:H$463&lt;&gt;"")))</f>
        <v/>
      </c>
      <c r="I265" s="81" t="str" cm="1">
        <f t="array" ref="I265">IF(I506="","",
I506*LOOKUP($F265,_xlfn._xlws.FILTER($F$454:$F$463,I$454:I$463&lt;&gt;""),_xlfn._xlws.FILTER(I$454:I$463,I$454:I$463&lt;&gt;"")))</f>
        <v/>
      </c>
      <c r="J265" s="88" t="str">
        <f t="shared" si="11"/>
        <v/>
      </c>
      <c r="K265" s="89" t="str" cm="1">
        <f t="array" ref="K265">IF(M506="","",
$N$477*(M506/LOOKUP($F265,_xlfn._xlws.FILTER($F$468:$F$477,G$468:G$477&lt;&gt;""),_xlfn._xlws.FILTER(G$468:G$477,G$468:G$477&lt;&gt;"")))*(N506/LOOKUP($F265,_xlfn._xlws.FILTER($F$468:$F$477,H$468:H$477&lt;&gt;""),_xlfn._xlws.FILTER(H$468:H$477,H$468:H$477&lt;&gt;""))))</f>
        <v/>
      </c>
      <c r="L265" s="84" t="str">
        <f t="shared" si="12"/>
        <v/>
      </c>
      <c r="M265" s="77" t="str">
        <f t="shared" si="5"/>
        <v/>
      </c>
      <c r="N265" s="12"/>
      <c r="O265" s="24">
        <v>45992</v>
      </c>
      <c r="P265" s="85" t="str">
        <f t="shared" si="6"/>
        <v/>
      </c>
      <c r="Q265" s="85" t="str">
        <f t="shared" si="7"/>
        <v/>
      </c>
      <c r="R265" s="85" t="str">
        <f t="shared" si="8"/>
        <v/>
      </c>
      <c r="S265" s="85" t="str">
        <f t="shared" si="9"/>
        <v/>
      </c>
      <c r="T265" s="86" t="str">
        <f t="shared" si="10"/>
        <v/>
      </c>
      <c r="U265" s="87" t="str">
        <f t="shared" si="13"/>
        <v/>
      </c>
      <c r="V265" s="12"/>
      <c r="W265" s="12"/>
    </row>
    <row r="266" spans="5:23" ht="13.5" hidden="1" customHeight="1">
      <c r="E266" s="12"/>
      <c r="F266" s="24">
        <v>46023</v>
      </c>
      <c r="G266" s="81" t="str" cm="1">
        <f t="array" ref="G266">IF(G507="","",
G507*LOOKUP($F266,_xlfn._xlws.FILTER($F$454:$F$463,G$454:G$463&lt;&gt;""),_xlfn._xlws.FILTER(G$454:G$463,G$454:G$463&lt;&gt;"")))</f>
        <v/>
      </c>
      <c r="H266" s="81" t="str" cm="1">
        <f t="array" ref="H266">IF(H507="","",
H507*LOOKUP($F266,_xlfn._xlws.FILTER($F$454:$F$463,H$454:H$463&lt;&gt;""),_xlfn._xlws.FILTER(H$454:H$463,H$454:H$463&lt;&gt;"")))</f>
        <v/>
      </c>
      <c r="I266" s="81" t="str" cm="1">
        <f t="array" ref="I266">IF(I507="","",
I507*LOOKUP($F266,_xlfn._xlws.FILTER($F$454:$F$463,I$454:I$463&lt;&gt;""),_xlfn._xlws.FILTER(I$454:I$463,I$454:I$463&lt;&gt;"")))</f>
        <v/>
      </c>
      <c r="J266" s="88" t="str">
        <f t="shared" si="11"/>
        <v/>
      </c>
      <c r="K266" s="89" t="str" cm="1">
        <f t="array" ref="K266">IF(M507="","",
$N$477*(M507/LOOKUP($F266,_xlfn._xlws.FILTER($F$468:$F$477,G$468:G$477&lt;&gt;""),_xlfn._xlws.FILTER(G$468:G$477,G$468:G$477&lt;&gt;"")))*(N507/LOOKUP($F266,_xlfn._xlws.FILTER($F$468:$F$477,H$468:H$477&lt;&gt;""),_xlfn._xlws.FILTER(H$468:H$477,H$468:H$477&lt;&gt;""))))</f>
        <v/>
      </c>
      <c r="L266" s="84" t="str">
        <f t="shared" si="12"/>
        <v/>
      </c>
      <c r="M266" s="77" t="str">
        <f t="shared" si="5"/>
        <v/>
      </c>
      <c r="N266" s="12"/>
      <c r="O266" s="24">
        <v>46023</v>
      </c>
      <c r="P266" s="85" t="str">
        <f t="shared" si="6"/>
        <v/>
      </c>
      <c r="Q266" s="85" t="str">
        <f t="shared" si="7"/>
        <v/>
      </c>
      <c r="R266" s="85" t="str">
        <f t="shared" si="8"/>
        <v/>
      </c>
      <c r="S266" s="85" t="str">
        <f t="shared" si="9"/>
        <v/>
      </c>
      <c r="T266" s="86" t="str">
        <f t="shared" si="10"/>
        <v/>
      </c>
      <c r="U266" s="87" t="str">
        <f t="shared" si="13"/>
        <v/>
      </c>
      <c r="V266" s="12"/>
      <c r="W266" s="12"/>
    </row>
    <row r="267" spans="5:23" ht="13.5" hidden="1" customHeight="1">
      <c r="E267" s="12"/>
      <c r="F267" s="24">
        <v>46054</v>
      </c>
      <c r="G267" s="81" t="str" cm="1">
        <f t="array" ref="G267">IF(G508="","",
G508*LOOKUP($F267,_xlfn._xlws.FILTER($F$454:$F$463,G$454:G$463&lt;&gt;""),_xlfn._xlws.FILTER(G$454:G$463,G$454:G$463&lt;&gt;"")))</f>
        <v/>
      </c>
      <c r="H267" s="81" t="str" cm="1">
        <f t="array" ref="H267">IF(H508="","",
H508*LOOKUP($F267,_xlfn._xlws.FILTER($F$454:$F$463,H$454:H$463&lt;&gt;""),_xlfn._xlws.FILTER(H$454:H$463,H$454:H$463&lt;&gt;"")))</f>
        <v/>
      </c>
      <c r="I267" s="81" t="str" cm="1">
        <f t="array" ref="I267">IF(I508="","",
I508*LOOKUP($F267,_xlfn._xlws.FILTER($F$454:$F$463,I$454:I$463&lt;&gt;""),_xlfn._xlws.FILTER(I$454:I$463,I$454:I$463&lt;&gt;"")))</f>
        <v/>
      </c>
      <c r="J267" s="88" t="str">
        <f t="shared" si="11"/>
        <v/>
      </c>
      <c r="K267" s="89" t="str" cm="1">
        <f t="array" ref="K267">IF(M508="","",
$N$477*(M508/LOOKUP($F267,_xlfn._xlws.FILTER($F$468:$F$477,G$468:G$477&lt;&gt;""),_xlfn._xlws.FILTER(G$468:G$477,G$468:G$477&lt;&gt;"")))*(N508/LOOKUP($F267,_xlfn._xlws.FILTER($F$468:$F$477,H$468:H$477&lt;&gt;""),_xlfn._xlws.FILTER(H$468:H$477,H$468:H$477&lt;&gt;""))))</f>
        <v/>
      </c>
      <c r="L267" s="84" t="str">
        <f t="shared" si="12"/>
        <v/>
      </c>
      <c r="M267" s="77" t="str">
        <f t="shared" si="5"/>
        <v/>
      </c>
      <c r="N267" s="12"/>
      <c r="O267" s="24">
        <v>46054</v>
      </c>
      <c r="P267" s="85" t="str">
        <f t="shared" si="6"/>
        <v/>
      </c>
      <c r="Q267" s="85" t="str">
        <f t="shared" si="7"/>
        <v/>
      </c>
      <c r="R267" s="85" t="str">
        <f t="shared" si="8"/>
        <v/>
      </c>
      <c r="S267" s="85" t="str">
        <f t="shared" si="9"/>
        <v/>
      </c>
      <c r="T267" s="86" t="str">
        <f t="shared" si="10"/>
        <v/>
      </c>
      <c r="U267" s="87" t="str">
        <f t="shared" si="13"/>
        <v/>
      </c>
      <c r="V267" s="12"/>
      <c r="W267" s="12"/>
    </row>
    <row r="268" spans="5:23" ht="13.5" hidden="1" customHeight="1">
      <c r="E268" s="12"/>
      <c r="F268" s="24">
        <v>46082</v>
      </c>
      <c r="G268" s="81" t="str" cm="1">
        <f t="array" ref="G268">IF(G509="","",
G509*LOOKUP($F268,_xlfn._xlws.FILTER($F$454:$F$463,G$454:G$463&lt;&gt;""),_xlfn._xlws.FILTER(G$454:G$463,G$454:G$463&lt;&gt;"")))</f>
        <v/>
      </c>
      <c r="H268" s="81" t="str" cm="1">
        <f t="array" ref="H268">IF(H509="","",
H509*LOOKUP($F268,_xlfn._xlws.FILTER($F$454:$F$463,H$454:H$463&lt;&gt;""),_xlfn._xlws.FILTER(H$454:H$463,H$454:H$463&lt;&gt;"")))</f>
        <v/>
      </c>
      <c r="I268" s="81" t="str" cm="1">
        <f t="array" ref="I268">IF(I509="","",
I509*LOOKUP($F268,_xlfn._xlws.FILTER($F$454:$F$463,I$454:I$463&lt;&gt;""),_xlfn._xlws.FILTER(I$454:I$463,I$454:I$463&lt;&gt;"")))</f>
        <v/>
      </c>
      <c r="J268" s="88" t="str">
        <f t="shared" si="11"/>
        <v/>
      </c>
      <c r="K268" s="89" t="str" cm="1">
        <f t="array" ref="K268">IF(M509="","",
$N$477*(M509/LOOKUP($F268,_xlfn._xlws.FILTER($F$468:$F$477,G$468:G$477&lt;&gt;""),_xlfn._xlws.FILTER(G$468:G$477,G$468:G$477&lt;&gt;"")))*(N509/LOOKUP($F268,_xlfn._xlws.FILTER($F$468:$F$477,H$468:H$477&lt;&gt;""),_xlfn._xlws.FILTER(H$468:H$477,H$468:H$477&lt;&gt;""))))</f>
        <v/>
      </c>
      <c r="L268" s="84" t="str">
        <f t="shared" si="12"/>
        <v/>
      </c>
      <c r="M268" s="77" t="str">
        <f t="shared" si="5"/>
        <v/>
      </c>
      <c r="N268" s="12"/>
      <c r="O268" s="24">
        <v>46082</v>
      </c>
      <c r="P268" s="85" t="str">
        <f t="shared" si="6"/>
        <v/>
      </c>
      <c r="Q268" s="85" t="str">
        <f t="shared" si="7"/>
        <v/>
      </c>
      <c r="R268" s="85" t="str">
        <f t="shared" si="8"/>
        <v/>
      </c>
      <c r="S268" s="85" t="str">
        <f t="shared" si="9"/>
        <v/>
      </c>
      <c r="T268" s="86" t="str">
        <f t="shared" si="10"/>
        <v/>
      </c>
      <c r="U268" s="87" t="str">
        <f t="shared" si="13"/>
        <v/>
      </c>
      <c r="V268" s="12"/>
      <c r="W268" s="12"/>
    </row>
    <row r="269" spans="5:23" ht="13.5" hidden="1" customHeight="1">
      <c r="E269" s="12"/>
      <c r="F269" s="24">
        <v>46113</v>
      </c>
      <c r="G269" s="81" t="str" cm="1">
        <f t="array" ref="G269">IF(G510="","",
G510*LOOKUP($F269,_xlfn._xlws.FILTER($F$454:$F$463,G$454:G$463&lt;&gt;""),_xlfn._xlws.FILTER(G$454:G$463,G$454:G$463&lt;&gt;"")))</f>
        <v/>
      </c>
      <c r="H269" s="81" t="str" cm="1">
        <f t="array" ref="H269">IF(H510="","",
H510*LOOKUP($F269,_xlfn._xlws.FILTER($F$454:$F$463,H$454:H$463&lt;&gt;""),_xlfn._xlws.FILTER(H$454:H$463,H$454:H$463&lt;&gt;"")))</f>
        <v/>
      </c>
      <c r="I269" s="81" t="str" cm="1">
        <f t="array" ref="I269">IF(I510="","",
I510*LOOKUP($F269,_xlfn._xlws.FILTER($F$454:$F$463,I$454:I$463&lt;&gt;""),_xlfn._xlws.FILTER(I$454:I$463,I$454:I$463&lt;&gt;"")))</f>
        <v/>
      </c>
      <c r="J269" s="88" t="str">
        <f t="shared" si="11"/>
        <v/>
      </c>
      <c r="K269" s="89" t="str" cm="1">
        <f t="array" ref="K269">IF(M510="","",
$N$477*(M510/LOOKUP($F269,_xlfn._xlws.FILTER($F$468:$F$477,G$468:G$477&lt;&gt;""),_xlfn._xlws.FILTER(G$468:G$477,G$468:G$477&lt;&gt;"")))*(N510/LOOKUP($F269,_xlfn._xlws.FILTER($F$468:$F$477,H$468:H$477&lt;&gt;""),_xlfn._xlws.FILTER(H$468:H$477,H$468:H$477&lt;&gt;""))))</f>
        <v/>
      </c>
      <c r="L269" s="84" t="str">
        <f t="shared" si="12"/>
        <v/>
      </c>
      <c r="M269" s="77" t="str">
        <f t="shared" si="5"/>
        <v/>
      </c>
      <c r="N269" s="12"/>
      <c r="O269" s="24">
        <v>46113</v>
      </c>
      <c r="P269" s="85" t="str">
        <f t="shared" si="6"/>
        <v/>
      </c>
      <c r="Q269" s="85" t="str">
        <f t="shared" si="7"/>
        <v/>
      </c>
      <c r="R269" s="85" t="str">
        <f t="shared" si="8"/>
        <v/>
      </c>
      <c r="S269" s="85" t="str">
        <f t="shared" si="9"/>
        <v/>
      </c>
      <c r="T269" s="86" t="str">
        <f t="shared" si="10"/>
        <v/>
      </c>
      <c r="U269" s="87" t="str">
        <f t="shared" si="13"/>
        <v/>
      </c>
      <c r="V269" s="12"/>
      <c r="W269" s="12"/>
    </row>
    <row r="270" spans="5:23" ht="13.5" hidden="1" customHeight="1">
      <c r="E270" s="12"/>
      <c r="F270" s="24">
        <v>46143</v>
      </c>
      <c r="G270" s="81" t="str" cm="1">
        <f t="array" ref="G270">IF(G511="","",
G511*LOOKUP($F270,_xlfn._xlws.FILTER($F$454:$F$463,G$454:G$463&lt;&gt;""),_xlfn._xlws.FILTER(G$454:G$463,G$454:G$463&lt;&gt;"")))</f>
        <v/>
      </c>
      <c r="H270" s="81" t="str" cm="1">
        <f t="array" ref="H270">IF(H511="","",
H511*LOOKUP($F270,_xlfn._xlws.FILTER($F$454:$F$463,H$454:H$463&lt;&gt;""),_xlfn._xlws.FILTER(H$454:H$463,H$454:H$463&lt;&gt;"")))</f>
        <v/>
      </c>
      <c r="I270" s="81" t="str" cm="1">
        <f t="array" ref="I270">IF(I511="","",
I511*LOOKUP($F270,_xlfn._xlws.FILTER($F$454:$F$463,I$454:I$463&lt;&gt;""),_xlfn._xlws.FILTER(I$454:I$463,I$454:I$463&lt;&gt;"")))</f>
        <v/>
      </c>
      <c r="J270" s="88" t="str">
        <f t="shared" si="11"/>
        <v/>
      </c>
      <c r="K270" s="89" t="str" cm="1">
        <f t="array" ref="K270">IF(M511="","",
$N$477*(M511/LOOKUP($F270,_xlfn._xlws.FILTER($F$468:$F$477,G$468:G$477&lt;&gt;""),_xlfn._xlws.FILTER(G$468:G$477,G$468:G$477&lt;&gt;"")))*(N511/LOOKUP($F270,_xlfn._xlws.FILTER($F$468:$F$477,H$468:H$477&lt;&gt;""),_xlfn._xlws.FILTER(H$468:H$477,H$468:H$477&lt;&gt;""))))</f>
        <v/>
      </c>
      <c r="L270" s="84" t="str">
        <f t="shared" si="12"/>
        <v/>
      </c>
      <c r="M270" s="77" t="str">
        <f t="shared" si="5"/>
        <v/>
      </c>
      <c r="N270" s="12"/>
      <c r="O270" s="24">
        <v>46143</v>
      </c>
      <c r="P270" s="85" t="str">
        <f t="shared" si="6"/>
        <v/>
      </c>
      <c r="Q270" s="85" t="str">
        <f t="shared" si="7"/>
        <v/>
      </c>
      <c r="R270" s="85" t="str">
        <f t="shared" si="8"/>
        <v/>
      </c>
      <c r="S270" s="85" t="str">
        <f t="shared" si="9"/>
        <v/>
      </c>
      <c r="T270" s="86" t="str">
        <f t="shared" si="10"/>
        <v/>
      </c>
      <c r="U270" s="87" t="str">
        <f t="shared" si="13"/>
        <v/>
      </c>
      <c r="V270" s="12"/>
      <c r="W270" s="12"/>
    </row>
    <row r="271" spans="5:23" ht="13.5" hidden="1" customHeight="1">
      <c r="E271" s="12"/>
      <c r="F271" s="24">
        <v>46174</v>
      </c>
      <c r="G271" s="81" t="str" cm="1">
        <f t="array" ref="G271">IF(G512="","",
G512*LOOKUP($F271,_xlfn._xlws.FILTER($F$454:$F$463,G$454:G$463&lt;&gt;""),_xlfn._xlws.FILTER(G$454:G$463,G$454:G$463&lt;&gt;"")))</f>
        <v/>
      </c>
      <c r="H271" s="81" t="str" cm="1">
        <f t="array" ref="H271">IF(H512="","",
H512*LOOKUP($F271,_xlfn._xlws.FILTER($F$454:$F$463,H$454:H$463&lt;&gt;""),_xlfn._xlws.FILTER(H$454:H$463,H$454:H$463&lt;&gt;"")))</f>
        <v/>
      </c>
      <c r="I271" s="81" t="str" cm="1">
        <f t="array" ref="I271">IF(I512="","",
I512*LOOKUP($F271,_xlfn._xlws.FILTER($F$454:$F$463,I$454:I$463&lt;&gt;""),_xlfn._xlws.FILTER(I$454:I$463,I$454:I$463&lt;&gt;"")))</f>
        <v/>
      </c>
      <c r="J271" s="88" t="str">
        <f t="shared" si="11"/>
        <v/>
      </c>
      <c r="K271" s="89" t="str" cm="1">
        <f t="array" ref="K271">IF(M512="","",
$N$477*(M512/LOOKUP($F271,_xlfn._xlws.FILTER($F$468:$F$477,G$468:G$477&lt;&gt;""),_xlfn._xlws.FILTER(G$468:G$477,G$468:G$477&lt;&gt;"")))*(N512/LOOKUP($F271,_xlfn._xlws.FILTER($F$468:$F$477,H$468:H$477&lt;&gt;""),_xlfn._xlws.FILTER(H$468:H$477,H$468:H$477&lt;&gt;""))))</f>
        <v/>
      </c>
      <c r="L271" s="84" t="str">
        <f t="shared" si="12"/>
        <v/>
      </c>
      <c r="M271" s="77" t="str">
        <f t="shared" si="5"/>
        <v/>
      </c>
      <c r="N271" s="12"/>
      <c r="O271" s="24">
        <v>46174</v>
      </c>
      <c r="P271" s="85" t="str">
        <f t="shared" si="6"/>
        <v/>
      </c>
      <c r="Q271" s="85" t="str">
        <f t="shared" si="7"/>
        <v/>
      </c>
      <c r="R271" s="85" t="str">
        <f t="shared" si="8"/>
        <v/>
      </c>
      <c r="S271" s="85" t="str">
        <f t="shared" si="9"/>
        <v/>
      </c>
      <c r="T271" s="86" t="str">
        <f t="shared" si="10"/>
        <v/>
      </c>
      <c r="U271" s="87" t="str">
        <f t="shared" si="13"/>
        <v/>
      </c>
      <c r="V271" s="12"/>
      <c r="W271" s="12"/>
    </row>
    <row r="272" spans="5:23" ht="13.5" hidden="1" customHeight="1">
      <c r="E272" s="12"/>
      <c r="F272" s="24">
        <v>46204</v>
      </c>
      <c r="G272" s="81" t="str" cm="1">
        <f t="array" ref="G272">IF(G513="","",
G513*LOOKUP($F272,_xlfn._xlws.FILTER($F$454:$F$463,G$454:G$463&lt;&gt;""),_xlfn._xlws.FILTER(G$454:G$463,G$454:G$463&lt;&gt;"")))</f>
        <v/>
      </c>
      <c r="H272" s="81" t="str" cm="1">
        <f t="array" ref="H272">IF(H513="","",
H513*LOOKUP($F272,_xlfn._xlws.FILTER($F$454:$F$463,H$454:H$463&lt;&gt;""),_xlfn._xlws.FILTER(H$454:H$463,H$454:H$463&lt;&gt;"")))</f>
        <v/>
      </c>
      <c r="I272" s="81" t="str" cm="1">
        <f t="array" ref="I272">IF(I513="","",
I513*LOOKUP($F272,_xlfn._xlws.FILTER($F$454:$F$463,I$454:I$463&lt;&gt;""),_xlfn._xlws.FILTER(I$454:I$463,I$454:I$463&lt;&gt;"")))</f>
        <v/>
      </c>
      <c r="J272" s="88" t="str">
        <f t="shared" si="11"/>
        <v/>
      </c>
      <c r="K272" s="89" t="str" cm="1">
        <f t="array" ref="K272">IF(M513="","",
$N$477*(M513/LOOKUP($F272,_xlfn._xlws.FILTER($F$468:$F$477,G$468:G$477&lt;&gt;""),_xlfn._xlws.FILTER(G$468:G$477,G$468:G$477&lt;&gt;"")))*(N513/LOOKUP($F272,_xlfn._xlws.FILTER($F$468:$F$477,H$468:H$477&lt;&gt;""),_xlfn._xlws.FILTER(H$468:H$477,H$468:H$477&lt;&gt;""))))</f>
        <v/>
      </c>
      <c r="L272" s="84" t="str">
        <f t="shared" si="12"/>
        <v/>
      </c>
      <c r="M272" s="77" t="str">
        <f t="shared" si="5"/>
        <v/>
      </c>
      <c r="N272" s="12"/>
      <c r="O272" s="24">
        <v>46204</v>
      </c>
      <c r="P272" s="85" t="str">
        <f t="shared" si="6"/>
        <v/>
      </c>
      <c r="Q272" s="85" t="str">
        <f t="shared" si="7"/>
        <v/>
      </c>
      <c r="R272" s="85" t="str">
        <f t="shared" si="8"/>
        <v/>
      </c>
      <c r="S272" s="85" t="str">
        <f t="shared" si="9"/>
        <v/>
      </c>
      <c r="T272" s="86" t="str">
        <f t="shared" si="10"/>
        <v/>
      </c>
      <c r="U272" s="87" t="str">
        <f t="shared" si="13"/>
        <v/>
      </c>
      <c r="V272" s="12"/>
      <c r="W272" s="12"/>
    </row>
    <row r="273" spans="5:23" ht="13.5" hidden="1" customHeight="1">
      <c r="E273" s="12"/>
      <c r="F273" s="24">
        <v>46235</v>
      </c>
      <c r="G273" s="81" t="str" cm="1">
        <f t="array" ref="G273">IF(G514="","",
G514*LOOKUP($F273,_xlfn._xlws.FILTER($F$454:$F$463,G$454:G$463&lt;&gt;""),_xlfn._xlws.FILTER(G$454:G$463,G$454:G$463&lt;&gt;"")))</f>
        <v/>
      </c>
      <c r="H273" s="81" t="str" cm="1">
        <f t="array" ref="H273">IF(H514="","",
H514*LOOKUP($F273,_xlfn._xlws.FILTER($F$454:$F$463,H$454:H$463&lt;&gt;""),_xlfn._xlws.FILTER(H$454:H$463,H$454:H$463&lt;&gt;"")))</f>
        <v/>
      </c>
      <c r="I273" s="81" t="str" cm="1">
        <f t="array" ref="I273">IF(I514="","",
I514*LOOKUP($F273,_xlfn._xlws.FILTER($F$454:$F$463,I$454:I$463&lt;&gt;""),_xlfn._xlws.FILTER(I$454:I$463,I$454:I$463&lt;&gt;"")))</f>
        <v/>
      </c>
      <c r="J273" s="88" t="str">
        <f t="shared" si="11"/>
        <v/>
      </c>
      <c r="K273" s="89" t="str" cm="1">
        <f t="array" ref="K273">IF(M514="","",
$N$477*(M514/LOOKUP($F273,_xlfn._xlws.FILTER($F$468:$F$477,G$468:G$477&lt;&gt;""),_xlfn._xlws.FILTER(G$468:G$477,G$468:G$477&lt;&gt;"")))*(N514/LOOKUP($F273,_xlfn._xlws.FILTER($F$468:$F$477,H$468:H$477&lt;&gt;""),_xlfn._xlws.FILTER(H$468:H$477,H$468:H$477&lt;&gt;""))))</f>
        <v/>
      </c>
      <c r="L273" s="84" t="str">
        <f t="shared" si="12"/>
        <v/>
      </c>
      <c r="M273" s="77" t="str">
        <f t="shared" si="5"/>
        <v/>
      </c>
      <c r="N273" s="12"/>
      <c r="O273" s="24">
        <v>46235</v>
      </c>
      <c r="P273" s="85" t="str">
        <f t="shared" si="6"/>
        <v/>
      </c>
      <c r="Q273" s="85" t="str">
        <f t="shared" si="7"/>
        <v/>
      </c>
      <c r="R273" s="85" t="str">
        <f t="shared" si="8"/>
        <v/>
      </c>
      <c r="S273" s="85" t="str">
        <f t="shared" si="9"/>
        <v/>
      </c>
      <c r="T273" s="86" t="str">
        <f t="shared" si="10"/>
        <v/>
      </c>
      <c r="U273" s="87" t="str">
        <f t="shared" si="13"/>
        <v/>
      </c>
      <c r="V273" s="12"/>
      <c r="W273" s="12"/>
    </row>
    <row r="274" spans="5:23" ht="13.5" hidden="1" customHeight="1">
      <c r="E274" s="12"/>
      <c r="F274" s="24">
        <v>46266</v>
      </c>
      <c r="G274" s="81" t="str" cm="1">
        <f t="array" ref="G274">IF(G515="","",
G515*LOOKUP($F274,_xlfn._xlws.FILTER($F$454:$F$463,G$454:G$463&lt;&gt;""),_xlfn._xlws.FILTER(G$454:G$463,G$454:G$463&lt;&gt;"")))</f>
        <v/>
      </c>
      <c r="H274" s="81" t="str" cm="1">
        <f t="array" ref="H274">IF(H515="","",
H515*LOOKUP($F274,_xlfn._xlws.FILTER($F$454:$F$463,H$454:H$463&lt;&gt;""),_xlfn._xlws.FILTER(H$454:H$463,H$454:H$463&lt;&gt;"")))</f>
        <v/>
      </c>
      <c r="I274" s="81" t="str" cm="1">
        <f t="array" ref="I274">IF(I515="","",
I515*LOOKUP($F274,_xlfn._xlws.FILTER($F$454:$F$463,I$454:I$463&lt;&gt;""),_xlfn._xlws.FILTER(I$454:I$463,I$454:I$463&lt;&gt;"")))</f>
        <v/>
      </c>
      <c r="J274" s="88" t="str">
        <f t="shared" si="11"/>
        <v/>
      </c>
      <c r="K274" s="89" t="str" cm="1">
        <f t="array" ref="K274">IF(M515="","",
$N$477*(M515/LOOKUP($F274,_xlfn._xlws.FILTER($F$468:$F$477,G$468:G$477&lt;&gt;""),_xlfn._xlws.FILTER(G$468:G$477,G$468:G$477&lt;&gt;"")))*(N515/LOOKUP($F274,_xlfn._xlws.FILTER($F$468:$F$477,H$468:H$477&lt;&gt;""),_xlfn._xlws.FILTER(H$468:H$477,H$468:H$477&lt;&gt;""))))</f>
        <v/>
      </c>
      <c r="L274" s="84" t="str">
        <f t="shared" si="12"/>
        <v/>
      </c>
      <c r="M274" s="77" t="str">
        <f t="shared" si="5"/>
        <v/>
      </c>
      <c r="N274" s="12"/>
      <c r="O274" s="24">
        <v>46266</v>
      </c>
      <c r="P274" s="85" t="str">
        <f t="shared" si="6"/>
        <v/>
      </c>
      <c r="Q274" s="85" t="str">
        <f t="shared" si="7"/>
        <v/>
      </c>
      <c r="R274" s="85" t="str">
        <f t="shared" si="8"/>
        <v/>
      </c>
      <c r="S274" s="85" t="str">
        <f t="shared" si="9"/>
        <v/>
      </c>
      <c r="T274" s="86" t="str">
        <f t="shared" si="10"/>
        <v/>
      </c>
      <c r="U274" s="87" t="str">
        <f t="shared" si="13"/>
        <v/>
      </c>
      <c r="V274" s="12"/>
      <c r="W274" s="12"/>
    </row>
    <row r="275" spans="5:23" ht="13.5" hidden="1" customHeight="1">
      <c r="E275" s="12"/>
      <c r="F275" s="24">
        <v>46296</v>
      </c>
      <c r="G275" s="81" t="str" cm="1">
        <f t="array" ref="G275">IF(G516="","",
G516*LOOKUP($F275,_xlfn._xlws.FILTER($F$454:$F$463,G$454:G$463&lt;&gt;""),_xlfn._xlws.FILTER(G$454:G$463,G$454:G$463&lt;&gt;"")))</f>
        <v/>
      </c>
      <c r="H275" s="81" t="str" cm="1">
        <f t="array" ref="H275">IF(H516="","",
H516*LOOKUP($F275,_xlfn._xlws.FILTER($F$454:$F$463,H$454:H$463&lt;&gt;""),_xlfn._xlws.FILTER(H$454:H$463,H$454:H$463&lt;&gt;"")))</f>
        <v/>
      </c>
      <c r="I275" s="81" t="str" cm="1">
        <f t="array" ref="I275">IF(I516="","",
I516*LOOKUP($F275,_xlfn._xlws.FILTER($F$454:$F$463,I$454:I$463&lt;&gt;""),_xlfn._xlws.FILTER(I$454:I$463,I$454:I$463&lt;&gt;"")))</f>
        <v/>
      </c>
      <c r="J275" s="88" t="str">
        <f t="shared" si="11"/>
        <v/>
      </c>
      <c r="K275" s="89" t="str" cm="1">
        <f t="array" ref="K275">IF(M516="","",
$N$477*(M516/LOOKUP($F275,_xlfn._xlws.FILTER($F$468:$F$477,G$468:G$477&lt;&gt;""),_xlfn._xlws.FILTER(G$468:G$477,G$468:G$477&lt;&gt;"")))*(N516/LOOKUP($F275,_xlfn._xlws.FILTER($F$468:$F$477,H$468:H$477&lt;&gt;""),_xlfn._xlws.FILTER(H$468:H$477,H$468:H$477&lt;&gt;""))))</f>
        <v/>
      </c>
      <c r="L275" s="84" t="str">
        <f t="shared" si="12"/>
        <v/>
      </c>
      <c r="M275" s="77" t="str">
        <f t="shared" si="5"/>
        <v/>
      </c>
      <c r="N275" s="12"/>
      <c r="O275" s="24">
        <v>46296</v>
      </c>
      <c r="P275" s="85" t="str">
        <f t="shared" si="6"/>
        <v/>
      </c>
      <c r="Q275" s="85" t="str">
        <f t="shared" si="7"/>
        <v/>
      </c>
      <c r="R275" s="85" t="str">
        <f t="shared" si="8"/>
        <v/>
      </c>
      <c r="S275" s="85" t="str">
        <f t="shared" si="9"/>
        <v/>
      </c>
      <c r="T275" s="86" t="str">
        <f t="shared" si="10"/>
        <v/>
      </c>
      <c r="U275" s="87" t="str">
        <f t="shared" si="13"/>
        <v/>
      </c>
      <c r="V275" s="12"/>
      <c r="W275" s="12"/>
    </row>
    <row r="276" spans="5:23" ht="13.5" hidden="1" customHeight="1">
      <c r="E276" s="12"/>
      <c r="F276" s="24">
        <v>46327</v>
      </c>
      <c r="G276" s="81" t="str" cm="1">
        <f t="array" ref="G276">IF(G517="","",
G517*LOOKUP($F276,_xlfn._xlws.FILTER($F$454:$F$463,G$454:G$463&lt;&gt;""),_xlfn._xlws.FILTER(G$454:G$463,G$454:G$463&lt;&gt;"")))</f>
        <v/>
      </c>
      <c r="H276" s="81" t="str" cm="1">
        <f t="array" ref="H276">IF(H517="","",
H517*LOOKUP($F276,_xlfn._xlws.FILTER($F$454:$F$463,H$454:H$463&lt;&gt;""),_xlfn._xlws.FILTER(H$454:H$463,H$454:H$463&lt;&gt;"")))</f>
        <v/>
      </c>
      <c r="I276" s="81" t="str" cm="1">
        <f t="array" ref="I276">IF(I517="","",
I517*LOOKUP($F276,_xlfn._xlws.FILTER($F$454:$F$463,I$454:I$463&lt;&gt;""),_xlfn._xlws.FILTER(I$454:I$463,I$454:I$463&lt;&gt;"")))</f>
        <v/>
      </c>
      <c r="J276" s="88" t="str">
        <f t="shared" si="11"/>
        <v/>
      </c>
      <c r="K276" s="89" t="str" cm="1">
        <f t="array" ref="K276">IF(M517="","",
$N$477*(M517/LOOKUP($F276,_xlfn._xlws.FILTER($F$468:$F$477,G$468:G$477&lt;&gt;""),_xlfn._xlws.FILTER(G$468:G$477,G$468:G$477&lt;&gt;"")))*(N517/LOOKUP($F276,_xlfn._xlws.FILTER($F$468:$F$477,H$468:H$477&lt;&gt;""),_xlfn._xlws.FILTER(H$468:H$477,H$468:H$477&lt;&gt;""))))</f>
        <v/>
      </c>
      <c r="L276" s="84" t="str">
        <f t="shared" si="12"/>
        <v/>
      </c>
      <c r="M276" s="77" t="str">
        <f t="shared" si="5"/>
        <v/>
      </c>
      <c r="N276" s="12"/>
      <c r="O276" s="24">
        <v>46327</v>
      </c>
      <c r="P276" s="85" t="str">
        <f t="shared" si="6"/>
        <v/>
      </c>
      <c r="Q276" s="85" t="str">
        <f t="shared" si="7"/>
        <v/>
      </c>
      <c r="R276" s="85" t="str">
        <f t="shared" si="8"/>
        <v/>
      </c>
      <c r="S276" s="85" t="str">
        <f t="shared" si="9"/>
        <v/>
      </c>
      <c r="T276" s="86" t="str">
        <f t="shared" si="10"/>
        <v/>
      </c>
      <c r="U276" s="87" t="str">
        <f t="shared" si="13"/>
        <v/>
      </c>
      <c r="V276" s="12"/>
      <c r="W276" s="12"/>
    </row>
    <row r="277" spans="5:23" ht="13.5" hidden="1" customHeight="1">
      <c r="E277" s="12"/>
      <c r="F277" s="24">
        <v>46357</v>
      </c>
      <c r="G277" s="81" t="str" cm="1">
        <f t="array" ref="G277">IF(G518="","",
G518*LOOKUP($F277,_xlfn._xlws.FILTER($F$454:$F$463,G$454:G$463&lt;&gt;""),_xlfn._xlws.FILTER(G$454:G$463,G$454:G$463&lt;&gt;"")))</f>
        <v/>
      </c>
      <c r="H277" s="81" t="str" cm="1">
        <f t="array" ref="H277">IF(H518="","",
H518*LOOKUP($F277,_xlfn._xlws.FILTER($F$454:$F$463,H$454:H$463&lt;&gt;""),_xlfn._xlws.FILTER(H$454:H$463,H$454:H$463&lt;&gt;"")))</f>
        <v/>
      </c>
      <c r="I277" s="81" t="str" cm="1">
        <f t="array" ref="I277">IF(I518="","",
I518*LOOKUP($F277,_xlfn._xlws.FILTER($F$454:$F$463,I$454:I$463&lt;&gt;""),_xlfn._xlws.FILTER(I$454:I$463,I$454:I$463&lt;&gt;"")))</f>
        <v/>
      </c>
      <c r="J277" s="88" t="str">
        <f t="shared" si="11"/>
        <v/>
      </c>
      <c r="K277" s="89" t="str" cm="1">
        <f t="array" ref="K277">IF(M518="","",
$N$477*(M518/LOOKUP($F277,_xlfn._xlws.FILTER($F$468:$F$477,G$468:G$477&lt;&gt;""),_xlfn._xlws.FILTER(G$468:G$477,G$468:G$477&lt;&gt;"")))*(N518/LOOKUP($F277,_xlfn._xlws.FILTER($F$468:$F$477,H$468:H$477&lt;&gt;""),_xlfn._xlws.FILTER(H$468:H$477,H$468:H$477&lt;&gt;""))))</f>
        <v/>
      </c>
      <c r="L277" s="84" t="str">
        <f t="shared" si="12"/>
        <v/>
      </c>
      <c r="M277" s="77" t="str">
        <f t="shared" si="5"/>
        <v/>
      </c>
      <c r="N277" s="12"/>
      <c r="O277" s="24">
        <v>46357</v>
      </c>
      <c r="P277" s="85" t="str">
        <f t="shared" si="6"/>
        <v/>
      </c>
      <c r="Q277" s="85" t="str">
        <f t="shared" si="7"/>
        <v/>
      </c>
      <c r="R277" s="85" t="str">
        <f t="shared" si="8"/>
        <v/>
      </c>
      <c r="S277" s="85" t="str">
        <f t="shared" si="9"/>
        <v/>
      </c>
      <c r="T277" s="86" t="str">
        <f t="shared" si="10"/>
        <v/>
      </c>
      <c r="U277" s="87" t="str">
        <f t="shared" si="13"/>
        <v/>
      </c>
      <c r="V277" s="12"/>
      <c r="W277" s="12"/>
    </row>
    <row r="278" spans="5:23" ht="13.5" hidden="1" customHeight="1">
      <c r="E278" s="12"/>
      <c r="F278" s="24">
        <v>46388</v>
      </c>
      <c r="G278" s="81" t="str" cm="1">
        <f t="array" ref="G278">IF(G519="","",
G519*LOOKUP($F278,_xlfn._xlws.FILTER($F$454:$F$463,G$454:G$463&lt;&gt;""),_xlfn._xlws.FILTER(G$454:G$463,G$454:G$463&lt;&gt;"")))</f>
        <v/>
      </c>
      <c r="H278" s="81" t="str" cm="1">
        <f t="array" ref="H278">IF(H519="","",
H519*LOOKUP($F278,_xlfn._xlws.FILTER($F$454:$F$463,H$454:H$463&lt;&gt;""),_xlfn._xlws.FILTER(H$454:H$463,H$454:H$463&lt;&gt;"")))</f>
        <v/>
      </c>
      <c r="I278" s="81" t="str" cm="1">
        <f t="array" ref="I278">IF(I519="","",
I519*LOOKUP($F278,_xlfn._xlws.FILTER($F$454:$F$463,I$454:I$463&lt;&gt;""),_xlfn._xlws.FILTER(I$454:I$463,I$454:I$463&lt;&gt;"")))</f>
        <v/>
      </c>
      <c r="J278" s="88" t="str">
        <f t="shared" si="11"/>
        <v/>
      </c>
      <c r="K278" s="89" t="str" cm="1">
        <f t="array" ref="K278">IF(M519="","",
$N$477*(M519/LOOKUP($F278,_xlfn._xlws.FILTER($F$468:$F$477,G$468:G$477&lt;&gt;""),_xlfn._xlws.FILTER(G$468:G$477,G$468:G$477&lt;&gt;"")))*(N519/LOOKUP($F278,_xlfn._xlws.FILTER($F$468:$F$477,H$468:H$477&lt;&gt;""),_xlfn._xlws.FILTER(H$468:H$477,H$468:H$477&lt;&gt;""))))</f>
        <v/>
      </c>
      <c r="L278" s="84" t="str">
        <f t="shared" si="12"/>
        <v/>
      </c>
      <c r="M278" s="77" t="str">
        <f t="shared" ref="M278:M341" si="14">IF(L278="","",L278/L277-1)</f>
        <v/>
      </c>
      <c r="N278" s="12"/>
      <c r="O278" s="24">
        <v>46388</v>
      </c>
      <c r="P278" s="85" t="str">
        <f t="shared" si="6"/>
        <v/>
      </c>
      <c r="Q278" s="85" t="str">
        <f t="shared" si="7"/>
        <v/>
      </c>
      <c r="R278" s="85" t="str">
        <f t="shared" si="8"/>
        <v/>
      </c>
      <c r="S278" s="85" t="str">
        <f t="shared" si="9"/>
        <v/>
      </c>
      <c r="T278" s="86" t="str">
        <f t="shared" si="10"/>
        <v/>
      </c>
      <c r="U278" s="87" t="str">
        <f t="shared" si="13"/>
        <v/>
      </c>
      <c r="V278" s="12"/>
      <c r="W278" s="12"/>
    </row>
    <row r="279" spans="5:23" ht="13.5" hidden="1" customHeight="1">
      <c r="E279" s="12"/>
      <c r="F279" s="24">
        <v>46419</v>
      </c>
      <c r="G279" s="81" t="str" cm="1">
        <f t="array" ref="G279">IF(G520="","",
G520*LOOKUP($F279,_xlfn._xlws.FILTER($F$454:$F$463,G$454:G$463&lt;&gt;""),_xlfn._xlws.FILTER(G$454:G$463,G$454:G$463&lt;&gt;"")))</f>
        <v/>
      </c>
      <c r="H279" s="81" t="str" cm="1">
        <f t="array" ref="H279">IF(H520="","",
H520*LOOKUP($F279,_xlfn._xlws.FILTER($F$454:$F$463,H$454:H$463&lt;&gt;""),_xlfn._xlws.FILTER(H$454:H$463,H$454:H$463&lt;&gt;"")))</f>
        <v/>
      </c>
      <c r="I279" s="81" t="str" cm="1">
        <f t="array" ref="I279">IF(I520="","",
I520*LOOKUP($F279,_xlfn._xlws.FILTER($F$454:$F$463,I$454:I$463&lt;&gt;""),_xlfn._xlws.FILTER(I$454:I$463,I$454:I$463&lt;&gt;"")))</f>
        <v/>
      </c>
      <c r="J279" s="88" t="str">
        <f t="shared" si="11"/>
        <v/>
      </c>
      <c r="K279" s="89" t="str" cm="1">
        <f t="array" ref="K279">IF(M520="","",
$N$477*(M520/LOOKUP($F279,_xlfn._xlws.FILTER($F$468:$F$477,G$468:G$477&lt;&gt;""),_xlfn._xlws.FILTER(G$468:G$477,G$468:G$477&lt;&gt;"")))*(N520/LOOKUP($F279,_xlfn._xlws.FILTER($F$468:$F$477,H$468:H$477&lt;&gt;""),_xlfn._xlws.FILTER(H$468:H$477,H$468:H$477&lt;&gt;""))))</f>
        <v/>
      </c>
      <c r="L279" s="84" t="str">
        <f t="shared" si="12"/>
        <v/>
      </c>
      <c r="M279" s="77" t="str">
        <f t="shared" si="14"/>
        <v/>
      </c>
      <c r="N279" s="12"/>
      <c r="O279" s="24">
        <v>46419</v>
      </c>
      <c r="P279" s="85" t="str">
        <f t="shared" si="6"/>
        <v/>
      </c>
      <c r="Q279" s="85" t="str">
        <f t="shared" si="7"/>
        <v/>
      </c>
      <c r="R279" s="85" t="str">
        <f t="shared" si="8"/>
        <v/>
      </c>
      <c r="S279" s="85" t="str">
        <f t="shared" si="9"/>
        <v/>
      </c>
      <c r="T279" s="86" t="str">
        <f t="shared" si="10"/>
        <v/>
      </c>
      <c r="U279" s="87" t="str">
        <f t="shared" si="13"/>
        <v/>
      </c>
      <c r="V279" s="12"/>
      <c r="W279" s="12"/>
    </row>
    <row r="280" spans="5:23" ht="13.5" hidden="1" customHeight="1">
      <c r="E280" s="12"/>
      <c r="F280" s="24">
        <v>46447</v>
      </c>
      <c r="G280" s="81" t="str" cm="1">
        <f t="array" ref="G280">IF(G521="","",
G521*LOOKUP($F280,_xlfn._xlws.FILTER($F$454:$F$463,G$454:G$463&lt;&gt;""),_xlfn._xlws.FILTER(G$454:G$463,G$454:G$463&lt;&gt;"")))</f>
        <v/>
      </c>
      <c r="H280" s="81" t="str" cm="1">
        <f t="array" ref="H280">IF(H521="","",
H521*LOOKUP($F280,_xlfn._xlws.FILTER($F$454:$F$463,H$454:H$463&lt;&gt;""),_xlfn._xlws.FILTER(H$454:H$463,H$454:H$463&lt;&gt;"")))</f>
        <v/>
      </c>
      <c r="I280" s="81" t="str" cm="1">
        <f t="array" ref="I280">IF(I521="","",
I521*LOOKUP($F280,_xlfn._xlws.FILTER($F$454:$F$463,I$454:I$463&lt;&gt;""),_xlfn._xlws.FILTER(I$454:I$463,I$454:I$463&lt;&gt;"")))</f>
        <v/>
      </c>
      <c r="J280" s="88" t="str">
        <f t="shared" si="11"/>
        <v/>
      </c>
      <c r="K280" s="89" t="str" cm="1">
        <f t="array" ref="K280">IF(M521="","",
$N$477*(M521/LOOKUP($F280,_xlfn._xlws.FILTER($F$468:$F$477,G$468:G$477&lt;&gt;""),_xlfn._xlws.FILTER(G$468:G$477,G$468:G$477&lt;&gt;"")))*(N521/LOOKUP($F280,_xlfn._xlws.FILTER($F$468:$F$477,H$468:H$477&lt;&gt;""),_xlfn._xlws.FILTER(H$468:H$477,H$468:H$477&lt;&gt;""))))</f>
        <v/>
      </c>
      <c r="L280" s="84" t="str">
        <f t="shared" si="12"/>
        <v/>
      </c>
      <c r="M280" s="77" t="str">
        <f t="shared" si="14"/>
        <v/>
      </c>
      <c r="N280" s="12"/>
      <c r="O280" s="24">
        <v>46447</v>
      </c>
      <c r="P280" s="85" t="str">
        <f t="shared" si="6"/>
        <v/>
      </c>
      <c r="Q280" s="85" t="str">
        <f t="shared" si="7"/>
        <v/>
      </c>
      <c r="R280" s="85" t="str">
        <f t="shared" si="8"/>
        <v/>
      </c>
      <c r="S280" s="85" t="str">
        <f t="shared" si="9"/>
        <v/>
      </c>
      <c r="T280" s="86" t="str">
        <f t="shared" si="10"/>
        <v/>
      </c>
      <c r="U280" s="87" t="str">
        <f t="shared" si="13"/>
        <v/>
      </c>
      <c r="V280" s="12"/>
      <c r="W280" s="12"/>
    </row>
    <row r="281" spans="5:23" ht="13.5" hidden="1" customHeight="1">
      <c r="E281" s="12"/>
      <c r="F281" s="24">
        <v>46478</v>
      </c>
      <c r="G281" s="81" t="str" cm="1">
        <f t="array" ref="G281">IF(G522="","",
G522*LOOKUP($F281,_xlfn._xlws.FILTER($F$454:$F$463,G$454:G$463&lt;&gt;""),_xlfn._xlws.FILTER(G$454:G$463,G$454:G$463&lt;&gt;"")))</f>
        <v/>
      </c>
      <c r="H281" s="81" t="str" cm="1">
        <f t="array" ref="H281">IF(H522="","",
H522*LOOKUP($F281,_xlfn._xlws.FILTER($F$454:$F$463,H$454:H$463&lt;&gt;""),_xlfn._xlws.FILTER(H$454:H$463,H$454:H$463&lt;&gt;"")))</f>
        <v/>
      </c>
      <c r="I281" s="81" t="str" cm="1">
        <f t="array" ref="I281">IF(I522="","",
I522*LOOKUP($F281,_xlfn._xlws.FILTER($F$454:$F$463,I$454:I$463&lt;&gt;""),_xlfn._xlws.FILTER(I$454:I$463,I$454:I$463&lt;&gt;"")))</f>
        <v/>
      </c>
      <c r="J281" s="88" t="str">
        <f t="shared" si="11"/>
        <v/>
      </c>
      <c r="K281" s="89" t="str" cm="1">
        <f t="array" ref="K281">IF(M522="","",
$N$477*(M522/LOOKUP($F281,_xlfn._xlws.FILTER($F$468:$F$477,G$468:G$477&lt;&gt;""),_xlfn._xlws.FILTER(G$468:G$477,G$468:G$477&lt;&gt;"")))*(N522/LOOKUP($F281,_xlfn._xlws.FILTER($F$468:$F$477,H$468:H$477&lt;&gt;""),_xlfn._xlws.FILTER(H$468:H$477,H$468:H$477&lt;&gt;""))))</f>
        <v/>
      </c>
      <c r="L281" s="84" t="str">
        <f t="shared" si="12"/>
        <v/>
      </c>
      <c r="M281" s="77" t="str">
        <f t="shared" si="14"/>
        <v/>
      </c>
      <c r="N281" s="12"/>
      <c r="O281" s="24">
        <v>46478</v>
      </c>
      <c r="P281" s="85" t="str">
        <f t="shared" si="6"/>
        <v/>
      </c>
      <c r="Q281" s="85" t="str">
        <f t="shared" si="7"/>
        <v/>
      </c>
      <c r="R281" s="85" t="str">
        <f t="shared" si="8"/>
        <v/>
      </c>
      <c r="S281" s="85" t="str">
        <f t="shared" si="9"/>
        <v/>
      </c>
      <c r="T281" s="86" t="str">
        <f t="shared" si="10"/>
        <v/>
      </c>
      <c r="U281" s="87" t="str">
        <f t="shared" si="13"/>
        <v/>
      </c>
      <c r="V281" s="12"/>
      <c r="W281" s="12"/>
    </row>
    <row r="282" spans="5:23" ht="13.5" hidden="1" customHeight="1">
      <c r="E282" s="12"/>
      <c r="F282" s="24">
        <v>46508</v>
      </c>
      <c r="G282" s="81" t="str" cm="1">
        <f t="array" ref="G282">IF(G523="","",
G523*LOOKUP($F282,_xlfn._xlws.FILTER($F$454:$F$463,G$454:G$463&lt;&gt;""),_xlfn._xlws.FILTER(G$454:G$463,G$454:G$463&lt;&gt;"")))</f>
        <v/>
      </c>
      <c r="H282" s="81" t="str" cm="1">
        <f t="array" ref="H282">IF(H523="","",
H523*LOOKUP($F282,_xlfn._xlws.FILTER($F$454:$F$463,H$454:H$463&lt;&gt;""),_xlfn._xlws.FILTER(H$454:H$463,H$454:H$463&lt;&gt;"")))</f>
        <v/>
      </c>
      <c r="I282" s="81" t="str" cm="1">
        <f t="array" ref="I282">IF(I523="","",
I523*LOOKUP($F282,_xlfn._xlws.FILTER($F$454:$F$463,I$454:I$463&lt;&gt;""),_xlfn._xlws.FILTER(I$454:I$463,I$454:I$463&lt;&gt;"")))</f>
        <v/>
      </c>
      <c r="J282" s="88" t="str">
        <f t="shared" si="11"/>
        <v/>
      </c>
      <c r="K282" s="89" t="str" cm="1">
        <f t="array" ref="K282">IF(M523="","",
$N$477*(M523/LOOKUP($F282,_xlfn._xlws.FILTER($F$468:$F$477,G$468:G$477&lt;&gt;""),_xlfn._xlws.FILTER(G$468:G$477,G$468:G$477&lt;&gt;"")))*(N523/LOOKUP($F282,_xlfn._xlws.FILTER($F$468:$F$477,H$468:H$477&lt;&gt;""),_xlfn._xlws.FILTER(H$468:H$477,H$468:H$477&lt;&gt;""))))</f>
        <v/>
      </c>
      <c r="L282" s="84" t="str">
        <f t="shared" si="12"/>
        <v/>
      </c>
      <c r="M282" s="77" t="str">
        <f t="shared" si="14"/>
        <v/>
      </c>
      <c r="N282" s="12"/>
      <c r="O282" s="24">
        <v>46508</v>
      </c>
      <c r="P282" s="85" t="str">
        <f t="shared" si="6"/>
        <v/>
      </c>
      <c r="Q282" s="85" t="str">
        <f t="shared" si="7"/>
        <v/>
      </c>
      <c r="R282" s="85" t="str">
        <f t="shared" si="8"/>
        <v/>
      </c>
      <c r="S282" s="85" t="str">
        <f t="shared" si="9"/>
        <v/>
      </c>
      <c r="T282" s="86" t="str">
        <f t="shared" si="10"/>
        <v/>
      </c>
      <c r="U282" s="87" t="str">
        <f t="shared" si="13"/>
        <v/>
      </c>
      <c r="V282" s="12"/>
      <c r="W282" s="12"/>
    </row>
    <row r="283" spans="5:23" ht="13.5" hidden="1" customHeight="1">
      <c r="E283" s="12"/>
      <c r="F283" s="24">
        <v>46539</v>
      </c>
      <c r="G283" s="81" t="str" cm="1">
        <f t="array" ref="G283">IF(G524="","",
G524*LOOKUP($F283,_xlfn._xlws.FILTER($F$454:$F$463,G$454:G$463&lt;&gt;""),_xlfn._xlws.FILTER(G$454:G$463,G$454:G$463&lt;&gt;"")))</f>
        <v/>
      </c>
      <c r="H283" s="81" t="str" cm="1">
        <f t="array" ref="H283">IF(H524="","",
H524*LOOKUP($F283,_xlfn._xlws.FILTER($F$454:$F$463,H$454:H$463&lt;&gt;""),_xlfn._xlws.FILTER(H$454:H$463,H$454:H$463&lt;&gt;"")))</f>
        <v/>
      </c>
      <c r="I283" s="81" t="str" cm="1">
        <f t="array" ref="I283">IF(I524="","",
I524*LOOKUP($F283,_xlfn._xlws.FILTER($F$454:$F$463,I$454:I$463&lt;&gt;""),_xlfn._xlws.FILTER(I$454:I$463,I$454:I$463&lt;&gt;"")))</f>
        <v/>
      </c>
      <c r="J283" s="88" t="str">
        <f t="shared" si="11"/>
        <v/>
      </c>
      <c r="K283" s="89" t="str" cm="1">
        <f t="array" ref="K283">IF(M524="","",
$N$477*(M524/LOOKUP($F283,_xlfn._xlws.FILTER($F$468:$F$477,G$468:G$477&lt;&gt;""),_xlfn._xlws.FILTER(G$468:G$477,G$468:G$477&lt;&gt;"")))*(N524/LOOKUP($F283,_xlfn._xlws.FILTER($F$468:$F$477,H$468:H$477&lt;&gt;""),_xlfn._xlws.FILTER(H$468:H$477,H$468:H$477&lt;&gt;""))))</f>
        <v/>
      </c>
      <c r="L283" s="84" t="str">
        <f t="shared" si="12"/>
        <v/>
      </c>
      <c r="M283" s="77" t="str">
        <f t="shared" si="14"/>
        <v/>
      </c>
      <c r="N283" s="12"/>
      <c r="O283" s="24">
        <v>46539</v>
      </c>
      <c r="P283" s="85" t="str">
        <f t="shared" si="6"/>
        <v/>
      </c>
      <c r="Q283" s="85" t="str">
        <f t="shared" si="7"/>
        <v/>
      </c>
      <c r="R283" s="85" t="str">
        <f t="shared" si="8"/>
        <v/>
      </c>
      <c r="S283" s="85" t="str">
        <f t="shared" si="9"/>
        <v/>
      </c>
      <c r="T283" s="86" t="str">
        <f t="shared" si="10"/>
        <v/>
      </c>
      <c r="U283" s="87" t="str">
        <f t="shared" si="13"/>
        <v/>
      </c>
      <c r="V283" s="12"/>
      <c r="W283" s="12"/>
    </row>
    <row r="284" spans="5:23" ht="13.5" hidden="1" customHeight="1">
      <c r="E284" s="12"/>
      <c r="F284" s="24">
        <v>46569</v>
      </c>
      <c r="G284" s="81" t="str" cm="1">
        <f t="array" ref="G284">IF(G525="","",
G525*LOOKUP($F284,_xlfn._xlws.FILTER($F$454:$F$463,G$454:G$463&lt;&gt;""),_xlfn._xlws.FILTER(G$454:G$463,G$454:G$463&lt;&gt;"")))</f>
        <v/>
      </c>
      <c r="H284" s="81" t="str" cm="1">
        <f t="array" ref="H284">IF(H525="","",
H525*LOOKUP($F284,_xlfn._xlws.FILTER($F$454:$F$463,H$454:H$463&lt;&gt;""),_xlfn._xlws.FILTER(H$454:H$463,H$454:H$463&lt;&gt;"")))</f>
        <v/>
      </c>
      <c r="I284" s="81" t="str" cm="1">
        <f t="array" ref="I284">IF(I525="","",
I525*LOOKUP($F284,_xlfn._xlws.FILTER($F$454:$F$463,I$454:I$463&lt;&gt;""),_xlfn._xlws.FILTER(I$454:I$463,I$454:I$463&lt;&gt;"")))</f>
        <v/>
      </c>
      <c r="J284" s="88" t="str">
        <f t="shared" si="11"/>
        <v/>
      </c>
      <c r="K284" s="89" t="str" cm="1">
        <f t="array" ref="K284">IF(M525="","",
$N$477*(M525/LOOKUP($F284,_xlfn._xlws.FILTER($F$468:$F$477,G$468:G$477&lt;&gt;""),_xlfn._xlws.FILTER(G$468:G$477,G$468:G$477&lt;&gt;"")))*(N525/LOOKUP($F284,_xlfn._xlws.FILTER($F$468:$F$477,H$468:H$477&lt;&gt;""),_xlfn._xlws.FILTER(H$468:H$477,H$468:H$477&lt;&gt;""))))</f>
        <v/>
      </c>
      <c r="L284" s="84" t="str">
        <f t="shared" si="12"/>
        <v/>
      </c>
      <c r="M284" s="77" t="str">
        <f t="shared" si="14"/>
        <v/>
      </c>
      <c r="N284" s="12"/>
      <c r="O284" s="24">
        <v>46569</v>
      </c>
      <c r="P284" s="85" t="str">
        <f t="shared" si="6"/>
        <v/>
      </c>
      <c r="Q284" s="85" t="str">
        <f t="shared" si="7"/>
        <v/>
      </c>
      <c r="R284" s="85" t="str">
        <f t="shared" si="8"/>
        <v/>
      </c>
      <c r="S284" s="85" t="str">
        <f t="shared" si="9"/>
        <v/>
      </c>
      <c r="T284" s="86" t="str">
        <f t="shared" si="10"/>
        <v/>
      </c>
      <c r="U284" s="87" t="str">
        <f t="shared" si="13"/>
        <v/>
      </c>
      <c r="V284" s="12"/>
      <c r="W284" s="12"/>
    </row>
    <row r="285" spans="5:23" ht="13.5" hidden="1" customHeight="1">
      <c r="E285" s="12"/>
      <c r="F285" s="24">
        <v>46600</v>
      </c>
      <c r="G285" s="81" t="str" cm="1">
        <f t="array" ref="G285">IF(G526="","",
G526*LOOKUP($F285,_xlfn._xlws.FILTER($F$454:$F$463,G$454:G$463&lt;&gt;""),_xlfn._xlws.FILTER(G$454:G$463,G$454:G$463&lt;&gt;"")))</f>
        <v/>
      </c>
      <c r="H285" s="81" t="str" cm="1">
        <f t="array" ref="H285">IF(H526="","",
H526*LOOKUP($F285,_xlfn._xlws.FILTER($F$454:$F$463,H$454:H$463&lt;&gt;""),_xlfn._xlws.FILTER(H$454:H$463,H$454:H$463&lt;&gt;"")))</f>
        <v/>
      </c>
      <c r="I285" s="81" t="str" cm="1">
        <f t="array" ref="I285">IF(I526="","",
I526*LOOKUP($F285,_xlfn._xlws.FILTER($F$454:$F$463,I$454:I$463&lt;&gt;""),_xlfn._xlws.FILTER(I$454:I$463,I$454:I$463&lt;&gt;"")))</f>
        <v/>
      </c>
      <c r="J285" s="88" t="str">
        <f t="shared" si="11"/>
        <v/>
      </c>
      <c r="K285" s="89" t="str" cm="1">
        <f t="array" ref="K285">IF(M526="","",
$N$477*(M526/LOOKUP($F285,_xlfn._xlws.FILTER($F$468:$F$477,G$468:G$477&lt;&gt;""),_xlfn._xlws.FILTER(G$468:G$477,G$468:G$477&lt;&gt;"")))*(N526/LOOKUP($F285,_xlfn._xlws.FILTER($F$468:$F$477,H$468:H$477&lt;&gt;""),_xlfn._xlws.FILTER(H$468:H$477,H$468:H$477&lt;&gt;""))))</f>
        <v/>
      </c>
      <c r="L285" s="84" t="str">
        <f t="shared" si="12"/>
        <v/>
      </c>
      <c r="M285" s="77" t="str">
        <f t="shared" si="14"/>
        <v/>
      </c>
      <c r="N285" s="12"/>
      <c r="O285" s="24">
        <v>46600</v>
      </c>
      <c r="P285" s="85" t="str">
        <f t="shared" si="6"/>
        <v/>
      </c>
      <c r="Q285" s="85" t="str">
        <f t="shared" si="7"/>
        <v/>
      </c>
      <c r="R285" s="85" t="str">
        <f t="shared" si="8"/>
        <v/>
      </c>
      <c r="S285" s="85" t="str">
        <f t="shared" si="9"/>
        <v/>
      </c>
      <c r="T285" s="86" t="str">
        <f t="shared" si="10"/>
        <v/>
      </c>
      <c r="U285" s="87" t="str">
        <f t="shared" si="13"/>
        <v/>
      </c>
      <c r="V285" s="12"/>
      <c r="W285" s="12"/>
    </row>
    <row r="286" spans="5:23" ht="13.5" hidden="1" customHeight="1">
      <c r="E286" s="12"/>
      <c r="F286" s="24">
        <v>46631</v>
      </c>
      <c r="G286" s="81" t="str" cm="1">
        <f t="array" ref="G286">IF(G527="","",
G527*LOOKUP($F286,_xlfn._xlws.FILTER($F$454:$F$463,G$454:G$463&lt;&gt;""),_xlfn._xlws.FILTER(G$454:G$463,G$454:G$463&lt;&gt;"")))</f>
        <v/>
      </c>
      <c r="H286" s="81" t="str" cm="1">
        <f t="array" ref="H286">IF(H527="","",
H527*LOOKUP($F286,_xlfn._xlws.FILTER($F$454:$F$463,H$454:H$463&lt;&gt;""),_xlfn._xlws.FILTER(H$454:H$463,H$454:H$463&lt;&gt;"")))</f>
        <v/>
      </c>
      <c r="I286" s="81" t="str" cm="1">
        <f t="array" ref="I286">IF(I527="","",
I527*LOOKUP($F286,_xlfn._xlws.FILTER($F$454:$F$463,I$454:I$463&lt;&gt;""),_xlfn._xlws.FILTER(I$454:I$463,I$454:I$463&lt;&gt;"")))</f>
        <v/>
      </c>
      <c r="J286" s="88" t="str">
        <f t="shared" si="11"/>
        <v/>
      </c>
      <c r="K286" s="89" t="str" cm="1">
        <f t="array" ref="K286">IF(M527="","",
$N$477*(M527/LOOKUP($F286,_xlfn._xlws.FILTER($F$468:$F$477,G$468:G$477&lt;&gt;""),_xlfn._xlws.FILTER(G$468:G$477,G$468:G$477&lt;&gt;"")))*(N527/LOOKUP($F286,_xlfn._xlws.FILTER($F$468:$F$477,H$468:H$477&lt;&gt;""),_xlfn._xlws.FILTER(H$468:H$477,H$468:H$477&lt;&gt;""))))</f>
        <v/>
      </c>
      <c r="L286" s="84" t="str">
        <f t="shared" si="12"/>
        <v/>
      </c>
      <c r="M286" s="77" t="str">
        <f t="shared" si="14"/>
        <v/>
      </c>
      <c r="N286" s="12"/>
      <c r="O286" s="24">
        <v>46631</v>
      </c>
      <c r="P286" s="85" t="str">
        <f t="shared" si="6"/>
        <v/>
      </c>
      <c r="Q286" s="85" t="str">
        <f t="shared" si="7"/>
        <v/>
      </c>
      <c r="R286" s="85" t="str">
        <f t="shared" si="8"/>
        <v/>
      </c>
      <c r="S286" s="85" t="str">
        <f t="shared" si="9"/>
        <v/>
      </c>
      <c r="T286" s="86" t="str">
        <f t="shared" si="10"/>
        <v/>
      </c>
      <c r="U286" s="87" t="str">
        <f t="shared" si="13"/>
        <v/>
      </c>
      <c r="V286" s="12"/>
      <c r="W286" s="12"/>
    </row>
    <row r="287" spans="5:23" ht="13.5" hidden="1" customHeight="1">
      <c r="E287" s="12"/>
      <c r="F287" s="24">
        <v>46661</v>
      </c>
      <c r="G287" s="81" t="str" cm="1">
        <f t="array" ref="G287">IF(G528="","",
G528*LOOKUP($F287,_xlfn._xlws.FILTER($F$454:$F$463,G$454:G$463&lt;&gt;""),_xlfn._xlws.FILTER(G$454:G$463,G$454:G$463&lt;&gt;"")))</f>
        <v/>
      </c>
      <c r="H287" s="81" t="str" cm="1">
        <f t="array" ref="H287">IF(H528="","",
H528*LOOKUP($F287,_xlfn._xlws.FILTER($F$454:$F$463,H$454:H$463&lt;&gt;""),_xlfn._xlws.FILTER(H$454:H$463,H$454:H$463&lt;&gt;"")))</f>
        <v/>
      </c>
      <c r="I287" s="81" t="str" cm="1">
        <f t="array" ref="I287">IF(I528="","",
I528*LOOKUP($F287,_xlfn._xlws.FILTER($F$454:$F$463,I$454:I$463&lt;&gt;""),_xlfn._xlws.FILTER(I$454:I$463,I$454:I$463&lt;&gt;"")))</f>
        <v/>
      </c>
      <c r="J287" s="88" t="str">
        <f t="shared" si="11"/>
        <v/>
      </c>
      <c r="K287" s="89" t="str" cm="1">
        <f t="array" ref="K287">IF(M528="","",
$N$477*(M528/LOOKUP($F287,_xlfn._xlws.FILTER($F$468:$F$477,G$468:G$477&lt;&gt;""),_xlfn._xlws.FILTER(G$468:G$477,G$468:G$477&lt;&gt;"")))*(N528/LOOKUP($F287,_xlfn._xlws.FILTER($F$468:$F$477,H$468:H$477&lt;&gt;""),_xlfn._xlws.FILTER(H$468:H$477,H$468:H$477&lt;&gt;""))))</f>
        <v/>
      </c>
      <c r="L287" s="84" t="str">
        <f t="shared" si="12"/>
        <v/>
      </c>
      <c r="M287" s="77" t="str">
        <f t="shared" si="14"/>
        <v/>
      </c>
      <c r="N287" s="12"/>
      <c r="O287" s="24">
        <v>46661</v>
      </c>
      <c r="P287" s="85" t="str">
        <f t="shared" si="6"/>
        <v/>
      </c>
      <c r="Q287" s="85" t="str">
        <f t="shared" si="7"/>
        <v/>
      </c>
      <c r="R287" s="85" t="str">
        <f t="shared" si="8"/>
        <v/>
      </c>
      <c r="S287" s="85" t="str">
        <f t="shared" si="9"/>
        <v/>
      </c>
      <c r="T287" s="86" t="str">
        <f t="shared" si="10"/>
        <v/>
      </c>
      <c r="U287" s="87" t="str">
        <f t="shared" si="13"/>
        <v/>
      </c>
      <c r="V287" s="12"/>
      <c r="W287" s="12"/>
    </row>
    <row r="288" spans="5:23" ht="13.5" hidden="1" customHeight="1">
      <c r="E288" s="12"/>
      <c r="F288" s="24">
        <v>46692</v>
      </c>
      <c r="G288" s="81" t="str" cm="1">
        <f t="array" ref="G288">IF(G529="","",
G529*LOOKUP($F288,_xlfn._xlws.FILTER($F$454:$F$463,G$454:G$463&lt;&gt;""),_xlfn._xlws.FILTER(G$454:G$463,G$454:G$463&lt;&gt;"")))</f>
        <v/>
      </c>
      <c r="H288" s="81" t="str" cm="1">
        <f t="array" ref="H288">IF(H529="","",
H529*LOOKUP($F288,_xlfn._xlws.FILTER($F$454:$F$463,H$454:H$463&lt;&gt;""),_xlfn._xlws.FILTER(H$454:H$463,H$454:H$463&lt;&gt;"")))</f>
        <v/>
      </c>
      <c r="I288" s="81" t="str" cm="1">
        <f t="array" ref="I288">IF(I529="","",
I529*LOOKUP($F288,_xlfn._xlws.FILTER($F$454:$F$463,I$454:I$463&lt;&gt;""),_xlfn._xlws.FILTER(I$454:I$463,I$454:I$463&lt;&gt;"")))</f>
        <v/>
      </c>
      <c r="J288" s="88" t="str">
        <f t="shared" si="11"/>
        <v/>
      </c>
      <c r="K288" s="89" t="str" cm="1">
        <f t="array" ref="K288">IF(M529="","",
$N$477*(M529/LOOKUP($F288,_xlfn._xlws.FILTER($F$468:$F$477,G$468:G$477&lt;&gt;""),_xlfn._xlws.FILTER(G$468:G$477,G$468:G$477&lt;&gt;"")))*(N529/LOOKUP($F288,_xlfn._xlws.FILTER($F$468:$F$477,H$468:H$477&lt;&gt;""),_xlfn._xlws.FILTER(H$468:H$477,H$468:H$477&lt;&gt;""))))</f>
        <v/>
      </c>
      <c r="L288" s="84" t="str">
        <f t="shared" si="12"/>
        <v/>
      </c>
      <c r="M288" s="77" t="str">
        <f t="shared" si="14"/>
        <v/>
      </c>
      <c r="N288" s="12"/>
      <c r="O288" s="24">
        <v>46692</v>
      </c>
      <c r="P288" s="85" t="str">
        <f t="shared" si="6"/>
        <v/>
      </c>
      <c r="Q288" s="85" t="str">
        <f t="shared" si="7"/>
        <v/>
      </c>
      <c r="R288" s="85" t="str">
        <f t="shared" si="8"/>
        <v/>
      </c>
      <c r="S288" s="85" t="str">
        <f t="shared" si="9"/>
        <v/>
      </c>
      <c r="T288" s="86" t="str">
        <f t="shared" si="10"/>
        <v/>
      </c>
      <c r="U288" s="87" t="str">
        <f t="shared" si="13"/>
        <v/>
      </c>
      <c r="V288" s="12"/>
      <c r="W288" s="12"/>
    </row>
    <row r="289" spans="5:23" ht="13.5" hidden="1" customHeight="1">
      <c r="E289" s="12"/>
      <c r="F289" s="24">
        <v>46722</v>
      </c>
      <c r="G289" s="81" t="str" cm="1">
        <f t="array" ref="G289">IF(G530="","",
G530*LOOKUP($F289,_xlfn._xlws.FILTER($F$454:$F$463,G$454:G$463&lt;&gt;""),_xlfn._xlws.FILTER(G$454:G$463,G$454:G$463&lt;&gt;"")))</f>
        <v/>
      </c>
      <c r="H289" s="81" t="str" cm="1">
        <f t="array" ref="H289">IF(H530="","",
H530*LOOKUP($F289,_xlfn._xlws.FILTER($F$454:$F$463,H$454:H$463&lt;&gt;""),_xlfn._xlws.FILTER(H$454:H$463,H$454:H$463&lt;&gt;"")))</f>
        <v/>
      </c>
      <c r="I289" s="81" t="str" cm="1">
        <f t="array" ref="I289">IF(I530="","",
I530*LOOKUP($F289,_xlfn._xlws.FILTER($F$454:$F$463,I$454:I$463&lt;&gt;""),_xlfn._xlws.FILTER(I$454:I$463,I$454:I$463&lt;&gt;"")))</f>
        <v/>
      </c>
      <c r="J289" s="88" t="str">
        <f t="shared" si="11"/>
        <v/>
      </c>
      <c r="K289" s="89" t="str" cm="1">
        <f t="array" ref="K289">IF(M530="","",
$N$477*(M530/LOOKUP($F289,_xlfn._xlws.FILTER($F$468:$F$477,G$468:G$477&lt;&gt;""),_xlfn._xlws.FILTER(G$468:G$477,G$468:G$477&lt;&gt;"")))*(N530/LOOKUP($F289,_xlfn._xlws.FILTER($F$468:$F$477,H$468:H$477&lt;&gt;""),_xlfn._xlws.FILTER(H$468:H$477,H$468:H$477&lt;&gt;""))))</f>
        <v/>
      </c>
      <c r="L289" s="84" t="str">
        <f t="shared" si="12"/>
        <v/>
      </c>
      <c r="M289" s="77" t="str">
        <f t="shared" si="14"/>
        <v/>
      </c>
      <c r="N289" s="12"/>
      <c r="O289" s="24">
        <v>46722</v>
      </c>
      <c r="P289" s="85" t="str">
        <f t="shared" si="6"/>
        <v/>
      </c>
      <c r="Q289" s="85" t="str">
        <f t="shared" si="7"/>
        <v/>
      </c>
      <c r="R289" s="85" t="str">
        <f t="shared" si="8"/>
        <v/>
      </c>
      <c r="S289" s="85" t="str">
        <f t="shared" si="9"/>
        <v/>
      </c>
      <c r="T289" s="86" t="str">
        <f t="shared" si="10"/>
        <v/>
      </c>
      <c r="U289" s="87" t="str">
        <f t="shared" si="13"/>
        <v/>
      </c>
      <c r="V289" s="12"/>
      <c r="W289" s="12"/>
    </row>
    <row r="290" spans="5:23" ht="13.5" hidden="1" customHeight="1">
      <c r="E290" s="12"/>
      <c r="F290" s="24">
        <v>46753</v>
      </c>
      <c r="G290" s="81" t="str" cm="1">
        <f t="array" ref="G290">IF(G531="","",
G531*LOOKUP($F290,_xlfn._xlws.FILTER($F$454:$F$463,G$454:G$463&lt;&gt;""),_xlfn._xlws.FILTER(G$454:G$463,G$454:G$463&lt;&gt;"")))</f>
        <v/>
      </c>
      <c r="H290" s="81" t="str" cm="1">
        <f t="array" ref="H290">IF(H531="","",
H531*LOOKUP($F290,_xlfn._xlws.FILTER($F$454:$F$463,H$454:H$463&lt;&gt;""),_xlfn._xlws.FILTER(H$454:H$463,H$454:H$463&lt;&gt;"")))</f>
        <v/>
      </c>
      <c r="I290" s="81" t="str" cm="1">
        <f t="array" ref="I290">IF(I531="","",
I531*LOOKUP($F290,_xlfn._xlws.FILTER($F$454:$F$463,I$454:I$463&lt;&gt;""),_xlfn._xlws.FILTER(I$454:I$463,I$454:I$463&lt;&gt;"")))</f>
        <v/>
      </c>
      <c r="J290" s="88" t="str">
        <f t="shared" si="11"/>
        <v/>
      </c>
      <c r="K290" s="89" t="str" cm="1">
        <f t="array" ref="K290">IF(M531="","",
$N$477*(M531/LOOKUP($F290,_xlfn._xlws.FILTER($F$468:$F$477,G$468:G$477&lt;&gt;""),_xlfn._xlws.FILTER(G$468:G$477,G$468:G$477&lt;&gt;"")))*(N531/LOOKUP($F290,_xlfn._xlws.FILTER($F$468:$F$477,H$468:H$477&lt;&gt;""),_xlfn._xlws.FILTER(H$468:H$477,H$468:H$477&lt;&gt;""))))</f>
        <v/>
      </c>
      <c r="L290" s="84" t="str">
        <f t="shared" si="12"/>
        <v/>
      </c>
      <c r="M290" s="77" t="str">
        <f t="shared" si="14"/>
        <v/>
      </c>
      <c r="N290" s="12"/>
      <c r="O290" s="24">
        <v>46753</v>
      </c>
      <c r="P290" s="85" t="str">
        <f t="shared" si="6"/>
        <v/>
      </c>
      <c r="Q290" s="85" t="str">
        <f t="shared" si="7"/>
        <v/>
      </c>
      <c r="R290" s="85" t="str">
        <f t="shared" si="8"/>
        <v/>
      </c>
      <c r="S290" s="85" t="str">
        <f t="shared" si="9"/>
        <v/>
      </c>
      <c r="T290" s="86" t="str">
        <f t="shared" si="10"/>
        <v/>
      </c>
      <c r="U290" s="87" t="str">
        <f t="shared" si="13"/>
        <v/>
      </c>
      <c r="V290" s="12"/>
      <c r="W290" s="12"/>
    </row>
    <row r="291" spans="5:23" ht="13.5" hidden="1" customHeight="1">
      <c r="E291" s="12"/>
      <c r="F291" s="24">
        <v>46784</v>
      </c>
      <c r="G291" s="81" t="str" cm="1">
        <f t="array" ref="G291">IF(G532="","",
G532*LOOKUP($F291,_xlfn._xlws.FILTER($F$454:$F$463,G$454:G$463&lt;&gt;""),_xlfn._xlws.FILTER(G$454:G$463,G$454:G$463&lt;&gt;"")))</f>
        <v/>
      </c>
      <c r="H291" s="81" t="str" cm="1">
        <f t="array" ref="H291">IF(H532="","",
H532*LOOKUP($F291,_xlfn._xlws.FILTER($F$454:$F$463,H$454:H$463&lt;&gt;""),_xlfn._xlws.FILTER(H$454:H$463,H$454:H$463&lt;&gt;"")))</f>
        <v/>
      </c>
      <c r="I291" s="81" t="str" cm="1">
        <f t="array" ref="I291">IF(I532="","",
I532*LOOKUP($F291,_xlfn._xlws.FILTER($F$454:$F$463,I$454:I$463&lt;&gt;""),_xlfn._xlws.FILTER(I$454:I$463,I$454:I$463&lt;&gt;"")))</f>
        <v/>
      </c>
      <c r="J291" s="88" t="str">
        <f t="shared" si="11"/>
        <v/>
      </c>
      <c r="K291" s="89" t="str" cm="1">
        <f t="array" ref="K291">IF(M532="","",
$N$477*(M532/LOOKUP($F291,_xlfn._xlws.FILTER($F$468:$F$477,G$468:G$477&lt;&gt;""),_xlfn._xlws.FILTER(G$468:G$477,G$468:G$477&lt;&gt;"")))*(N532/LOOKUP($F291,_xlfn._xlws.FILTER($F$468:$F$477,H$468:H$477&lt;&gt;""),_xlfn._xlws.FILTER(H$468:H$477,H$468:H$477&lt;&gt;""))))</f>
        <v/>
      </c>
      <c r="L291" s="84" t="str">
        <f t="shared" si="12"/>
        <v/>
      </c>
      <c r="M291" s="77" t="str">
        <f t="shared" si="14"/>
        <v/>
      </c>
      <c r="N291" s="12"/>
      <c r="O291" s="24">
        <v>46784</v>
      </c>
      <c r="P291" s="85" t="str">
        <f t="shared" si="6"/>
        <v/>
      </c>
      <c r="Q291" s="85" t="str">
        <f t="shared" si="7"/>
        <v/>
      </c>
      <c r="R291" s="85" t="str">
        <f t="shared" si="8"/>
        <v/>
      </c>
      <c r="S291" s="85" t="str">
        <f t="shared" si="9"/>
        <v/>
      </c>
      <c r="T291" s="86" t="str">
        <f t="shared" si="10"/>
        <v/>
      </c>
      <c r="U291" s="87" t="str">
        <f t="shared" si="13"/>
        <v/>
      </c>
      <c r="V291" s="12"/>
      <c r="W291" s="12"/>
    </row>
    <row r="292" spans="5:23" ht="13.5" hidden="1" customHeight="1">
      <c r="E292" s="12"/>
      <c r="F292" s="24">
        <v>46813</v>
      </c>
      <c r="G292" s="81" t="str" cm="1">
        <f t="array" ref="G292">IF(G533="","",
G533*LOOKUP($F292,_xlfn._xlws.FILTER($F$454:$F$463,G$454:G$463&lt;&gt;""),_xlfn._xlws.FILTER(G$454:G$463,G$454:G$463&lt;&gt;"")))</f>
        <v/>
      </c>
      <c r="H292" s="81" t="str" cm="1">
        <f t="array" ref="H292">IF(H533="","",
H533*LOOKUP($F292,_xlfn._xlws.FILTER($F$454:$F$463,H$454:H$463&lt;&gt;""),_xlfn._xlws.FILTER(H$454:H$463,H$454:H$463&lt;&gt;"")))</f>
        <v/>
      </c>
      <c r="I292" s="81" t="str" cm="1">
        <f t="array" ref="I292">IF(I533="","",
I533*LOOKUP($F292,_xlfn._xlws.FILTER($F$454:$F$463,I$454:I$463&lt;&gt;""),_xlfn._xlws.FILTER(I$454:I$463,I$454:I$463&lt;&gt;"")))</f>
        <v/>
      </c>
      <c r="J292" s="88" t="str">
        <f t="shared" si="11"/>
        <v/>
      </c>
      <c r="K292" s="89" t="str" cm="1">
        <f t="array" ref="K292">IF(M533="","",
$N$477*(M533/LOOKUP($F292,_xlfn._xlws.FILTER($F$468:$F$477,G$468:G$477&lt;&gt;""),_xlfn._xlws.FILTER(G$468:G$477,G$468:G$477&lt;&gt;"")))*(N533/LOOKUP($F292,_xlfn._xlws.FILTER($F$468:$F$477,H$468:H$477&lt;&gt;""),_xlfn._xlws.FILTER(H$468:H$477,H$468:H$477&lt;&gt;""))))</f>
        <v/>
      </c>
      <c r="L292" s="84" t="str">
        <f t="shared" si="12"/>
        <v/>
      </c>
      <c r="M292" s="77" t="str">
        <f t="shared" si="14"/>
        <v/>
      </c>
      <c r="N292" s="12"/>
      <c r="O292" s="24">
        <v>46813</v>
      </c>
      <c r="P292" s="85" t="str">
        <f t="shared" si="6"/>
        <v/>
      </c>
      <c r="Q292" s="85" t="str">
        <f t="shared" si="7"/>
        <v/>
      </c>
      <c r="R292" s="85" t="str">
        <f t="shared" si="8"/>
        <v/>
      </c>
      <c r="S292" s="85" t="str">
        <f t="shared" si="9"/>
        <v/>
      </c>
      <c r="T292" s="86" t="str">
        <f t="shared" si="10"/>
        <v/>
      </c>
      <c r="U292" s="87" t="str">
        <f t="shared" si="13"/>
        <v/>
      </c>
      <c r="V292" s="12"/>
      <c r="W292" s="12"/>
    </row>
    <row r="293" spans="5:23" ht="13.5" hidden="1" customHeight="1">
      <c r="E293" s="12"/>
      <c r="F293" s="24">
        <v>46844</v>
      </c>
      <c r="G293" s="81" t="str" cm="1">
        <f t="array" ref="G293">IF(G534="","",
G534*LOOKUP($F293,_xlfn._xlws.FILTER($F$454:$F$463,G$454:G$463&lt;&gt;""),_xlfn._xlws.FILTER(G$454:G$463,G$454:G$463&lt;&gt;"")))</f>
        <v/>
      </c>
      <c r="H293" s="81" t="str" cm="1">
        <f t="array" ref="H293">IF(H534="","",
H534*LOOKUP($F293,_xlfn._xlws.FILTER($F$454:$F$463,H$454:H$463&lt;&gt;""),_xlfn._xlws.FILTER(H$454:H$463,H$454:H$463&lt;&gt;"")))</f>
        <v/>
      </c>
      <c r="I293" s="81" t="str" cm="1">
        <f t="array" ref="I293">IF(I534="","",
I534*LOOKUP($F293,_xlfn._xlws.FILTER($F$454:$F$463,I$454:I$463&lt;&gt;""),_xlfn._xlws.FILTER(I$454:I$463,I$454:I$463&lt;&gt;"")))</f>
        <v/>
      </c>
      <c r="J293" s="88" t="str">
        <f t="shared" si="11"/>
        <v/>
      </c>
      <c r="K293" s="89" t="str" cm="1">
        <f t="array" ref="K293">IF(M534="","",
$N$477*(M534/LOOKUP($F293,_xlfn._xlws.FILTER($F$468:$F$477,G$468:G$477&lt;&gt;""),_xlfn._xlws.FILTER(G$468:G$477,G$468:G$477&lt;&gt;"")))*(N534/LOOKUP($F293,_xlfn._xlws.FILTER($F$468:$F$477,H$468:H$477&lt;&gt;""),_xlfn._xlws.FILTER(H$468:H$477,H$468:H$477&lt;&gt;""))))</f>
        <v/>
      </c>
      <c r="L293" s="84" t="str">
        <f t="shared" si="12"/>
        <v/>
      </c>
      <c r="M293" s="77" t="str">
        <f t="shared" si="14"/>
        <v/>
      </c>
      <c r="N293" s="12"/>
      <c r="O293" s="24">
        <v>46844</v>
      </c>
      <c r="P293" s="85" t="str">
        <f t="shared" si="6"/>
        <v/>
      </c>
      <c r="Q293" s="85" t="str">
        <f t="shared" si="7"/>
        <v/>
      </c>
      <c r="R293" s="85" t="str">
        <f t="shared" si="8"/>
        <v/>
      </c>
      <c r="S293" s="85" t="str">
        <f t="shared" si="9"/>
        <v/>
      </c>
      <c r="T293" s="86" t="str">
        <f t="shared" si="10"/>
        <v/>
      </c>
      <c r="U293" s="87" t="str">
        <f t="shared" si="13"/>
        <v/>
      </c>
      <c r="V293" s="12"/>
      <c r="W293" s="12"/>
    </row>
    <row r="294" spans="5:23" ht="13.5" hidden="1" customHeight="1">
      <c r="E294" s="12"/>
      <c r="F294" s="24">
        <v>46874</v>
      </c>
      <c r="G294" s="81" t="str" cm="1">
        <f t="array" ref="G294">IF(G535="","",
G535*LOOKUP($F294,_xlfn._xlws.FILTER($F$454:$F$463,G$454:G$463&lt;&gt;""),_xlfn._xlws.FILTER(G$454:G$463,G$454:G$463&lt;&gt;"")))</f>
        <v/>
      </c>
      <c r="H294" s="81" t="str" cm="1">
        <f t="array" ref="H294">IF(H535="","",
H535*LOOKUP($F294,_xlfn._xlws.FILTER($F$454:$F$463,H$454:H$463&lt;&gt;""),_xlfn._xlws.FILTER(H$454:H$463,H$454:H$463&lt;&gt;"")))</f>
        <v/>
      </c>
      <c r="I294" s="81" t="str" cm="1">
        <f t="array" ref="I294">IF(I535="","",
I535*LOOKUP($F294,_xlfn._xlws.FILTER($F$454:$F$463,I$454:I$463&lt;&gt;""),_xlfn._xlws.FILTER(I$454:I$463,I$454:I$463&lt;&gt;"")))</f>
        <v/>
      </c>
      <c r="J294" s="88" t="str">
        <f t="shared" si="11"/>
        <v/>
      </c>
      <c r="K294" s="89" t="str" cm="1">
        <f t="array" ref="K294">IF(M535="","",
$N$477*(M535/LOOKUP($F294,_xlfn._xlws.FILTER($F$468:$F$477,G$468:G$477&lt;&gt;""),_xlfn._xlws.FILTER(G$468:G$477,G$468:G$477&lt;&gt;"")))*(N535/LOOKUP($F294,_xlfn._xlws.FILTER($F$468:$F$477,H$468:H$477&lt;&gt;""),_xlfn._xlws.FILTER(H$468:H$477,H$468:H$477&lt;&gt;""))))</f>
        <v/>
      </c>
      <c r="L294" s="84" t="str">
        <f t="shared" si="12"/>
        <v/>
      </c>
      <c r="M294" s="77" t="str">
        <f t="shared" si="14"/>
        <v/>
      </c>
      <c r="N294" s="12"/>
      <c r="O294" s="24">
        <v>46874</v>
      </c>
      <c r="P294" s="85" t="str">
        <f t="shared" si="6"/>
        <v/>
      </c>
      <c r="Q294" s="85" t="str">
        <f t="shared" si="7"/>
        <v/>
      </c>
      <c r="R294" s="85" t="str">
        <f t="shared" si="8"/>
        <v/>
      </c>
      <c r="S294" s="85" t="str">
        <f t="shared" si="9"/>
        <v/>
      </c>
      <c r="T294" s="86" t="str">
        <f t="shared" si="10"/>
        <v/>
      </c>
      <c r="U294" s="87" t="str">
        <f t="shared" si="13"/>
        <v/>
      </c>
      <c r="V294" s="12"/>
      <c r="W294" s="12"/>
    </row>
    <row r="295" spans="5:23" ht="13.5" hidden="1" customHeight="1">
      <c r="E295" s="12"/>
      <c r="F295" s="24">
        <v>46905</v>
      </c>
      <c r="G295" s="81" t="str" cm="1">
        <f t="array" ref="G295">IF(G536="","",
G536*LOOKUP($F295,_xlfn._xlws.FILTER($F$454:$F$463,G$454:G$463&lt;&gt;""),_xlfn._xlws.FILTER(G$454:G$463,G$454:G$463&lt;&gt;"")))</f>
        <v/>
      </c>
      <c r="H295" s="81" t="str" cm="1">
        <f t="array" ref="H295">IF(H536="","",
H536*LOOKUP($F295,_xlfn._xlws.FILTER($F$454:$F$463,H$454:H$463&lt;&gt;""),_xlfn._xlws.FILTER(H$454:H$463,H$454:H$463&lt;&gt;"")))</f>
        <v/>
      </c>
      <c r="I295" s="81" t="str" cm="1">
        <f t="array" ref="I295">IF(I536="","",
I536*LOOKUP($F295,_xlfn._xlws.FILTER($F$454:$F$463,I$454:I$463&lt;&gt;""),_xlfn._xlws.FILTER(I$454:I$463,I$454:I$463&lt;&gt;"")))</f>
        <v/>
      </c>
      <c r="J295" s="88" t="str">
        <f t="shared" si="11"/>
        <v/>
      </c>
      <c r="K295" s="89" t="str" cm="1">
        <f t="array" ref="K295">IF(M536="","",
$N$477*(M536/LOOKUP($F295,_xlfn._xlws.FILTER($F$468:$F$477,G$468:G$477&lt;&gt;""),_xlfn._xlws.FILTER(G$468:G$477,G$468:G$477&lt;&gt;"")))*(N536/LOOKUP($F295,_xlfn._xlws.FILTER($F$468:$F$477,H$468:H$477&lt;&gt;""),_xlfn._xlws.FILTER(H$468:H$477,H$468:H$477&lt;&gt;""))))</f>
        <v/>
      </c>
      <c r="L295" s="84" t="str">
        <f t="shared" si="12"/>
        <v/>
      </c>
      <c r="M295" s="77" t="str">
        <f t="shared" si="14"/>
        <v/>
      </c>
      <c r="N295" s="12"/>
      <c r="O295" s="24">
        <v>46905</v>
      </c>
      <c r="P295" s="85" t="str">
        <f t="shared" si="6"/>
        <v/>
      </c>
      <c r="Q295" s="85" t="str">
        <f t="shared" si="7"/>
        <v/>
      </c>
      <c r="R295" s="85" t="str">
        <f t="shared" si="8"/>
        <v/>
      </c>
      <c r="S295" s="85" t="str">
        <f t="shared" si="9"/>
        <v/>
      </c>
      <c r="T295" s="86" t="str">
        <f t="shared" si="10"/>
        <v/>
      </c>
      <c r="U295" s="87" t="str">
        <f t="shared" si="13"/>
        <v/>
      </c>
      <c r="V295" s="12"/>
      <c r="W295" s="12"/>
    </row>
    <row r="296" spans="5:23" ht="13.5" hidden="1" customHeight="1">
      <c r="E296" s="12"/>
      <c r="F296" s="24">
        <v>46935</v>
      </c>
      <c r="G296" s="81" t="str" cm="1">
        <f t="array" ref="G296">IF(G537="","",
G537*LOOKUP($F296,_xlfn._xlws.FILTER($F$454:$F$463,G$454:G$463&lt;&gt;""),_xlfn._xlws.FILTER(G$454:G$463,G$454:G$463&lt;&gt;"")))</f>
        <v/>
      </c>
      <c r="H296" s="81" t="str" cm="1">
        <f t="array" ref="H296">IF(H537="","",
H537*LOOKUP($F296,_xlfn._xlws.FILTER($F$454:$F$463,H$454:H$463&lt;&gt;""),_xlfn._xlws.FILTER(H$454:H$463,H$454:H$463&lt;&gt;"")))</f>
        <v/>
      </c>
      <c r="I296" s="81" t="str" cm="1">
        <f t="array" ref="I296">IF(I537="","",
I537*LOOKUP($F296,_xlfn._xlws.FILTER($F$454:$F$463,I$454:I$463&lt;&gt;""),_xlfn._xlws.FILTER(I$454:I$463,I$454:I$463&lt;&gt;"")))</f>
        <v/>
      </c>
      <c r="J296" s="88" t="str">
        <f t="shared" si="11"/>
        <v/>
      </c>
      <c r="K296" s="89" t="str" cm="1">
        <f t="array" ref="K296">IF(M537="","",
$N$477*(M537/LOOKUP($F296,_xlfn._xlws.FILTER($F$468:$F$477,G$468:G$477&lt;&gt;""),_xlfn._xlws.FILTER(G$468:G$477,G$468:G$477&lt;&gt;"")))*(N537/LOOKUP($F296,_xlfn._xlws.FILTER($F$468:$F$477,H$468:H$477&lt;&gt;""),_xlfn._xlws.FILTER(H$468:H$477,H$468:H$477&lt;&gt;""))))</f>
        <v/>
      </c>
      <c r="L296" s="84" t="str">
        <f t="shared" si="12"/>
        <v/>
      </c>
      <c r="M296" s="77" t="str">
        <f t="shared" si="14"/>
        <v/>
      </c>
      <c r="N296" s="12"/>
      <c r="O296" s="24">
        <v>46935</v>
      </c>
      <c r="P296" s="85" t="str">
        <f t="shared" si="6"/>
        <v/>
      </c>
      <c r="Q296" s="85" t="str">
        <f t="shared" si="7"/>
        <v/>
      </c>
      <c r="R296" s="85" t="str">
        <f t="shared" si="8"/>
        <v/>
      </c>
      <c r="S296" s="85" t="str">
        <f t="shared" si="9"/>
        <v/>
      </c>
      <c r="T296" s="86" t="str">
        <f t="shared" si="10"/>
        <v/>
      </c>
      <c r="U296" s="87" t="str">
        <f t="shared" si="13"/>
        <v/>
      </c>
      <c r="V296" s="12"/>
      <c r="W296" s="12"/>
    </row>
    <row r="297" spans="5:23" ht="13.5" hidden="1" customHeight="1">
      <c r="E297" s="12"/>
      <c r="F297" s="24">
        <v>46966</v>
      </c>
      <c r="G297" s="81" t="str" cm="1">
        <f t="array" ref="G297">IF(G538="","",
G538*LOOKUP($F297,_xlfn._xlws.FILTER($F$454:$F$463,G$454:G$463&lt;&gt;""),_xlfn._xlws.FILTER(G$454:G$463,G$454:G$463&lt;&gt;"")))</f>
        <v/>
      </c>
      <c r="H297" s="81" t="str" cm="1">
        <f t="array" ref="H297">IF(H538="","",
H538*LOOKUP($F297,_xlfn._xlws.FILTER($F$454:$F$463,H$454:H$463&lt;&gt;""),_xlfn._xlws.FILTER(H$454:H$463,H$454:H$463&lt;&gt;"")))</f>
        <v/>
      </c>
      <c r="I297" s="81" t="str" cm="1">
        <f t="array" ref="I297">IF(I538="","",
I538*LOOKUP($F297,_xlfn._xlws.FILTER($F$454:$F$463,I$454:I$463&lt;&gt;""),_xlfn._xlws.FILTER(I$454:I$463,I$454:I$463&lt;&gt;"")))</f>
        <v/>
      </c>
      <c r="J297" s="88" t="str">
        <f t="shared" si="11"/>
        <v/>
      </c>
      <c r="K297" s="89" t="str" cm="1">
        <f t="array" ref="K297">IF(M538="","",
$N$477*(M538/LOOKUP($F297,_xlfn._xlws.FILTER($F$468:$F$477,G$468:G$477&lt;&gt;""),_xlfn._xlws.FILTER(G$468:G$477,G$468:G$477&lt;&gt;"")))*(N538/LOOKUP($F297,_xlfn._xlws.FILTER($F$468:$F$477,H$468:H$477&lt;&gt;""),_xlfn._xlws.FILTER(H$468:H$477,H$468:H$477&lt;&gt;""))))</f>
        <v/>
      </c>
      <c r="L297" s="84" t="str">
        <f t="shared" si="12"/>
        <v/>
      </c>
      <c r="M297" s="77" t="str">
        <f t="shared" si="14"/>
        <v/>
      </c>
      <c r="N297" s="12"/>
      <c r="O297" s="24">
        <v>46966</v>
      </c>
      <c r="P297" s="85" t="str">
        <f t="shared" si="6"/>
        <v/>
      </c>
      <c r="Q297" s="85" t="str">
        <f t="shared" si="7"/>
        <v/>
      </c>
      <c r="R297" s="85" t="str">
        <f t="shared" si="8"/>
        <v/>
      </c>
      <c r="S297" s="85" t="str">
        <f t="shared" si="9"/>
        <v/>
      </c>
      <c r="T297" s="86" t="str">
        <f t="shared" si="10"/>
        <v/>
      </c>
      <c r="U297" s="87" t="str">
        <f t="shared" si="13"/>
        <v/>
      </c>
      <c r="V297" s="12"/>
      <c r="W297" s="12"/>
    </row>
    <row r="298" spans="5:23" ht="13.5" hidden="1" customHeight="1">
      <c r="E298" s="12"/>
      <c r="F298" s="24">
        <v>46997</v>
      </c>
      <c r="G298" s="81" t="str" cm="1">
        <f t="array" ref="G298">IF(G539="","",
G539*LOOKUP($F298,_xlfn._xlws.FILTER($F$454:$F$463,G$454:G$463&lt;&gt;""),_xlfn._xlws.FILTER(G$454:G$463,G$454:G$463&lt;&gt;"")))</f>
        <v/>
      </c>
      <c r="H298" s="81" t="str" cm="1">
        <f t="array" ref="H298">IF(H539="","",
H539*LOOKUP($F298,_xlfn._xlws.FILTER($F$454:$F$463,H$454:H$463&lt;&gt;""),_xlfn._xlws.FILTER(H$454:H$463,H$454:H$463&lt;&gt;"")))</f>
        <v/>
      </c>
      <c r="I298" s="81" t="str" cm="1">
        <f t="array" ref="I298">IF(I539="","",
I539*LOOKUP($F298,_xlfn._xlws.FILTER($F$454:$F$463,I$454:I$463&lt;&gt;""),_xlfn._xlws.FILTER(I$454:I$463,I$454:I$463&lt;&gt;"")))</f>
        <v/>
      </c>
      <c r="J298" s="88" t="str">
        <f t="shared" si="11"/>
        <v/>
      </c>
      <c r="K298" s="89" t="str" cm="1">
        <f t="array" ref="K298">IF(M539="","",
$N$477*(M539/LOOKUP($F298,_xlfn._xlws.FILTER($F$468:$F$477,G$468:G$477&lt;&gt;""),_xlfn._xlws.FILTER(G$468:G$477,G$468:G$477&lt;&gt;"")))*(N539/LOOKUP($F298,_xlfn._xlws.FILTER($F$468:$F$477,H$468:H$477&lt;&gt;""),_xlfn._xlws.FILTER(H$468:H$477,H$468:H$477&lt;&gt;""))))</f>
        <v/>
      </c>
      <c r="L298" s="84" t="str">
        <f t="shared" si="12"/>
        <v/>
      </c>
      <c r="M298" s="77" t="str">
        <f t="shared" si="14"/>
        <v/>
      </c>
      <c r="N298" s="12"/>
      <c r="O298" s="24">
        <v>46997</v>
      </c>
      <c r="P298" s="85" t="str">
        <f t="shared" si="6"/>
        <v/>
      </c>
      <c r="Q298" s="85" t="str">
        <f t="shared" si="7"/>
        <v/>
      </c>
      <c r="R298" s="85" t="str">
        <f t="shared" si="8"/>
        <v/>
      </c>
      <c r="S298" s="85" t="str">
        <f t="shared" si="9"/>
        <v/>
      </c>
      <c r="T298" s="86" t="str">
        <f t="shared" si="10"/>
        <v/>
      </c>
      <c r="U298" s="87" t="str">
        <f t="shared" si="13"/>
        <v/>
      </c>
      <c r="V298" s="12"/>
      <c r="W298" s="12"/>
    </row>
    <row r="299" spans="5:23" ht="13.5" hidden="1" customHeight="1">
      <c r="E299" s="12"/>
      <c r="F299" s="24">
        <v>47027</v>
      </c>
      <c r="G299" s="81" t="str" cm="1">
        <f t="array" ref="G299">IF(G540="","",
G540*LOOKUP($F299,_xlfn._xlws.FILTER($F$454:$F$463,G$454:G$463&lt;&gt;""),_xlfn._xlws.FILTER(G$454:G$463,G$454:G$463&lt;&gt;"")))</f>
        <v/>
      </c>
      <c r="H299" s="81" t="str" cm="1">
        <f t="array" ref="H299">IF(H540="","",
H540*LOOKUP($F299,_xlfn._xlws.FILTER($F$454:$F$463,H$454:H$463&lt;&gt;""),_xlfn._xlws.FILTER(H$454:H$463,H$454:H$463&lt;&gt;"")))</f>
        <v/>
      </c>
      <c r="I299" s="81" t="str" cm="1">
        <f t="array" ref="I299">IF(I540="","",
I540*LOOKUP($F299,_xlfn._xlws.FILTER($F$454:$F$463,I$454:I$463&lt;&gt;""),_xlfn._xlws.FILTER(I$454:I$463,I$454:I$463&lt;&gt;"")))</f>
        <v/>
      </c>
      <c r="J299" s="88" t="str">
        <f t="shared" si="11"/>
        <v/>
      </c>
      <c r="K299" s="89" t="str" cm="1">
        <f t="array" ref="K299">IF(M540="","",
$N$477*(M540/LOOKUP($F299,_xlfn._xlws.FILTER($F$468:$F$477,G$468:G$477&lt;&gt;""),_xlfn._xlws.FILTER(G$468:G$477,G$468:G$477&lt;&gt;"")))*(N540/LOOKUP($F299,_xlfn._xlws.FILTER($F$468:$F$477,H$468:H$477&lt;&gt;""),_xlfn._xlws.FILTER(H$468:H$477,H$468:H$477&lt;&gt;""))))</f>
        <v/>
      </c>
      <c r="L299" s="84" t="str">
        <f t="shared" si="12"/>
        <v/>
      </c>
      <c r="M299" s="77" t="str">
        <f t="shared" si="14"/>
        <v/>
      </c>
      <c r="N299" s="12"/>
      <c r="O299" s="24">
        <v>47027</v>
      </c>
      <c r="P299" s="85" t="str">
        <f t="shared" si="6"/>
        <v/>
      </c>
      <c r="Q299" s="85" t="str">
        <f t="shared" si="7"/>
        <v/>
      </c>
      <c r="R299" s="85" t="str">
        <f t="shared" si="8"/>
        <v/>
      </c>
      <c r="S299" s="85" t="str">
        <f t="shared" si="9"/>
        <v/>
      </c>
      <c r="T299" s="86" t="str">
        <f t="shared" si="10"/>
        <v/>
      </c>
      <c r="U299" s="87" t="str">
        <f t="shared" si="13"/>
        <v/>
      </c>
      <c r="V299" s="12"/>
      <c r="W299" s="12"/>
    </row>
    <row r="300" spans="5:23" ht="13.5" hidden="1" customHeight="1">
      <c r="E300" s="12"/>
      <c r="F300" s="24">
        <v>47058</v>
      </c>
      <c r="G300" s="81" t="str" cm="1">
        <f t="array" ref="G300">IF(G541="","",
G541*LOOKUP($F300,_xlfn._xlws.FILTER($F$454:$F$463,G$454:G$463&lt;&gt;""),_xlfn._xlws.FILTER(G$454:G$463,G$454:G$463&lt;&gt;"")))</f>
        <v/>
      </c>
      <c r="H300" s="81" t="str" cm="1">
        <f t="array" ref="H300">IF(H541="","",
H541*LOOKUP($F300,_xlfn._xlws.FILTER($F$454:$F$463,H$454:H$463&lt;&gt;""),_xlfn._xlws.FILTER(H$454:H$463,H$454:H$463&lt;&gt;"")))</f>
        <v/>
      </c>
      <c r="I300" s="81" t="str" cm="1">
        <f t="array" ref="I300">IF(I541="","",
I541*LOOKUP($F300,_xlfn._xlws.FILTER($F$454:$F$463,I$454:I$463&lt;&gt;""),_xlfn._xlws.FILTER(I$454:I$463,I$454:I$463&lt;&gt;"")))</f>
        <v/>
      </c>
      <c r="J300" s="88" t="str">
        <f t="shared" si="11"/>
        <v/>
      </c>
      <c r="K300" s="89" t="str" cm="1">
        <f t="array" ref="K300">IF(M541="","",
$N$477*(M541/LOOKUP($F300,_xlfn._xlws.FILTER($F$468:$F$477,G$468:G$477&lt;&gt;""),_xlfn._xlws.FILTER(G$468:G$477,G$468:G$477&lt;&gt;"")))*(N541/LOOKUP($F300,_xlfn._xlws.FILTER($F$468:$F$477,H$468:H$477&lt;&gt;""),_xlfn._xlws.FILTER(H$468:H$477,H$468:H$477&lt;&gt;""))))</f>
        <v/>
      </c>
      <c r="L300" s="84" t="str">
        <f t="shared" si="12"/>
        <v/>
      </c>
      <c r="M300" s="77" t="str">
        <f t="shared" si="14"/>
        <v/>
      </c>
      <c r="N300" s="12"/>
      <c r="O300" s="24">
        <v>47058</v>
      </c>
      <c r="P300" s="85" t="str">
        <f t="shared" si="6"/>
        <v/>
      </c>
      <c r="Q300" s="85" t="str">
        <f t="shared" si="7"/>
        <v/>
      </c>
      <c r="R300" s="85" t="str">
        <f t="shared" si="8"/>
        <v/>
      </c>
      <c r="S300" s="85" t="str">
        <f t="shared" si="9"/>
        <v/>
      </c>
      <c r="T300" s="86" t="str">
        <f t="shared" si="10"/>
        <v/>
      </c>
      <c r="U300" s="87" t="str">
        <f t="shared" si="13"/>
        <v/>
      </c>
      <c r="V300" s="12"/>
      <c r="W300" s="12"/>
    </row>
    <row r="301" spans="5:23" ht="13.5" hidden="1" customHeight="1">
      <c r="E301" s="12"/>
      <c r="F301" s="24">
        <v>47088</v>
      </c>
      <c r="G301" s="81" t="str" cm="1">
        <f t="array" ref="G301">IF(G542="","",
G542*LOOKUP($F301,_xlfn._xlws.FILTER($F$454:$F$463,G$454:G$463&lt;&gt;""),_xlfn._xlws.FILTER(G$454:G$463,G$454:G$463&lt;&gt;"")))</f>
        <v/>
      </c>
      <c r="H301" s="81" t="str" cm="1">
        <f t="array" ref="H301">IF(H542="","",
H542*LOOKUP($F301,_xlfn._xlws.FILTER($F$454:$F$463,H$454:H$463&lt;&gt;""),_xlfn._xlws.FILTER(H$454:H$463,H$454:H$463&lt;&gt;"")))</f>
        <v/>
      </c>
      <c r="I301" s="81" t="str" cm="1">
        <f t="array" ref="I301">IF(I542="","",
I542*LOOKUP($F301,_xlfn._xlws.FILTER($F$454:$F$463,I$454:I$463&lt;&gt;""),_xlfn._xlws.FILTER(I$454:I$463,I$454:I$463&lt;&gt;"")))</f>
        <v/>
      </c>
      <c r="J301" s="88" t="str">
        <f t="shared" si="11"/>
        <v/>
      </c>
      <c r="K301" s="89" t="str" cm="1">
        <f t="array" ref="K301">IF(M542="","",
$N$477*(M542/LOOKUP($F301,_xlfn._xlws.FILTER($F$468:$F$477,G$468:G$477&lt;&gt;""),_xlfn._xlws.FILTER(G$468:G$477,G$468:G$477&lt;&gt;"")))*(N542/LOOKUP($F301,_xlfn._xlws.FILTER($F$468:$F$477,H$468:H$477&lt;&gt;""),_xlfn._xlws.FILTER(H$468:H$477,H$468:H$477&lt;&gt;""))))</f>
        <v/>
      </c>
      <c r="L301" s="84" t="str">
        <f t="shared" si="12"/>
        <v/>
      </c>
      <c r="M301" s="77" t="str">
        <f t="shared" si="14"/>
        <v/>
      </c>
      <c r="N301" s="12"/>
      <c r="O301" s="24">
        <v>47088</v>
      </c>
      <c r="P301" s="85" t="str">
        <f t="shared" si="6"/>
        <v/>
      </c>
      <c r="Q301" s="85" t="str">
        <f t="shared" si="7"/>
        <v/>
      </c>
      <c r="R301" s="85" t="str">
        <f t="shared" si="8"/>
        <v/>
      </c>
      <c r="S301" s="85" t="str">
        <f t="shared" si="9"/>
        <v/>
      </c>
      <c r="T301" s="86" t="str">
        <f t="shared" si="10"/>
        <v/>
      </c>
      <c r="U301" s="87" t="str">
        <f t="shared" si="13"/>
        <v/>
      </c>
      <c r="V301" s="12"/>
      <c r="W301" s="12"/>
    </row>
    <row r="302" spans="5:23" ht="13.5" hidden="1" customHeight="1">
      <c r="E302" s="12"/>
      <c r="F302" s="24">
        <v>47119</v>
      </c>
      <c r="G302" s="81" t="str" cm="1">
        <f t="array" ref="G302">IF(G543="","",
G543*LOOKUP($F302,_xlfn._xlws.FILTER($F$454:$F$463,G$454:G$463&lt;&gt;""),_xlfn._xlws.FILTER(G$454:G$463,G$454:G$463&lt;&gt;"")))</f>
        <v/>
      </c>
      <c r="H302" s="81" t="str" cm="1">
        <f t="array" ref="H302">IF(H543="","",
H543*LOOKUP($F302,_xlfn._xlws.FILTER($F$454:$F$463,H$454:H$463&lt;&gt;""),_xlfn._xlws.FILTER(H$454:H$463,H$454:H$463&lt;&gt;"")))</f>
        <v/>
      </c>
      <c r="I302" s="81" t="str" cm="1">
        <f t="array" ref="I302">IF(I543="","",
I543*LOOKUP($F302,_xlfn._xlws.FILTER($F$454:$F$463,I$454:I$463&lt;&gt;""),_xlfn._xlws.FILTER(I$454:I$463,I$454:I$463&lt;&gt;"")))</f>
        <v/>
      </c>
      <c r="J302" s="88" t="str">
        <f t="shared" si="11"/>
        <v/>
      </c>
      <c r="K302" s="89" t="str" cm="1">
        <f t="array" ref="K302">IF(M543="","",
$N$477*(M543/LOOKUP($F302,_xlfn._xlws.FILTER($F$468:$F$477,G$468:G$477&lt;&gt;""),_xlfn._xlws.FILTER(G$468:G$477,G$468:G$477&lt;&gt;"")))*(N543/LOOKUP($F302,_xlfn._xlws.FILTER($F$468:$F$477,H$468:H$477&lt;&gt;""),_xlfn._xlws.FILTER(H$468:H$477,H$468:H$477&lt;&gt;""))))</f>
        <v/>
      </c>
      <c r="L302" s="84" t="str">
        <f t="shared" si="12"/>
        <v/>
      </c>
      <c r="M302" s="77" t="str">
        <f t="shared" si="14"/>
        <v/>
      </c>
      <c r="N302" s="12"/>
      <c r="O302" s="24">
        <v>47119</v>
      </c>
      <c r="P302" s="85" t="str">
        <f t="shared" si="6"/>
        <v/>
      </c>
      <c r="Q302" s="85" t="str">
        <f t="shared" si="7"/>
        <v/>
      </c>
      <c r="R302" s="85" t="str">
        <f t="shared" si="8"/>
        <v/>
      </c>
      <c r="S302" s="85" t="str">
        <f t="shared" si="9"/>
        <v/>
      </c>
      <c r="T302" s="86" t="str">
        <f t="shared" si="10"/>
        <v/>
      </c>
      <c r="U302" s="87" t="str">
        <f t="shared" si="13"/>
        <v/>
      </c>
      <c r="V302" s="12"/>
      <c r="W302" s="12"/>
    </row>
    <row r="303" spans="5:23" ht="13.5" hidden="1" customHeight="1">
      <c r="E303" s="12"/>
      <c r="F303" s="24">
        <v>47150</v>
      </c>
      <c r="G303" s="81" t="str" cm="1">
        <f t="array" ref="G303">IF(G544="","",
G544*LOOKUP($F303,_xlfn._xlws.FILTER($F$454:$F$463,G$454:G$463&lt;&gt;""),_xlfn._xlws.FILTER(G$454:G$463,G$454:G$463&lt;&gt;"")))</f>
        <v/>
      </c>
      <c r="H303" s="81" t="str" cm="1">
        <f t="array" ref="H303">IF(H544="","",
H544*LOOKUP($F303,_xlfn._xlws.FILTER($F$454:$F$463,H$454:H$463&lt;&gt;""),_xlfn._xlws.FILTER(H$454:H$463,H$454:H$463&lt;&gt;"")))</f>
        <v/>
      </c>
      <c r="I303" s="81" t="str" cm="1">
        <f t="array" ref="I303">IF(I544="","",
I544*LOOKUP($F303,_xlfn._xlws.FILTER($F$454:$F$463,I$454:I$463&lt;&gt;""),_xlfn._xlws.FILTER(I$454:I$463,I$454:I$463&lt;&gt;"")))</f>
        <v/>
      </c>
      <c r="J303" s="88" t="str">
        <f t="shared" si="11"/>
        <v/>
      </c>
      <c r="K303" s="89" t="str" cm="1">
        <f t="array" ref="K303">IF(M544="","",
$N$477*(M544/LOOKUP($F303,_xlfn._xlws.FILTER($F$468:$F$477,G$468:G$477&lt;&gt;""),_xlfn._xlws.FILTER(G$468:G$477,G$468:G$477&lt;&gt;"")))*(N544/LOOKUP($F303,_xlfn._xlws.FILTER($F$468:$F$477,H$468:H$477&lt;&gt;""),_xlfn._xlws.FILTER(H$468:H$477,H$468:H$477&lt;&gt;""))))</f>
        <v/>
      </c>
      <c r="L303" s="84" t="str">
        <f t="shared" si="12"/>
        <v/>
      </c>
      <c r="M303" s="77" t="str">
        <f t="shared" si="14"/>
        <v/>
      </c>
      <c r="N303" s="12"/>
      <c r="O303" s="24">
        <v>47150</v>
      </c>
      <c r="P303" s="85" t="str">
        <f t="shared" si="6"/>
        <v/>
      </c>
      <c r="Q303" s="85" t="str">
        <f t="shared" si="7"/>
        <v/>
      </c>
      <c r="R303" s="85" t="str">
        <f t="shared" si="8"/>
        <v/>
      </c>
      <c r="S303" s="85" t="str">
        <f t="shared" si="9"/>
        <v/>
      </c>
      <c r="T303" s="86" t="str">
        <f t="shared" si="10"/>
        <v/>
      </c>
      <c r="U303" s="87" t="str">
        <f t="shared" si="13"/>
        <v/>
      </c>
      <c r="V303" s="12"/>
      <c r="W303" s="12"/>
    </row>
    <row r="304" spans="5:23" ht="13.5" hidden="1" customHeight="1">
      <c r="E304" s="12"/>
      <c r="F304" s="24">
        <v>47178</v>
      </c>
      <c r="G304" s="81" t="str" cm="1">
        <f t="array" ref="G304">IF(G545="","",
G545*LOOKUP($F304,_xlfn._xlws.FILTER($F$454:$F$463,G$454:G$463&lt;&gt;""),_xlfn._xlws.FILTER(G$454:G$463,G$454:G$463&lt;&gt;"")))</f>
        <v/>
      </c>
      <c r="H304" s="81" t="str" cm="1">
        <f t="array" ref="H304">IF(H545="","",
H545*LOOKUP($F304,_xlfn._xlws.FILTER($F$454:$F$463,H$454:H$463&lt;&gt;""),_xlfn._xlws.FILTER(H$454:H$463,H$454:H$463&lt;&gt;"")))</f>
        <v/>
      </c>
      <c r="I304" s="81" t="str" cm="1">
        <f t="array" ref="I304">IF(I545="","",
I545*LOOKUP($F304,_xlfn._xlws.FILTER($F$454:$F$463,I$454:I$463&lt;&gt;""),_xlfn._xlws.FILTER(I$454:I$463,I$454:I$463&lt;&gt;"")))</f>
        <v/>
      </c>
      <c r="J304" s="88" t="str">
        <f t="shared" si="11"/>
        <v/>
      </c>
      <c r="K304" s="89" t="str" cm="1">
        <f t="array" ref="K304">IF(M545="","",
$N$477*(M545/LOOKUP($F304,_xlfn._xlws.FILTER($F$468:$F$477,G$468:G$477&lt;&gt;""),_xlfn._xlws.FILTER(G$468:G$477,G$468:G$477&lt;&gt;"")))*(N545/LOOKUP($F304,_xlfn._xlws.FILTER($F$468:$F$477,H$468:H$477&lt;&gt;""),_xlfn._xlws.FILTER(H$468:H$477,H$468:H$477&lt;&gt;""))))</f>
        <v/>
      </c>
      <c r="L304" s="84" t="str">
        <f t="shared" si="12"/>
        <v/>
      </c>
      <c r="M304" s="77" t="str">
        <f t="shared" si="14"/>
        <v/>
      </c>
      <c r="N304" s="12"/>
      <c r="O304" s="24">
        <v>47178</v>
      </c>
      <c r="P304" s="85" t="str">
        <f t="shared" si="6"/>
        <v/>
      </c>
      <c r="Q304" s="85" t="str">
        <f t="shared" si="7"/>
        <v/>
      </c>
      <c r="R304" s="85" t="str">
        <f t="shared" si="8"/>
        <v/>
      </c>
      <c r="S304" s="85" t="str">
        <f t="shared" si="9"/>
        <v/>
      </c>
      <c r="T304" s="86" t="str">
        <f t="shared" si="10"/>
        <v/>
      </c>
      <c r="U304" s="87" t="str">
        <f t="shared" si="13"/>
        <v/>
      </c>
      <c r="V304" s="12"/>
      <c r="W304" s="12"/>
    </row>
    <row r="305" spans="5:23" ht="13.5" hidden="1" customHeight="1">
      <c r="E305" s="12"/>
      <c r="F305" s="24">
        <v>47209</v>
      </c>
      <c r="G305" s="81" t="str" cm="1">
        <f t="array" ref="G305">IF(G546="","",
G546*LOOKUP($F305,_xlfn._xlws.FILTER($F$454:$F$463,G$454:G$463&lt;&gt;""),_xlfn._xlws.FILTER(G$454:G$463,G$454:G$463&lt;&gt;"")))</f>
        <v/>
      </c>
      <c r="H305" s="81" t="str" cm="1">
        <f t="array" ref="H305">IF(H546="","",
H546*LOOKUP($F305,_xlfn._xlws.FILTER($F$454:$F$463,H$454:H$463&lt;&gt;""),_xlfn._xlws.FILTER(H$454:H$463,H$454:H$463&lt;&gt;"")))</f>
        <v/>
      </c>
      <c r="I305" s="81" t="str" cm="1">
        <f t="array" ref="I305">IF(I546="","",
I546*LOOKUP($F305,_xlfn._xlws.FILTER($F$454:$F$463,I$454:I$463&lt;&gt;""),_xlfn._xlws.FILTER(I$454:I$463,I$454:I$463&lt;&gt;"")))</f>
        <v/>
      </c>
      <c r="J305" s="88" t="str">
        <f t="shared" si="11"/>
        <v/>
      </c>
      <c r="K305" s="89" t="str" cm="1">
        <f t="array" ref="K305">IF(M546="","",
$N$477*(M546/LOOKUP($F305,_xlfn._xlws.FILTER($F$468:$F$477,G$468:G$477&lt;&gt;""),_xlfn._xlws.FILTER(G$468:G$477,G$468:G$477&lt;&gt;"")))*(N546/LOOKUP($F305,_xlfn._xlws.FILTER($F$468:$F$477,H$468:H$477&lt;&gt;""),_xlfn._xlws.FILTER(H$468:H$477,H$468:H$477&lt;&gt;""))))</f>
        <v/>
      </c>
      <c r="L305" s="84" t="str">
        <f t="shared" si="12"/>
        <v/>
      </c>
      <c r="M305" s="77" t="str">
        <f t="shared" si="14"/>
        <v/>
      </c>
      <c r="N305" s="12"/>
      <c r="O305" s="24">
        <v>47209</v>
      </c>
      <c r="P305" s="85" t="str">
        <f t="shared" si="6"/>
        <v/>
      </c>
      <c r="Q305" s="85" t="str">
        <f t="shared" si="7"/>
        <v/>
      </c>
      <c r="R305" s="85" t="str">
        <f t="shared" si="8"/>
        <v/>
      </c>
      <c r="S305" s="85" t="str">
        <f t="shared" si="9"/>
        <v/>
      </c>
      <c r="T305" s="86" t="str">
        <f t="shared" si="10"/>
        <v/>
      </c>
      <c r="U305" s="87" t="str">
        <f t="shared" si="13"/>
        <v/>
      </c>
      <c r="V305" s="12"/>
      <c r="W305" s="12"/>
    </row>
    <row r="306" spans="5:23" ht="13.5" hidden="1" customHeight="1">
      <c r="E306" s="12"/>
      <c r="F306" s="24">
        <v>47239</v>
      </c>
      <c r="G306" s="81" t="str" cm="1">
        <f t="array" ref="G306">IF(G547="","",
G547*LOOKUP($F306,_xlfn._xlws.FILTER($F$454:$F$463,G$454:G$463&lt;&gt;""),_xlfn._xlws.FILTER(G$454:G$463,G$454:G$463&lt;&gt;"")))</f>
        <v/>
      </c>
      <c r="H306" s="81" t="str" cm="1">
        <f t="array" ref="H306">IF(H547="","",
H547*LOOKUP($F306,_xlfn._xlws.FILTER($F$454:$F$463,H$454:H$463&lt;&gt;""),_xlfn._xlws.FILTER(H$454:H$463,H$454:H$463&lt;&gt;"")))</f>
        <v/>
      </c>
      <c r="I306" s="81" t="str" cm="1">
        <f t="array" ref="I306">IF(I547="","",
I547*LOOKUP($F306,_xlfn._xlws.FILTER($F$454:$F$463,I$454:I$463&lt;&gt;""),_xlfn._xlws.FILTER(I$454:I$463,I$454:I$463&lt;&gt;"")))</f>
        <v/>
      </c>
      <c r="J306" s="88" t="str">
        <f t="shared" si="11"/>
        <v/>
      </c>
      <c r="K306" s="89" t="str" cm="1">
        <f t="array" ref="K306">IF(M547="","",
$N$477*(M547/LOOKUP($F306,_xlfn._xlws.FILTER($F$468:$F$477,G$468:G$477&lt;&gt;""),_xlfn._xlws.FILTER(G$468:G$477,G$468:G$477&lt;&gt;"")))*(N547/LOOKUP($F306,_xlfn._xlws.FILTER($F$468:$F$477,H$468:H$477&lt;&gt;""),_xlfn._xlws.FILTER(H$468:H$477,H$468:H$477&lt;&gt;""))))</f>
        <v/>
      </c>
      <c r="L306" s="84" t="str">
        <f t="shared" si="12"/>
        <v/>
      </c>
      <c r="M306" s="77" t="str">
        <f t="shared" si="14"/>
        <v/>
      </c>
      <c r="N306" s="12"/>
      <c r="O306" s="24">
        <v>47239</v>
      </c>
      <c r="P306" s="85" t="str">
        <f t="shared" ref="P306:P369" si="15">IFERROR((G306*Q$480)/$L306*($L$171/Q$481),"")</f>
        <v/>
      </c>
      <c r="Q306" s="85" t="str">
        <f t="shared" ref="Q306:Q369" si="16">IFERROR((H306*R$480)/$L306*($L$171/R$481),"")</f>
        <v/>
      </c>
      <c r="R306" s="85" t="str">
        <f t="shared" ref="R306:R369" si="17">IFERROR((I306*S$480)/$L306*($L$171/S$481),"")</f>
        <v/>
      </c>
      <c r="S306" s="85" t="str">
        <f t="shared" ref="S306:S369" si="18">IFERROR((J306*T$480)/$L306*($L$171/T$481),"")</f>
        <v/>
      </c>
      <c r="T306" s="86" t="str">
        <f t="shared" ref="T306:T369" si="19">IFERROR((K306*U$480)/$L306*($L$171/U$481),"")</f>
        <v/>
      </c>
      <c r="U306" s="87" t="str">
        <f t="shared" si="13"/>
        <v/>
      </c>
      <c r="V306" s="12"/>
      <c r="W306" s="12"/>
    </row>
    <row r="307" spans="5:23" ht="13.5" hidden="1" customHeight="1">
      <c r="E307" s="12"/>
      <c r="F307" s="24">
        <v>47270</v>
      </c>
      <c r="G307" s="81" t="str" cm="1">
        <f t="array" ref="G307">IF(G548="","",
G548*LOOKUP($F307,_xlfn._xlws.FILTER($F$454:$F$463,G$454:G$463&lt;&gt;""),_xlfn._xlws.FILTER(G$454:G$463,G$454:G$463&lt;&gt;"")))</f>
        <v/>
      </c>
      <c r="H307" s="81" t="str" cm="1">
        <f t="array" ref="H307">IF(H548="","",
H548*LOOKUP($F307,_xlfn._xlws.FILTER($F$454:$F$463,H$454:H$463&lt;&gt;""),_xlfn._xlws.FILTER(H$454:H$463,H$454:H$463&lt;&gt;"")))</f>
        <v/>
      </c>
      <c r="I307" s="81" t="str" cm="1">
        <f t="array" ref="I307">IF(I548="","",
I548*LOOKUP($F307,_xlfn._xlws.FILTER($F$454:$F$463,I$454:I$463&lt;&gt;""),_xlfn._xlws.FILTER(I$454:I$463,I$454:I$463&lt;&gt;"")))</f>
        <v/>
      </c>
      <c r="J307" s="88" t="str">
        <f t="shared" ref="J307:J370" si="20">IF(J548="","",J548)</f>
        <v/>
      </c>
      <c r="K307" s="89" t="str" cm="1">
        <f t="array" ref="K307">IF(M548="","",
$N$477*(M548/LOOKUP($F307,_xlfn._xlws.FILTER($F$468:$F$477,G$468:G$477&lt;&gt;""),_xlfn._xlws.FILTER(G$468:G$477,G$468:G$477&lt;&gt;"")))*(N548/LOOKUP($F307,_xlfn._xlws.FILTER($F$468:$F$477,H$468:H$477&lt;&gt;""),_xlfn._xlws.FILTER(H$468:H$477,H$468:H$477&lt;&gt;""))))</f>
        <v/>
      </c>
      <c r="L307" s="84" t="str">
        <f t="shared" ref="L307:L370" si="21">IF(V548="","",V548)</f>
        <v/>
      </c>
      <c r="M307" s="77" t="str">
        <f t="shared" si="14"/>
        <v/>
      </c>
      <c r="N307" s="12"/>
      <c r="O307" s="24">
        <v>47270</v>
      </c>
      <c r="P307" s="85" t="str">
        <f t="shared" si="15"/>
        <v/>
      </c>
      <c r="Q307" s="85" t="str">
        <f t="shared" si="16"/>
        <v/>
      </c>
      <c r="R307" s="85" t="str">
        <f t="shared" si="17"/>
        <v/>
      </c>
      <c r="S307" s="85" t="str">
        <f t="shared" si="18"/>
        <v/>
      </c>
      <c r="T307" s="86" t="str">
        <f t="shared" si="19"/>
        <v/>
      </c>
      <c r="U307" s="87" t="str">
        <f t="shared" ref="U307:U370" si="22">IF(P307="","",SUM(P307:T307))</f>
        <v/>
      </c>
      <c r="V307" s="12"/>
      <c r="W307" s="12"/>
    </row>
    <row r="308" spans="5:23" ht="13.5" hidden="1" customHeight="1">
      <c r="E308" s="12"/>
      <c r="F308" s="24">
        <v>47300</v>
      </c>
      <c r="G308" s="81" t="str" cm="1">
        <f t="array" ref="G308">IF(G549="","",
G549*LOOKUP($F308,_xlfn._xlws.FILTER($F$454:$F$463,G$454:G$463&lt;&gt;""),_xlfn._xlws.FILTER(G$454:G$463,G$454:G$463&lt;&gt;"")))</f>
        <v/>
      </c>
      <c r="H308" s="81" t="str" cm="1">
        <f t="array" ref="H308">IF(H549="","",
H549*LOOKUP($F308,_xlfn._xlws.FILTER($F$454:$F$463,H$454:H$463&lt;&gt;""),_xlfn._xlws.FILTER(H$454:H$463,H$454:H$463&lt;&gt;"")))</f>
        <v/>
      </c>
      <c r="I308" s="81" t="str" cm="1">
        <f t="array" ref="I308">IF(I549="","",
I549*LOOKUP($F308,_xlfn._xlws.FILTER($F$454:$F$463,I$454:I$463&lt;&gt;""),_xlfn._xlws.FILTER(I$454:I$463,I$454:I$463&lt;&gt;"")))</f>
        <v/>
      </c>
      <c r="J308" s="88" t="str">
        <f t="shared" si="20"/>
        <v/>
      </c>
      <c r="K308" s="89" t="str" cm="1">
        <f t="array" ref="K308">IF(M549="","",
$N$477*(M549/LOOKUP($F308,_xlfn._xlws.FILTER($F$468:$F$477,G$468:G$477&lt;&gt;""),_xlfn._xlws.FILTER(G$468:G$477,G$468:G$477&lt;&gt;"")))*(N549/LOOKUP($F308,_xlfn._xlws.FILTER($F$468:$F$477,H$468:H$477&lt;&gt;""),_xlfn._xlws.FILTER(H$468:H$477,H$468:H$477&lt;&gt;""))))</f>
        <v/>
      </c>
      <c r="L308" s="84" t="str">
        <f t="shared" si="21"/>
        <v/>
      </c>
      <c r="M308" s="77" t="str">
        <f t="shared" si="14"/>
        <v/>
      </c>
      <c r="N308" s="12"/>
      <c r="O308" s="24">
        <v>47300</v>
      </c>
      <c r="P308" s="85" t="str">
        <f t="shared" si="15"/>
        <v/>
      </c>
      <c r="Q308" s="85" t="str">
        <f t="shared" si="16"/>
        <v/>
      </c>
      <c r="R308" s="85" t="str">
        <f t="shared" si="17"/>
        <v/>
      </c>
      <c r="S308" s="85" t="str">
        <f t="shared" si="18"/>
        <v/>
      </c>
      <c r="T308" s="86" t="str">
        <f t="shared" si="19"/>
        <v/>
      </c>
      <c r="U308" s="87" t="str">
        <f t="shared" si="22"/>
        <v/>
      </c>
      <c r="V308" s="12"/>
      <c r="W308" s="12"/>
    </row>
    <row r="309" spans="5:23" ht="13.5" hidden="1" customHeight="1">
      <c r="E309" s="12"/>
      <c r="F309" s="24">
        <v>47331</v>
      </c>
      <c r="G309" s="81" t="str" cm="1">
        <f t="array" ref="G309">IF(G550="","",
G550*LOOKUP($F309,_xlfn._xlws.FILTER($F$454:$F$463,G$454:G$463&lt;&gt;""),_xlfn._xlws.FILTER(G$454:G$463,G$454:G$463&lt;&gt;"")))</f>
        <v/>
      </c>
      <c r="H309" s="81" t="str" cm="1">
        <f t="array" ref="H309">IF(H550="","",
H550*LOOKUP($F309,_xlfn._xlws.FILTER($F$454:$F$463,H$454:H$463&lt;&gt;""),_xlfn._xlws.FILTER(H$454:H$463,H$454:H$463&lt;&gt;"")))</f>
        <v/>
      </c>
      <c r="I309" s="81" t="str" cm="1">
        <f t="array" ref="I309">IF(I550="","",
I550*LOOKUP($F309,_xlfn._xlws.FILTER($F$454:$F$463,I$454:I$463&lt;&gt;""),_xlfn._xlws.FILTER(I$454:I$463,I$454:I$463&lt;&gt;"")))</f>
        <v/>
      </c>
      <c r="J309" s="88" t="str">
        <f t="shared" si="20"/>
        <v/>
      </c>
      <c r="K309" s="89" t="str" cm="1">
        <f t="array" ref="K309">IF(M550="","",
$N$477*(M550/LOOKUP($F309,_xlfn._xlws.FILTER($F$468:$F$477,G$468:G$477&lt;&gt;""),_xlfn._xlws.FILTER(G$468:G$477,G$468:G$477&lt;&gt;"")))*(N550/LOOKUP($F309,_xlfn._xlws.FILTER($F$468:$F$477,H$468:H$477&lt;&gt;""),_xlfn._xlws.FILTER(H$468:H$477,H$468:H$477&lt;&gt;""))))</f>
        <v/>
      </c>
      <c r="L309" s="84" t="str">
        <f t="shared" si="21"/>
        <v/>
      </c>
      <c r="M309" s="77" t="str">
        <f t="shared" si="14"/>
        <v/>
      </c>
      <c r="N309" s="12"/>
      <c r="O309" s="24">
        <v>47331</v>
      </c>
      <c r="P309" s="85" t="str">
        <f t="shared" si="15"/>
        <v/>
      </c>
      <c r="Q309" s="85" t="str">
        <f t="shared" si="16"/>
        <v/>
      </c>
      <c r="R309" s="85" t="str">
        <f t="shared" si="17"/>
        <v/>
      </c>
      <c r="S309" s="85" t="str">
        <f t="shared" si="18"/>
        <v/>
      </c>
      <c r="T309" s="86" t="str">
        <f t="shared" si="19"/>
        <v/>
      </c>
      <c r="U309" s="87" t="str">
        <f t="shared" si="22"/>
        <v/>
      </c>
      <c r="V309" s="12"/>
      <c r="W309" s="12"/>
    </row>
    <row r="310" spans="5:23" ht="13.5" hidden="1" customHeight="1">
      <c r="E310" s="12"/>
      <c r="F310" s="24">
        <v>47362</v>
      </c>
      <c r="G310" s="81" t="str" cm="1">
        <f t="array" ref="G310">IF(G551="","",
G551*LOOKUP($F310,_xlfn._xlws.FILTER($F$454:$F$463,G$454:G$463&lt;&gt;""),_xlfn._xlws.FILTER(G$454:G$463,G$454:G$463&lt;&gt;"")))</f>
        <v/>
      </c>
      <c r="H310" s="81" t="str" cm="1">
        <f t="array" ref="H310">IF(H551="","",
H551*LOOKUP($F310,_xlfn._xlws.FILTER($F$454:$F$463,H$454:H$463&lt;&gt;""),_xlfn._xlws.FILTER(H$454:H$463,H$454:H$463&lt;&gt;"")))</f>
        <v/>
      </c>
      <c r="I310" s="81" t="str" cm="1">
        <f t="array" ref="I310">IF(I551="","",
I551*LOOKUP($F310,_xlfn._xlws.FILTER($F$454:$F$463,I$454:I$463&lt;&gt;""),_xlfn._xlws.FILTER(I$454:I$463,I$454:I$463&lt;&gt;"")))</f>
        <v/>
      </c>
      <c r="J310" s="88" t="str">
        <f t="shared" si="20"/>
        <v/>
      </c>
      <c r="K310" s="89" t="str" cm="1">
        <f t="array" ref="K310">IF(M551="","",
$N$477*(M551/LOOKUP($F310,_xlfn._xlws.FILTER($F$468:$F$477,G$468:G$477&lt;&gt;""),_xlfn._xlws.FILTER(G$468:G$477,G$468:G$477&lt;&gt;"")))*(N551/LOOKUP($F310,_xlfn._xlws.FILTER($F$468:$F$477,H$468:H$477&lt;&gt;""),_xlfn._xlws.FILTER(H$468:H$477,H$468:H$477&lt;&gt;""))))</f>
        <v/>
      </c>
      <c r="L310" s="84" t="str">
        <f t="shared" si="21"/>
        <v/>
      </c>
      <c r="M310" s="77" t="str">
        <f t="shared" si="14"/>
        <v/>
      </c>
      <c r="N310" s="12"/>
      <c r="O310" s="24">
        <v>47362</v>
      </c>
      <c r="P310" s="85" t="str">
        <f t="shared" si="15"/>
        <v/>
      </c>
      <c r="Q310" s="85" t="str">
        <f t="shared" si="16"/>
        <v/>
      </c>
      <c r="R310" s="85" t="str">
        <f t="shared" si="17"/>
        <v/>
      </c>
      <c r="S310" s="85" t="str">
        <f t="shared" si="18"/>
        <v/>
      </c>
      <c r="T310" s="86" t="str">
        <f t="shared" si="19"/>
        <v/>
      </c>
      <c r="U310" s="87" t="str">
        <f t="shared" si="22"/>
        <v/>
      </c>
      <c r="V310" s="12"/>
      <c r="W310" s="12"/>
    </row>
    <row r="311" spans="5:23" ht="13.5" hidden="1" customHeight="1">
      <c r="E311" s="12"/>
      <c r="F311" s="24">
        <v>47392</v>
      </c>
      <c r="G311" s="81" t="str" cm="1">
        <f t="array" ref="G311">IF(G552="","",
G552*LOOKUP($F311,_xlfn._xlws.FILTER($F$454:$F$463,G$454:G$463&lt;&gt;""),_xlfn._xlws.FILTER(G$454:G$463,G$454:G$463&lt;&gt;"")))</f>
        <v/>
      </c>
      <c r="H311" s="81" t="str" cm="1">
        <f t="array" ref="H311">IF(H552="","",
H552*LOOKUP($F311,_xlfn._xlws.FILTER($F$454:$F$463,H$454:H$463&lt;&gt;""),_xlfn._xlws.FILTER(H$454:H$463,H$454:H$463&lt;&gt;"")))</f>
        <v/>
      </c>
      <c r="I311" s="81" t="str" cm="1">
        <f t="array" ref="I311">IF(I552="","",
I552*LOOKUP($F311,_xlfn._xlws.FILTER($F$454:$F$463,I$454:I$463&lt;&gt;""),_xlfn._xlws.FILTER(I$454:I$463,I$454:I$463&lt;&gt;"")))</f>
        <v/>
      </c>
      <c r="J311" s="88" t="str">
        <f t="shared" si="20"/>
        <v/>
      </c>
      <c r="K311" s="89" t="str" cm="1">
        <f t="array" ref="K311">IF(M552="","",
$N$477*(M552/LOOKUP($F311,_xlfn._xlws.FILTER($F$468:$F$477,G$468:G$477&lt;&gt;""),_xlfn._xlws.FILTER(G$468:G$477,G$468:G$477&lt;&gt;"")))*(N552/LOOKUP($F311,_xlfn._xlws.FILTER($F$468:$F$477,H$468:H$477&lt;&gt;""),_xlfn._xlws.FILTER(H$468:H$477,H$468:H$477&lt;&gt;""))))</f>
        <v/>
      </c>
      <c r="L311" s="84" t="str">
        <f t="shared" si="21"/>
        <v/>
      </c>
      <c r="M311" s="77" t="str">
        <f t="shared" si="14"/>
        <v/>
      </c>
      <c r="N311" s="12"/>
      <c r="O311" s="24">
        <v>47392</v>
      </c>
      <c r="P311" s="85" t="str">
        <f t="shared" si="15"/>
        <v/>
      </c>
      <c r="Q311" s="85" t="str">
        <f t="shared" si="16"/>
        <v/>
      </c>
      <c r="R311" s="85" t="str">
        <f t="shared" si="17"/>
        <v/>
      </c>
      <c r="S311" s="85" t="str">
        <f t="shared" si="18"/>
        <v/>
      </c>
      <c r="T311" s="86" t="str">
        <f t="shared" si="19"/>
        <v/>
      </c>
      <c r="U311" s="87" t="str">
        <f t="shared" si="22"/>
        <v/>
      </c>
      <c r="V311" s="12"/>
      <c r="W311" s="12"/>
    </row>
    <row r="312" spans="5:23" ht="13.5" hidden="1" customHeight="1">
      <c r="E312" s="12"/>
      <c r="F312" s="24">
        <v>47423</v>
      </c>
      <c r="G312" s="81" t="str" cm="1">
        <f t="array" ref="G312">IF(G553="","",
G553*LOOKUP($F312,_xlfn._xlws.FILTER($F$454:$F$463,G$454:G$463&lt;&gt;""),_xlfn._xlws.FILTER(G$454:G$463,G$454:G$463&lt;&gt;"")))</f>
        <v/>
      </c>
      <c r="H312" s="81" t="str" cm="1">
        <f t="array" ref="H312">IF(H553="","",
H553*LOOKUP($F312,_xlfn._xlws.FILTER($F$454:$F$463,H$454:H$463&lt;&gt;""),_xlfn._xlws.FILTER(H$454:H$463,H$454:H$463&lt;&gt;"")))</f>
        <v/>
      </c>
      <c r="I312" s="81" t="str" cm="1">
        <f t="array" ref="I312">IF(I553="","",
I553*LOOKUP($F312,_xlfn._xlws.FILTER($F$454:$F$463,I$454:I$463&lt;&gt;""),_xlfn._xlws.FILTER(I$454:I$463,I$454:I$463&lt;&gt;"")))</f>
        <v/>
      </c>
      <c r="J312" s="88" t="str">
        <f t="shared" si="20"/>
        <v/>
      </c>
      <c r="K312" s="89" t="str" cm="1">
        <f t="array" ref="K312">IF(M553="","",
$N$477*(M553/LOOKUP($F312,_xlfn._xlws.FILTER($F$468:$F$477,G$468:G$477&lt;&gt;""),_xlfn._xlws.FILTER(G$468:G$477,G$468:G$477&lt;&gt;"")))*(N553/LOOKUP($F312,_xlfn._xlws.FILTER($F$468:$F$477,H$468:H$477&lt;&gt;""),_xlfn._xlws.FILTER(H$468:H$477,H$468:H$477&lt;&gt;""))))</f>
        <v/>
      </c>
      <c r="L312" s="84" t="str">
        <f t="shared" si="21"/>
        <v/>
      </c>
      <c r="M312" s="77" t="str">
        <f t="shared" si="14"/>
        <v/>
      </c>
      <c r="N312" s="12"/>
      <c r="O312" s="24">
        <v>47423</v>
      </c>
      <c r="P312" s="85" t="str">
        <f t="shared" si="15"/>
        <v/>
      </c>
      <c r="Q312" s="85" t="str">
        <f t="shared" si="16"/>
        <v/>
      </c>
      <c r="R312" s="85" t="str">
        <f t="shared" si="17"/>
        <v/>
      </c>
      <c r="S312" s="85" t="str">
        <f t="shared" si="18"/>
        <v/>
      </c>
      <c r="T312" s="86" t="str">
        <f t="shared" si="19"/>
        <v/>
      </c>
      <c r="U312" s="87" t="str">
        <f t="shared" si="22"/>
        <v/>
      </c>
      <c r="V312" s="12"/>
      <c r="W312" s="12"/>
    </row>
    <row r="313" spans="5:23" ht="13.5" hidden="1" customHeight="1">
      <c r="E313" s="12"/>
      <c r="F313" s="24">
        <v>47453</v>
      </c>
      <c r="G313" s="81" t="str" cm="1">
        <f t="array" ref="G313">IF(G554="","",
G554*LOOKUP($F313,_xlfn._xlws.FILTER($F$454:$F$463,G$454:G$463&lt;&gt;""),_xlfn._xlws.FILTER(G$454:G$463,G$454:G$463&lt;&gt;"")))</f>
        <v/>
      </c>
      <c r="H313" s="81" t="str" cm="1">
        <f t="array" ref="H313">IF(H554="","",
H554*LOOKUP($F313,_xlfn._xlws.FILTER($F$454:$F$463,H$454:H$463&lt;&gt;""),_xlfn._xlws.FILTER(H$454:H$463,H$454:H$463&lt;&gt;"")))</f>
        <v/>
      </c>
      <c r="I313" s="81" t="str" cm="1">
        <f t="array" ref="I313">IF(I554="","",
I554*LOOKUP($F313,_xlfn._xlws.FILTER($F$454:$F$463,I$454:I$463&lt;&gt;""),_xlfn._xlws.FILTER(I$454:I$463,I$454:I$463&lt;&gt;"")))</f>
        <v/>
      </c>
      <c r="J313" s="88" t="str">
        <f t="shared" si="20"/>
        <v/>
      </c>
      <c r="K313" s="89" t="str" cm="1">
        <f t="array" ref="K313">IF(M554="","",
$N$477*(M554/LOOKUP($F313,_xlfn._xlws.FILTER($F$468:$F$477,G$468:G$477&lt;&gt;""),_xlfn._xlws.FILTER(G$468:G$477,G$468:G$477&lt;&gt;"")))*(N554/LOOKUP($F313,_xlfn._xlws.FILTER($F$468:$F$477,H$468:H$477&lt;&gt;""),_xlfn._xlws.FILTER(H$468:H$477,H$468:H$477&lt;&gt;""))))</f>
        <v/>
      </c>
      <c r="L313" s="84" t="str">
        <f t="shared" si="21"/>
        <v/>
      </c>
      <c r="M313" s="77" t="str">
        <f t="shared" si="14"/>
        <v/>
      </c>
      <c r="N313" s="12"/>
      <c r="O313" s="24">
        <v>47453</v>
      </c>
      <c r="P313" s="85" t="str">
        <f t="shared" si="15"/>
        <v/>
      </c>
      <c r="Q313" s="85" t="str">
        <f t="shared" si="16"/>
        <v/>
      </c>
      <c r="R313" s="85" t="str">
        <f t="shared" si="17"/>
        <v/>
      </c>
      <c r="S313" s="85" t="str">
        <f t="shared" si="18"/>
        <v/>
      </c>
      <c r="T313" s="86" t="str">
        <f t="shared" si="19"/>
        <v/>
      </c>
      <c r="U313" s="87" t="str">
        <f t="shared" si="22"/>
        <v/>
      </c>
      <c r="V313" s="12"/>
      <c r="W313" s="12"/>
    </row>
    <row r="314" spans="5:23" ht="13.5" hidden="1" customHeight="1">
      <c r="E314" s="12"/>
      <c r="F314" s="24">
        <v>47484</v>
      </c>
      <c r="G314" s="81" t="str" cm="1">
        <f t="array" ref="G314">IF(G555="","",
G555*LOOKUP($F314,_xlfn._xlws.FILTER($F$454:$F$463,G$454:G$463&lt;&gt;""),_xlfn._xlws.FILTER(G$454:G$463,G$454:G$463&lt;&gt;"")))</f>
        <v/>
      </c>
      <c r="H314" s="81" t="str" cm="1">
        <f t="array" ref="H314">IF(H555="","",
H555*LOOKUP($F314,_xlfn._xlws.FILTER($F$454:$F$463,H$454:H$463&lt;&gt;""),_xlfn._xlws.FILTER(H$454:H$463,H$454:H$463&lt;&gt;"")))</f>
        <v/>
      </c>
      <c r="I314" s="81" t="str" cm="1">
        <f t="array" ref="I314">IF(I555="","",
I555*LOOKUP($F314,_xlfn._xlws.FILTER($F$454:$F$463,I$454:I$463&lt;&gt;""),_xlfn._xlws.FILTER(I$454:I$463,I$454:I$463&lt;&gt;"")))</f>
        <v/>
      </c>
      <c r="J314" s="88" t="str">
        <f t="shared" si="20"/>
        <v/>
      </c>
      <c r="K314" s="89" t="str" cm="1">
        <f t="array" ref="K314">IF(M555="","",
$N$477*(M555/LOOKUP($F314,_xlfn._xlws.FILTER($F$468:$F$477,G$468:G$477&lt;&gt;""),_xlfn._xlws.FILTER(G$468:G$477,G$468:G$477&lt;&gt;"")))*(N555/LOOKUP($F314,_xlfn._xlws.FILTER($F$468:$F$477,H$468:H$477&lt;&gt;""),_xlfn._xlws.FILTER(H$468:H$477,H$468:H$477&lt;&gt;""))))</f>
        <v/>
      </c>
      <c r="L314" s="84" t="str">
        <f t="shared" si="21"/>
        <v/>
      </c>
      <c r="M314" s="77" t="str">
        <f t="shared" si="14"/>
        <v/>
      </c>
      <c r="N314" s="12"/>
      <c r="O314" s="24">
        <v>47484</v>
      </c>
      <c r="P314" s="85" t="str">
        <f t="shared" si="15"/>
        <v/>
      </c>
      <c r="Q314" s="85" t="str">
        <f t="shared" si="16"/>
        <v/>
      </c>
      <c r="R314" s="85" t="str">
        <f t="shared" si="17"/>
        <v/>
      </c>
      <c r="S314" s="85" t="str">
        <f t="shared" si="18"/>
        <v/>
      </c>
      <c r="T314" s="86" t="str">
        <f t="shared" si="19"/>
        <v/>
      </c>
      <c r="U314" s="87" t="str">
        <f t="shared" si="22"/>
        <v/>
      </c>
      <c r="V314" s="12"/>
      <c r="W314" s="12"/>
    </row>
    <row r="315" spans="5:23" ht="13.5" hidden="1" customHeight="1">
      <c r="E315" s="12"/>
      <c r="F315" s="24">
        <v>47515</v>
      </c>
      <c r="G315" s="81" t="str" cm="1">
        <f t="array" ref="G315">IF(G556="","",
G556*LOOKUP($F315,_xlfn._xlws.FILTER($F$454:$F$463,G$454:G$463&lt;&gt;""),_xlfn._xlws.FILTER(G$454:G$463,G$454:G$463&lt;&gt;"")))</f>
        <v/>
      </c>
      <c r="H315" s="81" t="str" cm="1">
        <f t="array" ref="H315">IF(H556="","",
H556*LOOKUP($F315,_xlfn._xlws.FILTER($F$454:$F$463,H$454:H$463&lt;&gt;""),_xlfn._xlws.FILTER(H$454:H$463,H$454:H$463&lt;&gt;"")))</f>
        <v/>
      </c>
      <c r="I315" s="81" t="str" cm="1">
        <f t="array" ref="I315">IF(I556="","",
I556*LOOKUP($F315,_xlfn._xlws.FILTER($F$454:$F$463,I$454:I$463&lt;&gt;""),_xlfn._xlws.FILTER(I$454:I$463,I$454:I$463&lt;&gt;"")))</f>
        <v/>
      </c>
      <c r="J315" s="88" t="str">
        <f t="shared" si="20"/>
        <v/>
      </c>
      <c r="K315" s="89" t="str" cm="1">
        <f t="array" ref="K315">IF(M556="","",
$N$477*(M556/LOOKUP($F315,_xlfn._xlws.FILTER($F$468:$F$477,G$468:G$477&lt;&gt;""),_xlfn._xlws.FILTER(G$468:G$477,G$468:G$477&lt;&gt;"")))*(N556/LOOKUP($F315,_xlfn._xlws.FILTER($F$468:$F$477,H$468:H$477&lt;&gt;""),_xlfn._xlws.FILTER(H$468:H$477,H$468:H$477&lt;&gt;""))))</f>
        <v/>
      </c>
      <c r="L315" s="84" t="str">
        <f t="shared" si="21"/>
        <v/>
      </c>
      <c r="M315" s="77" t="str">
        <f t="shared" si="14"/>
        <v/>
      </c>
      <c r="N315" s="12"/>
      <c r="O315" s="24">
        <v>47515</v>
      </c>
      <c r="P315" s="85" t="str">
        <f t="shared" si="15"/>
        <v/>
      </c>
      <c r="Q315" s="85" t="str">
        <f t="shared" si="16"/>
        <v/>
      </c>
      <c r="R315" s="85" t="str">
        <f t="shared" si="17"/>
        <v/>
      </c>
      <c r="S315" s="85" t="str">
        <f t="shared" si="18"/>
        <v/>
      </c>
      <c r="T315" s="86" t="str">
        <f t="shared" si="19"/>
        <v/>
      </c>
      <c r="U315" s="87" t="str">
        <f t="shared" si="22"/>
        <v/>
      </c>
      <c r="V315" s="12"/>
      <c r="W315" s="12"/>
    </row>
    <row r="316" spans="5:23" ht="13.5" hidden="1" customHeight="1">
      <c r="E316" s="12"/>
      <c r="F316" s="24">
        <v>47543</v>
      </c>
      <c r="G316" s="81" t="str" cm="1">
        <f t="array" ref="G316">IF(G557="","",
G557*LOOKUP($F316,_xlfn._xlws.FILTER($F$454:$F$463,G$454:G$463&lt;&gt;""),_xlfn._xlws.FILTER(G$454:G$463,G$454:G$463&lt;&gt;"")))</f>
        <v/>
      </c>
      <c r="H316" s="81" t="str" cm="1">
        <f t="array" ref="H316">IF(H557="","",
H557*LOOKUP($F316,_xlfn._xlws.FILTER($F$454:$F$463,H$454:H$463&lt;&gt;""),_xlfn._xlws.FILTER(H$454:H$463,H$454:H$463&lt;&gt;"")))</f>
        <v/>
      </c>
      <c r="I316" s="81" t="str" cm="1">
        <f t="array" ref="I316">IF(I557="","",
I557*LOOKUP($F316,_xlfn._xlws.FILTER($F$454:$F$463,I$454:I$463&lt;&gt;""),_xlfn._xlws.FILTER(I$454:I$463,I$454:I$463&lt;&gt;"")))</f>
        <v/>
      </c>
      <c r="J316" s="88" t="str">
        <f t="shared" si="20"/>
        <v/>
      </c>
      <c r="K316" s="89" t="str" cm="1">
        <f t="array" ref="K316">IF(M557="","",
$N$477*(M557/LOOKUP($F316,_xlfn._xlws.FILTER($F$468:$F$477,G$468:G$477&lt;&gt;""),_xlfn._xlws.FILTER(G$468:G$477,G$468:G$477&lt;&gt;"")))*(N557/LOOKUP($F316,_xlfn._xlws.FILTER($F$468:$F$477,H$468:H$477&lt;&gt;""),_xlfn._xlws.FILTER(H$468:H$477,H$468:H$477&lt;&gt;""))))</f>
        <v/>
      </c>
      <c r="L316" s="84" t="str">
        <f t="shared" si="21"/>
        <v/>
      </c>
      <c r="M316" s="77" t="str">
        <f t="shared" si="14"/>
        <v/>
      </c>
      <c r="N316" s="12"/>
      <c r="O316" s="24">
        <v>47543</v>
      </c>
      <c r="P316" s="85" t="str">
        <f t="shared" si="15"/>
        <v/>
      </c>
      <c r="Q316" s="85" t="str">
        <f t="shared" si="16"/>
        <v/>
      </c>
      <c r="R316" s="85" t="str">
        <f t="shared" si="17"/>
        <v/>
      </c>
      <c r="S316" s="85" t="str">
        <f t="shared" si="18"/>
        <v/>
      </c>
      <c r="T316" s="86" t="str">
        <f t="shared" si="19"/>
        <v/>
      </c>
      <c r="U316" s="87" t="str">
        <f t="shared" si="22"/>
        <v/>
      </c>
      <c r="V316" s="12"/>
      <c r="W316" s="12"/>
    </row>
    <row r="317" spans="5:23" ht="13.5" hidden="1" customHeight="1">
      <c r="E317" s="12"/>
      <c r="F317" s="24">
        <v>47574</v>
      </c>
      <c r="G317" s="81" t="str" cm="1">
        <f t="array" ref="G317">IF(G558="","",
G558*LOOKUP($F317,_xlfn._xlws.FILTER($F$454:$F$463,G$454:G$463&lt;&gt;""),_xlfn._xlws.FILTER(G$454:G$463,G$454:G$463&lt;&gt;"")))</f>
        <v/>
      </c>
      <c r="H317" s="81" t="str" cm="1">
        <f t="array" ref="H317">IF(H558="","",
H558*LOOKUP($F317,_xlfn._xlws.FILTER($F$454:$F$463,H$454:H$463&lt;&gt;""),_xlfn._xlws.FILTER(H$454:H$463,H$454:H$463&lt;&gt;"")))</f>
        <v/>
      </c>
      <c r="I317" s="81" t="str" cm="1">
        <f t="array" ref="I317">IF(I558="","",
I558*LOOKUP($F317,_xlfn._xlws.FILTER($F$454:$F$463,I$454:I$463&lt;&gt;""),_xlfn._xlws.FILTER(I$454:I$463,I$454:I$463&lt;&gt;"")))</f>
        <v/>
      </c>
      <c r="J317" s="88" t="str">
        <f t="shared" si="20"/>
        <v/>
      </c>
      <c r="K317" s="89" t="str" cm="1">
        <f t="array" ref="K317">IF(M558="","",
$N$477*(M558/LOOKUP($F317,_xlfn._xlws.FILTER($F$468:$F$477,G$468:G$477&lt;&gt;""),_xlfn._xlws.FILTER(G$468:G$477,G$468:G$477&lt;&gt;"")))*(N558/LOOKUP($F317,_xlfn._xlws.FILTER($F$468:$F$477,H$468:H$477&lt;&gt;""),_xlfn._xlws.FILTER(H$468:H$477,H$468:H$477&lt;&gt;""))))</f>
        <v/>
      </c>
      <c r="L317" s="84" t="str">
        <f t="shared" si="21"/>
        <v/>
      </c>
      <c r="M317" s="77" t="str">
        <f t="shared" si="14"/>
        <v/>
      </c>
      <c r="N317" s="12"/>
      <c r="O317" s="24">
        <v>47574</v>
      </c>
      <c r="P317" s="85" t="str">
        <f t="shared" si="15"/>
        <v/>
      </c>
      <c r="Q317" s="85" t="str">
        <f t="shared" si="16"/>
        <v/>
      </c>
      <c r="R317" s="85" t="str">
        <f t="shared" si="17"/>
        <v/>
      </c>
      <c r="S317" s="85" t="str">
        <f t="shared" si="18"/>
        <v/>
      </c>
      <c r="T317" s="86" t="str">
        <f t="shared" si="19"/>
        <v/>
      </c>
      <c r="U317" s="87" t="str">
        <f t="shared" si="22"/>
        <v/>
      </c>
      <c r="V317" s="12"/>
      <c r="W317" s="12"/>
    </row>
    <row r="318" spans="5:23" ht="13.5" hidden="1" customHeight="1">
      <c r="E318" s="12"/>
      <c r="F318" s="24">
        <v>47604</v>
      </c>
      <c r="G318" s="81" t="str" cm="1">
        <f t="array" ref="G318">IF(G559="","",
G559*LOOKUP($F318,_xlfn._xlws.FILTER($F$454:$F$463,G$454:G$463&lt;&gt;""),_xlfn._xlws.FILTER(G$454:G$463,G$454:G$463&lt;&gt;"")))</f>
        <v/>
      </c>
      <c r="H318" s="81" t="str" cm="1">
        <f t="array" ref="H318">IF(H559="","",
H559*LOOKUP($F318,_xlfn._xlws.FILTER($F$454:$F$463,H$454:H$463&lt;&gt;""),_xlfn._xlws.FILTER(H$454:H$463,H$454:H$463&lt;&gt;"")))</f>
        <v/>
      </c>
      <c r="I318" s="81" t="str" cm="1">
        <f t="array" ref="I318">IF(I559="","",
I559*LOOKUP($F318,_xlfn._xlws.FILTER($F$454:$F$463,I$454:I$463&lt;&gt;""),_xlfn._xlws.FILTER(I$454:I$463,I$454:I$463&lt;&gt;"")))</f>
        <v/>
      </c>
      <c r="J318" s="88" t="str">
        <f t="shared" si="20"/>
        <v/>
      </c>
      <c r="K318" s="89" t="str" cm="1">
        <f t="array" ref="K318">IF(M559="","",
$N$477*(M559/LOOKUP($F318,_xlfn._xlws.FILTER($F$468:$F$477,G$468:G$477&lt;&gt;""),_xlfn._xlws.FILTER(G$468:G$477,G$468:G$477&lt;&gt;"")))*(N559/LOOKUP($F318,_xlfn._xlws.FILTER($F$468:$F$477,H$468:H$477&lt;&gt;""),_xlfn._xlws.FILTER(H$468:H$477,H$468:H$477&lt;&gt;""))))</f>
        <v/>
      </c>
      <c r="L318" s="84" t="str">
        <f t="shared" si="21"/>
        <v/>
      </c>
      <c r="M318" s="77" t="str">
        <f t="shared" si="14"/>
        <v/>
      </c>
      <c r="N318" s="12"/>
      <c r="O318" s="24">
        <v>47604</v>
      </c>
      <c r="P318" s="85" t="str">
        <f t="shared" si="15"/>
        <v/>
      </c>
      <c r="Q318" s="85" t="str">
        <f t="shared" si="16"/>
        <v/>
      </c>
      <c r="R318" s="85" t="str">
        <f t="shared" si="17"/>
        <v/>
      </c>
      <c r="S318" s="85" t="str">
        <f t="shared" si="18"/>
        <v/>
      </c>
      <c r="T318" s="86" t="str">
        <f t="shared" si="19"/>
        <v/>
      </c>
      <c r="U318" s="87" t="str">
        <f t="shared" si="22"/>
        <v/>
      </c>
      <c r="V318" s="12"/>
      <c r="W318" s="12"/>
    </row>
    <row r="319" spans="5:23" ht="13.5" hidden="1" customHeight="1">
      <c r="E319" s="12"/>
      <c r="F319" s="24">
        <v>47635</v>
      </c>
      <c r="G319" s="81" t="str" cm="1">
        <f t="array" ref="G319">IF(G560="","",
G560*LOOKUP($F319,_xlfn._xlws.FILTER($F$454:$F$463,G$454:G$463&lt;&gt;""),_xlfn._xlws.FILTER(G$454:G$463,G$454:G$463&lt;&gt;"")))</f>
        <v/>
      </c>
      <c r="H319" s="81" t="str" cm="1">
        <f t="array" ref="H319">IF(H560="","",
H560*LOOKUP($F319,_xlfn._xlws.FILTER($F$454:$F$463,H$454:H$463&lt;&gt;""),_xlfn._xlws.FILTER(H$454:H$463,H$454:H$463&lt;&gt;"")))</f>
        <v/>
      </c>
      <c r="I319" s="81" t="str" cm="1">
        <f t="array" ref="I319">IF(I560="","",
I560*LOOKUP($F319,_xlfn._xlws.FILTER($F$454:$F$463,I$454:I$463&lt;&gt;""),_xlfn._xlws.FILTER(I$454:I$463,I$454:I$463&lt;&gt;"")))</f>
        <v/>
      </c>
      <c r="J319" s="88" t="str">
        <f t="shared" si="20"/>
        <v/>
      </c>
      <c r="K319" s="89" t="str" cm="1">
        <f t="array" ref="K319">IF(M560="","",
$N$477*(M560/LOOKUP($F319,_xlfn._xlws.FILTER($F$468:$F$477,G$468:G$477&lt;&gt;""),_xlfn._xlws.FILTER(G$468:G$477,G$468:G$477&lt;&gt;"")))*(N560/LOOKUP($F319,_xlfn._xlws.FILTER($F$468:$F$477,H$468:H$477&lt;&gt;""),_xlfn._xlws.FILTER(H$468:H$477,H$468:H$477&lt;&gt;""))))</f>
        <v/>
      </c>
      <c r="L319" s="84" t="str">
        <f t="shared" si="21"/>
        <v/>
      </c>
      <c r="M319" s="77" t="str">
        <f t="shared" si="14"/>
        <v/>
      </c>
      <c r="N319" s="12"/>
      <c r="O319" s="24">
        <v>47635</v>
      </c>
      <c r="P319" s="85" t="str">
        <f t="shared" si="15"/>
        <v/>
      </c>
      <c r="Q319" s="85" t="str">
        <f t="shared" si="16"/>
        <v/>
      </c>
      <c r="R319" s="85" t="str">
        <f t="shared" si="17"/>
        <v/>
      </c>
      <c r="S319" s="85" t="str">
        <f t="shared" si="18"/>
        <v/>
      </c>
      <c r="T319" s="86" t="str">
        <f t="shared" si="19"/>
        <v/>
      </c>
      <c r="U319" s="87" t="str">
        <f t="shared" si="22"/>
        <v/>
      </c>
      <c r="V319" s="12"/>
      <c r="W319" s="12"/>
    </row>
    <row r="320" spans="5:23" ht="13.5" hidden="1" customHeight="1">
      <c r="E320" s="12"/>
      <c r="F320" s="24">
        <v>47665</v>
      </c>
      <c r="G320" s="81" t="str" cm="1">
        <f t="array" ref="G320">IF(G561="","",
G561*LOOKUP($F320,_xlfn._xlws.FILTER($F$454:$F$463,G$454:G$463&lt;&gt;""),_xlfn._xlws.FILTER(G$454:G$463,G$454:G$463&lt;&gt;"")))</f>
        <v/>
      </c>
      <c r="H320" s="81" t="str" cm="1">
        <f t="array" ref="H320">IF(H561="","",
H561*LOOKUP($F320,_xlfn._xlws.FILTER($F$454:$F$463,H$454:H$463&lt;&gt;""),_xlfn._xlws.FILTER(H$454:H$463,H$454:H$463&lt;&gt;"")))</f>
        <v/>
      </c>
      <c r="I320" s="81" t="str" cm="1">
        <f t="array" ref="I320">IF(I561="","",
I561*LOOKUP($F320,_xlfn._xlws.FILTER($F$454:$F$463,I$454:I$463&lt;&gt;""),_xlfn._xlws.FILTER(I$454:I$463,I$454:I$463&lt;&gt;"")))</f>
        <v/>
      </c>
      <c r="J320" s="88" t="str">
        <f t="shared" si="20"/>
        <v/>
      </c>
      <c r="K320" s="89" t="str" cm="1">
        <f t="array" ref="K320">IF(M561="","",
$N$477*(M561/LOOKUP($F320,_xlfn._xlws.FILTER($F$468:$F$477,G$468:G$477&lt;&gt;""),_xlfn._xlws.FILTER(G$468:G$477,G$468:G$477&lt;&gt;"")))*(N561/LOOKUP($F320,_xlfn._xlws.FILTER($F$468:$F$477,H$468:H$477&lt;&gt;""),_xlfn._xlws.FILTER(H$468:H$477,H$468:H$477&lt;&gt;""))))</f>
        <v/>
      </c>
      <c r="L320" s="84" t="str">
        <f t="shared" si="21"/>
        <v/>
      </c>
      <c r="M320" s="77" t="str">
        <f t="shared" si="14"/>
        <v/>
      </c>
      <c r="N320" s="12"/>
      <c r="O320" s="24">
        <v>47665</v>
      </c>
      <c r="P320" s="85" t="str">
        <f t="shared" si="15"/>
        <v/>
      </c>
      <c r="Q320" s="85" t="str">
        <f t="shared" si="16"/>
        <v/>
      </c>
      <c r="R320" s="85" t="str">
        <f t="shared" si="17"/>
        <v/>
      </c>
      <c r="S320" s="85" t="str">
        <f t="shared" si="18"/>
        <v/>
      </c>
      <c r="T320" s="86" t="str">
        <f t="shared" si="19"/>
        <v/>
      </c>
      <c r="U320" s="87" t="str">
        <f t="shared" si="22"/>
        <v/>
      </c>
      <c r="V320" s="12"/>
      <c r="W320" s="12"/>
    </row>
    <row r="321" spans="5:23" ht="13.5" hidden="1" customHeight="1">
      <c r="E321" s="12"/>
      <c r="F321" s="24">
        <v>47696</v>
      </c>
      <c r="G321" s="81" t="str" cm="1">
        <f t="array" ref="G321">IF(G562="","",
G562*LOOKUP($F321,_xlfn._xlws.FILTER($F$454:$F$463,G$454:G$463&lt;&gt;""),_xlfn._xlws.FILTER(G$454:G$463,G$454:G$463&lt;&gt;"")))</f>
        <v/>
      </c>
      <c r="H321" s="81" t="str" cm="1">
        <f t="array" ref="H321">IF(H562="","",
H562*LOOKUP($F321,_xlfn._xlws.FILTER($F$454:$F$463,H$454:H$463&lt;&gt;""),_xlfn._xlws.FILTER(H$454:H$463,H$454:H$463&lt;&gt;"")))</f>
        <v/>
      </c>
      <c r="I321" s="81" t="str" cm="1">
        <f t="array" ref="I321">IF(I562="","",
I562*LOOKUP($F321,_xlfn._xlws.FILTER($F$454:$F$463,I$454:I$463&lt;&gt;""),_xlfn._xlws.FILTER(I$454:I$463,I$454:I$463&lt;&gt;"")))</f>
        <v/>
      </c>
      <c r="J321" s="88" t="str">
        <f t="shared" si="20"/>
        <v/>
      </c>
      <c r="K321" s="89" t="str" cm="1">
        <f t="array" ref="K321">IF(M562="","",
$N$477*(M562/LOOKUP($F321,_xlfn._xlws.FILTER($F$468:$F$477,G$468:G$477&lt;&gt;""),_xlfn._xlws.FILTER(G$468:G$477,G$468:G$477&lt;&gt;"")))*(N562/LOOKUP($F321,_xlfn._xlws.FILTER($F$468:$F$477,H$468:H$477&lt;&gt;""),_xlfn._xlws.FILTER(H$468:H$477,H$468:H$477&lt;&gt;""))))</f>
        <v/>
      </c>
      <c r="L321" s="84" t="str">
        <f t="shared" si="21"/>
        <v/>
      </c>
      <c r="M321" s="77" t="str">
        <f t="shared" si="14"/>
        <v/>
      </c>
      <c r="N321" s="12"/>
      <c r="O321" s="24">
        <v>47696</v>
      </c>
      <c r="P321" s="85" t="str">
        <f t="shared" si="15"/>
        <v/>
      </c>
      <c r="Q321" s="85" t="str">
        <f t="shared" si="16"/>
        <v/>
      </c>
      <c r="R321" s="85" t="str">
        <f t="shared" si="17"/>
        <v/>
      </c>
      <c r="S321" s="85" t="str">
        <f t="shared" si="18"/>
        <v/>
      </c>
      <c r="T321" s="86" t="str">
        <f t="shared" si="19"/>
        <v/>
      </c>
      <c r="U321" s="87" t="str">
        <f t="shared" si="22"/>
        <v/>
      </c>
      <c r="V321" s="12"/>
      <c r="W321" s="12"/>
    </row>
    <row r="322" spans="5:23" ht="13.5" hidden="1" customHeight="1">
      <c r="E322" s="12"/>
      <c r="F322" s="24">
        <v>47727</v>
      </c>
      <c r="G322" s="81" t="str" cm="1">
        <f t="array" ref="G322">IF(G563="","",
G563*LOOKUP($F322,_xlfn._xlws.FILTER($F$454:$F$463,G$454:G$463&lt;&gt;""),_xlfn._xlws.FILTER(G$454:G$463,G$454:G$463&lt;&gt;"")))</f>
        <v/>
      </c>
      <c r="H322" s="81" t="str" cm="1">
        <f t="array" ref="H322">IF(H563="","",
H563*LOOKUP($F322,_xlfn._xlws.FILTER($F$454:$F$463,H$454:H$463&lt;&gt;""),_xlfn._xlws.FILTER(H$454:H$463,H$454:H$463&lt;&gt;"")))</f>
        <v/>
      </c>
      <c r="I322" s="81" t="str" cm="1">
        <f t="array" ref="I322">IF(I563="","",
I563*LOOKUP($F322,_xlfn._xlws.FILTER($F$454:$F$463,I$454:I$463&lt;&gt;""),_xlfn._xlws.FILTER(I$454:I$463,I$454:I$463&lt;&gt;"")))</f>
        <v/>
      </c>
      <c r="J322" s="88" t="str">
        <f t="shared" si="20"/>
        <v/>
      </c>
      <c r="K322" s="89" t="str" cm="1">
        <f t="array" ref="K322">IF(M563="","",
$N$477*(M563/LOOKUP($F322,_xlfn._xlws.FILTER($F$468:$F$477,G$468:G$477&lt;&gt;""),_xlfn._xlws.FILTER(G$468:G$477,G$468:G$477&lt;&gt;"")))*(N563/LOOKUP($F322,_xlfn._xlws.FILTER($F$468:$F$477,H$468:H$477&lt;&gt;""),_xlfn._xlws.FILTER(H$468:H$477,H$468:H$477&lt;&gt;""))))</f>
        <v/>
      </c>
      <c r="L322" s="84" t="str">
        <f t="shared" si="21"/>
        <v/>
      </c>
      <c r="M322" s="77" t="str">
        <f t="shared" si="14"/>
        <v/>
      </c>
      <c r="N322" s="12"/>
      <c r="O322" s="24">
        <v>47727</v>
      </c>
      <c r="P322" s="85" t="str">
        <f t="shared" si="15"/>
        <v/>
      </c>
      <c r="Q322" s="85" t="str">
        <f t="shared" si="16"/>
        <v/>
      </c>
      <c r="R322" s="85" t="str">
        <f t="shared" si="17"/>
        <v/>
      </c>
      <c r="S322" s="85" t="str">
        <f t="shared" si="18"/>
        <v/>
      </c>
      <c r="T322" s="86" t="str">
        <f t="shared" si="19"/>
        <v/>
      </c>
      <c r="U322" s="87" t="str">
        <f t="shared" si="22"/>
        <v/>
      </c>
      <c r="V322" s="12"/>
      <c r="W322" s="12"/>
    </row>
    <row r="323" spans="5:23" ht="13.5" hidden="1" customHeight="1">
      <c r="E323" s="12"/>
      <c r="F323" s="24">
        <v>47757</v>
      </c>
      <c r="G323" s="81" t="str" cm="1">
        <f t="array" ref="G323">IF(G564="","",
G564*LOOKUP($F323,_xlfn._xlws.FILTER($F$454:$F$463,G$454:G$463&lt;&gt;""),_xlfn._xlws.FILTER(G$454:G$463,G$454:G$463&lt;&gt;"")))</f>
        <v/>
      </c>
      <c r="H323" s="81" t="str" cm="1">
        <f t="array" ref="H323">IF(H564="","",
H564*LOOKUP($F323,_xlfn._xlws.FILTER($F$454:$F$463,H$454:H$463&lt;&gt;""),_xlfn._xlws.FILTER(H$454:H$463,H$454:H$463&lt;&gt;"")))</f>
        <v/>
      </c>
      <c r="I323" s="81" t="str" cm="1">
        <f t="array" ref="I323">IF(I564="","",
I564*LOOKUP($F323,_xlfn._xlws.FILTER($F$454:$F$463,I$454:I$463&lt;&gt;""),_xlfn._xlws.FILTER(I$454:I$463,I$454:I$463&lt;&gt;"")))</f>
        <v/>
      </c>
      <c r="J323" s="88" t="str">
        <f t="shared" si="20"/>
        <v/>
      </c>
      <c r="K323" s="89" t="str" cm="1">
        <f t="array" ref="K323">IF(M564="","",
$N$477*(M564/LOOKUP($F323,_xlfn._xlws.FILTER($F$468:$F$477,G$468:G$477&lt;&gt;""),_xlfn._xlws.FILTER(G$468:G$477,G$468:G$477&lt;&gt;"")))*(N564/LOOKUP($F323,_xlfn._xlws.FILTER($F$468:$F$477,H$468:H$477&lt;&gt;""),_xlfn._xlws.FILTER(H$468:H$477,H$468:H$477&lt;&gt;""))))</f>
        <v/>
      </c>
      <c r="L323" s="84" t="str">
        <f t="shared" si="21"/>
        <v/>
      </c>
      <c r="M323" s="77" t="str">
        <f t="shared" si="14"/>
        <v/>
      </c>
      <c r="N323" s="12"/>
      <c r="O323" s="24">
        <v>47757</v>
      </c>
      <c r="P323" s="85" t="str">
        <f t="shared" si="15"/>
        <v/>
      </c>
      <c r="Q323" s="85" t="str">
        <f t="shared" si="16"/>
        <v/>
      </c>
      <c r="R323" s="85" t="str">
        <f t="shared" si="17"/>
        <v/>
      </c>
      <c r="S323" s="85" t="str">
        <f t="shared" si="18"/>
        <v/>
      </c>
      <c r="T323" s="86" t="str">
        <f t="shared" si="19"/>
        <v/>
      </c>
      <c r="U323" s="87" t="str">
        <f t="shared" si="22"/>
        <v/>
      </c>
      <c r="V323" s="12"/>
      <c r="W323" s="12"/>
    </row>
    <row r="324" spans="5:23" ht="13.5" hidden="1" customHeight="1">
      <c r="E324" s="12"/>
      <c r="F324" s="24">
        <v>47788</v>
      </c>
      <c r="G324" s="81" t="str" cm="1">
        <f t="array" ref="G324">IF(G565="","",
G565*LOOKUP($F324,_xlfn._xlws.FILTER($F$454:$F$463,G$454:G$463&lt;&gt;""),_xlfn._xlws.FILTER(G$454:G$463,G$454:G$463&lt;&gt;"")))</f>
        <v/>
      </c>
      <c r="H324" s="81" t="str" cm="1">
        <f t="array" ref="H324">IF(H565="","",
H565*LOOKUP($F324,_xlfn._xlws.FILTER($F$454:$F$463,H$454:H$463&lt;&gt;""),_xlfn._xlws.FILTER(H$454:H$463,H$454:H$463&lt;&gt;"")))</f>
        <v/>
      </c>
      <c r="I324" s="81" t="str" cm="1">
        <f t="array" ref="I324">IF(I565="","",
I565*LOOKUP($F324,_xlfn._xlws.FILTER($F$454:$F$463,I$454:I$463&lt;&gt;""),_xlfn._xlws.FILTER(I$454:I$463,I$454:I$463&lt;&gt;"")))</f>
        <v/>
      </c>
      <c r="J324" s="88" t="str">
        <f t="shared" si="20"/>
        <v/>
      </c>
      <c r="K324" s="89" t="str" cm="1">
        <f t="array" ref="K324">IF(M565="","",
$N$477*(M565/LOOKUP($F324,_xlfn._xlws.FILTER($F$468:$F$477,G$468:G$477&lt;&gt;""),_xlfn._xlws.FILTER(G$468:G$477,G$468:G$477&lt;&gt;"")))*(N565/LOOKUP($F324,_xlfn._xlws.FILTER($F$468:$F$477,H$468:H$477&lt;&gt;""),_xlfn._xlws.FILTER(H$468:H$477,H$468:H$477&lt;&gt;""))))</f>
        <v/>
      </c>
      <c r="L324" s="84" t="str">
        <f t="shared" si="21"/>
        <v/>
      </c>
      <c r="M324" s="77" t="str">
        <f t="shared" si="14"/>
        <v/>
      </c>
      <c r="N324" s="12"/>
      <c r="O324" s="24">
        <v>47788</v>
      </c>
      <c r="P324" s="85" t="str">
        <f t="shared" si="15"/>
        <v/>
      </c>
      <c r="Q324" s="85" t="str">
        <f t="shared" si="16"/>
        <v/>
      </c>
      <c r="R324" s="85" t="str">
        <f t="shared" si="17"/>
        <v/>
      </c>
      <c r="S324" s="85" t="str">
        <f t="shared" si="18"/>
        <v/>
      </c>
      <c r="T324" s="86" t="str">
        <f t="shared" si="19"/>
        <v/>
      </c>
      <c r="U324" s="87" t="str">
        <f t="shared" si="22"/>
        <v/>
      </c>
      <c r="V324" s="12"/>
      <c r="W324" s="12"/>
    </row>
    <row r="325" spans="5:23" ht="13.5" hidden="1" customHeight="1">
      <c r="E325" s="12"/>
      <c r="F325" s="24">
        <v>47818</v>
      </c>
      <c r="G325" s="81" t="str" cm="1">
        <f t="array" ref="G325">IF(G566="","",
G566*LOOKUP($F325,_xlfn._xlws.FILTER($F$454:$F$463,G$454:G$463&lt;&gt;""),_xlfn._xlws.FILTER(G$454:G$463,G$454:G$463&lt;&gt;"")))</f>
        <v/>
      </c>
      <c r="H325" s="81" t="str" cm="1">
        <f t="array" ref="H325">IF(H566="","",
H566*LOOKUP($F325,_xlfn._xlws.FILTER($F$454:$F$463,H$454:H$463&lt;&gt;""),_xlfn._xlws.FILTER(H$454:H$463,H$454:H$463&lt;&gt;"")))</f>
        <v/>
      </c>
      <c r="I325" s="81" t="str" cm="1">
        <f t="array" ref="I325">IF(I566="","",
I566*LOOKUP($F325,_xlfn._xlws.FILTER($F$454:$F$463,I$454:I$463&lt;&gt;""),_xlfn._xlws.FILTER(I$454:I$463,I$454:I$463&lt;&gt;"")))</f>
        <v/>
      </c>
      <c r="J325" s="88" t="str">
        <f t="shared" si="20"/>
        <v/>
      </c>
      <c r="K325" s="89" t="str" cm="1">
        <f t="array" ref="K325">IF(M566="","",
$N$477*(M566/LOOKUP($F325,_xlfn._xlws.FILTER($F$468:$F$477,G$468:G$477&lt;&gt;""),_xlfn._xlws.FILTER(G$468:G$477,G$468:G$477&lt;&gt;"")))*(N566/LOOKUP($F325,_xlfn._xlws.FILTER($F$468:$F$477,H$468:H$477&lt;&gt;""),_xlfn._xlws.FILTER(H$468:H$477,H$468:H$477&lt;&gt;""))))</f>
        <v/>
      </c>
      <c r="L325" s="84" t="str">
        <f t="shared" si="21"/>
        <v/>
      </c>
      <c r="M325" s="77" t="str">
        <f t="shared" si="14"/>
        <v/>
      </c>
      <c r="N325" s="12"/>
      <c r="O325" s="24">
        <v>47818</v>
      </c>
      <c r="P325" s="85" t="str">
        <f t="shared" si="15"/>
        <v/>
      </c>
      <c r="Q325" s="85" t="str">
        <f t="shared" si="16"/>
        <v/>
      </c>
      <c r="R325" s="85" t="str">
        <f t="shared" si="17"/>
        <v/>
      </c>
      <c r="S325" s="85" t="str">
        <f t="shared" si="18"/>
        <v/>
      </c>
      <c r="T325" s="86" t="str">
        <f t="shared" si="19"/>
        <v/>
      </c>
      <c r="U325" s="87" t="str">
        <f t="shared" si="22"/>
        <v/>
      </c>
      <c r="V325" s="12"/>
      <c r="W325" s="12"/>
    </row>
    <row r="326" spans="5:23" ht="13.5" hidden="1" customHeight="1">
      <c r="E326" s="12"/>
      <c r="F326" s="24">
        <v>47849</v>
      </c>
      <c r="G326" s="81" t="str" cm="1">
        <f t="array" ref="G326">IF(G567="","",
G567*LOOKUP($F326,_xlfn._xlws.FILTER($F$454:$F$463,G$454:G$463&lt;&gt;""),_xlfn._xlws.FILTER(G$454:G$463,G$454:G$463&lt;&gt;"")))</f>
        <v/>
      </c>
      <c r="H326" s="81" t="str" cm="1">
        <f t="array" ref="H326">IF(H567="","",
H567*LOOKUP($F326,_xlfn._xlws.FILTER($F$454:$F$463,H$454:H$463&lt;&gt;""),_xlfn._xlws.FILTER(H$454:H$463,H$454:H$463&lt;&gt;"")))</f>
        <v/>
      </c>
      <c r="I326" s="81" t="str" cm="1">
        <f t="array" ref="I326">IF(I567="","",
I567*LOOKUP($F326,_xlfn._xlws.FILTER($F$454:$F$463,I$454:I$463&lt;&gt;""),_xlfn._xlws.FILTER(I$454:I$463,I$454:I$463&lt;&gt;"")))</f>
        <v/>
      </c>
      <c r="J326" s="88" t="str">
        <f t="shared" si="20"/>
        <v/>
      </c>
      <c r="K326" s="89" t="str" cm="1">
        <f t="array" ref="K326">IF(M567="","",
$N$477*(M567/LOOKUP($F326,_xlfn._xlws.FILTER($F$468:$F$477,G$468:G$477&lt;&gt;""),_xlfn._xlws.FILTER(G$468:G$477,G$468:G$477&lt;&gt;"")))*(N567/LOOKUP($F326,_xlfn._xlws.FILTER($F$468:$F$477,H$468:H$477&lt;&gt;""),_xlfn._xlws.FILTER(H$468:H$477,H$468:H$477&lt;&gt;""))))</f>
        <v/>
      </c>
      <c r="L326" s="84" t="str">
        <f t="shared" si="21"/>
        <v/>
      </c>
      <c r="M326" s="77" t="str">
        <f t="shared" si="14"/>
        <v/>
      </c>
      <c r="N326" s="12"/>
      <c r="O326" s="24">
        <v>47849</v>
      </c>
      <c r="P326" s="85" t="str">
        <f t="shared" si="15"/>
        <v/>
      </c>
      <c r="Q326" s="85" t="str">
        <f t="shared" si="16"/>
        <v/>
      </c>
      <c r="R326" s="85" t="str">
        <f t="shared" si="17"/>
        <v/>
      </c>
      <c r="S326" s="85" t="str">
        <f t="shared" si="18"/>
        <v/>
      </c>
      <c r="T326" s="86" t="str">
        <f t="shared" si="19"/>
        <v/>
      </c>
      <c r="U326" s="87" t="str">
        <f t="shared" si="22"/>
        <v/>
      </c>
      <c r="V326" s="12"/>
      <c r="W326" s="12"/>
    </row>
    <row r="327" spans="5:23" ht="13.5" hidden="1" customHeight="1">
      <c r="E327" s="12"/>
      <c r="F327" s="24">
        <v>47880</v>
      </c>
      <c r="G327" s="81" t="str" cm="1">
        <f t="array" ref="G327">IF(G568="","",
G568*LOOKUP($F327,_xlfn._xlws.FILTER($F$454:$F$463,G$454:G$463&lt;&gt;""),_xlfn._xlws.FILTER(G$454:G$463,G$454:G$463&lt;&gt;"")))</f>
        <v/>
      </c>
      <c r="H327" s="81" t="str" cm="1">
        <f t="array" ref="H327">IF(H568="","",
H568*LOOKUP($F327,_xlfn._xlws.FILTER($F$454:$F$463,H$454:H$463&lt;&gt;""),_xlfn._xlws.FILTER(H$454:H$463,H$454:H$463&lt;&gt;"")))</f>
        <v/>
      </c>
      <c r="I327" s="81" t="str" cm="1">
        <f t="array" ref="I327">IF(I568="","",
I568*LOOKUP($F327,_xlfn._xlws.FILTER($F$454:$F$463,I$454:I$463&lt;&gt;""),_xlfn._xlws.FILTER(I$454:I$463,I$454:I$463&lt;&gt;"")))</f>
        <v/>
      </c>
      <c r="J327" s="88" t="str">
        <f t="shared" si="20"/>
        <v/>
      </c>
      <c r="K327" s="89" t="str" cm="1">
        <f t="array" ref="K327">IF(M568="","",
$N$477*(M568/LOOKUP($F327,_xlfn._xlws.FILTER($F$468:$F$477,G$468:G$477&lt;&gt;""),_xlfn._xlws.FILTER(G$468:G$477,G$468:G$477&lt;&gt;"")))*(N568/LOOKUP($F327,_xlfn._xlws.FILTER($F$468:$F$477,H$468:H$477&lt;&gt;""),_xlfn._xlws.FILTER(H$468:H$477,H$468:H$477&lt;&gt;""))))</f>
        <v/>
      </c>
      <c r="L327" s="84" t="str">
        <f t="shared" si="21"/>
        <v/>
      </c>
      <c r="M327" s="77" t="str">
        <f t="shared" si="14"/>
        <v/>
      </c>
      <c r="N327" s="12"/>
      <c r="O327" s="24">
        <v>47880</v>
      </c>
      <c r="P327" s="85" t="str">
        <f t="shared" si="15"/>
        <v/>
      </c>
      <c r="Q327" s="85" t="str">
        <f t="shared" si="16"/>
        <v/>
      </c>
      <c r="R327" s="85" t="str">
        <f t="shared" si="17"/>
        <v/>
      </c>
      <c r="S327" s="85" t="str">
        <f t="shared" si="18"/>
        <v/>
      </c>
      <c r="T327" s="86" t="str">
        <f t="shared" si="19"/>
        <v/>
      </c>
      <c r="U327" s="87" t="str">
        <f t="shared" si="22"/>
        <v/>
      </c>
      <c r="V327" s="12"/>
      <c r="W327" s="12"/>
    </row>
    <row r="328" spans="5:23" ht="13.5" hidden="1" customHeight="1">
      <c r="E328" s="12"/>
      <c r="F328" s="24">
        <v>47908</v>
      </c>
      <c r="G328" s="81" t="str" cm="1">
        <f t="array" ref="G328">IF(G569="","",
G569*LOOKUP($F328,_xlfn._xlws.FILTER($F$454:$F$463,G$454:G$463&lt;&gt;""),_xlfn._xlws.FILTER(G$454:G$463,G$454:G$463&lt;&gt;"")))</f>
        <v/>
      </c>
      <c r="H328" s="81" t="str" cm="1">
        <f t="array" ref="H328">IF(H569="","",
H569*LOOKUP($F328,_xlfn._xlws.FILTER($F$454:$F$463,H$454:H$463&lt;&gt;""),_xlfn._xlws.FILTER(H$454:H$463,H$454:H$463&lt;&gt;"")))</f>
        <v/>
      </c>
      <c r="I328" s="81" t="str" cm="1">
        <f t="array" ref="I328">IF(I569="","",
I569*LOOKUP($F328,_xlfn._xlws.FILTER($F$454:$F$463,I$454:I$463&lt;&gt;""),_xlfn._xlws.FILTER(I$454:I$463,I$454:I$463&lt;&gt;"")))</f>
        <v/>
      </c>
      <c r="J328" s="88" t="str">
        <f t="shared" si="20"/>
        <v/>
      </c>
      <c r="K328" s="89" t="str" cm="1">
        <f t="array" ref="K328">IF(M569="","",
$N$477*(M569/LOOKUP($F328,_xlfn._xlws.FILTER($F$468:$F$477,G$468:G$477&lt;&gt;""),_xlfn._xlws.FILTER(G$468:G$477,G$468:G$477&lt;&gt;"")))*(N569/LOOKUP($F328,_xlfn._xlws.FILTER($F$468:$F$477,H$468:H$477&lt;&gt;""),_xlfn._xlws.FILTER(H$468:H$477,H$468:H$477&lt;&gt;""))))</f>
        <v/>
      </c>
      <c r="L328" s="84" t="str">
        <f t="shared" si="21"/>
        <v/>
      </c>
      <c r="M328" s="77" t="str">
        <f t="shared" si="14"/>
        <v/>
      </c>
      <c r="N328" s="12"/>
      <c r="O328" s="24">
        <v>47908</v>
      </c>
      <c r="P328" s="85" t="str">
        <f t="shared" si="15"/>
        <v/>
      </c>
      <c r="Q328" s="85" t="str">
        <f t="shared" si="16"/>
        <v/>
      </c>
      <c r="R328" s="85" t="str">
        <f t="shared" si="17"/>
        <v/>
      </c>
      <c r="S328" s="85" t="str">
        <f t="shared" si="18"/>
        <v/>
      </c>
      <c r="T328" s="86" t="str">
        <f t="shared" si="19"/>
        <v/>
      </c>
      <c r="U328" s="87" t="str">
        <f t="shared" si="22"/>
        <v/>
      </c>
      <c r="V328" s="12"/>
      <c r="W328" s="12"/>
    </row>
    <row r="329" spans="5:23" ht="13.5" hidden="1" customHeight="1">
      <c r="E329" s="12"/>
      <c r="F329" s="24">
        <v>47939</v>
      </c>
      <c r="G329" s="81" t="str" cm="1">
        <f t="array" ref="G329">IF(G570="","",
G570*LOOKUP($F329,_xlfn._xlws.FILTER($F$454:$F$463,G$454:G$463&lt;&gt;""),_xlfn._xlws.FILTER(G$454:G$463,G$454:G$463&lt;&gt;"")))</f>
        <v/>
      </c>
      <c r="H329" s="81" t="str" cm="1">
        <f t="array" ref="H329">IF(H570="","",
H570*LOOKUP($F329,_xlfn._xlws.FILTER($F$454:$F$463,H$454:H$463&lt;&gt;""),_xlfn._xlws.FILTER(H$454:H$463,H$454:H$463&lt;&gt;"")))</f>
        <v/>
      </c>
      <c r="I329" s="81" t="str" cm="1">
        <f t="array" ref="I329">IF(I570="","",
I570*LOOKUP($F329,_xlfn._xlws.FILTER($F$454:$F$463,I$454:I$463&lt;&gt;""),_xlfn._xlws.FILTER(I$454:I$463,I$454:I$463&lt;&gt;"")))</f>
        <v/>
      </c>
      <c r="J329" s="88" t="str">
        <f t="shared" si="20"/>
        <v/>
      </c>
      <c r="K329" s="89" t="str" cm="1">
        <f t="array" ref="K329">IF(M570="","",
$N$477*(M570/LOOKUP($F329,_xlfn._xlws.FILTER($F$468:$F$477,G$468:G$477&lt;&gt;""),_xlfn._xlws.FILTER(G$468:G$477,G$468:G$477&lt;&gt;"")))*(N570/LOOKUP($F329,_xlfn._xlws.FILTER($F$468:$F$477,H$468:H$477&lt;&gt;""),_xlfn._xlws.FILTER(H$468:H$477,H$468:H$477&lt;&gt;""))))</f>
        <v/>
      </c>
      <c r="L329" s="84" t="str">
        <f t="shared" si="21"/>
        <v/>
      </c>
      <c r="M329" s="77" t="str">
        <f t="shared" si="14"/>
        <v/>
      </c>
      <c r="N329" s="12"/>
      <c r="O329" s="24">
        <v>47939</v>
      </c>
      <c r="P329" s="85" t="str">
        <f t="shared" si="15"/>
        <v/>
      </c>
      <c r="Q329" s="85" t="str">
        <f t="shared" si="16"/>
        <v/>
      </c>
      <c r="R329" s="85" t="str">
        <f t="shared" si="17"/>
        <v/>
      </c>
      <c r="S329" s="85" t="str">
        <f t="shared" si="18"/>
        <v/>
      </c>
      <c r="T329" s="86" t="str">
        <f t="shared" si="19"/>
        <v/>
      </c>
      <c r="U329" s="87" t="str">
        <f t="shared" si="22"/>
        <v/>
      </c>
      <c r="V329" s="12"/>
      <c r="W329" s="12"/>
    </row>
    <row r="330" spans="5:23" ht="13.5" hidden="1" customHeight="1">
      <c r="E330" s="12"/>
      <c r="F330" s="24">
        <v>47969</v>
      </c>
      <c r="G330" s="81" t="str" cm="1">
        <f t="array" ref="G330">IF(G571="","",
G571*LOOKUP($F330,_xlfn._xlws.FILTER($F$454:$F$463,G$454:G$463&lt;&gt;""),_xlfn._xlws.FILTER(G$454:G$463,G$454:G$463&lt;&gt;"")))</f>
        <v/>
      </c>
      <c r="H330" s="81" t="str" cm="1">
        <f t="array" ref="H330">IF(H571="","",
H571*LOOKUP($F330,_xlfn._xlws.FILTER($F$454:$F$463,H$454:H$463&lt;&gt;""),_xlfn._xlws.FILTER(H$454:H$463,H$454:H$463&lt;&gt;"")))</f>
        <v/>
      </c>
      <c r="I330" s="81" t="str" cm="1">
        <f t="array" ref="I330">IF(I571="","",
I571*LOOKUP($F330,_xlfn._xlws.FILTER($F$454:$F$463,I$454:I$463&lt;&gt;""),_xlfn._xlws.FILTER(I$454:I$463,I$454:I$463&lt;&gt;"")))</f>
        <v/>
      </c>
      <c r="J330" s="88" t="str">
        <f t="shared" si="20"/>
        <v/>
      </c>
      <c r="K330" s="89" t="str" cm="1">
        <f t="array" ref="K330">IF(M571="","",
$N$477*(M571/LOOKUP($F330,_xlfn._xlws.FILTER($F$468:$F$477,G$468:G$477&lt;&gt;""),_xlfn._xlws.FILTER(G$468:G$477,G$468:G$477&lt;&gt;"")))*(N571/LOOKUP($F330,_xlfn._xlws.FILTER($F$468:$F$477,H$468:H$477&lt;&gt;""),_xlfn._xlws.FILTER(H$468:H$477,H$468:H$477&lt;&gt;""))))</f>
        <v/>
      </c>
      <c r="L330" s="84" t="str">
        <f t="shared" si="21"/>
        <v/>
      </c>
      <c r="M330" s="77" t="str">
        <f t="shared" si="14"/>
        <v/>
      </c>
      <c r="N330" s="12"/>
      <c r="O330" s="24">
        <v>47969</v>
      </c>
      <c r="P330" s="85" t="str">
        <f t="shared" si="15"/>
        <v/>
      </c>
      <c r="Q330" s="85" t="str">
        <f t="shared" si="16"/>
        <v/>
      </c>
      <c r="R330" s="85" t="str">
        <f t="shared" si="17"/>
        <v/>
      </c>
      <c r="S330" s="85" t="str">
        <f t="shared" si="18"/>
        <v/>
      </c>
      <c r="T330" s="86" t="str">
        <f t="shared" si="19"/>
        <v/>
      </c>
      <c r="U330" s="87" t="str">
        <f t="shared" si="22"/>
        <v/>
      </c>
      <c r="V330" s="12"/>
      <c r="W330" s="12"/>
    </row>
    <row r="331" spans="5:23" ht="13.5" hidden="1" customHeight="1">
      <c r="E331" s="12"/>
      <c r="F331" s="24">
        <v>48000</v>
      </c>
      <c r="G331" s="81" t="str" cm="1">
        <f t="array" ref="G331">IF(G572="","",
G572*LOOKUP($F331,_xlfn._xlws.FILTER($F$454:$F$463,G$454:G$463&lt;&gt;""),_xlfn._xlws.FILTER(G$454:G$463,G$454:G$463&lt;&gt;"")))</f>
        <v/>
      </c>
      <c r="H331" s="81" t="str" cm="1">
        <f t="array" ref="H331">IF(H572="","",
H572*LOOKUP($F331,_xlfn._xlws.FILTER($F$454:$F$463,H$454:H$463&lt;&gt;""),_xlfn._xlws.FILTER(H$454:H$463,H$454:H$463&lt;&gt;"")))</f>
        <v/>
      </c>
      <c r="I331" s="81" t="str" cm="1">
        <f t="array" ref="I331">IF(I572="","",
I572*LOOKUP($F331,_xlfn._xlws.FILTER($F$454:$F$463,I$454:I$463&lt;&gt;""),_xlfn._xlws.FILTER(I$454:I$463,I$454:I$463&lt;&gt;"")))</f>
        <v/>
      </c>
      <c r="J331" s="88" t="str">
        <f t="shared" si="20"/>
        <v/>
      </c>
      <c r="K331" s="89" t="str" cm="1">
        <f t="array" ref="K331">IF(M572="","",
$N$477*(M572/LOOKUP($F331,_xlfn._xlws.FILTER($F$468:$F$477,G$468:G$477&lt;&gt;""),_xlfn._xlws.FILTER(G$468:G$477,G$468:G$477&lt;&gt;"")))*(N572/LOOKUP($F331,_xlfn._xlws.FILTER($F$468:$F$477,H$468:H$477&lt;&gt;""),_xlfn._xlws.FILTER(H$468:H$477,H$468:H$477&lt;&gt;""))))</f>
        <v/>
      </c>
      <c r="L331" s="84" t="str">
        <f t="shared" si="21"/>
        <v/>
      </c>
      <c r="M331" s="77" t="str">
        <f t="shared" si="14"/>
        <v/>
      </c>
      <c r="N331" s="12"/>
      <c r="O331" s="24">
        <v>48000</v>
      </c>
      <c r="P331" s="85" t="str">
        <f t="shared" si="15"/>
        <v/>
      </c>
      <c r="Q331" s="85" t="str">
        <f t="shared" si="16"/>
        <v/>
      </c>
      <c r="R331" s="85" t="str">
        <f t="shared" si="17"/>
        <v/>
      </c>
      <c r="S331" s="85" t="str">
        <f t="shared" si="18"/>
        <v/>
      </c>
      <c r="T331" s="86" t="str">
        <f t="shared" si="19"/>
        <v/>
      </c>
      <c r="U331" s="87" t="str">
        <f t="shared" si="22"/>
        <v/>
      </c>
      <c r="V331" s="12"/>
      <c r="W331" s="12"/>
    </row>
    <row r="332" spans="5:23" ht="13.5" hidden="1" customHeight="1">
      <c r="E332" s="12"/>
      <c r="F332" s="24">
        <v>48030</v>
      </c>
      <c r="G332" s="81" t="str" cm="1">
        <f t="array" ref="G332">IF(G573="","",
G573*LOOKUP($F332,_xlfn._xlws.FILTER($F$454:$F$463,G$454:G$463&lt;&gt;""),_xlfn._xlws.FILTER(G$454:G$463,G$454:G$463&lt;&gt;"")))</f>
        <v/>
      </c>
      <c r="H332" s="81" t="str" cm="1">
        <f t="array" ref="H332">IF(H573="","",
H573*LOOKUP($F332,_xlfn._xlws.FILTER($F$454:$F$463,H$454:H$463&lt;&gt;""),_xlfn._xlws.FILTER(H$454:H$463,H$454:H$463&lt;&gt;"")))</f>
        <v/>
      </c>
      <c r="I332" s="81" t="str" cm="1">
        <f t="array" ref="I332">IF(I573="","",
I573*LOOKUP($F332,_xlfn._xlws.FILTER($F$454:$F$463,I$454:I$463&lt;&gt;""),_xlfn._xlws.FILTER(I$454:I$463,I$454:I$463&lt;&gt;"")))</f>
        <v/>
      </c>
      <c r="J332" s="88" t="str">
        <f t="shared" si="20"/>
        <v/>
      </c>
      <c r="K332" s="89" t="str" cm="1">
        <f t="array" ref="K332">IF(M573="","",
$N$477*(M573/LOOKUP($F332,_xlfn._xlws.FILTER($F$468:$F$477,G$468:G$477&lt;&gt;""),_xlfn._xlws.FILTER(G$468:G$477,G$468:G$477&lt;&gt;"")))*(N573/LOOKUP($F332,_xlfn._xlws.FILTER($F$468:$F$477,H$468:H$477&lt;&gt;""),_xlfn._xlws.FILTER(H$468:H$477,H$468:H$477&lt;&gt;""))))</f>
        <v/>
      </c>
      <c r="L332" s="84" t="str">
        <f t="shared" si="21"/>
        <v/>
      </c>
      <c r="M332" s="77" t="str">
        <f t="shared" si="14"/>
        <v/>
      </c>
      <c r="N332" s="12"/>
      <c r="O332" s="24">
        <v>48030</v>
      </c>
      <c r="P332" s="85" t="str">
        <f t="shared" si="15"/>
        <v/>
      </c>
      <c r="Q332" s="85" t="str">
        <f t="shared" si="16"/>
        <v/>
      </c>
      <c r="R332" s="85" t="str">
        <f t="shared" si="17"/>
        <v/>
      </c>
      <c r="S332" s="85" t="str">
        <f t="shared" si="18"/>
        <v/>
      </c>
      <c r="T332" s="86" t="str">
        <f t="shared" si="19"/>
        <v/>
      </c>
      <c r="U332" s="87" t="str">
        <f t="shared" si="22"/>
        <v/>
      </c>
      <c r="V332" s="12"/>
      <c r="W332" s="12"/>
    </row>
    <row r="333" spans="5:23" ht="13.5" hidden="1" customHeight="1">
      <c r="E333" s="12"/>
      <c r="F333" s="24">
        <v>48061</v>
      </c>
      <c r="G333" s="81" t="str" cm="1">
        <f t="array" ref="G333">IF(G574="","",
G574*LOOKUP($F333,_xlfn._xlws.FILTER($F$454:$F$463,G$454:G$463&lt;&gt;""),_xlfn._xlws.FILTER(G$454:G$463,G$454:G$463&lt;&gt;"")))</f>
        <v/>
      </c>
      <c r="H333" s="81" t="str" cm="1">
        <f t="array" ref="H333">IF(H574="","",
H574*LOOKUP($F333,_xlfn._xlws.FILTER($F$454:$F$463,H$454:H$463&lt;&gt;""),_xlfn._xlws.FILTER(H$454:H$463,H$454:H$463&lt;&gt;"")))</f>
        <v/>
      </c>
      <c r="I333" s="81" t="str" cm="1">
        <f t="array" ref="I333">IF(I574="","",
I574*LOOKUP($F333,_xlfn._xlws.FILTER($F$454:$F$463,I$454:I$463&lt;&gt;""),_xlfn._xlws.FILTER(I$454:I$463,I$454:I$463&lt;&gt;"")))</f>
        <v/>
      </c>
      <c r="J333" s="88" t="str">
        <f t="shared" si="20"/>
        <v/>
      </c>
      <c r="K333" s="89" t="str" cm="1">
        <f t="array" ref="K333">IF(M574="","",
$N$477*(M574/LOOKUP($F333,_xlfn._xlws.FILTER($F$468:$F$477,G$468:G$477&lt;&gt;""),_xlfn._xlws.FILTER(G$468:G$477,G$468:G$477&lt;&gt;"")))*(N574/LOOKUP($F333,_xlfn._xlws.FILTER($F$468:$F$477,H$468:H$477&lt;&gt;""),_xlfn._xlws.FILTER(H$468:H$477,H$468:H$477&lt;&gt;""))))</f>
        <v/>
      </c>
      <c r="L333" s="84" t="str">
        <f t="shared" si="21"/>
        <v/>
      </c>
      <c r="M333" s="77" t="str">
        <f t="shared" si="14"/>
        <v/>
      </c>
      <c r="N333" s="12"/>
      <c r="O333" s="24">
        <v>48061</v>
      </c>
      <c r="P333" s="85" t="str">
        <f t="shared" si="15"/>
        <v/>
      </c>
      <c r="Q333" s="85" t="str">
        <f t="shared" si="16"/>
        <v/>
      </c>
      <c r="R333" s="85" t="str">
        <f t="shared" si="17"/>
        <v/>
      </c>
      <c r="S333" s="85" t="str">
        <f t="shared" si="18"/>
        <v/>
      </c>
      <c r="T333" s="86" t="str">
        <f t="shared" si="19"/>
        <v/>
      </c>
      <c r="U333" s="87" t="str">
        <f t="shared" si="22"/>
        <v/>
      </c>
      <c r="V333" s="12"/>
      <c r="W333" s="12"/>
    </row>
    <row r="334" spans="5:23" ht="13.5" hidden="1" customHeight="1">
      <c r="E334" s="12"/>
      <c r="F334" s="24">
        <v>48092</v>
      </c>
      <c r="G334" s="81" t="str" cm="1">
        <f t="array" ref="G334">IF(G575="","",
G575*LOOKUP($F334,_xlfn._xlws.FILTER($F$454:$F$463,G$454:G$463&lt;&gt;""),_xlfn._xlws.FILTER(G$454:G$463,G$454:G$463&lt;&gt;"")))</f>
        <v/>
      </c>
      <c r="H334" s="81" t="str" cm="1">
        <f t="array" ref="H334">IF(H575="","",
H575*LOOKUP($F334,_xlfn._xlws.FILTER($F$454:$F$463,H$454:H$463&lt;&gt;""),_xlfn._xlws.FILTER(H$454:H$463,H$454:H$463&lt;&gt;"")))</f>
        <v/>
      </c>
      <c r="I334" s="81" t="str" cm="1">
        <f t="array" ref="I334">IF(I575="","",
I575*LOOKUP($F334,_xlfn._xlws.FILTER($F$454:$F$463,I$454:I$463&lt;&gt;""),_xlfn._xlws.FILTER(I$454:I$463,I$454:I$463&lt;&gt;"")))</f>
        <v/>
      </c>
      <c r="J334" s="88" t="str">
        <f t="shared" si="20"/>
        <v/>
      </c>
      <c r="K334" s="89" t="str" cm="1">
        <f t="array" ref="K334">IF(M575="","",
$N$477*(M575/LOOKUP($F334,_xlfn._xlws.FILTER($F$468:$F$477,G$468:G$477&lt;&gt;""),_xlfn._xlws.FILTER(G$468:G$477,G$468:G$477&lt;&gt;"")))*(N575/LOOKUP($F334,_xlfn._xlws.FILTER($F$468:$F$477,H$468:H$477&lt;&gt;""),_xlfn._xlws.FILTER(H$468:H$477,H$468:H$477&lt;&gt;""))))</f>
        <v/>
      </c>
      <c r="L334" s="84" t="str">
        <f t="shared" si="21"/>
        <v/>
      </c>
      <c r="M334" s="77" t="str">
        <f t="shared" si="14"/>
        <v/>
      </c>
      <c r="N334" s="12"/>
      <c r="O334" s="24">
        <v>48092</v>
      </c>
      <c r="P334" s="85" t="str">
        <f t="shared" si="15"/>
        <v/>
      </c>
      <c r="Q334" s="85" t="str">
        <f t="shared" si="16"/>
        <v/>
      </c>
      <c r="R334" s="85" t="str">
        <f t="shared" si="17"/>
        <v/>
      </c>
      <c r="S334" s="85" t="str">
        <f t="shared" si="18"/>
        <v/>
      </c>
      <c r="T334" s="86" t="str">
        <f t="shared" si="19"/>
        <v/>
      </c>
      <c r="U334" s="87" t="str">
        <f t="shared" si="22"/>
        <v/>
      </c>
      <c r="V334" s="12"/>
      <c r="W334" s="12"/>
    </row>
    <row r="335" spans="5:23" ht="13.5" hidden="1" customHeight="1">
      <c r="E335" s="12"/>
      <c r="F335" s="24">
        <v>48122</v>
      </c>
      <c r="G335" s="81" t="str" cm="1">
        <f t="array" ref="G335">IF(G576="","",
G576*LOOKUP($F335,_xlfn._xlws.FILTER($F$454:$F$463,G$454:G$463&lt;&gt;""),_xlfn._xlws.FILTER(G$454:G$463,G$454:G$463&lt;&gt;"")))</f>
        <v/>
      </c>
      <c r="H335" s="81" t="str" cm="1">
        <f t="array" ref="H335">IF(H576="","",
H576*LOOKUP($F335,_xlfn._xlws.FILTER($F$454:$F$463,H$454:H$463&lt;&gt;""),_xlfn._xlws.FILTER(H$454:H$463,H$454:H$463&lt;&gt;"")))</f>
        <v/>
      </c>
      <c r="I335" s="81" t="str" cm="1">
        <f t="array" ref="I335">IF(I576="","",
I576*LOOKUP($F335,_xlfn._xlws.FILTER($F$454:$F$463,I$454:I$463&lt;&gt;""),_xlfn._xlws.FILTER(I$454:I$463,I$454:I$463&lt;&gt;"")))</f>
        <v/>
      </c>
      <c r="J335" s="88" t="str">
        <f t="shared" si="20"/>
        <v/>
      </c>
      <c r="K335" s="89" t="str" cm="1">
        <f t="array" ref="K335">IF(M576="","",
$N$477*(M576/LOOKUP($F335,_xlfn._xlws.FILTER($F$468:$F$477,G$468:G$477&lt;&gt;""),_xlfn._xlws.FILTER(G$468:G$477,G$468:G$477&lt;&gt;"")))*(N576/LOOKUP($F335,_xlfn._xlws.FILTER($F$468:$F$477,H$468:H$477&lt;&gt;""),_xlfn._xlws.FILTER(H$468:H$477,H$468:H$477&lt;&gt;""))))</f>
        <v/>
      </c>
      <c r="L335" s="84" t="str">
        <f t="shared" si="21"/>
        <v/>
      </c>
      <c r="M335" s="77" t="str">
        <f t="shared" si="14"/>
        <v/>
      </c>
      <c r="N335" s="12"/>
      <c r="O335" s="24">
        <v>48122</v>
      </c>
      <c r="P335" s="85" t="str">
        <f t="shared" si="15"/>
        <v/>
      </c>
      <c r="Q335" s="85" t="str">
        <f t="shared" si="16"/>
        <v/>
      </c>
      <c r="R335" s="85" t="str">
        <f t="shared" si="17"/>
        <v/>
      </c>
      <c r="S335" s="85" t="str">
        <f t="shared" si="18"/>
        <v/>
      </c>
      <c r="T335" s="86" t="str">
        <f t="shared" si="19"/>
        <v/>
      </c>
      <c r="U335" s="87" t="str">
        <f t="shared" si="22"/>
        <v/>
      </c>
      <c r="V335" s="12"/>
      <c r="W335" s="12"/>
    </row>
    <row r="336" spans="5:23" ht="13.5" hidden="1" customHeight="1">
      <c r="E336" s="12"/>
      <c r="F336" s="24">
        <v>48153</v>
      </c>
      <c r="G336" s="81" t="str" cm="1">
        <f t="array" ref="G336">IF(G577="","",
G577*LOOKUP($F336,_xlfn._xlws.FILTER($F$454:$F$463,G$454:G$463&lt;&gt;""),_xlfn._xlws.FILTER(G$454:G$463,G$454:G$463&lt;&gt;"")))</f>
        <v/>
      </c>
      <c r="H336" s="81" t="str" cm="1">
        <f t="array" ref="H336">IF(H577="","",
H577*LOOKUP($F336,_xlfn._xlws.FILTER($F$454:$F$463,H$454:H$463&lt;&gt;""),_xlfn._xlws.FILTER(H$454:H$463,H$454:H$463&lt;&gt;"")))</f>
        <v/>
      </c>
      <c r="I336" s="81" t="str" cm="1">
        <f t="array" ref="I336">IF(I577="","",
I577*LOOKUP($F336,_xlfn._xlws.FILTER($F$454:$F$463,I$454:I$463&lt;&gt;""),_xlfn._xlws.FILTER(I$454:I$463,I$454:I$463&lt;&gt;"")))</f>
        <v/>
      </c>
      <c r="J336" s="88" t="str">
        <f t="shared" si="20"/>
        <v/>
      </c>
      <c r="K336" s="89" t="str" cm="1">
        <f t="array" ref="K336">IF(M577="","",
$N$477*(M577/LOOKUP($F336,_xlfn._xlws.FILTER($F$468:$F$477,G$468:G$477&lt;&gt;""),_xlfn._xlws.FILTER(G$468:G$477,G$468:G$477&lt;&gt;"")))*(N577/LOOKUP($F336,_xlfn._xlws.FILTER($F$468:$F$477,H$468:H$477&lt;&gt;""),_xlfn._xlws.FILTER(H$468:H$477,H$468:H$477&lt;&gt;""))))</f>
        <v/>
      </c>
      <c r="L336" s="84" t="str">
        <f t="shared" si="21"/>
        <v/>
      </c>
      <c r="M336" s="77" t="str">
        <f t="shared" si="14"/>
        <v/>
      </c>
      <c r="N336" s="12"/>
      <c r="O336" s="24">
        <v>48153</v>
      </c>
      <c r="P336" s="85" t="str">
        <f t="shared" si="15"/>
        <v/>
      </c>
      <c r="Q336" s="85" t="str">
        <f t="shared" si="16"/>
        <v/>
      </c>
      <c r="R336" s="85" t="str">
        <f t="shared" si="17"/>
        <v/>
      </c>
      <c r="S336" s="85" t="str">
        <f t="shared" si="18"/>
        <v/>
      </c>
      <c r="T336" s="86" t="str">
        <f t="shared" si="19"/>
        <v/>
      </c>
      <c r="U336" s="87" t="str">
        <f t="shared" si="22"/>
        <v/>
      </c>
      <c r="V336" s="12"/>
      <c r="W336" s="12"/>
    </row>
    <row r="337" spans="5:23" ht="13.5" hidden="1" customHeight="1">
      <c r="E337" s="12"/>
      <c r="F337" s="24">
        <v>48183</v>
      </c>
      <c r="G337" s="81" t="str" cm="1">
        <f t="array" ref="G337">IF(G578="","",
G578*LOOKUP($F337,_xlfn._xlws.FILTER($F$454:$F$463,G$454:G$463&lt;&gt;""),_xlfn._xlws.FILTER(G$454:G$463,G$454:G$463&lt;&gt;"")))</f>
        <v/>
      </c>
      <c r="H337" s="81" t="str" cm="1">
        <f t="array" ref="H337">IF(H578="","",
H578*LOOKUP($F337,_xlfn._xlws.FILTER($F$454:$F$463,H$454:H$463&lt;&gt;""),_xlfn._xlws.FILTER(H$454:H$463,H$454:H$463&lt;&gt;"")))</f>
        <v/>
      </c>
      <c r="I337" s="81" t="str" cm="1">
        <f t="array" ref="I337">IF(I578="","",
I578*LOOKUP($F337,_xlfn._xlws.FILTER($F$454:$F$463,I$454:I$463&lt;&gt;""),_xlfn._xlws.FILTER(I$454:I$463,I$454:I$463&lt;&gt;"")))</f>
        <v/>
      </c>
      <c r="J337" s="88" t="str">
        <f t="shared" si="20"/>
        <v/>
      </c>
      <c r="K337" s="89" t="str" cm="1">
        <f t="array" ref="K337">IF(M578="","",
$N$477*(M578/LOOKUP($F337,_xlfn._xlws.FILTER($F$468:$F$477,G$468:G$477&lt;&gt;""),_xlfn._xlws.FILTER(G$468:G$477,G$468:G$477&lt;&gt;"")))*(N578/LOOKUP($F337,_xlfn._xlws.FILTER($F$468:$F$477,H$468:H$477&lt;&gt;""),_xlfn._xlws.FILTER(H$468:H$477,H$468:H$477&lt;&gt;""))))</f>
        <v/>
      </c>
      <c r="L337" s="84" t="str">
        <f t="shared" si="21"/>
        <v/>
      </c>
      <c r="M337" s="77" t="str">
        <f t="shared" si="14"/>
        <v/>
      </c>
      <c r="N337" s="12"/>
      <c r="O337" s="24">
        <v>48183</v>
      </c>
      <c r="P337" s="85" t="str">
        <f t="shared" si="15"/>
        <v/>
      </c>
      <c r="Q337" s="85" t="str">
        <f t="shared" si="16"/>
        <v/>
      </c>
      <c r="R337" s="85" t="str">
        <f t="shared" si="17"/>
        <v/>
      </c>
      <c r="S337" s="85" t="str">
        <f t="shared" si="18"/>
        <v/>
      </c>
      <c r="T337" s="86" t="str">
        <f t="shared" si="19"/>
        <v/>
      </c>
      <c r="U337" s="87" t="str">
        <f t="shared" si="22"/>
        <v/>
      </c>
      <c r="V337" s="12"/>
      <c r="W337" s="12"/>
    </row>
    <row r="338" spans="5:23" ht="13.5" hidden="1" customHeight="1">
      <c r="E338" s="12"/>
      <c r="F338" s="24">
        <v>48214</v>
      </c>
      <c r="G338" s="81" t="str" cm="1">
        <f t="array" ref="G338">IF(G579="","",
G579*LOOKUP($F338,_xlfn._xlws.FILTER($F$454:$F$463,G$454:G$463&lt;&gt;""),_xlfn._xlws.FILTER(G$454:G$463,G$454:G$463&lt;&gt;"")))</f>
        <v/>
      </c>
      <c r="H338" s="81" t="str" cm="1">
        <f t="array" ref="H338">IF(H579="","",
H579*LOOKUP($F338,_xlfn._xlws.FILTER($F$454:$F$463,H$454:H$463&lt;&gt;""),_xlfn._xlws.FILTER(H$454:H$463,H$454:H$463&lt;&gt;"")))</f>
        <v/>
      </c>
      <c r="I338" s="81" t="str" cm="1">
        <f t="array" ref="I338">IF(I579="","",
I579*LOOKUP($F338,_xlfn._xlws.FILTER($F$454:$F$463,I$454:I$463&lt;&gt;""),_xlfn._xlws.FILTER(I$454:I$463,I$454:I$463&lt;&gt;"")))</f>
        <v/>
      </c>
      <c r="J338" s="88" t="str">
        <f t="shared" si="20"/>
        <v/>
      </c>
      <c r="K338" s="89" t="str" cm="1">
        <f t="array" ref="K338">IF(M579="","",
$N$477*(M579/LOOKUP($F338,_xlfn._xlws.FILTER($F$468:$F$477,G$468:G$477&lt;&gt;""),_xlfn._xlws.FILTER(G$468:G$477,G$468:G$477&lt;&gt;"")))*(N579/LOOKUP($F338,_xlfn._xlws.FILTER($F$468:$F$477,H$468:H$477&lt;&gt;""),_xlfn._xlws.FILTER(H$468:H$477,H$468:H$477&lt;&gt;""))))</f>
        <v/>
      </c>
      <c r="L338" s="84" t="str">
        <f t="shared" si="21"/>
        <v/>
      </c>
      <c r="M338" s="77" t="str">
        <f t="shared" si="14"/>
        <v/>
      </c>
      <c r="N338" s="12"/>
      <c r="O338" s="24">
        <v>48214</v>
      </c>
      <c r="P338" s="85" t="str">
        <f t="shared" si="15"/>
        <v/>
      </c>
      <c r="Q338" s="85" t="str">
        <f t="shared" si="16"/>
        <v/>
      </c>
      <c r="R338" s="85" t="str">
        <f t="shared" si="17"/>
        <v/>
      </c>
      <c r="S338" s="85" t="str">
        <f t="shared" si="18"/>
        <v/>
      </c>
      <c r="T338" s="86" t="str">
        <f t="shared" si="19"/>
        <v/>
      </c>
      <c r="U338" s="87" t="str">
        <f t="shared" si="22"/>
        <v/>
      </c>
      <c r="V338" s="12"/>
      <c r="W338" s="12"/>
    </row>
    <row r="339" spans="5:23" ht="13.5" hidden="1" customHeight="1">
      <c r="E339" s="12"/>
      <c r="F339" s="24">
        <v>48245</v>
      </c>
      <c r="G339" s="81" t="str" cm="1">
        <f t="array" ref="G339">IF(G580="","",
G580*LOOKUP($F339,_xlfn._xlws.FILTER($F$454:$F$463,G$454:G$463&lt;&gt;""),_xlfn._xlws.FILTER(G$454:G$463,G$454:G$463&lt;&gt;"")))</f>
        <v/>
      </c>
      <c r="H339" s="81" t="str" cm="1">
        <f t="array" ref="H339">IF(H580="","",
H580*LOOKUP($F339,_xlfn._xlws.FILTER($F$454:$F$463,H$454:H$463&lt;&gt;""),_xlfn._xlws.FILTER(H$454:H$463,H$454:H$463&lt;&gt;"")))</f>
        <v/>
      </c>
      <c r="I339" s="81" t="str" cm="1">
        <f t="array" ref="I339">IF(I580="","",
I580*LOOKUP($F339,_xlfn._xlws.FILTER($F$454:$F$463,I$454:I$463&lt;&gt;""),_xlfn._xlws.FILTER(I$454:I$463,I$454:I$463&lt;&gt;"")))</f>
        <v/>
      </c>
      <c r="J339" s="88" t="str">
        <f t="shared" si="20"/>
        <v/>
      </c>
      <c r="K339" s="89" t="str" cm="1">
        <f t="array" ref="K339">IF(M580="","",
$N$477*(M580/LOOKUP($F339,_xlfn._xlws.FILTER($F$468:$F$477,G$468:G$477&lt;&gt;""),_xlfn._xlws.FILTER(G$468:G$477,G$468:G$477&lt;&gt;"")))*(N580/LOOKUP($F339,_xlfn._xlws.FILTER($F$468:$F$477,H$468:H$477&lt;&gt;""),_xlfn._xlws.FILTER(H$468:H$477,H$468:H$477&lt;&gt;""))))</f>
        <v/>
      </c>
      <c r="L339" s="84" t="str">
        <f t="shared" si="21"/>
        <v/>
      </c>
      <c r="M339" s="77" t="str">
        <f t="shared" si="14"/>
        <v/>
      </c>
      <c r="N339" s="12"/>
      <c r="O339" s="24">
        <v>48245</v>
      </c>
      <c r="P339" s="85" t="str">
        <f t="shared" si="15"/>
        <v/>
      </c>
      <c r="Q339" s="85" t="str">
        <f t="shared" si="16"/>
        <v/>
      </c>
      <c r="R339" s="85" t="str">
        <f t="shared" si="17"/>
        <v/>
      </c>
      <c r="S339" s="85" t="str">
        <f t="shared" si="18"/>
        <v/>
      </c>
      <c r="T339" s="86" t="str">
        <f t="shared" si="19"/>
        <v/>
      </c>
      <c r="U339" s="87" t="str">
        <f t="shared" si="22"/>
        <v/>
      </c>
      <c r="V339" s="12"/>
      <c r="W339" s="12"/>
    </row>
    <row r="340" spans="5:23" ht="13.5" hidden="1" customHeight="1">
      <c r="E340" s="12"/>
      <c r="F340" s="24">
        <v>48274</v>
      </c>
      <c r="G340" s="81" t="str" cm="1">
        <f t="array" ref="G340">IF(G581="","",
G581*LOOKUP($F340,_xlfn._xlws.FILTER($F$454:$F$463,G$454:G$463&lt;&gt;""),_xlfn._xlws.FILTER(G$454:G$463,G$454:G$463&lt;&gt;"")))</f>
        <v/>
      </c>
      <c r="H340" s="81" t="str" cm="1">
        <f t="array" ref="H340">IF(H581="","",
H581*LOOKUP($F340,_xlfn._xlws.FILTER($F$454:$F$463,H$454:H$463&lt;&gt;""),_xlfn._xlws.FILTER(H$454:H$463,H$454:H$463&lt;&gt;"")))</f>
        <v/>
      </c>
      <c r="I340" s="81" t="str" cm="1">
        <f t="array" ref="I340">IF(I581="","",
I581*LOOKUP($F340,_xlfn._xlws.FILTER($F$454:$F$463,I$454:I$463&lt;&gt;""),_xlfn._xlws.FILTER(I$454:I$463,I$454:I$463&lt;&gt;"")))</f>
        <v/>
      </c>
      <c r="J340" s="88" t="str">
        <f t="shared" si="20"/>
        <v/>
      </c>
      <c r="K340" s="89" t="str" cm="1">
        <f t="array" ref="K340">IF(M581="","",
$N$477*(M581/LOOKUP($F340,_xlfn._xlws.FILTER($F$468:$F$477,G$468:G$477&lt;&gt;""),_xlfn._xlws.FILTER(G$468:G$477,G$468:G$477&lt;&gt;"")))*(N581/LOOKUP($F340,_xlfn._xlws.FILTER($F$468:$F$477,H$468:H$477&lt;&gt;""),_xlfn._xlws.FILTER(H$468:H$477,H$468:H$477&lt;&gt;""))))</f>
        <v/>
      </c>
      <c r="L340" s="84" t="str">
        <f t="shared" si="21"/>
        <v/>
      </c>
      <c r="M340" s="77" t="str">
        <f t="shared" si="14"/>
        <v/>
      </c>
      <c r="N340" s="12"/>
      <c r="O340" s="24">
        <v>48274</v>
      </c>
      <c r="P340" s="85" t="str">
        <f t="shared" si="15"/>
        <v/>
      </c>
      <c r="Q340" s="85" t="str">
        <f t="shared" si="16"/>
        <v/>
      </c>
      <c r="R340" s="85" t="str">
        <f t="shared" si="17"/>
        <v/>
      </c>
      <c r="S340" s="85" t="str">
        <f t="shared" si="18"/>
        <v/>
      </c>
      <c r="T340" s="86" t="str">
        <f t="shared" si="19"/>
        <v/>
      </c>
      <c r="U340" s="87" t="str">
        <f t="shared" si="22"/>
        <v/>
      </c>
      <c r="V340" s="12"/>
      <c r="W340" s="12"/>
    </row>
    <row r="341" spans="5:23" ht="13.5" hidden="1" customHeight="1">
      <c r="E341" s="12"/>
      <c r="F341" s="24">
        <v>48305</v>
      </c>
      <c r="G341" s="81" t="str" cm="1">
        <f t="array" ref="G341">IF(G582="","",
G582*LOOKUP($F341,_xlfn._xlws.FILTER($F$454:$F$463,G$454:G$463&lt;&gt;""),_xlfn._xlws.FILTER(G$454:G$463,G$454:G$463&lt;&gt;"")))</f>
        <v/>
      </c>
      <c r="H341" s="81" t="str" cm="1">
        <f t="array" ref="H341">IF(H582="","",
H582*LOOKUP($F341,_xlfn._xlws.FILTER($F$454:$F$463,H$454:H$463&lt;&gt;""),_xlfn._xlws.FILTER(H$454:H$463,H$454:H$463&lt;&gt;"")))</f>
        <v/>
      </c>
      <c r="I341" s="81" t="str" cm="1">
        <f t="array" ref="I341">IF(I582="","",
I582*LOOKUP($F341,_xlfn._xlws.FILTER($F$454:$F$463,I$454:I$463&lt;&gt;""),_xlfn._xlws.FILTER(I$454:I$463,I$454:I$463&lt;&gt;"")))</f>
        <v/>
      </c>
      <c r="J341" s="88" t="str">
        <f t="shared" si="20"/>
        <v/>
      </c>
      <c r="K341" s="89" t="str" cm="1">
        <f t="array" ref="K341">IF(M582="","",
$N$477*(M582/LOOKUP($F341,_xlfn._xlws.FILTER($F$468:$F$477,G$468:G$477&lt;&gt;""),_xlfn._xlws.FILTER(G$468:G$477,G$468:G$477&lt;&gt;"")))*(N582/LOOKUP($F341,_xlfn._xlws.FILTER($F$468:$F$477,H$468:H$477&lt;&gt;""),_xlfn._xlws.FILTER(H$468:H$477,H$468:H$477&lt;&gt;""))))</f>
        <v/>
      </c>
      <c r="L341" s="84" t="str">
        <f t="shared" si="21"/>
        <v/>
      </c>
      <c r="M341" s="77" t="str">
        <f t="shared" si="14"/>
        <v/>
      </c>
      <c r="N341" s="12"/>
      <c r="O341" s="24">
        <v>48305</v>
      </c>
      <c r="P341" s="85" t="str">
        <f t="shared" si="15"/>
        <v/>
      </c>
      <c r="Q341" s="85" t="str">
        <f t="shared" si="16"/>
        <v/>
      </c>
      <c r="R341" s="85" t="str">
        <f t="shared" si="17"/>
        <v/>
      </c>
      <c r="S341" s="85" t="str">
        <f t="shared" si="18"/>
        <v/>
      </c>
      <c r="T341" s="86" t="str">
        <f t="shared" si="19"/>
        <v/>
      </c>
      <c r="U341" s="87" t="str">
        <f t="shared" si="22"/>
        <v/>
      </c>
      <c r="V341" s="12"/>
      <c r="W341" s="12"/>
    </row>
    <row r="342" spans="5:23" ht="13.5" hidden="1" customHeight="1">
      <c r="E342" s="12"/>
      <c r="F342" s="24">
        <v>48335</v>
      </c>
      <c r="G342" s="81" t="str" cm="1">
        <f t="array" ref="G342">IF(G583="","",
G583*LOOKUP($F342,_xlfn._xlws.FILTER($F$454:$F$463,G$454:G$463&lt;&gt;""),_xlfn._xlws.FILTER(G$454:G$463,G$454:G$463&lt;&gt;"")))</f>
        <v/>
      </c>
      <c r="H342" s="81" t="str" cm="1">
        <f t="array" ref="H342">IF(H583="","",
H583*LOOKUP($F342,_xlfn._xlws.FILTER($F$454:$F$463,H$454:H$463&lt;&gt;""),_xlfn._xlws.FILTER(H$454:H$463,H$454:H$463&lt;&gt;"")))</f>
        <v/>
      </c>
      <c r="I342" s="81" t="str" cm="1">
        <f t="array" ref="I342">IF(I583="","",
I583*LOOKUP($F342,_xlfn._xlws.FILTER($F$454:$F$463,I$454:I$463&lt;&gt;""),_xlfn._xlws.FILTER(I$454:I$463,I$454:I$463&lt;&gt;"")))</f>
        <v/>
      </c>
      <c r="J342" s="88" t="str">
        <f t="shared" si="20"/>
        <v/>
      </c>
      <c r="K342" s="89" t="str" cm="1">
        <f t="array" ref="K342">IF(M583="","",
$N$477*(M583/LOOKUP($F342,_xlfn._xlws.FILTER($F$468:$F$477,G$468:G$477&lt;&gt;""),_xlfn._xlws.FILTER(G$468:G$477,G$468:G$477&lt;&gt;"")))*(N583/LOOKUP($F342,_xlfn._xlws.FILTER($F$468:$F$477,H$468:H$477&lt;&gt;""),_xlfn._xlws.FILTER(H$468:H$477,H$468:H$477&lt;&gt;""))))</f>
        <v/>
      </c>
      <c r="L342" s="84" t="str">
        <f t="shared" si="21"/>
        <v/>
      </c>
      <c r="M342" s="77" t="str">
        <f t="shared" ref="M342:M405" si="23">IF(L342="","",L342/L341-1)</f>
        <v/>
      </c>
      <c r="N342" s="12"/>
      <c r="O342" s="24">
        <v>48335</v>
      </c>
      <c r="P342" s="85" t="str">
        <f t="shared" si="15"/>
        <v/>
      </c>
      <c r="Q342" s="85" t="str">
        <f t="shared" si="16"/>
        <v/>
      </c>
      <c r="R342" s="85" t="str">
        <f t="shared" si="17"/>
        <v/>
      </c>
      <c r="S342" s="85" t="str">
        <f t="shared" si="18"/>
        <v/>
      </c>
      <c r="T342" s="86" t="str">
        <f t="shared" si="19"/>
        <v/>
      </c>
      <c r="U342" s="87" t="str">
        <f t="shared" si="22"/>
        <v/>
      </c>
      <c r="V342" s="12"/>
      <c r="W342" s="12"/>
    </row>
    <row r="343" spans="5:23" ht="13.5" hidden="1" customHeight="1">
      <c r="E343" s="12"/>
      <c r="F343" s="24">
        <v>48366</v>
      </c>
      <c r="G343" s="81" t="str" cm="1">
        <f t="array" ref="G343">IF(G584="","",
G584*LOOKUP($F343,_xlfn._xlws.FILTER($F$454:$F$463,G$454:G$463&lt;&gt;""),_xlfn._xlws.FILTER(G$454:G$463,G$454:G$463&lt;&gt;"")))</f>
        <v/>
      </c>
      <c r="H343" s="81" t="str" cm="1">
        <f t="array" ref="H343">IF(H584="","",
H584*LOOKUP($F343,_xlfn._xlws.FILTER($F$454:$F$463,H$454:H$463&lt;&gt;""),_xlfn._xlws.FILTER(H$454:H$463,H$454:H$463&lt;&gt;"")))</f>
        <v/>
      </c>
      <c r="I343" s="81" t="str" cm="1">
        <f t="array" ref="I343">IF(I584="","",
I584*LOOKUP($F343,_xlfn._xlws.FILTER($F$454:$F$463,I$454:I$463&lt;&gt;""),_xlfn._xlws.FILTER(I$454:I$463,I$454:I$463&lt;&gt;"")))</f>
        <v/>
      </c>
      <c r="J343" s="88" t="str">
        <f t="shared" si="20"/>
        <v/>
      </c>
      <c r="K343" s="89" t="str" cm="1">
        <f t="array" ref="K343">IF(M584="","",
$N$477*(M584/LOOKUP($F343,_xlfn._xlws.FILTER($F$468:$F$477,G$468:G$477&lt;&gt;""),_xlfn._xlws.FILTER(G$468:G$477,G$468:G$477&lt;&gt;"")))*(N584/LOOKUP($F343,_xlfn._xlws.FILTER($F$468:$F$477,H$468:H$477&lt;&gt;""),_xlfn._xlws.FILTER(H$468:H$477,H$468:H$477&lt;&gt;""))))</f>
        <v/>
      </c>
      <c r="L343" s="84" t="str">
        <f t="shared" si="21"/>
        <v/>
      </c>
      <c r="M343" s="77" t="str">
        <f t="shared" si="23"/>
        <v/>
      </c>
      <c r="N343" s="12"/>
      <c r="O343" s="24">
        <v>48366</v>
      </c>
      <c r="P343" s="85" t="str">
        <f t="shared" si="15"/>
        <v/>
      </c>
      <c r="Q343" s="85" t="str">
        <f t="shared" si="16"/>
        <v/>
      </c>
      <c r="R343" s="85" t="str">
        <f t="shared" si="17"/>
        <v/>
      </c>
      <c r="S343" s="85" t="str">
        <f t="shared" si="18"/>
        <v/>
      </c>
      <c r="T343" s="86" t="str">
        <f t="shared" si="19"/>
        <v/>
      </c>
      <c r="U343" s="87" t="str">
        <f t="shared" si="22"/>
        <v/>
      </c>
      <c r="V343" s="12"/>
      <c r="W343" s="12"/>
    </row>
    <row r="344" spans="5:23" ht="13.5" hidden="1" customHeight="1">
      <c r="E344" s="12"/>
      <c r="F344" s="24">
        <v>48396</v>
      </c>
      <c r="G344" s="81" t="str" cm="1">
        <f t="array" ref="G344">IF(G585="","",
G585*LOOKUP($F344,_xlfn._xlws.FILTER($F$454:$F$463,G$454:G$463&lt;&gt;""),_xlfn._xlws.FILTER(G$454:G$463,G$454:G$463&lt;&gt;"")))</f>
        <v/>
      </c>
      <c r="H344" s="81" t="str" cm="1">
        <f t="array" ref="H344">IF(H585="","",
H585*LOOKUP($F344,_xlfn._xlws.FILTER($F$454:$F$463,H$454:H$463&lt;&gt;""),_xlfn._xlws.FILTER(H$454:H$463,H$454:H$463&lt;&gt;"")))</f>
        <v/>
      </c>
      <c r="I344" s="81" t="str" cm="1">
        <f t="array" ref="I344">IF(I585="","",
I585*LOOKUP($F344,_xlfn._xlws.FILTER($F$454:$F$463,I$454:I$463&lt;&gt;""),_xlfn._xlws.FILTER(I$454:I$463,I$454:I$463&lt;&gt;"")))</f>
        <v/>
      </c>
      <c r="J344" s="88" t="str">
        <f t="shared" si="20"/>
        <v/>
      </c>
      <c r="K344" s="89" t="str" cm="1">
        <f t="array" ref="K344">IF(M585="","",
$N$477*(M585/LOOKUP($F344,_xlfn._xlws.FILTER($F$468:$F$477,G$468:G$477&lt;&gt;""),_xlfn._xlws.FILTER(G$468:G$477,G$468:G$477&lt;&gt;"")))*(N585/LOOKUP($F344,_xlfn._xlws.FILTER($F$468:$F$477,H$468:H$477&lt;&gt;""),_xlfn._xlws.FILTER(H$468:H$477,H$468:H$477&lt;&gt;""))))</f>
        <v/>
      </c>
      <c r="L344" s="84" t="str">
        <f t="shared" si="21"/>
        <v/>
      </c>
      <c r="M344" s="77" t="str">
        <f t="shared" si="23"/>
        <v/>
      </c>
      <c r="N344" s="12"/>
      <c r="O344" s="24">
        <v>48396</v>
      </c>
      <c r="P344" s="85" t="str">
        <f t="shared" si="15"/>
        <v/>
      </c>
      <c r="Q344" s="85" t="str">
        <f t="shared" si="16"/>
        <v/>
      </c>
      <c r="R344" s="85" t="str">
        <f t="shared" si="17"/>
        <v/>
      </c>
      <c r="S344" s="85" t="str">
        <f t="shared" si="18"/>
        <v/>
      </c>
      <c r="T344" s="86" t="str">
        <f t="shared" si="19"/>
        <v/>
      </c>
      <c r="U344" s="87" t="str">
        <f t="shared" si="22"/>
        <v/>
      </c>
      <c r="V344" s="12"/>
      <c r="W344" s="12"/>
    </row>
    <row r="345" spans="5:23" ht="13.5" hidden="1" customHeight="1">
      <c r="E345" s="12"/>
      <c r="F345" s="24">
        <v>48427</v>
      </c>
      <c r="G345" s="81" t="str" cm="1">
        <f t="array" ref="G345">IF(G586="","",
G586*LOOKUP($F345,_xlfn._xlws.FILTER($F$454:$F$463,G$454:G$463&lt;&gt;""),_xlfn._xlws.FILTER(G$454:G$463,G$454:G$463&lt;&gt;"")))</f>
        <v/>
      </c>
      <c r="H345" s="81" t="str" cm="1">
        <f t="array" ref="H345">IF(H586="","",
H586*LOOKUP($F345,_xlfn._xlws.FILTER($F$454:$F$463,H$454:H$463&lt;&gt;""),_xlfn._xlws.FILTER(H$454:H$463,H$454:H$463&lt;&gt;"")))</f>
        <v/>
      </c>
      <c r="I345" s="81" t="str" cm="1">
        <f t="array" ref="I345">IF(I586="","",
I586*LOOKUP($F345,_xlfn._xlws.FILTER($F$454:$F$463,I$454:I$463&lt;&gt;""),_xlfn._xlws.FILTER(I$454:I$463,I$454:I$463&lt;&gt;"")))</f>
        <v/>
      </c>
      <c r="J345" s="88" t="str">
        <f t="shared" si="20"/>
        <v/>
      </c>
      <c r="K345" s="89" t="str" cm="1">
        <f t="array" ref="K345">IF(M586="","",
$N$477*(M586/LOOKUP($F345,_xlfn._xlws.FILTER($F$468:$F$477,G$468:G$477&lt;&gt;""),_xlfn._xlws.FILTER(G$468:G$477,G$468:G$477&lt;&gt;"")))*(N586/LOOKUP($F345,_xlfn._xlws.FILTER($F$468:$F$477,H$468:H$477&lt;&gt;""),_xlfn._xlws.FILTER(H$468:H$477,H$468:H$477&lt;&gt;""))))</f>
        <v/>
      </c>
      <c r="L345" s="84" t="str">
        <f t="shared" si="21"/>
        <v/>
      </c>
      <c r="M345" s="77" t="str">
        <f t="shared" si="23"/>
        <v/>
      </c>
      <c r="N345" s="12"/>
      <c r="O345" s="24">
        <v>48427</v>
      </c>
      <c r="P345" s="85" t="str">
        <f t="shared" si="15"/>
        <v/>
      </c>
      <c r="Q345" s="85" t="str">
        <f t="shared" si="16"/>
        <v/>
      </c>
      <c r="R345" s="85" t="str">
        <f t="shared" si="17"/>
        <v/>
      </c>
      <c r="S345" s="85" t="str">
        <f t="shared" si="18"/>
        <v/>
      </c>
      <c r="T345" s="86" t="str">
        <f t="shared" si="19"/>
        <v/>
      </c>
      <c r="U345" s="87" t="str">
        <f t="shared" si="22"/>
        <v/>
      </c>
      <c r="V345" s="12"/>
      <c r="W345" s="12"/>
    </row>
    <row r="346" spans="5:23" ht="13.5" hidden="1" customHeight="1">
      <c r="E346" s="12"/>
      <c r="F346" s="24">
        <v>48458</v>
      </c>
      <c r="G346" s="81" t="str" cm="1">
        <f t="array" ref="G346">IF(G587="","",
G587*LOOKUP($F346,_xlfn._xlws.FILTER($F$454:$F$463,G$454:G$463&lt;&gt;""),_xlfn._xlws.FILTER(G$454:G$463,G$454:G$463&lt;&gt;"")))</f>
        <v/>
      </c>
      <c r="H346" s="81" t="str" cm="1">
        <f t="array" ref="H346">IF(H587="","",
H587*LOOKUP($F346,_xlfn._xlws.FILTER($F$454:$F$463,H$454:H$463&lt;&gt;""),_xlfn._xlws.FILTER(H$454:H$463,H$454:H$463&lt;&gt;"")))</f>
        <v/>
      </c>
      <c r="I346" s="81" t="str" cm="1">
        <f t="array" ref="I346">IF(I587="","",
I587*LOOKUP($F346,_xlfn._xlws.FILTER($F$454:$F$463,I$454:I$463&lt;&gt;""),_xlfn._xlws.FILTER(I$454:I$463,I$454:I$463&lt;&gt;"")))</f>
        <v/>
      </c>
      <c r="J346" s="88" t="str">
        <f t="shared" si="20"/>
        <v/>
      </c>
      <c r="K346" s="89" t="str" cm="1">
        <f t="array" ref="K346">IF(M587="","",
$N$477*(M587/LOOKUP($F346,_xlfn._xlws.FILTER($F$468:$F$477,G$468:G$477&lt;&gt;""),_xlfn._xlws.FILTER(G$468:G$477,G$468:G$477&lt;&gt;"")))*(N587/LOOKUP($F346,_xlfn._xlws.FILTER($F$468:$F$477,H$468:H$477&lt;&gt;""),_xlfn._xlws.FILTER(H$468:H$477,H$468:H$477&lt;&gt;""))))</f>
        <v/>
      </c>
      <c r="L346" s="84" t="str">
        <f t="shared" si="21"/>
        <v/>
      </c>
      <c r="M346" s="77" t="str">
        <f t="shared" si="23"/>
        <v/>
      </c>
      <c r="N346" s="12"/>
      <c r="O346" s="24">
        <v>48458</v>
      </c>
      <c r="P346" s="85" t="str">
        <f t="shared" si="15"/>
        <v/>
      </c>
      <c r="Q346" s="85" t="str">
        <f t="shared" si="16"/>
        <v/>
      </c>
      <c r="R346" s="85" t="str">
        <f t="shared" si="17"/>
        <v/>
      </c>
      <c r="S346" s="85" t="str">
        <f t="shared" si="18"/>
        <v/>
      </c>
      <c r="T346" s="86" t="str">
        <f t="shared" si="19"/>
        <v/>
      </c>
      <c r="U346" s="87" t="str">
        <f t="shared" si="22"/>
        <v/>
      </c>
      <c r="V346" s="12"/>
      <c r="W346" s="12"/>
    </row>
    <row r="347" spans="5:23" ht="13.5" hidden="1" customHeight="1">
      <c r="E347" s="12"/>
      <c r="F347" s="24">
        <v>48488</v>
      </c>
      <c r="G347" s="81" t="str" cm="1">
        <f t="array" ref="G347">IF(G588="","",
G588*LOOKUP($F347,_xlfn._xlws.FILTER($F$454:$F$463,G$454:G$463&lt;&gt;""),_xlfn._xlws.FILTER(G$454:G$463,G$454:G$463&lt;&gt;"")))</f>
        <v/>
      </c>
      <c r="H347" s="81" t="str" cm="1">
        <f t="array" ref="H347">IF(H588="","",
H588*LOOKUP($F347,_xlfn._xlws.FILTER($F$454:$F$463,H$454:H$463&lt;&gt;""),_xlfn._xlws.FILTER(H$454:H$463,H$454:H$463&lt;&gt;"")))</f>
        <v/>
      </c>
      <c r="I347" s="81" t="str" cm="1">
        <f t="array" ref="I347">IF(I588="","",
I588*LOOKUP($F347,_xlfn._xlws.FILTER($F$454:$F$463,I$454:I$463&lt;&gt;""),_xlfn._xlws.FILTER(I$454:I$463,I$454:I$463&lt;&gt;"")))</f>
        <v/>
      </c>
      <c r="J347" s="88" t="str">
        <f t="shared" si="20"/>
        <v/>
      </c>
      <c r="K347" s="89" t="str" cm="1">
        <f t="array" ref="K347">IF(M588="","",
$N$477*(M588/LOOKUP($F347,_xlfn._xlws.FILTER($F$468:$F$477,G$468:G$477&lt;&gt;""),_xlfn._xlws.FILTER(G$468:G$477,G$468:G$477&lt;&gt;"")))*(N588/LOOKUP($F347,_xlfn._xlws.FILTER($F$468:$F$477,H$468:H$477&lt;&gt;""),_xlfn._xlws.FILTER(H$468:H$477,H$468:H$477&lt;&gt;""))))</f>
        <v/>
      </c>
      <c r="L347" s="84" t="str">
        <f t="shared" si="21"/>
        <v/>
      </c>
      <c r="M347" s="77" t="str">
        <f t="shared" si="23"/>
        <v/>
      </c>
      <c r="N347" s="12"/>
      <c r="O347" s="24">
        <v>48488</v>
      </c>
      <c r="P347" s="85" t="str">
        <f t="shared" si="15"/>
        <v/>
      </c>
      <c r="Q347" s="85" t="str">
        <f t="shared" si="16"/>
        <v/>
      </c>
      <c r="R347" s="85" t="str">
        <f t="shared" si="17"/>
        <v/>
      </c>
      <c r="S347" s="85" t="str">
        <f t="shared" si="18"/>
        <v/>
      </c>
      <c r="T347" s="86" t="str">
        <f t="shared" si="19"/>
        <v/>
      </c>
      <c r="U347" s="87" t="str">
        <f t="shared" si="22"/>
        <v/>
      </c>
      <c r="V347" s="12"/>
      <c r="W347" s="12"/>
    </row>
    <row r="348" spans="5:23" ht="13.5" hidden="1" customHeight="1">
      <c r="E348" s="12"/>
      <c r="F348" s="24">
        <v>48519</v>
      </c>
      <c r="G348" s="81" t="str" cm="1">
        <f t="array" ref="G348">IF(G589="","",
G589*LOOKUP($F348,_xlfn._xlws.FILTER($F$454:$F$463,G$454:G$463&lt;&gt;""),_xlfn._xlws.FILTER(G$454:G$463,G$454:G$463&lt;&gt;"")))</f>
        <v/>
      </c>
      <c r="H348" s="81" t="str" cm="1">
        <f t="array" ref="H348">IF(H589="","",
H589*LOOKUP($F348,_xlfn._xlws.FILTER($F$454:$F$463,H$454:H$463&lt;&gt;""),_xlfn._xlws.FILTER(H$454:H$463,H$454:H$463&lt;&gt;"")))</f>
        <v/>
      </c>
      <c r="I348" s="81" t="str" cm="1">
        <f t="array" ref="I348">IF(I589="","",
I589*LOOKUP($F348,_xlfn._xlws.FILTER($F$454:$F$463,I$454:I$463&lt;&gt;""),_xlfn._xlws.FILTER(I$454:I$463,I$454:I$463&lt;&gt;"")))</f>
        <v/>
      </c>
      <c r="J348" s="88" t="str">
        <f t="shared" si="20"/>
        <v/>
      </c>
      <c r="K348" s="89" t="str" cm="1">
        <f t="array" ref="K348">IF(M589="","",
$N$477*(M589/LOOKUP($F348,_xlfn._xlws.FILTER($F$468:$F$477,G$468:G$477&lt;&gt;""),_xlfn._xlws.FILTER(G$468:G$477,G$468:G$477&lt;&gt;"")))*(N589/LOOKUP($F348,_xlfn._xlws.FILTER($F$468:$F$477,H$468:H$477&lt;&gt;""),_xlfn._xlws.FILTER(H$468:H$477,H$468:H$477&lt;&gt;""))))</f>
        <v/>
      </c>
      <c r="L348" s="84" t="str">
        <f t="shared" si="21"/>
        <v/>
      </c>
      <c r="M348" s="77" t="str">
        <f t="shared" si="23"/>
        <v/>
      </c>
      <c r="N348" s="12"/>
      <c r="O348" s="24">
        <v>48519</v>
      </c>
      <c r="P348" s="85" t="str">
        <f t="shared" si="15"/>
        <v/>
      </c>
      <c r="Q348" s="85" t="str">
        <f t="shared" si="16"/>
        <v/>
      </c>
      <c r="R348" s="85" t="str">
        <f t="shared" si="17"/>
        <v/>
      </c>
      <c r="S348" s="85" t="str">
        <f t="shared" si="18"/>
        <v/>
      </c>
      <c r="T348" s="86" t="str">
        <f t="shared" si="19"/>
        <v/>
      </c>
      <c r="U348" s="87" t="str">
        <f t="shared" si="22"/>
        <v/>
      </c>
      <c r="V348" s="12"/>
      <c r="W348" s="12"/>
    </row>
    <row r="349" spans="5:23" ht="13.5" hidden="1" customHeight="1">
      <c r="E349" s="12"/>
      <c r="F349" s="24">
        <v>48549</v>
      </c>
      <c r="G349" s="81" t="str" cm="1">
        <f t="array" ref="G349">IF(G590="","",
G590*LOOKUP($F349,_xlfn._xlws.FILTER($F$454:$F$463,G$454:G$463&lt;&gt;""),_xlfn._xlws.FILTER(G$454:G$463,G$454:G$463&lt;&gt;"")))</f>
        <v/>
      </c>
      <c r="H349" s="81" t="str" cm="1">
        <f t="array" ref="H349">IF(H590="","",
H590*LOOKUP($F349,_xlfn._xlws.FILTER($F$454:$F$463,H$454:H$463&lt;&gt;""),_xlfn._xlws.FILTER(H$454:H$463,H$454:H$463&lt;&gt;"")))</f>
        <v/>
      </c>
      <c r="I349" s="81" t="str" cm="1">
        <f t="array" ref="I349">IF(I590="","",
I590*LOOKUP($F349,_xlfn._xlws.FILTER($F$454:$F$463,I$454:I$463&lt;&gt;""),_xlfn._xlws.FILTER(I$454:I$463,I$454:I$463&lt;&gt;"")))</f>
        <v/>
      </c>
      <c r="J349" s="88" t="str">
        <f t="shared" si="20"/>
        <v/>
      </c>
      <c r="K349" s="89" t="str" cm="1">
        <f t="array" ref="K349">IF(M590="","",
$N$477*(M590/LOOKUP($F349,_xlfn._xlws.FILTER($F$468:$F$477,G$468:G$477&lt;&gt;""),_xlfn._xlws.FILTER(G$468:G$477,G$468:G$477&lt;&gt;"")))*(N590/LOOKUP($F349,_xlfn._xlws.FILTER($F$468:$F$477,H$468:H$477&lt;&gt;""),_xlfn._xlws.FILTER(H$468:H$477,H$468:H$477&lt;&gt;""))))</f>
        <v/>
      </c>
      <c r="L349" s="84" t="str">
        <f t="shared" si="21"/>
        <v/>
      </c>
      <c r="M349" s="77" t="str">
        <f t="shared" si="23"/>
        <v/>
      </c>
      <c r="N349" s="12"/>
      <c r="O349" s="24">
        <v>48549</v>
      </c>
      <c r="P349" s="85" t="str">
        <f t="shared" si="15"/>
        <v/>
      </c>
      <c r="Q349" s="85" t="str">
        <f t="shared" si="16"/>
        <v/>
      </c>
      <c r="R349" s="85" t="str">
        <f t="shared" si="17"/>
        <v/>
      </c>
      <c r="S349" s="85" t="str">
        <f t="shared" si="18"/>
        <v/>
      </c>
      <c r="T349" s="86" t="str">
        <f t="shared" si="19"/>
        <v/>
      </c>
      <c r="U349" s="87" t="str">
        <f t="shared" si="22"/>
        <v/>
      </c>
      <c r="V349" s="12"/>
      <c r="W349" s="12"/>
    </row>
    <row r="350" spans="5:23" ht="13.5" hidden="1" customHeight="1">
      <c r="E350" s="12"/>
      <c r="F350" s="24">
        <v>48580</v>
      </c>
      <c r="G350" s="81" t="str" cm="1">
        <f t="array" ref="G350">IF(G591="","",
G591*LOOKUP($F350,_xlfn._xlws.FILTER($F$454:$F$463,G$454:G$463&lt;&gt;""),_xlfn._xlws.FILTER(G$454:G$463,G$454:G$463&lt;&gt;"")))</f>
        <v/>
      </c>
      <c r="H350" s="81" t="str" cm="1">
        <f t="array" ref="H350">IF(H591="","",
H591*LOOKUP($F350,_xlfn._xlws.FILTER($F$454:$F$463,H$454:H$463&lt;&gt;""),_xlfn._xlws.FILTER(H$454:H$463,H$454:H$463&lt;&gt;"")))</f>
        <v/>
      </c>
      <c r="I350" s="81" t="str" cm="1">
        <f t="array" ref="I350">IF(I591="","",
I591*LOOKUP($F350,_xlfn._xlws.FILTER($F$454:$F$463,I$454:I$463&lt;&gt;""),_xlfn._xlws.FILTER(I$454:I$463,I$454:I$463&lt;&gt;"")))</f>
        <v/>
      </c>
      <c r="J350" s="88" t="str">
        <f t="shared" si="20"/>
        <v/>
      </c>
      <c r="K350" s="89" t="str" cm="1">
        <f t="array" ref="K350">IF(M591="","",
$N$477*(M591/LOOKUP($F350,_xlfn._xlws.FILTER($F$468:$F$477,G$468:G$477&lt;&gt;""),_xlfn._xlws.FILTER(G$468:G$477,G$468:G$477&lt;&gt;"")))*(N591/LOOKUP($F350,_xlfn._xlws.FILTER($F$468:$F$477,H$468:H$477&lt;&gt;""),_xlfn._xlws.FILTER(H$468:H$477,H$468:H$477&lt;&gt;""))))</f>
        <v/>
      </c>
      <c r="L350" s="84" t="str">
        <f t="shared" si="21"/>
        <v/>
      </c>
      <c r="M350" s="77" t="str">
        <f t="shared" si="23"/>
        <v/>
      </c>
      <c r="N350" s="12"/>
      <c r="O350" s="24">
        <v>48580</v>
      </c>
      <c r="P350" s="85" t="str">
        <f t="shared" si="15"/>
        <v/>
      </c>
      <c r="Q350" s="85" t="str">
        <f t="shared" si="16"/>
        <v/>
      </c>
      <c r="R350" s="85" t="str">
        <f t="shared" si="17"/>
        <v/>
      </c>
      <c r="S350" s="85" t="str">
        <f t="shared" si="18"/>
        <v/>
      </c>
      <c r="T350" s="86" t="str">
        <f t="shared" si="19"/>
        <v/>
      </c>
      <c r="U350" s="87" t="str">
        <f t="shared" si="22"/>
        <v/>
      </c>
      <c r="V350" s="12"/>
      <c r="W350" s="12"/>
    </row>
    <row r="351" spans="5:23" ht="13.5" hidden="1" customHeight="1">
      <c r="E351" s="12"/>
      <c r="F351" s="24">
        <v>48611</v>
      </c>
      <c r="G351" s="81" t="str" cm="1">
        <f t="array" ref="G351">IF(G592="","",
G592*LOOKUP($F351,_xlfn._xlws.FILTER($F$454:$F$463,G$454:G$463&lt;&gt;""),_xlfn._xlws.FILTER(G$454:G$463,G$454:G$463&lt;&gt;"")))</f>
        <v/>
      </c>
      <c r="H351" s="81" t="str" cm="1">
        <f t="array" ref="H351">IF(H592="","",
H592*LOOKUP($F351,_xlfn._xlws.FILTER($F$454:$F$463,H$454:H$463&lt;&gt;""),_xlfn._xlws.FILTER(H$454:H$463,H$454:H$463&lt;&gt;"")))</f>
        <v/>
      </c>
      <c r="I351" s="81" t="str" cm="1">
        <f t="array" ref="I351">IF(I592="","",
I592*LOOKUP($F351,_xlfn._xlws.FILTER($F$454:$F$463,I$454:I$463&lt;&gt;""),_xlfn._xlws.FILTER(I$454:I$463,I$454:I$463&lt;&gt;"")))</f>
        <v/>
      </c>
      <c r="J351" s="88" t="str">
        <f t="shared" si="20"/>
        <v/>
      </c>
      <c r="K351" s="89" t="str" cm="1">
        <f t="array" ref="K351">IF(M592="","",
$N$477*(M592/LOOKUP($F351,_xlfn._xlws.FILTER($F$468:$F$477,G$468:G$477&lt;&gt;""),_xlfn._xlws.FILTER(G$468:G$477,G$468:G$477&lt;&gt;"")))*(N592/LOOKUP($F351,_xlfn._xlws.FILTER($F$468:$F$477,H$468:H$477&lt;&gt;""),_xlfn._xlws.FILTER(H$468:H$477,H$468:H$477&lt;&gt;""))))</f>
        <v/>
      </c>
      <c r="L351" s="84" t="str">
        <f t="shared" si="21"/>
        <v/>
      </c>
      <c r="M351" s="77" t="str">
        <f t="shared" si="23"/>
        <v/>
      </c>
      <c r="N351" s="12"/>
      <c r="O351" s="24">
        <v>48611</v>
      </c>
      <c r="P351" s="85" t="str">
        <f t="shared" si="15"/>
        <v/>
      </c>
      <c r="Q351" s="85" t="str">
        <f t="shared" si="16"/>
        <v/>
      </c>
      <c r="R351" s="85" t="str">
        <f t="shared" si="17"/>
        <v/>
      </c>
      <c r="S351" s="85" t="str">
        <f t="shared" si="18"/>
        <v/>
      </c>
      <c r="T351" s="86" t="str">
        <f t="shared" si="19"/>
        <v/>
      </c>
      <c r="U351" s="87" t="str">
        <f t="shared" si="22"/>
        <v/>
      </c>
      <c r="V351" s="12"/>
      <c r="W351" s="12"/>
    </row>
    <row r="352" spans="5:23" ht="13.5" hidden="1" customHeight="1">
      <c r="E352" s="12"/>
      <c r="F352" s="24">
        <v>48639</v>
      </c>
      <c r="G352" s="81" t="str" cm="1">
        <f t="array" ref="G352">IF(G593="","",
G593*LOOKUP($F352,_xlfn._xlws.FILTER($F$454:$F$463,G$454:G$463&lt;&gt;""),_xlfn._xlws.FILTER(G$454:G$463,G$454:G$463&lt;&gt;"")))</f>
        <v/>
      </c>
      <c r="H352" s="81" t="str" cm="1">
        <f t="array" ref="H352">IF(H593="","",
H593*LOOKUP($F352,_xlfn._xlws.FILTER($F$454:$F$463,H$454:H$463&lt;&gt;""),_xlfn._xlws.FILTER(H$454:H$463,H$454:H$463&lt;&gt;"")))</f>
        <v/>
      </c>
      <c r="I352" s="81" t="str" cm="1">
        <f t="array" ref="I352">IF(I593="","",
I593*LOOKUP($F352,_xlfn._xlws.FILTER($F$454:$F$463,I$454:I$463&lt;&gt;""),_xlfn._xlws.FILTER(I$454:I$463,I$454:I$463&lt;&gt;"")))</f>
        <v/>
      </c>
      <c r="J352" s="88" t="str">
        <f t="shared" si="20"/>
        <v/>
      </c>
      <c r="K352" s="89" t="str" cm="1">
        <f t="array" ref="K352">IF(M593="","",
$N$477*(M593/LOOKUP($F352,_xlfn._xlws.FILTER($F$468:$F$477,G$468:G$477&lt;&gt;""),_xlfn._xlws.FILTER(G$468:G$477,G$468:G$477&lt;&gt;"")))*(N593/LOOKUP($F352,_xlfn._xlws.FILTER($F$468:$F$477,H$468:H$477&lt;&gt;""),_xlfn._xlws.FILTER(H$468:H$477,H$468:H$477&lt;&gt;""))))</f>
        <v/>
      </c>
      <c r="L352" s="84" t="str">
        <f t="shared" si="21"/>
        <v/>
      </c>
      <c r="M352" s="77" t="str">
        <f t="shared" si="23"/>
        <v/>
      </c>
      <c r="N352" s="12"/>
      <c r="O352" s="24">
        <v>48639</v>
      </c>
      <c r="P352" s="85" t="str">
        <f t="shared" si="15"/>
        <v/>
      </c>
      <c r="Q352" s="85" t="str">
        <f t="shared" si="16"/>
        <v/>
      </c>
      <c r="R352" s="85" t="str">
        <f t="shared" si="17"/>
        <v/>
      </c>
      <c r="S352" s="85" t="str">
        <f t="shared" si="18"/>
        <v/>
      </c>
      <c r="T352" s="86" t="str">
        <f t="shared" si="19"/>
        <v/>
      </c>
      <c r="U352" s="87" t="str">
        <f t="shared" si="22"/>
        <v/>
      </c>
      <c r="V352" s="12"/>
      <c r="W352" s="12"/>
    </row>
    <row r="353" spans="5:23" ht="13.5" hidden="1" customHeight="1">
      <c r="E353" s="12"/>
      <c r="F353" s="24">
        <v>48670</v>
      </c>
      <c r="G353" s="81" t="str" cm="1">
        <f t="array" ref="G353">IF(G594="","",
G594*LOOKUP($F353,_xlfn._xlws.FILTER($F$454:$F$463,G$454:G$463&lt;&gt;""),_xlfn._xlws.FILTER(G$454:G$463,G$454:G$463&lt;&gt;"")))</f>
        <v/>
      </c>
      <c r="H353" s="81" t="str" cm="1">
        <f t="array" ref="H353">IF(H594="","",
H594*LOOKUP($F353,_xlfn._xlws.FILTER($F$454:$F$463,H$454:H$463&lt;&gt;""),_xlfn._xlws.FILTER(H$454:H$463,H$454:H$463&lt;&gt;"")))</f>
        <v/>
      </c>
      <c r="I353" s="81" t="str" cm="1">
        <f t="array" ref="I353">IF(I594="","",
I594*LOOKUP($F353,_xlfn._xlws.FILTER($F$454:$F$463,I$454:I$463&lt;&gt;""),_xlfn._xlws.FILTER(I$454:I$463,I$454:I$463&lt;&gt;"")))</f>
        <v/>
      </c>
      <c r="J353" s="88" t="str">
        <f t="shared" si="20"/>
        <v/>
      </c>
      <c r="K353" s="89" t="str" cm="1">
        <f t="array" ref="K353">IF(M594="","",
$N$477*(M594/LOOKUP($F353,_xlfn._xlws.FILTER($F$468:$F$477,G$468:G$477&lt;&gt;""),_xlfn._xlws.FILTER(G$468:G$477,G$468:G$477&lt;&gt;"")))*(N594/LOOKUP($F353,_xlfn._xlws.FILTER($F$468:$F$477,H$468:H$477&lt;&gt;""),_xlfn._xlws.FILTER(H$468:H$477,H$468:H$477&lt;&gt;""))))</f>
        <v/>
      </c>
      <c r="L353" s="84" t="str">
        <f t="shared" si="21"/>
        <v/>
      </c>
      <c r="M353" s="77" t="str">
        <f t="shared" si="23"/>
        <v/>
      </c>
      <c r="N353" s="12"/>
      <c r="O353" s="24">
        <v>48670</v>
      </c>
      <c r="P353" s="85" t="str">
        <f t="shared" si="15"/>
        <v/>
      </c>
      <c r="Q353" s="85" t="str">
        <f t="shared" si="16"/>
        <v/>
      </c>
      <c r="R353" s="85" t="str">
        <f t="shared" si="17"/>
        <v/>
      </c>
      <c r="S353" s="85" t="str">
        <f t="shared" si="18"/>
        <v/>
      </c>
      <c r="T353" s="86" t="str">
        <f t="shared" si="19"/>
        <v/>
      </c>
      <c r="U353" s="87" t="str">
        <f t="shared" si="22"/>
        <v/>
      </c>
      <c r="V353" s="12"/>
      <c r="W353" s="12"/>
    </row>
    <row r="354" spans="5:23" ht="13.5" hidden="1" customHeight="1">
      <c r="E354" s="12"/>
      <c r="F354" s="24">
        <v>48700</v>
      </c>
      <c r="G354" s="81" t="str" cm="1">
        <f t="array" ref="G354">IF(G595="","",
G595*LOOKUP($F354,_xlfn._xlws.FILTER($F$454:$F$463,G$454:G$463&lt;&gt;""),_xlfn._xlws.FILTER(G$454:G$463,G$454:G$463&lt;&gt;"")))</f>
        <v/>
      </c>
      <c r="H354" s="81" t="str" cm="1">
        <f t="array" ref="H354">IF(H595="","",
H595*LOOKUP($F354,_xlfn._xlws.FILTER($F$454:$F$463,H$454:H$463&lt;&gt;""),_xlfn._xlws.FILTER(H$454:H$463,H$454:H$463&lt;&gt;"")))</f>
        <v/>
      </c>
      <c r="I354" s="81" t="str" cm="1">
        <f t="array" ref="I354">IF(I595="","",
I595*LOOKUP($F354,_xlfn._xlws.FILTER($F$454:$F$463,I$454:I$463&lt;&gt;""),_xlfn._xlws.FILTER(I$454:I$463,I$454:I$463&lt;&gt;"")))</f>
        <v/>
      </c>
      <c r="J354" s="88" t="str">
        <f t="shared" si="20"/>
        <v/>
      </c>
      <c r="K354" s="89" t="str" cm="1">
        <f t="array" ref="K354">IF(M595="","",
$N$477*(M595/LOOKUP($F354,_xlfn._xlws.FILTER($F$468:$F$477,G$468:G$477&lt;&gt;""),_xlfn._xlws.FILTER(G$468:G$477,G$468:G$477&lt;&gt;"")))*(N595/LOOKUP($F354,_xlfn._xlws.FILTER($F$468:$F$477,H$468:H$477&lt;&gt;""),_xlfn._xlws.FILTER(H$468:H$477,H$468:H$477&lt;&gt;""))))</f>
        <v/>
      </c>
      <c r="L354" s="84" t="str">
        <f t="shared" si="21"/>
        <v/>
      </c>
      <c r="M354" s="77" t="str">
        <f t="shared" si="23"/>
        <v/>
      </c>
      <c r="N354" s="12"/>
      <c r="O354" s="24">
        <v>48700</v>
      </c>
      <c r="P354" s="85" t="str">
        <f t="shared" si="15"/>
        <v/>
      </c>
      <c r="Q354" s="85" t="str">
        <f t="shared" si="16"/>
        <v/>
      </c>
      <c r="R354" s="85" t="str">
        <f t="shared" si="17"/>
        <v/>
      </c>
      <c r="S354" s="85" t="str">
        <f t="shared" si="18"/>
        <v/>
      </c>
      <c r="T354" s="86" t="str">
        <f t="shared" si="19"/>
        <v/>
      </c>
      <c r="U354" s="87" t="str">
        <f t="shared" si="22"/>
        <v/>
      </c>
      <c r="V354" s="12"/>
      <c r="W354" s="12"/>
    </row>
    <row r="355" spans="5:23" ht="13.5" hidden="1" customHeight="1">
      <c r="E355" s="12"/>
      <c r="F355" s="24">
        <v>48731</v>
      </c>
      <c r="G355" s="81" t="str" cm="1">
        <f t="array" ref="G355">IF(G596="","",
G596*LOOKUP($F355,_xlfn._xlws.FILTER($F$454:$F$463,G$454:G$463&lt;&gt;""),_xlfn._xlws.FILTER(G$454:G$463,G$454:G$463&lt;&gt;"")))</f>
        <v/>
      </c>
      <c r="H355" s="81" t="str" cm="1">
        <f t="array" ref="H355">IF(H596="","",
H596*LOOKUP($F355,_xlfn._xlws.FILTER($F$454:$F$463,H$454:H$463&lt;&gt;""),_xlfn._xlws.FILTER(H$454:H$463,H$454:H$463&lt;&gt;"")))</f>
        <v/>
      </c>
      <c r="I355" s="81" t="str" cm="1">
        <f t="array" ref="I355">IF(I596="","",
I596*LOOKUP($F355,_xlfn._xlws.FILTER($F$454:$F$463,I$454:I$463&lt;&gt;""),_xlfn._xlws.FILTER(I$454:I$463,I$454:I$463&lt;&gt;"")))</f>
        <v/>
      </c>
      <c r="J355" s="88" t="str">
        <f t="shared" si="20"/>
        <v/>
      </c>
      <c r="K355" s="89" t="str" cm="1">
        <f t="array" ref="K355">IF(M596="","",
$N$477*(M596/LOOKUP($F355,_xlfn._xlws.FILTER($F$468:$F$477,G$468:G$477&lt;&gt;""),_xlfn._xlws.FILTER(G$468:G$477,G$468:G$477&lt;&gt;"")))*(N596/LOOKUP($F355,_xlfn._xlws.FILTER($F$468:$F$477,H$468:H$477&lt;&gt;""),_xlfn._xlws.FILTER(H$468:H$477,H$468:H$477&lt;&gt;""))))</f>
        <v/>
      </c>
      <c r="L355" s="84" t="str">
        <f t="shared" si="21"/>
        <v/>
      </c>
      <c r="M355" s="77" t="str">
        <f t="shared" si="23"/>
        <v/>
      </c>
      <c r="N355" s="12"/>
      <c r="O355" s="24">
        <v>48731</v>
      </c>
      <c r="P355" s="85" t="str">
        <f t="shared" si="15"/>
        <v/>
      </c>
      <c r="Q355" s="85" t="str">
        <f t="shared" si="16"/>
        <v/>
      </c>
      <c r="R355" s="85" t="str">
        <f t="shared" si="17"/>
        <v/>
      </c>
      <c r="S355" s="85" t="str">
        <f t="shared" si="18"/>
        <v/>
      </c>
      <c r="T355" s="86" t="str">
        <f t="shared" si="19"/>
        <v/>
      </c>
      <c r="U355" s="87" t="str">
        <f t="shared" si="22"/>
        <v/>
      </c>
      <c r="V355" s="12"/>
      <c r="W355" s="12"/>
    </row>
    <row r="356" spans="5:23" ht="13.5" hidden="1" customHeight="1">
      <c r="E356" s="12"/>
      <c r="F356" s="24">
        <v>48761</v>
      </c>
      <c r="G356" s="81" t="str" cm="1">
        <f t="array" ref="G356">IF(G597="","",
G597*LOOKUP($F356,_xlfn._xlws.FILTER($F$454:$F$463,G$454:G$463&lt;&gt;""),_xlfn._xlws.FILTER(G$454:G$463,G$454:G$463&lt;&gt;"")))</f>
        <v/>
      </c>
      <c r="H356" s="81" t="str" cm="1">
        <f t="array" ref="H356">IF(H597="","",
H597*LOOKUP($F356,_xlfn._xlws.FILTER($F$454:$F$463,H$454:H$463&lt;&gt;""),_xlfn._xlws.FILTER(H$454:H$463,H$454:H$463&lt;&gt;"")))</f>
        <v/>
      </c>
      <c r="I356" s="81" t="str" cm="1">
        <f t="array" ref="I356">IF(I597="","",
I597*LOOKUP($F356,_xlfn._xlws.FILTER($F$454:$F$463,I$454:I$463&lt;&gt;""),_xlfn._xlws.FILTER(I$454:I$463,I$454:I$463&lt;&gt;"")))</f>
        <v/>
      </c>
      <c r="J356" s="88" t="str">
        <f t="shared" si="20"/>
        <v/>
      </c>
      <c r="K356" s="89" t="str" cm="1">
        <f t="array" ref="K356">IF(M597="","",
$N$477*(M597/LOOKUP($F356,_xlfn._xlws.FILTER($F$468:$F$477,G$468:G$477&lt;&gt;""),_xlfn._xlws.FILTER(G$468:G$477,G$468:G$477&lt;&gt;"")))*(N597/LOOKUP($F356,_xlfn._xlws.FILTER($F$468:$F$477,H$468:H$477&lt;&gt;""),_xlfn._xlws.FILTER(H$468:H$477,H$468:H$477&lt;&gt;""))))</f>
        <v/>
      </c>
      <c r="L356" s="84" t="str">
        <f t="shared" si="21"/>
        <v/>
      </c>
      <c r="M356" s="77" t="str">
        <f t="shared" si="23"/>
        <v/>
      </c>
      <c r="N356" s="12"/>
      <c r="O356" s="24">
        <v>48761</v>
      </c>
      <c r="P356" s="85" t="str">
        <f t="shared" si="15"/>
        <v/>
      </c>
      <c r="Q356" s="85" t="str">
        <f t="shared" si="16"/>
        <v/>
      </c>
      <c r="R356" s="85" t="str">
        <f t="shared" si="17"/>
        <v/>
      </c>
      <c r="S356" s="85" t="str">
        <f t="shared" si="18"/>
        <v/>
      </c>
      <c r="T356" s="86" t="str">
        <f t="shared" si="19"/>
        <v/>
      </c>
      <c r="U356" s="87" t="str">
        <f t="shared" si="22"/>
        <v/>
      </c>
      <c r="V356" s="12"/>
      <c r="W356" s="12"/>
    </row>
    <row r="357" spans="5:23" ht="13.5" hidden="1" customHeight="1">
      <c r="E357" s="12"/>
      <c r="F357" s="24">
        <v>48792</v>
      </c>
      <c r="G357" s="81" t="str" cm="1">
        <f t="array" ref="G357">IF(G598="","",
G598*LOOKUP($F357,_xlfn._xlws.FILTER($F$454:$F$463,G$454:G$463&lt;&gt;""),_xlfn._xlws.FILTER(G$454:G$463,G$454:G$463&lt;&gt;"")))</f>
        <v/>
      </c>
      <c r="H357" s="81" t="str" cm="1">
        <f t="array" ref="H357">IF(H598="","",
H598*LOOKUP($F357,_xlfn._xlws.FILTER($F$454:$F$463,H$454:H$463&lt;&gt;""),_xlfn._xlws.FILTER(H$454:H$463,H$454:H$463&lt;&gt;"")))</f>
        <v/>
      </c>
      <c r="I357" s="81" t="str" cm="1">
        <f t="array" ref="I357">IF(I598="","",
I598*LOOKUP($F357,_xlfn._xlws.FILTER($F$454:$F$463,I$454:I$463&lt;&gt;""),_xlfn._xlws.FILTER(I$454:I$463,I$454:I$463&lt;&gt;"")))</f>
        <v/>
      </c>
      <c r="J357" s="88" t="str">
        <f t="shared" si="20"/>
        <v/>
      </c>
      <c r="K357" s="89" t="str" cm="1">
        <f t="array" ref="K357">IF(M598="","",
$N$477*(M598/LOOKUP($F357,_xlfn._xlws.FILTER($F$468:$F$477,G$468:G$477&lt;&gt;""),_xlfn._xlws.FILTER(G$468:G$477,G$468:G$477&lt;&gt;"")))*(N598/LOOKUP($F357,_xlfn._xlws.FILTER($F$468:$F$477,H$468:H$477&lt;&gt;""),_xlfn._xlws.FILTER(H$468:H$477,H$468:H$477&lt;&gt;""))))</f>
        <v/>
      </c>
      <c r="L357" s="84" t="str">
        <f t="shared" si="21"/>
        <v/>
      </c>
      <c r="M357" s="77" t="str">
        <f t="shared" si="23"/>
        <v/>
      </c>
      <c r="N357" s="12"/>
      <c r="O357" s="24">
        <v>48792</v>
      </c>
      <c r="P357" s="85" t="str">
        <f t="shared" si="15"/>
        <v/>
      </c>
      <c r="Q357" s="85" t="str">
        <f t="shared" si="16"/>
        <v/>
      </c>
      <c r="R357" s="85" t="str">
        <f t="shared" si="17"/>
        <v/>
      </c>
      <c r="S357" s="85" t="str">
        <f t="shared" si="18"/>
        <v/>
      </c>
      <c r="T357" s="86" t="str">
        <f t="shared" si="19"/>
        <v/>
      </c>
      <c r="U357" s="87" t="str">
        <f t="shared" si="22"/>
        <v/>
      </c>
      <c r="V357" s="12"/>
      <c r="W357" s="12"/>
    </row>
    <row r="358" spans="5:23" ht="13.5" hidden="1" customHeight="1">
      <c r="E358" s="12"/>
      <c r="F358" s="24">
        <v>48823</v>
      </c>
      <c r="G358" s="81" t="str" cm="1">
        <f t="array" ref="G358">IF(G599="","",
G599*LOOKUP($F358,_xlfn._xlws.FILTER($F$454:$F$463,G$454:G$463&lt;&gt;""),_xlfn._xlws.FILTER(G$454:G$463,G$454:G$463&lt;&gt;"")))</f>
        <v/>
      </c>
      <c r="H358" s="81" t="str" cm="1">
        <f t="array" ref="H358">IF(H599="","",
H599*LOOKUP($F358,_xlfn._xlws.FILTER($F$454:$F$463,H$454:H$463&lt;&gt;""),_xlfn._xlws.FILTER(H$454:H$463,H$454:H$463&lt;&gt;"")))</f>
        <v/>
      </c>
      <c r="I358" s="81" t="str" cm="1">
        <f t="array" ref="I358">IF(I599="","",
I599*LOOKUP($F358,_xlfn._xlws.FILTER($F$454:$F$463,I$454:I$463&lt;&gt;""),_xlfn._xlws.FILTER(I$454:I$463,I$454:I$463&lt;&gt;"")))</f>
        <v/>
      </c>
      <c r="J358" s="88" t="str">
        <f t="shared" si="20"/>
        <v/>
      </c>
      <c r="K358" s="89" t="str" cm="1">
        <f t="array" ref="K358">IF(M599="","",
$N$477*(M599/LOOKUP($F358,_xlfn._xlws.FILTER($F$468:$F$477,G$468:G$477&lt;&gt;""),_xlfn._xlws.FILTER(G$468:G$477,G$468:G$477&lt;&gt;"")))*(N599/LOOKUP($F358,_xlfn._xlws.FILTER($F$468:$F$477,H$468:H$477&lt;&gt;""),_xlfn._xlws.FILTER(H$468:H$477,H$468:H$477&lt;&gt;""))))</f>
        <v/>
      </c>
      <c r="L358" s="84" t="str">
        <f t="shared" si="21"/>
        <v/>
      </c>
      <c r="M358" s="77" t="str">
        <f t="shared" si="23"/>
        <v/>
      </c>
      <c r="N358" s="12"/>
      <c r="O358" s="24">
        <v>48823</v>
      </c>
      <c r="P358" s="85" t="str">
        <f t="shared" si="15"/>
        <v/>
      </c>
      <c r="Q358" s="85" t="str">
        <f t="shared" si="16"/>
        <v/>
      </c>
      <c r="R358" s="85" t="str">
        <f t="shared" si="17"/>
        <v/>
      </c>
      <c r="S358" s="85" t="str">
        <f t="shared" si="18"/>
        <v/>
      </c>
      <c r="T358" s="86" t="str">
        <f t="shared" si="19"/>
        <v/>
      </c>
      <c r="U358" s="87" t="str">
        <f t="shared" si="22"/>
        <v/>
      </c>
      <c r="V358" s="12"/>
      <c r="W358" s="12"/>
    </row>
    <row r="359" spans="5:23" ht="13.5" hidden="1" customHeight="1">
      <c r="E359" s="12"/>
      <c r="F359" s="24">
        <v>48853</v>
      </c>
      <c r="G359" s="81" t="str" cm="1">
        <f t="array" ref="G359">IF(G600="","",
G600*LOOKUP($F359,_xlfn._xlws.FILTER($F$454:$F$463,G$454:G$463&lt;&gt;""),_xlfn._xlws.FILTER(G$454:G$463,G$454:G$463&lt;&gt;"")))</f>
        <v/>
      </c>
      <c r="H359" s="81" t="str" cm="1">
        <f t="array" ref="H359">IF(H600="","",
H600*LOOKUP($F359,_xlfn._xlws.FILTER($F$454:$F$463,H$454:H$463&lt;&gt;""),_xlfn._xlws.FILTER(H$454:H$463,H$454:H$463&lt;&gt;"")))</f>
        <v/>
      </c>
      <c r="I359" s="81" t="str" cm="1">
        <f t="array" ref="I359">IF(I600="","",
I600*LOOKUP($F359,_xlfn._xlws.FILTER($F$454:$F$463,I$454:I$463&lt;&gt;""),_xlfn._xlws.FILTER(I$454:I$463,I$454:I$463&lt;&gt;"")))</f>
        <v/>
      </c>
      <c r="J359" s="88" t="str">
        <f t="shared" si="20"/>
        <v/>
      </c>
      <c r="K359" s="89" t="str" cm="1">
        <f t="array" ref="K359">IF(M600="","",
$N$477*(M600/LOOKUP($F359,_xlfn._xlws.FILTER($F$468:$F$477,G$468:G$477&lt;&gt;""),_xlfn._xlws.FILTER(G$468:G$477,G$468:G$477&lt;&gt;"")))*(N600/LOOKUP($F359,_xlfn._xlws.FILTER($F$468:$F$477,H$468:H$477&lt;&gt;""),_xlfn._xlws.FILTER(H$468:H$477,H$468:H$477&lt;&gt;""))))</f>
        <v/>
      </c>
      <c r="L359" s="84" t="str">
        <f t="shared" si="21"/>
        <v/>
      </c>
      <c r="M359" s="77" t="str">
        <f t="shared" si="23"/>
        <v/>
      </c>
      <c r="N359" s="12"/>
      <c r="O359" s="24">
        <v>48853</v>
      </c>
      <c r="P359" s="85" t="str">
        <f t="shared" si="15"/>
        <v/>
      </c>
      <c r="Q359" s="85" t="str">
        <f t="shared" si="16"/>
        <v/>
      </c>
      <c r="R359" s="85" t="str">
        <f t="shared" si="17"/>
        <v/>
      </c>
      <c r="S359" s="85" t="str">
        <f t="shared" si="18"/>
        <v/>
      </c>
      <c r="T359" s="86" t="str">
        <f t="shared" si="19"/>
        <v/>
      </c>
      <c r="U359" s="87" t="str">
        <f t="shared" si="22"/>
        <v/>
      </c>
      <c r="V359" s="12"/>
      <c r="W359" s="12"/>
    </row>
    <row r="360" spans="5:23" ht="13.5" hidden="1" customHeight="1">
      <c r="E360" s="12"/>
      <c r="F360" s="24">
        <v>48884</v>
      </c>
      <c r="G360" s="81" t="str" cm="1">
        <f t="array" ref="G360">IF(G601="","",
G601*LOOKUP($F360,_xlfn._xlws.FILTER($F$454:$F$463,G$454:G$463&lt;&gt;""),_xlfn._xlws.FILTER(G$454:G$463,G$454:G$463&lt;&gt;"")))</f>
        <v/>
      </c>
      <c r="H360" s="81" t="str" cm="1">
        <f t="array" ref="H360">IF(H601="","",
H601*LOOKUP($F360,_xlfn._xlws.FILTER($F$454:$F$463,H$454:H$463&lt;&gt;""),_xlfn._xlws.FILTER(H$454:H$463,H$454:H$463&lt;&gt;"")))</f>
        <v/>
      </c>
      <c r="I360" s="81" t="str" cm="1">
        <f t="array" ref="I360">IF(I601="","",
I601*LOOKUP($F360,_xlfn._xlws.FILTER($F$454:$F$463,I$454:I$463&lt;&gt;""),_xlfn._xlws.FILTER(I$454:I$463,I$454:I$463&lt;&gt;"")))</f>
        <v/>
      </c>
      <c r="J360" s="88" t="str">
        <f t="shared" si="20"/>
        <v/>
      </c>
      <c r="K360" s="89" t="str" cm="1">
        <f t="array" ref="K360">IF(M601="","",
$N$477*(M601/LOOKUP($F360,_xlfn._xlws.FILTER($F$468:$F$477,G$468:G$477&lt;&gt;""),_xlfn._xlws.FILTER(G$468:G$477,G$468:G$477&lt;&gt;"")))*(N601/LOOKUP($F360,_xlfn._xlws.FILTER($F$468:$F$477,H$468:H$477&lt;&gt;""),_xlfn._xlws.FILTER(H$468:H$477,H$468:H$477&lt;&gt;""))))</f>
        <v/>
      </c>
      <c r="L360" s="84" t="str">
        <f t="shared" si="21"/>
        <v/>
      </c>
      <c r="M360" s="77" t="str">
        <f t="shared" si="23"/>
        <v/>
      </c>
      <c r="N360" s="12"/>
      <c r="O360" s="24">
        <v>48884</v>
      </c>
      <c r="P360" s="85" t="str">
        <f t="shared" si="15"/>
        <v/>
      </c>
      <c r="Q360" s="85" t="str">
        <f t="shared" si="16"/>
        <v/>
      </c>
      <c r="R360" s="85" t="str">
        <f t="shared" si="17"/>
        <v/>
      </c>
      <c r="S360" s="85" t="str">
        <f t="shared" si="18"/>
        <v/>
      </c>
      <c r="T360" s="86" t="str">
        <f t="shared" si="19"/>
        <v/>
      </c>
      <c r="U360" s="87" t="str">
        <f t="shared" si="22"/>
        <v/>
      </c>
      <c r="V360" s="12"/>
      <c r="W360" s="12"/>
    </row>
    <row r="361" spans="5:23" ht="13.5" hidden="1" customHeight="1">
      <c r="E361" s="12"/>
      <c r="F361" s="24">
        <v>48914</v>
      </c>
      <c r="G361" s="81" t="str" cm="1">
        <f t="array" ref="G361">IF(G602="","",
G602*LOOKUP($F361,_xlfn._xlws.FILTER($F$454:$F$463,G$454:G$463&lt;&gt;""),_xlfn._xlws.FILTER(G$454:G$463,G$454:G$463&lt;&gt;"")))</f>
        <v/>
      </c>
      <c r="H361" s="81" t="str" cm="1">
        <f t="array" ref="H361">IF(H602="","",
H602*LOOKUP($F361,_xlfn._xlws.FILTER($F$454:$F$463,H$454:H$463&lt;&gt;""),_xlfn._xlws.FILTER(H$454:H$463,H$454:H$463&lt;&gt;"")))</f>
        <v/>
      </c>
      <c r="I361" s="81" t="str" cm="1">
        <f t="array" ref="I361">IF(I602="","",
I602*LOOKUP($F361,_xlfn._xlws.FILTER($F$454:$F$463,I$454:I$463&lt;&gt;""),_xlfn._xlws.FILTER(I$454:I$463,I$454:I$463&lt;&gt;"")))</f>
        <v/>
      </c>
      <c r="J361" s="88" t="str">
        <f t="shared" si="20"/>
        <v/>
      </c>
      <c r="K361" s="89" t="str" cm="1">
        <f t="array" ref="K361">IF(M602="","",
$N$477*(M602/LOOKUP($F361,_xlfn._xlws.FILTER($F$468:$F$477,G$468:G$477&lt;&gt;""),_xlfn._xlws.FILTER(G$468:G$477,G$468:G$477&lt;&gt;"")))*(N602/LOOKUP($F361,_xlfn._xlws.FILTER($F$468:$F$477,H$468:H$477&lt;&gt;""),_xlfn._xlws.FILTER(H$468:H$477,H$468:H$477&lt;&gt;""))))</f>
        <v/>
      </c>
      <c r="L361" s="84" t="str">
        <f t="shared" si="21"/>
        <v/>
      </c>
      <c r="M361" s="77" t="str">
        <f t="shared" si="23"/>
        <v/>
      </c>
      <c r="N361" s="12"/>
      <c r="O361" s="24">
        <v>48914</v>
      </c>
      <c r="P361" s="85" t="str">
        <f t="shared" si="15"/>
        <v/>
      </c>
      <c r="Q361" s="85" t="str">
        <f t="shared" si="16"/>
        <v/>
      </c>
      <c r="R361" s="85" t="str">
        <f t="shared" si="17"/>
        <v/>
      </c>
      <c r="S361" s="85" t="str">
        <f t="shared" si="18"/>
        <v/>
      </c>
      <c r="T361" s="86" t="str">
        <f t="shared" si="19"/>
        <v/>
      </c>
      <c r="U361" s="87" t="str">
        <f t="shared" si="22"/>
        <v/>
      </c>
      <c r="V361" s="12"/>
      <c r="W361" s="12"/>
    </row>
    <row r="362" spans="5:23" ht="13.5" hidden="1" customHeight="1">
      <c r="E362" s="12"/>
      <c r="F362" s="24">
        <v>48945</v>
      </c>
      <c r="G362" s="81" t="str" cm="1">
        <f t="array" ref="G362">IF(G603="","",
G603*LOOKUP($F362,_xlfn._xlws.FILTER($F$454:$F$463,G$454:G$463&lt;&gt;""),_xlfn._xlws.FILTER(G$454:G$463,G$454:G$463&lt;&gt;"")))</f>
        <v/>
      </c>
      <c r="H362" s="81" t="str" cm="1">
        <f t="array" ref="H362">IF(H603="","",
H603*LOOKUP($F362,_xlfn._xlws.FILTER($F$454:$F$463,H$454:H$463&lt;&gt;""),_xlfn._xlws.FILTER(H$454:H$463,H$454:H$463&lt;&gt;"")))</f>
        <v/>
      </c>
      <c r="I362" s="81" t="str" cm="1">
        <f t="array" ref="I362">IF(I603="","",
I603*LOOKUP($F362,_xlfn._xlws.FILTER($F$454:$F$463,I$454:I$463&lt;&gt;""),_xlfn._xlws.FILTER(I$454:I$463,I$454:I$463&lt;&gt;"")))</f>
        <v/>
      </c>
      <c r="J362" s="88" t="str">
        <f t="shared" si="20"/>
        <v/>
      </c>
      <c r="K362" s="89" t="str" cm="1">
        <f t="array" ref="K362">IF(M603="","",
$N$477*(M603/LOOKUP($F362,_xlfn._xlws.FILTER($F$468:$F$477,G$468:G$477&lt;&gt;""),_xlfn._xlws.FILTER(G$468:G$477,G$468:G$477&lt;&gt;"")))*(N603/LOOKUP($F362,_xlfn._xlws.FILTER($F$468:$F$477,H$468:H$477&lt;&gt;""),_xlfn._xlws.FILTER(H$468:H$477,H$468:H$477&lt;&gt;""))))</f>
        <v/>
      </c>
      <c r="L362" s="84" t="str">
        <f t="shared" si="21"/>
        <v/>
      </c>
      <c r="M362" s="77" t="str">
        <f t="shared" si="23"/>
        <v/>
      </c>
      <c r="N362" s="12"/>
      <c r="O362" s="24">
        <v>48945</v>
      </c>
      <c r="P362" s="85" t="str">
        <f t="shared" si="15"/>
        <v/>
      </c>
      <c r="Q362" s="85" t="str">
        <f t="shared" si="16"/>
        <v/>
      </c>
      <c r="R362" s="85" t="str">
        <f t="shared" si="17"/>
        <v/>
      </c>
      <c r="S362" s="85" t="str">
        <f t="shared" si="18"/>
        <v/>
      </c>
      <c r="T362" s="86" t="str">
        <f t="shared" si="19"/>
        <v/>
      </c>
      <c r="U362" s="87" t="str">
        <f t="shared" si="22"/>
        <v/>
      </c>
      <c r="V362" s="12"/>
      <c r="W362" s="12"/>
    </row>
    <row r="363" spans="5:23" ht="13.5" hidden="1" customHeight="1">
      <c r="E363" s="12"/>
      <c r="F363" s="24">
        <v>48976</v>
      </c>
      <c r="G363" s="81" t="str" cm="1">
        <f t="array" ref="G363">IF(G604="","",
G604*LOOKUP($F363,_xlfn._xlws.FILTER($F$454:$F$463,G$454:G$463&lt;&gt;""),_xlfn._xlws.FILTER(G$454:G$463,G$454:G$463&lt;&gt;"")))</f>
        <v/>
      </c>
      <c r="H363" s="81" t="str" cm="1">
        <f t="array" ref="H363">IF(H604="","",
H604*LOOKUP($F363,_xlfn._xlws.FILTER($F$454:$F$463,H$454:H$463&lt;&gt;""),_xlfn._xlws.FILTER(H$454:H$463,H$454:H$463&lt;&gt;"")))</f>
        <v/>
      </c>
      <c r="I363" s="81" t="str" cm="1">
        <f t="array" ref="I363">IF(I604="","",
I604*LOOKUP($F363,_xlfn._xlws.FILTER($F$454:$F$463,I$454:I$463&lt;&gt;""),_xlfn._xlws.FILTER(I$454:I$463,I$454:I$463&lt;&gt;"")))</f>
        <v/>
      </c>
      <c r="J363" s="88" t="str">
        <f t="shared" si="20"/>
        <v/>
      </c>
      <c r="K363" s="89" t="str" cm="1">
        <f t="array" ref="K363">IF(M604="","",
$N$477*(M604/LOOKUP($F363,_xlfn._xlws.FILTER($F$468:$F$477,G$468:G$477&lt;&gt;""),_xlfn._xlws.FILTER(G$468:G$477,G$468:G$477&lt;&gt;"")))*(N604/LOOKUP($F363,_xlfn._xlws.FILTER($F$468:$F$477,H$468:H$477&lt;&gt;""),_xlfn._xlws.FILTER(H$468:H$477,H$468:H$477&lt;&gt;""))))</f>
        <v/>
      </c>
      <c r="L363" s="84" t="str">
        <f t="shared" si="21"/>
        <v/>
      </c>
      <c r="M363" s="77" t="str">
        <f t="shared" si="23"/>
        <v/>
      </c>
      <c r="N363" s="12"/>
      <c r="O363" s="24">
        <v>48976</v>
      </c>
      <c r="P363" s="85" t="str">
        <f t="shared" si="15"/>
        <v/>
      </c>
      <c r="Q363" s="85" t="str">
        <f t="shared" si="16"/>
        <v/>
      </c>
      <c r="R363" s="85" t="str">
        <f t="shared" si="17"/>
        <v/>
      </c>
      <c r="S363" s="85" t="str">
        <f t="shared" si="18"/>
        <v/>
      </c>
      <c r="T363" s="86" t="str">
        <f t="shared" si="19"/>
        <v/>
      </c>
      <c r="U363" s="87" t="str">
        <f t="shared" si="22"/>
        <v/>
      </c>
      <c r="V363" s="12"/>
      <c r="W363" s="12"/>
    </row>
    <row r="364" spans="5:23" ht="13.5" hidden="1" customHeight="1">
      <c r="E364" s="12"/>
      <c r="F364" s="24">
        <v>49004</v>
      </c>
      <c r="G364" s="81" t="str" cm="1">
        <f t="array" ref="G364">IF(G605="","",
G605*LOOKUP($F364,_xlfn._xlws.FILTER($F$454:$F$463,G$454:G$463&lt;&gt;""),_xlfn._xlws.FILTER(G$454:G$463,G$454:G$463&lt;&gt;"")))</f>
        <v/>
      </c>
      <c r="H364" s="81" t="str" cm="1">
        <f t="array" ref="H364">IF(H605="","",
H605*LOOKUP($F364,_xlfn._xlws.FILTER($F$454:$F$463,H$454:H$463&lt;&gt;""),_xlfn._xlws.FILTER(H$454:H$463,H$454:H$463&lt;&gt;"")))</f>
        <v/>
      </c>
      <c r="I364" s="81" t="str" cm="1">
        <f t="array" ref="I364">IF(I605="","",
I605*LOOKUP($F364,_xlfn._xlws.FILTER($F$454:$F$463,I$454:I$463&lt;&gt;""),_xlfn._xlws.FILTER(I$454:I$463,I$454:I$463&lt;&gt;"")))</f>
        <v/>
      </c>
      <c r="J364" s="88" t="str">
        <f t="shared" si="20"/>
        <v/>
      </c>
      <c r="K364" s="89" t="str" cm="1">
        <f t="array" ref="K364">IF(M605="","",
$N$477*(M605/LOOKUP($F364,_xlfn._xlws.FILTER($F$468:$F$477,G$468:G$477&lt;&gt;""),_xlfn._xlws.FILTER(G$468:G$477,G$468:G$477&lt;&gt;"")))*(N605/LOOKUP($F364,_xlfn._xlws.FILTER($F$468:$F$477,H$468:H$477&lt;&gt;""),_xlfn._xlws.FILTER(H$468:H$477,H$468:H$477&lt;&gt;""))))</f>
        <v/>
      </c>
      <c r="L364" s="84" t="str">
        <f t="shared" si="21"/>
        <v/>
      </c>
      <c r="M364" s="77" t="str">
        <f t="shared" si="23"/>
        <v/>
      </c>
      <c r="N364" s="12"/>
      <c r="O364" s="24">
        <v>49004</v>
      </c>
      <c r="P364" s="85" t="str">
        <f t="shared" si="15"/>
        <v/>
      </c>
      <c r="Q364" s="85" t="str">
        <f t="shared" si="16"/>
        <v/>
      </c>
      <c r="R364" s="85" t="str">
        <f t="shared" si="17"/>
        <v/>
      </c>
      <c r="S364" s="85" t="str">
        <f t="shared" si="18"/>
        <v/>
      </c>
      <c r="T364" s="86" t="str">
        <f t="shared" si="19"/>
        <v/>
      </c>
      <c r="U364" s="87" t="str">
        <f t="shared" si="22"/>
        <v/>
      </c>
      <c r="V364" s="12"/>
      <c r="W364" s="12"/>
    </row>
    <row r="365" spans="5:23" ht="13.5" hidden="1" customHeight="1">
      <c r="E365" s="12"/>
      <c r="F365" s="24">
        <v>49035</v>
      </c>
      <c r="G365" s="81" t="str" cm="1">
        <f t="array" ref="G365">IF(G606="","",
G606*LOOKUP($F365,_xlfn._xlws.FILTER($F$454:$F$463,G$454:G$463&lt;&gt;""),_xlfn._xlws.FILTER(G$454:G$463,G$454:G$463&lt;&gt;"")))</f>
        <v/>
      </c>
      <c r="H365" s="81" t="str" cm="1">
        <f t="array" ref="H365">IF(H606="","",
H606*LOOKUP($F365,_xlfn._xlws.FILTER($F$454:$F$463,H$454:H$463&lt;&gt;""),_xlfn._xlws.FILTER(H$454:H$463,H$454:H$463&lt;&gt;"")))</f>
        <v/>
      </c>
      <c r="I365" s="81" t="str" cm="1">
        <f t="array" ref="I365">IF(I606="","",
I606*LOOKUP($F365,_xlfn._xlws.FILTER($F$454:$F$463,I$454:I$463&lt;&gt;""),_xlfn._xlws.FILTER(I$454:I$463,I$454:I$463&lt;&gt;"")))</f>
        <v/>
      </c>
      <c r="J365" s="88" t="str">
        <f t="shared" si="20"/>
        <v/>
      </c>
      <c r="K365" s="89" t="str" cm="1">
        <f t="array" ref="K365">IF(M606="","",
$N$477*(M606/LOOKUP($F365,_xlfn._xlws.FILTER($F$468:$F$477,G$468:G$477&lt;&gt;""),_xlfn._xlws.FILTER(G$468:G$477,G$468:G$477&lt;&gt;"")))*(N606/LOOKUP($F365,_xlfn._xlws.FILTER($F$468:$F$477,H$468:H$477&lt;&gt;""),_xlfn._xlws.FILTER(H$468:H$477,H$468:H$477&lt;&gt;""))))</f>
        <v/>
      </c>
      <c r="L365" s="84" t="str">
        <f t="shared" si="21"/>
        <v/>
      </c>
      <c r="M365" s="77" t="str">
        <f t="shared" si="23"/>
        <v/>
      </c>
      <c r="N365" s="12"/>
      <c r="O365" s="24">
        <v>49035</v>
      </c>
      <c r="P365" s="85" t="str">
        <f t="shared" si="15"/>
        <v/>
      </c>
      <c r="Q365" s="85" t="str">
        <f t="shared" si="16"/>
        <v/>
      </c>
      <c r="R365" s="85" t="str">
        <f t="shared" si="17"/>
        <v/>
      </c>
      <c r="S365" s="85" t="str">
        <f t="shared" si="18"/>
        <v/>
      </c>
      <c r="T365" s="86" t="str">
        <f t="shared" si="19"/>
        <v/>
      </c>
      <c r="U365" s="87" t="str">
        <f t="shared" si="22"/>
        <v/>
      </c>
      <c r="V365" s="12"/>
      <c r="W365" s="12"/>
    </row>
    <row r="366" spans="5:23" ht="13.5" hidden="1" customHeight="1">
      <c r="E366" s="12"/>
      <c r="F366" s="24">
        <v>49065</v>
      </c>
      <c r="G366" s="81" t="str" cm="1">
        <f t="array" ref="G366">IF(G607="","",
G607*LOOKUP($F366,_xlfn._xlws.FILTER($F$454:$F$463,G$454:G$463&lt;&gt;""),_xlfn._xlws.FILTER(G$454:G$463,G$454:G$463&lt;&gt;"")))</f>
        <v/>
      </c>
      <c r="H366" s="81" t="str" cm="1">
        <f t="array" ref="H366">IF(H607="","",
H607*LOOKUP($F366,_xlfn._xlws.FILTER($F$454:$F$463,H$454:H$463&lt;&gt;""),_xlfn._xlws.FILTER(H$454:H$463,H$454:H$463&lt;&gt;"")))</f>
        <v/>
      </c>
      <c r="I366" s="81" t="str" cm="1">
        <f t="array" ref="I366">IF(I607="","",
I607*LOOKUP($F366,_xlfn._xlws.FILTER($F$454:$F$463,I$454:I$463&lt;&gt;""),_xlfn._xlws.FILTER(I$454:I$463,I$454:I$463&lt;&gt;"")))</f>
        <v/>
      </c>
      <c r="J366" s="88" t="str">
        <f t="shared" si="20"/>
        <v/>
      </c>
      <c r="K366" s="89" t="str" cm="1">
        <f t="array" ref="K366">IF(M607="","",
$N$477*(M607/LOOKUP($F366,_xlfn._xlws.FILTER($F$468:$F$477,G$468:G$477&lt;&gt;""),_xlfn._xlws.FILTER(G$468:G$477,G$468:G$477&lt;&gt;"")))*(N607/LOOKUP($F366,_xlfn._xlws.FILTER($F$468:$F$477,H$468:H$477&lt;&gt;""),_xlfn._xlws.FILTER(H$468:H$477,H$468:H$477&lt;&gt;""))))</f>
        <v/>
      </c>
      <c r="L366" s="84" t="str">
        <f t="shared" si="21"/>
        <v/>
      </c>
      <c r="M366" s="77" t="str">
        <f t="shared" si="23"/>
        <v/>
      </c>
      <c r="N366" s="12"/>
      <c r="O366" s="24">
        <v>49065</v>
      </c>
      <c r="P366" s="85" t="str">
        <f t="shared" si="15"/>
        <v/>
      </c>
      <c r="Q366" s="85" t="str">
        <f t="shared" si="16"/>
        <v/>
      </c>
      <c r="R366" s="85" t="str">
        <f t="shared" si="17"/>
        <v/>
      </c>
      <c r="S366" s="85" t="str">
        <f t="shared" si="18"/>
        <v/>
      </c>
      <c r="T366" s="86" t="str">
        <f t="shared" si="19"/>
        <v/>
      </c>
      <c r="U366" s="87" t="str">
        <f t="shared" si="22"/>
        <v/>
      </c>
      <c r="V366" s="12"/>
      <c r="W366" s="12"/>
    </row>
    <row r="367" spans="5:23" ht="13.5" hidden="1" customHeight="1">
      <c r="E367" s="12"/>
      <c r="F367" s="24">
        <v>49096</v>
      </c>
      <c r="G367" s="81" t="str" cm="1">
        <f t="array" ref="G367">IF(G608="","",
G608*LOOKUP($F367,_xlfn._xlws.FILTER($F$454:$F$463,G$454:G$463&lt;&gt;""),_xlfn._xlws.FILTER(G$454:G$463,G$454:G$463&lt;&gt;"")))</f>
        <v/>
      </c>
      <c r="H367" s="81" t="str" cm="1">
        <f t="array" ref="H367">IF(H608="","",
H608*LOOKUP($F367,_xlfn._xlws.FILTER($F$454:$F$463,H$454:H$463&lt;&gt;""),_xlfn._xlws.FILTER(H$454:H$463,H$454:H$463&lt;&gt;"")))</f>
        <v/>
      </c>
      <c r="I367" s="81" t="str" cm="1">
        <f t="array" ref="I367">IF(I608="","",
I608*LOOKUP($F367,_xlfn._xlws.FILTER($F$454:$F$463,I$454:I$463&lt;&gt;""),_xlfn._xlws.FILTER(I$454:I$463,I$454:I$463&lt;&gt;"")))</f>
        <v/>
      </c>
      <c r="J367" s="88" t="str">
        <f t="shared" si="20"/>
        <v/>
      </c>
      <c r="K367" s="89" t="str" cm="1">
        <f t="array" ref="K367">IF(M608="","",
$N$477*(M608/LOOKUP($F367,_xlfn._xlws.FILTER($F$468:$F$477,G$468:G$477&lt;&gt;""),_xlfn._xlws.FILTER(G$468:G$477,G$468:G$477&lt;&gt;"")))*(N608/LOOKUP($F367,_xlfn._xlws.FILTER($F$468:$F$477,H$468:H$477&lt;&gt;""),_xlfn._xlws.FILTER(H$468:H$477,H$468:H$477&lt;&gt;""))))</f>
        <v/>
      </c>
      <c r="L367" s="84" t="str">
        <f t="shared" si="21"/>
        <v/>
      </c>
      <c r="M367" s="77" t="str">
        <f t="shared" si="23"/>
        <v/>
      </c>
      <c r="N367" s="12"/>
      <c r="O367" s="24">
        <v>49096</v>
      </c>
      <c r="P367" s="85" t="str">
        <f t="shared" si="15"/>
        <v/>
      </c>
      <c r="Q367" s="85" t="str">
        <f t="shared" si="16"/>
        <v/>
      </c>
      <c r="R367" s="85" t="str">
        <f t="shared" si="17"/>
        <v/>
      </c>
      <c r="S367" s="85" t="str">
        <f t="shared" si="18"/>
        <v/>
      </c>
      <c r="T367" s="86" t="str">
        <f t="shared" si="19"/>
        <v/>
      </c>
      <c r="U367" s="87" t="str">
        <f t="shared" si="22"/>
        <v/>
      </c>
      <c r="V367" s="12"/>
      <c r="W367" s="12"/>
    </row>
    <row r="368" spans="5:23" ht="13.5" hidden="1" customHeight="1">
      <c r="E368" s="12"/>
      <c r="F368" s="24">
        <v>49126</v>
      </c>
      <c r="G368" s="81" t="str" cm="1">
        <f t="array" ref="G368">IF(G609="","",
G609*LOOKUP($F368,_xlfn._xlws.FILTER($F$454:$F$463,G$454:G$463&lt;&gt;""),_xlfn._xlws.FILTER(G$454:G$463,G$454:G$463&lt;&gt;"")))</f>
        <v/>
      </c>
      <c r="H368" s="81" t="str" cm="1">
        <f t="array" ref="H368">IF(H609="","",
H609*LOOKUP($F368,_xlfn._xlws.FILTER($F$454:$F$463,H$454:H$463&lt;&gt;""),_xlfn._xlws.FILTER(H$454:H$463,H$454:H$463&lt;&gt;"")))</f>
        <v/>
      </c>
      <c r="I368" s="81" t="str" cm="1">
        <f t="array" ref="I368">IF(I609="","",
I609*LOOKUP($F368,_xlfn._xlws.FILTER($F$454:$F$463,I$454:I$463&lt;&gt;""),_xlfn._xlws.FILTER(I$454:I$463,I$454:I$463&lt;&gt;"")))</f>
        <v/>
      </c>
      <c r="J368" s="88" t="str">
        <f t="shared" si="20"/>
        <v/>
      </c>
      <c r="K368" s="89" t="str" cm="1">
        <f t="array" ref="K368">IF(M609="","",
$N$477*(M609/LOOKUP($F368,_xlfn._xlws.FILTER($F$468:$F$477,G$468:G$477&lt;&gt;""),_xlfn._xlws.FILTER(G$468:G$477,G$468:G$477&lt;&gt;"")))*(N609/LOOKUP($F368,_xlfn._xlws.FILTER($F$468:$F$477,H$468:H$477&lt;&gt;""),_xlfn._xlws.FILTER(H$468:H$477,H$468:H$477&lt;&gt;""))))</f>
        <v/>
      </c>
      <c r="L368" s="84" t="str">
        <f t="shared" si="21"/>
        <v/>
      </c>
      <c r="M368" s="77" t="str">
        <f t="shared" si="23"/>
        <v/>
      </c>
      <c r="N368" s="12"/>
      <c r="O368" s="24">
        <v>49126</v>
      </c>
      <c r="P368" s="85" t="str">
        <f t="shared" si="15"/>
        <v/>
      </c>
      <c r="Q368" s="85" t="str">
        <f t="shared" si="16"/>
        <v/>
      </c>
      <c r="R368" s="85" t="str">
        <f t="shared" si="17"/>
        <v/>
      </c>
      <c r="S368" s="85" t="str">
        <f t="shared" si="18"/>
        <v/>
      </c>
      <c r="T368" s="86" t="str">
        <f t="shared" si="19"/>
        <v/>
      </c>
      <c r="U368" s="87" t="str">
        <f t="shared" si="22"/>
        <v/>
      </c>
      <c r="V368" s="12"/>
      <c r="W368" s="12"/>
    </row>
    <row r="369" spans="5:23" ht="13.5" hidden="1" customHeight="1">
      <c r="E369" s="12"/>
      <c r="F369" s="24">
        <v>49157</v>
      </c>
      <c r="G369" s="81" t="str" cm="1">
        <f t="array" ref="G369">IF(G610="","",
G610*LOOKUP($F369,_xlfn._xlws.FILTER($F$454:$F$463,G$454:G$463&lt;&gt;""),_xlfn._xlws.FILTER(G$454:G$463,G$454:G$463&lt;&gt;"")))</f>
        <v/>
      </c>
      <c r="H369" s="81" t="str" cm="1">
        <f t="array" ref="H369">IF(H610="","",
H610*LOOKUP($F369,_xlfn._xlws.FILTER($F$454:$F$463,H$454:H$463&lt;&gt;""),_xlfn._xlws.FILTER(H$454:H$463,H$454:H$463&lt;&gt;"")))</f>
        <v/>
      </c>
      <c r="I369" s="81" t="str" cm="1">
        <f t="array" ref="I369">IF(I610="","",
I610*LOOKUP($F369,_xlfn._xlws.FILTER($F$454:$F$463,I$454:I$463&lt;&gt;""),_xlfn._xlws.FILTER(I$454:I$463,I$454:I$463&lt;&gt;"")))</f>
        <v/>
      </c>
      <c r="J369" s="88" t="str">
        <f t="shared" si="20"/>
        <v/>
      </c>
      <c r="K369" s="89" t="str" cm="1">
        <f t="array" ref="K369">IF(M610="","",
$N$477*(M610/LOOKUP($F369,_xlfn._xlws.FILTER($F$468:$F$477,G$468:G$477&lt;&gt;""),_xlfn._xlws.FILTER(G$468:G$477,G$468:G$477&lt;&gt;"")))*(N610/LOOKUP($F369,_xlfn._xlws.FILTER($F$468:$F$477,H$468:H$477&lt;&gt;""),_xlfn._xlws.FILTER(H$468:H$477,H$468:H$477&lt;&gt;""))))</f>
        <v/>
      </c>
      <c r="L369" s="84" t="str">
        <f t="shared" si="21"/>
        <v/>
      </c>
      <c r="M369" s="77" t="str">
        <f t="shared" si="23"/>
        <v/>
      </c>
      <c r="N369" s="12"/>
      <c r="O369" s="24">
        <v>49157</v>
      </c>
      <c r="P369" s="85" t="str">
        <f t="shared" si="15"/>
        <v/>
      </c>
      <c r="Q369" s="85" t="str">
        <f t="shared" si="16"/>
        <v/>
      </c>
      <c r="R369" s="85" t="str">
        <f t="shared" si="17"/>
        <v/>
      </c>
      <c r="S369" s="85" t="str">
        <f t="shared" si="18"/>
        <v/>
      </c>
      <c r="T369" s="86" t="str">
        <f t="shared" si="19"/>
        <v/>
      </c>
      <c r="U369" s="87" t="str">
        <f t="shared" si="22"/>
        <v/>
      </c>
      <c r="V369" s="12"/>
      <c r="W369" s="12"/>
    </row>
    <row r="370" spans="5:23" ht="13.5" hidden="1" customHeight="1">
      <c r="E370" s="12"/>
      <c r="F370" s="24">
        <v>49188</v>
      </c>
      <c r="G370" s="81" t="str" cm="1">
        <f t="array" ref="G370">IF(G611="","",
G611*LOOKUP($F370,_xlfn._xlws.FILTER($F$454:$F$463,G$454:G$463&lt;&gt;""),_xlfn._xlws.FILTER(G$454:G$463,G$454:G$463&lt;&gt;"")))</f>
        <v/>
      </c>
      <c r="H370" s="81" t="str" cm="1">
        <f t="array" ref="H370">IF(H611="","",
H611*LOOKUP($F370,_xlfn._xlws.FILTER($F$454:$F$463,H$454:H$463&lt;&gt;""),_xlfn._xlws.FILTER(H$454:H$463,H$454:H$463&lt;&gt;"")))</f>
        <v/>
      </c>
      <c r="I370" s="81" t="str" cm="1">
        <f t="array" ref="I370">IF(I611="","",
I611*LOOKUP($F370,_xlfn._xlws.FILTER($F$454:$F$463,I$454:I$463&lt;&gt;""),_xlfn._xlws.FILTER(I$454:I$463,I$454:I$463&lt;&gt;"")))</f>
        <v/>
      </c>
      <c r="J370" s="88" t="str">
        <f t="shared" si="20"/>
        <v/>
      </c>
      <c r="K370" s="89" t="str" cm="1">
        <f t="array" ref="K370">IF(M611="","",
$N$477*(M611/LOOKUP($F370,_xlfn._xlws.FILTER($F$468:$F$477,G$468:G$477&lt;&gt;""),_xlfn._xlws.FILTER(G$468:G$477,G$468:G$477&lt;&gt;"")))*(N611/LOOKUP($F370,_xlfn._xlws.FILTER($F$468:$F$477,H$468:H$477&lt;&gt;""),_xlfn._xlws.FILTER(H$468:H$477,H$468:H$477&lt;&gt;""))))</f>
        <v/>
      </c>
      <c r="L370" s="84" t="str">
        <f t="shared" si="21"/>
        <v/>
      </c>
      <c r="M370" s="77" t="str">
        <f t="shared" si="23"/>
        <v/>
      </c>
      <c r="N370" s="12"/>
      <c r="O370" s="24">
        <v>49188</v>
      </c>
      <c r="P370" s="85" t="str">
        <f t="shared" ref="P370:P433" si="24">IFERROR((G370*Q$480)/$L370*($L$171/Q$481),"")</f>
        <v/>
      </c>
      <c r="Q370" s="85" t="str">
        <f t="shared" ref="Q370:Q433" si="25">IFERROR((H370*R$480)/$L370*($L$171/R$481),"")</f>
        <v/>
      </c>
      <c r="R370" s="85" t="str">
        <f t="shared" ref="R370:R433" si="26">IFERROR((I370*S$480)/$L370*($L$171/S$481),"")</f>
        <v/>
      </c>
      <c r="S370" s="85" t="str">
        <f t="shared" ref="S370:S433" si="27">IFERROR((J370*T$480)/$L370*($L$171/T$481),"")</f>
        <v/>
      </c>
      <c r="T370" s="86" t="str">
        <f t="shared" ref="T370:T433" si="28">IFERROR((K370*U$480)/$L370*($L$171/U$481),"")</f>
        <v/>
      </c>
      <c r="U370" s="87" t="str">
        <f t="shared" si="22"/>
        <v/>
      </c>
      <c r="V370" s="12"/>
      <c r="W370" s="12"/>
    </row>
    <row r="371" spans="5:23" ht="13.5" hidden="1" customHeight="1">
      <c r="E371" s="12"/>
      <c r="F371" s="24">
        <v>49218</v>
      </c>
      <c r="G371" s="81" t="str" cm="1">
        <f t="array" ref="G371">IF(G612="","",
G612*LOOKUP($F371,_xlfn._xlws.FILTER($F$454:$F$463,G$454:G$463&lt;&gt;""),_xlfn._xlws.FILTER(G$454:G$463,G$454:G$463&lt;&gt;"")))</f>
        <v/>
      </c>
      <c r="H371" s="81" t="str" cm="1">
        <f t="array" ref="H371">IF(H612="","",
H612*LOOKUP($F371,_xlfn._xlws.FILTER($F$454:$F$463,H$454:H$463&lt;&gt;""),_xlfn._xlws.FILTER(H$454:H$463,H$454:H$463&lt;&gt;"")))</f>
        <v/>
      </c>
      <c r="I371" s="81" t="str" cm="1">
        <f t="array" ref="I371">IF(I612="","",
I612*LOOKUP($F371,_xlfn._xlws.FILTER($F$454:$F$463,I$454:I$463&lt;&gt;""),_xlfn._xlws.FILTER(I$454:I$463,I$454:I$463&lt;&gt;"")))</f>
        <v/>
      </c>
      <c r="J371" s="88" t="str">
        <f t="shared" ref="J371:J434" si="29">IF(J612="","",J612)</f>
        <v/>
      </c>
      <c r="K371" s="89" t="str" cm="1">
        <f t="array" ref="K371">IF(M612="","",
$N$477*(M612/LOOKUP($F371,_xlfn._xlws.FILTER($F$468:$F$477,G$468:G$477&lt;&gt;""),_xlfn._xlws.FILTER(G$468:G$477,G$468:G$477&lt;&gt;"")))*(N612/LOOKUP($F371,_xlfn._xlws.FILTER($F$468:$F$477,H$468:H$477&lt;&gt;""),_xlfn._xlws.FILTER(H$468:H$477,H$468:H$477&lt;&gt;""))))</f>
        <v/>
      </c>
      <c r="L371" s="84" t="str">
        <f t="shared" ref="L371:L434" si="30">IF(V612="","",V612)</f>
        <v/>
      </c>
      <c r="M371" s="77" t="str">
        <f t="shared" si="23"/>
        <v/>
      </c>
      <c r="N371" s="12"/>
      <c r="O371" s="24">
        <v>49218</v>
      </c>
      <c r="P371" s="85" t="str">
        <f t="shared" si="24"/>
        <v/>
      </c>
      <c r="Q371" s="85" t="str">
        <f t="shared" si="25"/>
        <v/>
      </c>
      <c r="R371" s="85" t="str">
        <f t="shared" si="26"/>
        <v/>
      </c>
      <c r="S371" s="85" t="str">
        <f t="shared" si="27"/>
        <v/>
      </c>
      <c r="T371" s="86" t="str">
        <f t="shared" si="28"/>
        <v/>
      </c>
      <c r="U371" s="87" t="str">
        <f t="shared" ref="U371:U434" si="31">IF(P371="","",SUM(P371:T371))</f>
        <v/>
      </c>
      <c r="V371" s="12"/>
      <c r="W371" s="12"/>
    </row>
    <row r="372" spans="5:23" ht="13.5" hidden="1" customHeight="1">
      <c r="E372" s="12"/>
      <c r="F372" s="24">
        <v>49249</v>
      </c>
      <c r="G372" s="81" t="str" cm="1">
        <f t="array" ref="G372">IF(G613="","",
G613*LOOKUP($F372,_xlfn._xlws.FILTER($F$454:$F$463,G$454:G$463&lt;&gt;""),_xlfn._xlws.FILTER(G$454:G$463,G$454:G$463&lt;&gt;"")))</f>
        <v/>
      </c>
      <c r="H372" s="81" t="str" cm="1">
        <f t="array" ref="H372">IF(H613="","",
H613*LOOKUP($F372,_xlfn._xlws.FILTER($F$454:$F$463,H$454:H$463&lt;&gt;""),_xlfn._xlws.FILTER(H$454:H$463,H$454:H$463&lt;&gt;"")))</f>
        <v/>
      </c>
      <c r="I372" s="81" t="str" cm="1">
        <f t="array" ref="I372">IF(I613="","",
I613*LOOKUP($F372,_xlfn._xlws.FILTER($F$454:$F$463,I$454:I$463&lt;&gt;""),_xlfn._xlws.FILTER(I$454:I$463,I$454:I$463&lt;&gt;"")))</f>
        <v/>
      </c>
      <c r="J372" s="88" t="str">
        <f t="shared" si="29"/>
        <v/>
      </c>
      <c r="K372" s="89" t="str" cm="1">
        <f t="array" ref="K372">IF(M613="","",
$N$477*(M613/LOOKUP($F372,_xlfn._xlws.FILTER($F$468:$F$477,G$468:G$477&lt;&gt;""),_xlfn._xlws.FILTER(G$468:G$477,G$468:G$477&lt;&gt;"")))*(N613/LOOKUP($F372,_xlfn._xlws.FILTER($F$468:$F$477,H$468:H$477&lt;&gt;""),_xlfn._xlws.FILTER(H$468:H$477,H$468:H$477&lt;&gt;""))))</f>
        <v/>
      </c>
      <c r="L372" s="84" t="str">
        <f t="shared" si="30"/>
        <v/>
      </c>
      <c r="M372" s="77" t="str">
        <f t="shared" si="23"/>
        <v/>
      </c>
      <c r="N372" s="12"/>
      <c r="O372" s="24">
        <v>49249</v>
      </c>
      <c r="P372" s="85" t="str">
        <f t="shared" si="24"/>
        <v/>
      </c>
      <c r="Q372" s="85" t="str">
        <f t="shared" si="25"/>
        <v/>
      </c>
      <c r="R372" s="85" t="str">
        <f t="shared" si="26"/>
        <v/>
      </c>
      <c r="S372" s="85" t="str">
        <f t="shared" si="27"/>
        <v/>
      </c>
      <c r="T372" s="86" t="str">
        <f t="shared" si="28"/>
        <v/>
      </c>
      <c r="U372" s="87" t="str">
        <f t="shared" si="31"/>
        <v/>
      </c>
      <c r="V372" s="12"/>
      <c r="W372" s="12"/>
    </row>
    <row r="373" spans="5:23" ht="13.5" hidden="1" customHeight="1">
      <c r="E373" s="12"/>
      <c r="F373" s="24">
        <v>49279</v>
      </c>
      <c r="G373" s="81" t="str" cm="1">
        <f t="array" ref="G373">IF(G614="","",
G614*LOOKUP($F373,_xlfn._xlws.FILTER($F$454:$F$463,G$454:G$463&lt;&gt;""),_xlfn._xlws.FILTER(G$454:G$463,G$454:G$463&lt;&gt;"")))</f>
        <v/>
      </c>
      <c r="H373" s="81" t="str" cm="1">
        <f t="array" ref="H373">IF(H614="","",
H614*LOOKUP($F373,_xlfn._xlws.FILTER($F$454:$F$463,H$454:H$463&lt;&gt;""),_xlfn._xlws.FILTER(H$454:H$463,H$454:H$463&lt;&gt;"")))</f>
        <v/>
      </c>
      <c r="I373" s="81" t="str" cm="1">
        <f t="array" ref="I373">IF(I614="","",
I614*LOOKUP($F373,_xlfn._xlws.FILTER($F$454:$F$463,I$454:I$463&lt;&gt;""),_xlfn._xlws.FILTER(I$454:I$463,I$454:I$463&lt;&gt;"")))</f>
        <v/>
      </c>
      <c r="J373" s="88" t="str">
        <f t="shared" si="29"/>
        <v/>
      </c>
      <c r="K373" s="89" t="str" cm="1">
        <f t="array" ref="K373">IF(M614="","",
$N$477*(M614/LOOKUP($F373,_xlfn._xlws.FILTER($F$468:$F$477,G$468:G$477&lt;&gt;""),_xlfn._xlws.FILTER(G$468:G$477,G$468:G$477&lt;&gt;"")))*(N614/LOOKUP($F373,_xlfn._xlws.FILTER($F$468:$F$477,H$468:H$477&lt;&gt;""),_xlfn._xlws.FILTER(H$468:H$477,H$468:H$477&lt;&gt;""))))</f>
        <v/>
      </c>
      <c r="L373" s="84" t="str">
        <f t="shared" si="30"/>
        <v/>
      </c>
      <c r="M373" s="77" t="str">
        <f t="shared" si="23"/>
        <v/>
      </c>
      <c r="N373" s="12"/>
      <c r="O373" s="24">
        <v>49279</v>
      </c>
      <c r="P373" s="85" t="str">
        <f t="shared" si="24"/>
        <v/>
      </c>
      <c r="Q373" s="85" t="str">
        <f t="shared" si="25"/>
        <v/>
      </c>
      <c r="R373" s="85" t="str">
        <f t="shared" si="26"/>
        <v/>
      </c>
      <c r="S373" s="85" t="str">
        <f t="shared" si="27"/>
        <v/>
      </c>
      <c r="T373" s="86" t="str">
        <f t="shared" si="28"/>
        <v/>
      </c>
      <c r="U373" s="87" t="str">
        <f t="shared" si="31"/>
        <v/>
      </c>
      <c r="V373" s="12"/>
      <c r="W373" s="12"/>
    </row>
    <row r="374" spans="5:23" ht="13.5" hidden="1" customHeight="1">
      <c r="E374" s="12"/>
      <c r="F374" s="24">
        <v>49310</v>
      </c>
      <c r="G374" s="81" t="str" cm="1">
        <f t="array" ref="G374">IF(G615="","",
G615*LOOKUP($F374,_xlfn._xlws.FILTER($F$454:$F$463,G$454:G$463&lt;&gt;""),_xlfn._xlws.FILTER(G$454:G$463,G$454:G$463&lt;&gt;"")))</f>
        <v/>
      </c>
      <c r="H374" s="81" t="str" cm="1">
        <f t="array" ref="H374">IF(H615="","",
H615*LOOKUP($F374,_xlfn._xlws.FILTER($F$454:$F$463,H$454:H$463&lt;&gt;""),_xlfn._xlws.FILTER(H$454:H$463,H$454:H$463&lt;&gt;"")))</f>
        <v/>
      </c>
      <c r="I374" s="81" t="str" cm="1">
        <f t="array" ref="I374">IF(I615="","",
I615*LOOKUP($F374,_xlfn._xlws.FILTER($F$454:$F$463,I$454:I$463&lt;&gt;""),_xlfn._xlws.FILTER(I$454:I$463,I$454:I$463&lt;&gt;"")))</f>
        <v/>
      </c>
      <c r="J374" s="88" t="str">
        <f t="shared" si="29"/>
        <v/>
      </c>
      <c r="K374" s="89" t="str" cm="1">
        <f t="array" ref="K374">IF(M615="","",
$N$477*(M615/LOOKUP($F374,_xlfn._xlws.FILTER($F$468:$F$477,G$468:G$477&lt;&gt;""),_xlfn._xlws.FILTER(G$468:G$477,G$468:G$477&lt;&gt;"")))*(N615/LOOKUP($F374,_xlfn._xlws.FILTER($F$468:$F$477,H$468:H$477&lt;&gt;""),_xlfn._xlws.FILTER(H$468:H$477,H$468:H$477&lt;&gt;""))))</f>
        <v/>
      </c>
      <c r="L374" s="84" t="str">
        <f t="shared" si="30"/>
        <v/>
      </c>
      <c r="M374" s="77" t="str">
        <f t="shared" si="23"/>
        <v/>
      </c>
      <c r="N374" s="12"/>
      <c r="O374" s="24">
        <v>49310</v>
      </c>
      <c r="P374" s="85" t="str">
        <f t="shared" si="24"/>
        <v/>
      </c>
      <c r="Q374" s="85" t="str">
        <f t="shared" si="25"/>
        <v/>
      </c>
      <c r="R374" s="85" t="str">
        <f t="shared" si="26"/>
        <v/>
      </c>
      <c r="S374" s="85" t="str">
        <f t="shared" si="27"/>
        <v/>
      </c>
      <c r="T374" s="86" t="str">
        <f t="shared" si="28"/>
        <v/>
      </c>
      <c r="U374" s="87" t="str">
        <f t="shared" si="31"/>
        <v/>
      </c>
      <c r="V374" s="12"/>
      <c r="W374" s="12"/>
    </row>
    <row r="375" spans="5:23" ht="13.5" hidden="1" customHeight="1">
      <c r="E375" s="12"/>
      <c r="F375" s="24">
        <v>49341</v>
      </c>
      <c r="G375" s="81" t="str" cm="1">
        <f t="array" ref="G375">IF(G616="","",
G616*LOOKUP($F375,_xlfn._xlws.FILTER($F$454:$F$463,G$454:G$463&lt;&gt;""),_xlfn._xlws.FILTER(G$454:G$463,G$454:G$463&lt;&gt;"")))</f>
        <v/>
      </c>
      <c r="H375" s="81" t="str" cm="1">
        <f t="array" ref="H375">IF(H616="","",
H616*LOOKUP($F375,_xlfn._xlws.FILTER($F$454:$F$463,H$454:H$463&lt;&gt;""),_xlfn._xlws.FILTER(H$454:H$463,H$454:H$463&lt;&gt;"")))</f>
        <v/>
      </c>
      <c r="I375" s="81" t="str" cm="1">
        <f t="array" ref="I375">IF(I616="","",
I616*LOOKUP($F375,_xlfn._xlws.FILTER($F$454:$F$463,I$454:I$463&lt;&gt;""),_xlfn._xlws.FILTER(I$454:I$463,I$454:I$463&lt;&gt;"")))</f>
        <v/>
      </c>
      <c r="J375" s="88" t="str">
        <f t="shared" si="29"/>
        <v/>
      </c>
      <c r="K375" s="89" t="str" cm="1">
        <f t="array" ref="K375">IF(M616="","",
$N$477*(M616/LOOKUP($F375,_xlfn._xlws.FILTER($F$468:$F$477,G$468:G$477&lt;&gt;""),_xlfn._xlws.FILTER(G$468:G$477,G$468:G$477&lt;&gt;"")))*(N616/LOOKUP($F375,_xlfn._xlws.FILTER($F$468:$F$477,H$468:H$477&lt;&gt;""),_xlfn._xlws.FILTER(H$468:H$477,H$468:H$477&lt;&gt;""))))</f>
        <v/>
      </c>
      <c r="L375" s="84" t="str">
        <f t="shared" si="30"/>
        <v/>
      </c>
      <c r="M375" s="77" t="str">
        <f t="shared" si="23"/>
        <v/>
      </c>
      <c r="N375" s="12"/>
      <c r="O375" s="24">
        <v>49341</v>
      </c>
      <c r="P375" s="85" t="str">
        <f t="shared" si="24"/>
        <v/>
      </c>
      <c r="Q375" s="85" t="str">
        <f t="shared" si="25"/>
        <v/>
      </c>
      <c r="R375" s="85" t="str">
        <f t="shared" si="26"/>
        <v/>
      </c>
      <c r="S375" s="85" t="str">
        <f t="shared" si="27"/>
        <v/>
      </c>
      <c r="T375" s="86" t="str">
        <f t="shared" si="28"/>
        <v/>
      </c>
      <c r="U375" s="87" t="str">
        <f t="shared" si="31"/>
        <v/>
      </c>
      <c r="V375" s="12"/>
      <c r="W375" s="12"/>
    </row>
    <row r="376" spans="5:23" ht="13.5" hidden="1" customHeight="1">
      <c r="E376" s="12"/>
      <c r="F376" s="24">
        <v>49369</v>
      </c>
      <c r="G376" s="81" t="str" cm="1">
        <f t="array" ref="G376">IF(G617="","",
G617*LOOKUP($F376,_xlfn._xlws.FILTER($F$454:$F$463,G$454:G$463&lt;&gt;""),_xlfn._xlws.FILTER(G$454:G$463,G$454:G$463&lt;&gt;"")))</f>
        <v/>
      </c>
      <c r="H376" s="81" t="str" cm="1">
        <f t="array" ref="H376">IF(H617="","",
H617*LOOKUP($F376,_xlfn._xlws.FILTER($F$454:$F$463,H$454:H$463&lt;&gt;""),_xlfn._xlws.FILTER(H$454:H$463,H$454:H$463&lt;&gt;"")))</f>
        <v/>
      </c>
      <c r="I376" s="81" t="str" cm="1">
        <f t="array" ref="I376">IF(I617="","",
I617*LOOKUP($F376,_xlfn._xlws.FILTER($F$454:$F$463,I$454:I$463&lt;&gt;""),_xlfn._xlws.FILTER(I$454:I$463,I$454:I$463&lt;&gt;"")))</f>
        <v/>
      </c>
      <c r="J376" s="88" t="str">
        <f t="shared" si="29"/>
        <v/>
      </c>
      <c r="K376" s="89" t="str" cm="1">
        <f t="array" ref="K376">IF(M617="","",
$N$477*(M617/LOOKUP($F376,_xlfn._xlws.FILTER($F$468:$F$477,G$468:G$477&lt;&gt;""),_xlfn._xlws.FILTER(G$468:G$477,G$468:G$477&lt;&gt;"")))*(N617/LOOKUP($F376,_xlfn._xlws.FILTER($F$468:$F$477,H$468:H$477&lt;&gt;""),_xlfn._xlws.FILTER(H$468:H$477,H$468:H$477&lt;&gt;""))))</f>
        <v/>
      </c>
      <c r="L376" s="84" t="str">
        <f t="shared" si="30"/>
        <v/>
      </c>
      <c r="M376" s="77" t="str">
        <f t="shared" si="23"/>
        <v/>
      </c>
      <c r="N376" s="12"/>
      <c r="O376" s="24">
        <v>49369</v>
      </c>
      <c r="P376" s="85" t="str">
        <f t="shared" si="24"/>
        <v/>
      </c>
      <c r="Q376" s="85" t="str">
        <f t="shared" si="25"/>
        <v/>
      </c>
      <c r="R376" s="85" t="str">
        <f t="shared" si="26"/>
        <v/>
      </c>
      <c r="S376" s="85" t="str">
        <f t="shared" si="27"/>
        <v/>
      </c>
      <c r="T376" s="86" t="str">
        <f t="shared" si="28"/>
        <v/>
      </c>
      <c r="U376" s="87" t="str">
        <f t="shared" si="31"/>
        <v/>
      </c>
      <c r="V376" s="12"/>
      <c r="W376" s="12"/>
    </row>
    <row r="377" spans="5:23" ht="13.5" hidden="1" customHeight="1">
      <c r="E377" s="12"/>
      <c r="F377" s="24">
        <v>49400</v>
      </c>
      <c r="G377" s="81" t="str" cm="1">
        <f t="array" ref="G377">IF(G618="","",
G618*LOOKUP($F377,_xlfn._xlws.FILTER($F$454:$F$463,G$454:G$463&lt;&gt;""),_xlfn._xlws.FILTER(G$454:G$463,G$454:G$463&lt;&gt;"")))</f>
        <v/>
      </c>
      <c r="H377" s="81" t="str" cm="1">
        <f t="array" ref="H377">IF(H618="","",
H618*LOOKUP($F377,_xlfn._xlws.FILTER($F$454:$F$463,H$454:H$463&lt;&gt;""),_xlfn._xlws.FILTER(H$454:H$463,H$454:H$463&lt;&gt;"")))</f>
        <v/>
      </c>
      <c r="I377" s="81" t="str" cm="1">
        <f t="array" ref="I377">IF(I618="","",
I618*LOOKUP($F377,_xlfn._xlws.FILTER($F$454:$F$463,I$454:I$463&lt;&gt;""),_xlfn._xlws.FILTER(I$454:I$463,I$454:I$463&lt;&gt;"")))</f>
        <v/>
      </c>
      <c r="J377" s="88" t="str">
        <f t="shared" si="29"/>
        <v/>
      </c>
      <c r="K377" s="89" t="str" cm="1">
        <f t="array" ref="K377">IF(M618="","",
$N$477*(M618/LOOKUP($F377,_xlfn._xlws.FILTER($F$468:$F$477,G$468:G$477&lt;&gt;""),_xlfn._xlws.FILTER(G$468:G$477,G$468:G$477&lt;&gt;"")))*(N618/LOOKUP($F377,_xlfn._xlws.FILTER($F$468:$F$477,H$468:H$477&lt;&gt;""),_xlfn._xlws.FILTER(H$468:H$477,H$468:H$477&lt;&gt;""))))</f>
        <v/>
      </c>
      <c r="L377" s="84" t="str">
        <f t="shared" si="30"/>
        <v/>
      </c>
      <c r="M377" s="77" t="str">
        <f t="shared" si="23"/>
        <v/>
      </c>
      <c r="N377" s="12"/>
      <c r="O377" s="24">
        <v>49400</v>
      </c>
      <c r="P377" s="85" t="str">
        <f t="shared" si="24"/>
        <v/>
      </c>
      <c r="Q377" s="85" t="str">
        <f t="shared" si="25"/>
        <v/>
      </c>
      <c r="R377" s="85" t="str">
        <f t="shared" si="26"/>
        <v/>
      </c>
      <c r="S377" s="85" t="str">
        <f t="shared" si="27"/>
        <v/>
      </c>
      <c r="T377" s="86" t="str">
        <f t="shared" si="28"/>
        <v/>
      </c>
      <c r="U377" s="87" t="str">
        <f t="shared" si="31"/>
        <v/>
      </c>
      <c r="V377" s="12"/>
      <c r="W377" s="12"/>
    </row>
    <row r="378" spans="5:23" ht="13.5" hidden="1" customHeight="1">
      <c r="E378" s="12"/>
      <c r="F378" s="24">
        <v>49430</v>
      </c>
      <c r="G378" s="81" t="str" cm="1">
        <f t="array" ref="G378">IF(G619="","",
G619*LOOKUP($F378,_xlfn._xlws.FILTER($F$454:$F$463,G$454:G$463&lt;&gt;""),_xlfn._xlws.FILTER(G$454:G$463,G$454:G$463&lt;&gt;"")))</f>
        <v/>
      </c>
      <c r="H378" s="81" t="str" cm="1">
        <f t="array" ref="H378">IF(H619="","",
H619*LOOKUP($F378,_xlfn._xlws.FILTER($F$454:$F$463,H$454:H$463&lt;&gt;""),_xlfn._xlws.FILTER(H$454:H$463,H$454:H$463&lt;&gt;"")))</f>
        <v/>
      </c>
      <c r="I378" s="81" t="str" cm="1">
        <f t="array" ref="I378">IF(I619="","",
I619*LOOKUP($F378,_xlfn._xlws.FILTER($F$454:$F$463,I$454:I$463&lt;&gt;""),_xlfn._xlws.FILTER(I$454:I$463,I$454:I$463&lt;&gt;"")))</f>
        <v/>
      </c>
      <c r="J378" s="88" t="str">
        <f t="shared" si="29"/>
        <v/>
      </c>
      <c r="K378" s="89" t="str" cm="1">
        <f t="array" ref="K378">IF(M619="","",
$N$477*(M619/LOOKUP($F378,_xlfn._xlws.FILTER($F$468:$F$477,G$468:G$477&lt;&gt;""),_xlfn._xlws.FILTER(G$468:G$477,G$468:G$477&lt;&gt;"")))*(N619/LOOKUP($F378,_xlfn._xlws.FILTER($F$468:$F$477,H$468:H$477&lt;&gt;""),_xlfn._xlws.FILTER(H$468:H$477,H$468:H$477&lt;&gt;""))))</f>
        <v/>
      </c>
      <c r="L378" s="84" t="str">
        <f t="shared" si="30"/>
        <v/>
      </c>
      <c r="M378" s="77" t="str">
        <f t="shared" si="23"/>
        <v/>
      </c>
      <c r="N378" s="12"/>
      <c r="O378" s="24">
        <v>49430</v>
      </c>
      <c r="P378" s="85" t="str">
        <f t="shared" si="24"/>
        <v/>
      </c>
      <c r="Q378" s="85" t="str">
        <f t="shared" si="25"/>
        <v/>
      </c>
      <c r="R378" s="85" t="str">
        <f t="shared" si="26"/>
        <v/>
      </c>
      <c r="S378" s="85" t="str">
        <f t="shared" si="27"/>
        <v/>
      </c>
      <c r="T378" s="86" t="str">
        <f t="shared" si="28"/>
        <v/>
      </c>
      <c r="U378" s="87" t="str">
        <f t="shared" si="31"/>
        <v/>
      </c>
      <c r="V378" s="12"/>
      <c r="W378" s="12"/>
    </row>
    <row r="379" spans="5:23" ht="13.5" hidden="1" customHeight="1">
      <c r="E379" s="12"/>
      <c r="F379" s="24">
        <v>49461</v>
      </c>
      <c r="G379" s="81" t="str" cm="1">
        <f t="array" ref="G379">IF(G620="","",
G620*LOOKUP($F379,_xlfn._xlws.FILTER($F$454:$F$463,G$454:G$463&lt;&gt;""),_xlfn._xlws.FILTER(G$454:G$463,G$454:G$463&lt;&gt;"")))</f>
        <v/>
      </c>
      <c r="H379" s="81" t="str" cm="1">
        <f t="array" ref="H379">IF(H620="","",
H620*LOOKUP($F379,_xlfn._xlws.FILTER($F$454:$F$463,H$454:H$463&lt;&gt;""),_xlfn._xlws.FILTER(H$454:H$463,H$454:H$463&lt;&gt;"")))</f>
        <v/>
      </c>
      <c r="I379" s="81" t="str" cm="1">
        <f t="array" ref="I379">IF(I620="","",
I620*LOOKUP($F379,_xlfn._xlws.FILTER($F$454:$F$463,I$454:I$463&lt;&gt;""),_xlfn._xlws.FILTER(I$454:I$463,I$454:I$463&lt;&gt;"")))</f>
        <v/>
      </c>
      <c r="J379" s="88" t="str">
        <f t="shared" si="29"/>
        <v/>
      </c>
      <c r="K379" s="89" t="str" cm="1">
        <f t="array" ref="K379">IF(M620="","",
$N$477*(M620/LOOKUP($F379,_xlfn._xlws.FILTER($F$468:$F$477,G$468:G$477&lt;&gt;""),_xlfn._xlws.FILTER(G$468:G$477,G$468:G$477&lt;&gt;"")))*(N620/LOOKUP($F379,_xlfn._xlws.FILTER($F$468:$F$477,H$468:H$477&lt;&gt;""),_xlfn._xlws.FILTER(H$468:H$477,H$468:H$477&lt;&gt;""))))</f>
        <v/>
      </c>
      <c r="L379" s="84" t="str">
        <f t="shared" si="30"/>
        <v/>
      </c>
      <c r="M379" s="77" t="str">
        <f t="shared" si="23"/>
        <v/>
      </c>
      <c r="N379" s="12"/>
      <c r="O379" s="24">
        <v>49461</v>
      </c>
      <c r="P379" s="85" t="str">
        <f t="shared" si="24"/>
        <v/>
      </c>
      <c r="Q379" s="85" t="str">
        <f t="shared" si="25"/>
        <v/>
      </c>
      <c r="R379" s="85" t="str">
        <f t="shared" si="26"/>
        <v/>
      </c>
      <c r="S379" s="85" t="str">
        <f t="shared" si="27"/>
        <v/>
      </c>
      <c r="T379" s="86" t="str">
        <f t="shared" si="28"/>
        <v/>
      </c>
      <c r="U379" s="87" t="str">
        <f t="shared" si="31"/>
        <v/>
      </c>
      <c r="V379" s="12"/>
      <c r="W379" s="12"/>
    </row>
    <row r="380" spans="5:23" ht="13.5" hidden="1" customHeight="1">
      <c r="E380" s="12"/>
      <c r="F380" s="24">
        <v>49491</v>
      </c>
      <c r="G380" s="81" t="str" cm="1">
        <f t="array" ref="G380">IF(G621="","",
G621*LOOKUP($F380,_xlfn._xlws.FILTER($F$454:$F$463,G$454:G$463&lt;&gt;""),_xlfn._xlws.FILTER(G$454:G$463,G$454:G$463&lt;&gt;"")))</f>
        <v/>
      </c>
      <c r="H380" s="81" t="str" cm="1">
        <f t="array" ref="H380">IF(H621="","",
H621*LOOKUP($F380,_xlfn._xlws.FILTER($F$454:$F$463,H$454:H$463&lt;&gt;""),_xlfn._xlws.FILTER(H$454:H$463,H$454:H$463&lt;&gt;"")))</f>
        <v/>
      </c>
      <c r="I380" s="81" t="str" cm="1">
        <f t="array" ref="I380">IF(I621="","",
I621*LOOKUP($F380,_xlfn._xlws.FILTER($F$454:$F$463,I$454:I$463&lt;&gt;""),_xlfn._xlws.FILTER(I$454:I$463,I$454:I$463&lt;&gt;"")))</f>
        <v/>
      </c>
      <c r="J380" s="88" t="str">
        <f t="shared" si="29"/>
        <v/>
      </c>
      <c r="K380" s="89" t="str" cm="1">
        <f t="array" ref="K380">IF(M621="","",
$N$477*(M621/LOOKUP($F380,_xlfn._xlws.FILTER($F$468:$F$477,G$468:G$477&lt;&gt;""),_xlfn._xlws.FILTER(G$468:G$477,G$468:G$477&lt;&gt;"")))*(N621/LOOKUP($F380,_xlfn._xlws.FILTER($F$468:$F$477,H$468:H$477&lt;&gt;""),_xlfn._xlws.FILTER(H$468:H$477,H$468:H$477&lt;&gt;""))))</f>
        <v/>
      </c>
      <c r="L380" s="84" t="str">
        <f t="shared" si="30"/>
        <v/>
      </c>
      <c r="M380" s="77" t="str">
        <f t="shared" si="23"/>
        <v/>
      </c>
      <c r="N380" s="12"/>
      <c r="O380" s="24">
        <v>49491</v>
      </c>
      <c r="P380" s="85" t="str">
        <f t="shared" si="24"/>
        <v/>
      </c>
      <c r="Q380" s="85" t="str">
        <f t="shared" si="25"/>
        <v/>
      </c>
      <c r="R380" s="85" t="str">
        <f t="shared" si="26"/>
        <v/>
      </c>
      <c r="S380" s="85" t="str">
        <f t="shared" si="27"/>
        <v/>
      </c>
      <c r="T380" s="86" t="str">
        <f t="shared" si="28"/>
        <v/>
      </c>
      <c r="U380" s="87" t="str">
        <f t="shared" si="31"/>
        <v/>
      </c>
      <c r="V380" s="12"/>
      <c r="W380" s="12"/>
    </row>
    <row r="381" spans="5:23" ht="13.5" hidden="1" customHeight="1">
      <c r="E381" s="12"/>
      <c r="F381" s="24">
        <v>49522</v>
      </c>
      <c r="G381" s="81" t="str" cm="1">
        <f t="array" ref="G381">IF(G622="","",
G622*LOOKUP($F381,_xlfn._xlws.FILTER($F$454:$F$463,G$454:G$463&lt;&gt;""),_xlfn._xlws.FILTER(G$454:G$463,G$454:G$463&lt;&gt;"")))</f>
        <v/>
      </c>
      <c r="H381" s="81" t="str" cm="1">
        <f t="array" ref="H381">IF(H622="","",
H622*LOOKUP($F381,_xlfn._xlws.FILTER($F$454:$F$463,H$454:H$463&lt;&gt;""),_xlfn._xlws.FILTER(H$454:H$463,H$454:H$463&lt;&gt;"")))</f>
        <v/>
      </c>
      <c r="I381" s="81" t="str" cm="1">
        <f t="array" ref="I381">IF(I622="","",
I622*LOOKUP($F381,_xlfn._xlws.FILTER($F$454:$F$463,I$454:I$463&lt;&gt;""),_xlfn._xlws.FILTER(I$454:I$463,I$454:I$463&lt;&gt;"")))</f>
        <v/>
      </c>
      <c r="J381" s="88" t="str">
        <f t="shared" si="29"/>
        <v/>
      </c>
      <c r="K381" s="89" t="str" cm="1">
        <f t="array" ref="K381">IF(M622="","",
$N$477*(M622/LOOKUP($F381,_xlfn._xlws.FILTER($F$468:$F$477,G$468:G$477&lt;&gt;""),_xlfn._xlws.FILTER(G$468:G$477,G$468:G$477&lt;&gt;"")))*(N622/LOOKUP($F381,_xlfn._xlws.FILTER($F$468:$F$477,H$468:H$477&lt;&gt;""),_xlfn._xlws.FILTER(H$468:H$477,H$468:H$477&lt;&gt;""))))</f>
        <v/>
      </c>
      <c r="L381" s="84" t="str">
        <f t="shared" si="30"/>
        <v/>
      </c>
      <c r="M381" s="77" t="str">
        <f t="shared" si="23"/>
        <v/>
      </c>
      <c r="N381" s="12"/>
      <c r="O381" s="24">
        <v>49522</v>
      </c>
      <c r="P381" s="85" t="str">
        <f t="shared" si="24"/>
        <v/>
      </c>
      <c r="Q381" s="85" t="str">
        <f t="shared" si="25"/>
        <v/>
      </c>
      <c r="R381" s="85" t="str">
        <f t="shared" si="26"/>
        <v/>
      </c>
      <c r="S381" s="85" t="str">
        <f t="shared" si="27"/>
        <v/>
      </c>
      <c r="T381" s="86" t="str">
        <f t="shared" si="28"/>
        <v/>
      </c>
      <c r="U381" s="87" t="str">
        <f t="shared" si="31"/>
        <v/>
      </c>
      <c r="V381" s="12"/>
      <c r="W381" s="12"/>
    </row>
    <row r="382" spans="5:23" ht="13.5" hidden="1" customHeight="1">
      <c r="E382" s="12"/>
      <c r="F382" s="24">
        <v>49553</v>
      </c>
      <c r="G382" s="81" t="str" cm="1">
        <f t="array" ref="G382">IF(G623="","",
G623*LOOKUP($F382,_xlfn._xlws.FILTER($F$454:$F$463,G$454:G$463&lt;&gt;""),_xlfn._xlws.FILTER(G$454:G$463,G$454:G$463&lt;&gt;"")))</f>
        <v/>
      </c>
      <c r="H382" s="81" t="str" cm="1">
        <f t="array" ref="H382">IF(H623="","",
H623*LOOKUP($F382,_xlfn._xlws.FILTER($F$454:$F$463,H$454:H$463&lt;&gt;""),_xlfn._xlws.FILTER(H$454:H$463,H$454:H$463&lt;&gt;"")))</f>
        <v/>
      </c>
      <c r="I382" s="81" t="str" cm="1">
        <f t="array" ref="I382">IF(I623="","",
I623*LOOKUP($F382,_xlfn._xlws.FILTER($F$454:$F$463,I$454:I$463&lt;&gt;""),_xlfn._xlws.FILTER(I$454:I$463,I$454:I$463&lt;&gt;"")))</f>
        <v/>
      </c>
      <c r="J382" s="88" t="str">
        <f t="shared" si="29"/>
        <v/>
      </c>
      <c r="K382" s="89" t="str" cm="1">
        <f t="array" ref="K382">IF(M623="","",
$N$477*(M623/LOOKUP($F382,_xlfn._xlws.FILTER($F$468:$F$477,G$468:G$477&lt;&gt;""),_xlfn._xlws.FILTER(G$468:G$477,G$468:G$477&lt;&gt;"")))*(N623/LOOKUP($F382,_xlfn._xlws.FILTER($F$468:$F$477,H$468:H$477&lt;&gt;""),_xlfn._xlws.FILTER(H$468:H$477,H$468:H$477&lt;&gt;""))))</f>
        <v/>
      </c>
      <c r="L382" s="84" t="str">
        <f t="shared" si="30"/>
        <v/>
      </c>
      <c r="M382" s="77" t="str">
        <f t="shared" si="23"/>
        <v/>
      </c>
      <c r="N382" s="12"/>
      <c r="O382" s="24">
        <v>49553</v>
      </c>
      <c r="P382" s="85" t="str">
        <f t="shared" si="24"/>
        <v/>
      </c>
      <c r="Q382" s="85" t="str">
        <f t="shared" si="25"/>
        <v/>
      </c>
      <c r="R382" s="85" t="str">
        <f t="shared" si="26"/>
        <v/>
      </c>
      <c r="S382" s="85" t="str">
        <f t="shared" si="27"/>
        <v/>
      </c>
      <c r="T382" s="86" t="str">
        <f t="shared" si="28"/>
        <v/>
      </c>
      <c r="U382" s="87" t="str">
        <f t="shared" si="31"/>
        <v/>
      </c>
      <c r="V382" s="12"/>
      <c r="W382" s="12"/>
    </row>
    <row r="383" spans="5:23" ht="13.5" hidden="1" customHeight="1">
      <c r="E383" s="12"/>
      <c r="F383" s="24">
        <v>49583</v>
      </c>
      <c r="G383" s="81" t="str" cm="1">
        <f t="array" ref="G383">IF(G624="","",
G624*LOOKUP($F383,_xlfn._xlws.FILTER($F$454:$F$463,G$454:G$463&lt;&gt;""),_xlfn._xlws.FILTER(G$454:G$463,G$454:G$463&lt;&gt;"")))</f>
        <v/>
      </c>
      <c r="H383" s="81" t="str" cm="1">
        <f t="array" ref="H383">IF(H624="","",
H624*LOOKUP($F383,_xlfn._xlws.FILTER($F$454:$F$463,H$454:H$463&lt;&gt;""),_xlfn._xlws.FILTER(H$454:H$463,H$454:H$463&lt;&gt;"")))</f>
        <v/>
      </c>
      <c r="I383" s="81" t="str" cm="1">
        <f t="array" ref="I383">IF(I624="","",
I624*LOOKUP($F383,_xlfn._xlws.FILTER($F$454:$F$463,I$454:I$463&lt;&gt;""),_xlfn._xlws.FILTER(I$454:I$463,I$454:I$463&lt;&gt;"")))</f>
        <v/>
      </c>
      <c r="J383" s="88" t="str">
        <f t="shared" si="29"/>
        <v/>
      </c>
      <c r="K383" s="89" t="str" cm="1">
        <f t="array" ref="K383">IF(M624="","",
$N$477*(M624/LOOKUP($F383,_xlfn._xlws.FILTER($F$468:$F$477,G$468:G$477&lt;&gt;""),_xlfn._xlws.FILTER(G$468:G$477,G$468:G$477&lt;&gt;"")))*(N624/LOOKUP($F383,_xlfn._xlws.FILTER($F$468:$F$477,H$468:H$477&lt;&gt;""),_xlfn._xlws.FILTER(H$468:H$477,H$468:H$477&lt;&gt;""))))</f>
        <v/>
      </c>
      <c r="L383" s="84" t="str">
        <f t="shared" si="30"/>
        <v/>
      </c>
      <c r="M383" s="77" t="str">
        <f t="shared" si="23"/>
        <v/>
      </c>
      <c r="N383" s="12"/>
      <c r="O383" s="24">
        <v>49583</v>
      </c>
      <c r="P383" s="85" t="str">
        <f t="shared" si="24"/>
        <v/>
      </c>
      <c r="Q383" s="85" t="str">
        <f t="shared" si="25"/>
        <v/>
      </c>
      <c r="R383" s="85" t="str">
        <f t="shared" si="26"/>
        <v/>
      </c>
      <c r="S383" s="85" t="str">
        <f t="shared" si="27"/>
        <v/>
      </c>
      <c r="T383" s="86" t="str">
        <f t="shared" si="28"/>
        <v/>
      </c>
      <c r="U383" s="87" t="str">
        <f t="shared" si="31"/>
        <v/>
      </c>
      <c r="V383" s="12"/>
      <c r="W383" s="12"/>
    </row>
    <row r="384" spans="5:23" ht="13.5" hidden="1" customHeight="1">
      <c r="E384" s="12"/>
      <c r="F384" s="24">
        <v>49614</v>
      </c>
      <c r="G384" s="81" t="str" cm="1">
        <f t="array" ref="G384">IF(G625="","",
G625*LOOKUP($F384,_xlfn._xlws.FILTER($F$454:$F$463,G$454:G$463&lt;&gt;""),_xlfn._xlws.FILTER(G$454:G$463,G$454:G$463&lt;&gt;"")))</f>
        <v/>
      </c>
      <c r="H384" s="81" t="str" cm="1">
        <f t="array" ref="H384">IF(H625="","",
H625*LOOKUP($F384,_xlfn._xlws.FILTER($F$454:$F$463,H$454:H$463&lt;&gt;""),_xlfn._xlws.FILTER(H$454:H$463,H$454:H$463&lt;&gt;"")))</f>
        <v/>
      </c>
      <c r="I384" s="81" t="str" cm="1">
        <f t="array" ref="I384">IF(I625="","",
I625*LOOKUP($F384,_xlfn._xlws.FILTER($F$454:$F$463,I$454:I$463&lt;&gt;""),_xlfn._xlws.FILTER(I$454:I$463,I$454:I$463&lt;&gt;"")))</f>
        <v/>
      </c>
      <c r="J384" s="88" t="str">
        <f t="shared" si="29"/>
        <v/>
      </c>
      <c r="K384" s="89" t="str" cm="1">
        <f t="array" ref="K384">IF(M625="","",
$N$477*(M625/LOOKUP($F384,_xlfn._xlws.FILTER($F$468:$F$477,G$468:G$477&lt;&gt;""),_xlfn._xlws.FILTER(G$468:G$477,G$468:G$477&lt;&gt;"")))*(N625/LOOKUP($F384,_xlfn._xlws.FILTER($F$468:$F$477,H$468:H$477&lt;&gt;""),_xlfn._xlws.FILTER(H$468:H$477,H$468:H$477&lt;&gt;""))))</f>
        <v/>
      </c>
      <c r="L384" s="84" t="str">
        <f t="shared" si="30"/>
        <v/>
      </c>
      <c r="M384" s="77" t="str">
        <f t="shared" si="23"/>
        <v/>
      </c>
      <c r="N384" s="12"/>
      <c r="O384" s="24">
        <v>49614</v>
      </c>
      <c r="P384" s="85" t="str">
        <f t="shared" si="24"/>
        <v/>
      </c>
      <c r="Q384" s="85" t="str">
        <f t="shared" si="25"/>
        <v/>
      </c>
      <c r="R384" s="85" t="str">
        <f t="shared" si="26"/>
        <v/>
      </c>
      <c r="S384" s="85" t="str">
        <f t="shared" si="27"/>
        <v/>
      </c>
      <c r="T384" s="86" t="str">
        <f t="shared" si="28"/>
        <v/>
      </c>
      <c r="U384" s="87" t="str">
        <f t="shared" si="31"/>
        <v/>
      </c>
      <c r="V384" s="12"/>
      <c r="W384" s="12"/>
    </row>
    <row r="385" spans="5:23" ht="13.5" hidden="1" customHeight="1">
      <c r="E385" s="12"/>
      <c r="F385" s="24">
        <v>49644</v>
      </c>
      <c r="G385" s="81" t="str" cm="1">
        <f t="array" ref="G385">IF(G626="","",
G626*LOOKUP($F385,_xlfn._xlws.FILTER($F$454:$F$463,G$454:G$463&lt;&gt;""),_xlfn._xlws.FILTER(G$454:G$463,G$454:G$463&lt;&gt;"")))</f>
        <v/>
      </c>
      <c r="H385" s="81" t="str" cm="1">
        <f t="array" ref="H385">IF(H626="","",
H626*LOOKUP($F385,_xlfn._xlws.FILTER($F$454:$F$463,H$454:H$463&lt;&gt;""),_xlfn._xlws.FILTER(H$454:H$463,H$454:H$463&lt;&gt;"")))</f>
        <v/>
      </c>
      <c r="I385" s="81" t="str" cm="1">
        <f t="array" ref="I385">IF(I626="","",
I626*LOOKUP($F385,_xlfn._xlws.FILTER($F$454:$F$463,I$454:I$463&lt;&gt;""),_xlfn._xlws.FILTER(I$454:I$463,I$454:I$463&lt;&gt;"")))</f>
        <v/>
      </c>
      <c r="J385" s="88" t="str">
        <f t="shared" si="29"/>
        <v/>
      </c>
      <c r="K385" s="89" t="str" cm="1">
        <f t="array" ref="K385">IF(M626="","",
$N$477*(M626/LOOKUP($F385,_xlfn._xlws.FILTER($F$468:$F$477,G$468:G$477&lt;&gt;""),_xlfn._xlws.FILTER(G$468:G$477,G$468:G$477&lt;&gt;"")))*(N626/LOOKUP($F385,_xlfn._xlws.FILTER($F$468:$F$477,H$468:H$477&lt;&gt;""),_xlfn._xlws.FILTER(H$468:H$477,H$468:H$477&lt;&gt;""))))</f>
        <v/>
      </c>
      <c r="L385" s="84" t="str">
        <f t="shared" si="30"/>
        <v/>
      </c>
      <c r="M385" s="77" t="str">
        <f t="shared" si="23"/>
        <v/>
      </c>
      <c r="N385" s="12"/>
      <c r="O385" s="24">
        <v>49644</v>
      </c>
      <c r="P385" s="85" t="str">
        <f t="shared" si="24"/>
        <v/>
      </c>
      <c r="Q385" s="85" t="str">
        <f t="shared" si="25"/>
        <v/>
      </c>
      <c r="R385" s="85" t="str">
        <f t="shared" si="26"/>
        <v/>
      </c>
      <c r="S385" s="85" t="str">
        <f t="shared" si="27"/>
        <v/>
      </c>
      <c r="T385" s="86" t="str">
        <f t="shared" si="28"/>
        <v/>
      </c>
      <c r="U385" s="87" t="str">
        <f t="shared" si="31"/>
        <v/>
      </c>
      <c r="V385" s="12"/>
      <c r="W385" s="12"/>
    </row>
    <row r="386" spans="5:23" ht="13.5" hidden="1" customHeight="1">
      <c r="E386" s="12"/>
      <c r="F386" s="24">
        <v>49675</v>
      </c>
      <c r="G386" s="81" t="str" cm="1">
        <f t="array" ref="G386">IF(G627="","",
G627*LOOKUP($F386,_xlfn._xlws.FILTER($F$454:$F$463,G$454:G$463&lt;&gt;""),_xlfn._xlws.FILTER(G$454:G$463,G$454:G$463&lt;&gt;"")))</f>
        <v/>
      </c>
      <c r="H386" s="81" t="str" cm="1">
        <f t="array" ref="H386">IF(H627="","",
H627*LOOKUP($F386,_xlfn._xlws.FILTER($F$454:$F$463,H$454:H$463&lt;&gt;""),_xlfn._xlws.FILTER(H$454:H$463,H$454:H$463&lt;&gt;"")))</f>
        <v/>
      </c>
      <c r="I386" s="81" t="str" cm="1">
        <f t="array" ref="I386">IF(I627="","",
I627*LOOKUP($F386,_xlfn._xlws.FILTER($F$454:$F$463,I$454:I$463&lt;&gt;""),_xlfn._xlws.FILTER(I$454:I$463,I$454:I$463&lt;&gt;"")))</f>
        <v/>
      </c>
      <c r="J386" s="88" t="str">
        <f t="shared" si="29"/>
        <v/>
      </c>
      <c r="K386" s="89" t="str" cm="1">
        <f t="array" ref="K386">IF(M627="","",
$N$477*(M627/LOOKUP($F386,_xlfn._xlws.FILTER($F$468:$F$477,G$468:G$477&lt;&gt;""),_xlfn._xlws.FILTER(G$468:G$477,G$468:G$477&lt;&gt;"")))*(N627/LOOKUP($F386,_xlfn._xlws.FILTER($F$468:$F$477,H$468:H$477&lt;&gt;""),_xlfn._xlws.FILTER(H$468:H$477,H$468:H$477&lt;&gt;""))))</f>
        <v/>
      </c>
      <c r="L386" s="84" t="str">
        <f t="shared" si="30"/>
        <v/>
      </c>
      <c r="M386" s="77" t="str">
        <f t="shared" si="23"/>
        <v/>
      </c>
      <c r="N386" s="12"/>
      <c r="O386" s="24">
        <v>49675</v>
      </c>
      <c r="P386" s="85" t="str">
        <f t="shared" si="24"/>
        <v/>
      </c>
      <c r="Q386" s="85" t="str">
        <f t="shared" si="25"/>
        <v/>
      </c>
      <c r="R386" s="85" t="str">
        <f t="shared" si="26"/>
        <v/>
      </c>
      <c r="S386" s="85" t="str">
        <f t="shared" si="27"/>
        <v/>
      </c>
      <c r="T386" s="86" t="str">
        <f t="shared" si="28"/>
        <v/>
      </c>
      <c r="U386" s="87" t="str">
        <f t="shared" si="31"/>
        <v/>
      </c>
      <c r="V386" s="12"/>
      <c r="W386" s="12"/>
    </row>
    <row r="387" spans="5:23" ht="13.5" hidden="1" customHeight="1">
      <c r="E387" s="12"/>
      <c r="F387" s="24">
        <v>49706</v>
      </c>
      <c r="G387" s="81" t="str" cm="1">
        <f t="array" ref="G387">IF(G628="","",
G628*LOOKUP($F387,_xlfn._xlws.FILTER($F$454:$F$463,G$454:G$463&lt;&gt;""),_xlfn._xlws.FILTER(G$454:G$463,G$454:G$463&lt;&gt;"")))</f>
        <v/>
      </c>
      <c r="H387" s="81" t="str" cm="1">
        <f t="array" ref="H387">IF(H628="","",
H628*LOOKUP($F387,_xlfn._xlws.FILTER($F$454:$F$463,H$454:H$463&lt;&gt;""),_xlfn._xlws.FILTER(H$454:H$463,H$454:H$463&lt;&gt;"")))</f>
        <v/>
      </c>
      <c r="I387" s="81" t="str" cm="1">
        <f t="array" ref="I387">IF(I628="","",
I628*LOOKUP($F387,_xlfn._xlws.FILTER($F$454:$F$463,I$454:I$463&lt;&gt;""),_xlfn._xlws.FILTER(I$454:I$463,I$454:I$463&lt;&gt;"")))</f>
        <v/>
      </c>
      <c r="J387" s="88" t="str">
        <f t="shared" si="29"/>
        <v/>
      </c>
      <c r="K387" s="89" t="str" cm="1">
        <f t="array" ref="K387">IF(M628="","",
$N$477*(M628/LOOKUP($F387,_xlfn._xlws.FILTER($F$468:$F$477,G$468:G$477&lt;&gt;""),_xlfn._xlws.FILTER(G$468:G$477,G$468:G$477&lt;&gt;"")))*(N628/LOOKUP($F387,_xlfn._xlws.FILTER($F$468:$F$477,H$468:H$477&lt;&gt;""),_xlfn._xlws.FILTER(H$468:H$477,H$468:H$477&lt;&gt;""))))</f>
        <v/>
      </c>
      <c r="L387" s="84" t="str">
        <f t="shared" si="30"/>
        <v/>
      </c>
      <c r="M387" s="77" t="str">
        <f t="shared" si="23"/>
        <v/>
      </c>
      <c r="N387" s="12"/>
      <c r="O387" s="24">
        <v>49706</v>
      </c>
      <c r="P387" s="85" t="str">
        <f t="shared" si="24"/>
        <v/>
      </c>
      <c r="Q387" s="85" t="str">
        <f t="shared" si="25"/>
        <v/>
      </c>
      <c r="R387" s="85" t="str">
        <f t="shared" si="26"/>
        <v/>
      </c>
      <c r="S387" s="85" t="str">
        <f t="shared" si="27"/>
        <v/>
      </c>
      <c r="T387" s="86" t="str">
        <f t="shared" si="28"/>
        <v/>
      </c>
      <c r="U387" s="87" t="str">
        <f t="shared" si="31"/>
        <v/>
      </c>
      <c r="V387" s="12"/>
      <c r="W387" s="12"/>
    </row>
    <row r="388" spans="5:23" ht="13.5" hidden="1" customHeight="1">
      <c r="E388" s="12"/>
      <c r="F388" s="24">
        <v>49735</v>
      </c>
      <c r="G388" s="81" t="str" cm="1">
        <f t="array" ref="G388">IF(G629="","",
G629*LOOKUP($F388,_xlfn._xlws.FILTER($F$454:$F$463,G$454:G$463&lt;&gt;""),_xlfn._xlws.FILTER(G$454:G$463,G$454:G$463&lt;&gt;"")))</f>
        <v/>
      </c>
      <c r="H388" s="81" t="str" cm="1">
        <f t="array" ref="H388">IF(H629="","",
H629*LOOKUP($F388,_xlfn._xlws.FILTER($F$454:$F$463,H$454:H$463&lt;&gt;""),_xlfn._xlws.FILTER(H$454:H$463,H$454:H$463&lt;&gt;"")))</f>
        <v/>
      </c>
      <c r="I388" s="81" t="str" cm="1">
        <f t="array" ref="I388">IF(I629="","",
I629*LOOKUP($F388,_xlfn._xlws.FILTER($F$454:$F$463,I$454:I$463&lt;&gt;""),_xlfn._xlws.FILTER(I$454:I$463,I$454:I$463&lt;&gt;"")))</f>
        <v/>
      </c>
      <c r="J388" s="88" t="str">
        <f t="shared" si="29"/>
        <v/>
      </c>
      <c r="K388" s="89" t="str" cm="1">
        <f t="array" ref="K388">IF(M629="","",
$N$477*(M629/LOOKUP($F388,_xlfn._xlws.FILTER($F$468:$F$477,G$468:G$477&lt;&gt;""),_xlfn._xlws.FILTER(G$468:G$477,G$468:G$477&lt;&gt;"")))*(N629/LOOKUP($F388,_xlfn._xlws.FILTER($F$468:$F$477,H$468:H$477&lt;&gt;""),_xlfn._xlws.FILTER(H$468:H$477,H$468:H$477&lt;&gt;""))))</f>
        <v/>
      </c>
      <c r="L388" s="84" t="str">
        <f t="shared" si="30"/>
        <v/>
      </c>
      <c r="M388" s="77" t="str">
        <f t="shared" si="23"/>
        <v/>
      </c>
      <c r="N388" s="12"/>
      <c r="O388" s="24">
        <v>49735</v>
      </c>
      <c r="P388" s="85" t="str">
        <f t="shared" si="24"/>
        <v/>
      </c>
      <c r="Q388" s="85" t="str">
        <f t="shared" si="25"/>
        <v/>
      </c>
      <c r="R388" s="85" t="str">
        <f t="shared" si="26"/>
        <v/>
      </c>
      <c r="S388" s="85" t="str">
        <f t="shared" si="27"/>
        <v/>
      </c>
      <c r="T388" s="86" t="str">
        <f t="shared" si="28"/>
        <v/>
      </c>
      <c r="U388" s="87" t="str">
        <f t="shared" si="31"/>
        <v/>
      </c>
      <c r="V388" s="12"/>
      <c r="W388" s="12"/>
    </row>
    <row r="389" spans="5:23" ht="13.5" hidden="1" customHeight="1">
      <c r="E389" s="12"/>
      <c r="F389" s="24">
        <v>49766</v>
      </c>
      <c r="G389" s="81" t="str" cm="1">
        <f t="array" ref="G389">IF(G630="","",
G630*LOOKUP($F389,_xlfn._xlws.FILTER($F$454:$F$463,G$454:G$463&lt;&gt;""),_xlfn._xlws.FILTER(G$454:G$463,G$454:G$463&lt;&gt;"")))</f>
        <v/>
      </c>
      <c r="H389" s="81" t="str" cm="1">
        <f t="array" ref="H389">IF(H630="","",
H630*LOOKUP($F389,_xlfn._xlws.FILTER($F$454:$F$463,H$454:H$463&lt;&gt;""),_xlfn._xlws.FILTER(H$454:H$463,H$454:H$463&lt;&gt;"")))</f>
        <v/>
      </c>
      <c r="I389" s="81" t="str" cm="1">
        <f t="array" ref="I389">IF(I630="","",
I630*LOOKUP($F389,_xlfn._xlws.FILTER($F$454:$F$463,I$454:I$463&lt;&gt;""),_xlfn._xlws.FILTER(I$454:I$463,I$454:I$463&lt;&gt;"")))</f>
        <v/>
      </c>
      <c r="J389" s="88" t="str">
        <f t="shared" si="29"/>
        <v/>
      </c>
      <c r="K389" s="89" t="str" cm="1">
        <f t="array" ref="K389">IF(M630="","",
$N$477*(M630/LOOKUP($F389,_xlfn._xlws.FILTER($F$468:$F$477,G$468:G$477&lt;&gt;""),_xlfn._xlws.FILTER(G$468:G$477,G$468:G$477&lt;&gt;"")))*(N630/LOOKUP($F389,_xlfn._xlws.FILTER($F$468:$F$477,H$468:H$477&lt;&gt;""),_xlfn._xlws.FILTER(H$468:H$477,H$468:H$477&lt;&gt;""))))</f>
        <v/>
      </c>
      <c r="L389" s="84" t="str">
        <f t="shared" si="30"/>
        <v/>
      </c>
      <c r="M389" s="77" t="str">
        <f t="shared" si="23"/>
        <v/>
      </c>
      <c r="N389" s="12"/>
      <c r="O389" s="24">
        <v>49766</v>
      </c>
      <c r="P389" s="85" t="str">
        <f t="shared" si="24"/>
        <v/>
      </c>
      <c r="Q389" s="85" t="str">
        <f t="shared" si="25"/>
        <v/>
      </c>
      <c r="R389" s="85" t="str">
        <f t="shared" si="26"/>
        <v/>
      </c>
      <c r="S389" s="85" t="str">
        <f t="shared" si="27"/>
        <v/>
      </c>
      <c r="T389" s="86" t="str">
        <f t="shared" si="28"/>
        <v/>
      </c>
      <c r="U389" s="87" t="str">
        <f t="shared" si="31"/>
        <v/>
      </c>
      <c r="V389" s="12"/>
      <c r="W389" s="12"/>
    </row>
    <row r="390" spans="5:23" ht="13.5" hidden="1" customHeight="1">
      <c r="E390" s="12"/>
      <c r="F390" s="24">
        <v>49796</v>
      </c>
      <c r="G390" s="81" t="str" cm="1">
        <f t="array" ref="G390">IF(G631="","",
G631*LOOKUP($F390,_xlfn._xlws.FILTER($F$454:$F$463,G$454:G$463&lt;&gt;""),_xlfn._xlws.FILTER(G$454:G$463,G$454:G$463&lt;&gt;"")))</f>
        <v/>
      </c>
      <c r="H390" s="81" t="str" cm="1">
        <f t="array" ref="H390">IF(H631="","",
H631*LOOKUP($F390,_xlfn._xlws.FILTER($F$454:$F$463,H$454:H$463&lt;&gt;""),_xlfn._xlws.FILTER(H$454:H$463,H$454:H$463&lt;&gt;"")))</f>
        <v/>
      </c>
      <c r="I390" s="81" t="str" cm="1">
        <f t="array" ref="I390">IF(I631="","",
I631*LOOKUP($F390,_xlfn._xlws.FILTER($F$454:$F$463,I$454:I$463&lt;&gt;""),_xlfn._xlws.FILTER(I$454:I$463,I$454:I$463&lt;&gt;"")))</f>
        <v/>
      </c>
      <c r="J390" s="88" t="str">
        <f t="shared" si="29"/>
        <v/>
      </c>
      <c r="K390" s="89" t="str" cm="1">
        <f t="array" ref="K390">IF(M631="","",
$N$477*(M631/LOOKUP($F390,_xlfn._xlws.FILTER($F$468:$F$477,G$468:G$477&lt;&gt;""),_xlfn._xlws.FILTER(G$468:G$477,G$468:G$477&lt;&gt;"")))*(N631/LOOKUP($F390,_xlfn._xlws.FILTER($F$468:$F$477,H$468:H$477&lt;&gt;""),_xlfn._xlws.FILTER(H$468:H$477,H$468:H$477&lt;&gt;""))))</f>
        <v/>
      </c>
      <c r="L390" s="84" t="str">
        <f t="shared" si="30"/>
        <v/>
      </c>
      <c r="M390" s="77" t="str">
        <f t="shared" si="23"/>
        <v/>
      </c>
      <c r="N390" s="12"/>
      <c r="O390" s="24">
        <v>49796</v>
      </c>
      <c r="P390" s="85" t="str">
        <f t="shared" si="24"/>
        <v/>
      </c>
      <c r="Q390" s="85" t="str">
        <f t="shared" si="25"/>
        <v/>
      </c>
      <c r="R390" s="85" t="str">
        <f t="shared" si="26"/>
        <v/>
      </c>
      <c r="S390" s="85" t="str">
        <f t="shared" si="27"/>
        <v/>
      </c>
      <c r="T390" s="86" t="str">
        <f t="shared" si="28"/>
        <v/>
      </c>
      <c r="U390" s="87" t="str">
        <f t="shared" si="31"/>
        <v/>
      </c>
      <c r="V390" s="12"/>
      <c r="W390" s="12"/>
    </row>
    <row r="391" spans="5:23" ht="13.5" hidden="1" customHeight="1">
      <c r="E391" s="12"/>
      <c r="F391" s="24">
        <v>49827</v>
      </c>
      <c r="G391" s="81" t="str" cm="1">
        <f t="array" ref="G391">IF(G632="","",
G632*LOOKUP($F391,_xlfn._xlws.FILTER($F$454:$F$463,G$454:G$463&lt;&gt;""),_xlfn._xlws.FILTER(G$454:G$463,G$454:G$463&lt;&gt;"")))</f>
        <v/>
      </c>
      <c r="H391" s="81" t="str" cm="1">
        <f t="array" ref="H391">IF(H632="","",
H632*LOOKUP($F391,_xlfn._xlws.FILTER($F$454:$F$463,H$454:H$463&lt;&gt;""),_xlfn._xlws.FILTER(H$454:H$463,H$454:H$463&lt;&gt;"")))</f>
        <v/>
      </c>
      <c r="I391" s="81" t="str" cm="1">
        <f t="array" ref="I391">IF(I632="","",
I632*LOOKUP($F391,_xlfn._xlws.FILTER($F$454:$F$463,I$454:I$463&lt;&gt;""),_xlfn._xlws.FILTER(I$454:I$463,I$454:I$463&lt;&gt;"")))</f>
        <v/>
      </c>
      <c r="J391" s="88" t="str">
        <f t="shared" si="29"/>
        <v/>
      </c>
      <c r="K391" s="89" t="str" cm="1">
        <f t="array" ref="K391">IF(M632="","",
$N$477*(M632/LOOKUP($F391,_xlfn._xlws.FILTER($F$468:$F$477,G$468:G$477&lt;&gt;""),_xlfn._xlws.FILTER(G$468:G$477,G$468:G$477&lt;&gt;"")))*(N632/LOOKUP($F391,_xlfn._xlws.FILTER($F$468:$F$477,H$468:H$477&lt;&gt;""),_xlfn._xlws.FILTER(H$468:H$477,H$468:H$477&lt;&gt;""))))</f>
        <v/>
      </c>
      <c r="L391" s="84" t="str">
        <f t="shared" si="30"/>
        <v/>
      </c>
      <c r="M391" s="77" t="str">
        <f t="shared" si="23"/>
        <v/>
      </c>
      <c r="N391" s="12"/>
      <c r="O391" s="24">
        <v>49827</v>
      </c>
      <c r="P391" s="85" t="str">
        <f t="shared" si="24"/>
        <v/>
      </c>
      <c r="Q391" s="85" t="str">
        <f t="shared" si="25"/>
        <v/>
      </c>
      <c r="R391" s="85" t="str">
        <f t="shared" si="26"/>
        <v/>
      </c>
      <c r="S391" s="85" t="str">
        <f t="shared" si="27"/>
        <v/>
      </c>
      <c r="T391" s="86" t="str">
        <f t="shared" si="28"/>
        <v/>
      </c>
      <c r="U391" s="87" t="str">
        <f t="shared" si="31"/>
        <v/>
      </c>
      <c r="V391" s="12"/>
      <c r="W391" s="12"/>
    </row>
    <row r="392" spans="5:23" ht="13.5" hidden="1" customHeight="1">
      <c r="E392" s="12"/>
      <c r="F392" s="24">
        <v>49857</v>
      </c>
      <c r="G392" s="81" t="str" cm="1">
        <f t="array" ref="G392">IF(G633="","",
G633*LOOKUP($F392,_xlfn._xlws.FILTER($F$454:$F$463,G$454:G$463&lt;&gt;""),_xlfn._xlws.FILTER(G$454:G$463,G$454:G$463&lt;&gt;"")))</f>
        <v/>
      </c>
      <c r="H392" s="81" t="str" cm="1">
        <f t="array" ref="H392">IF(H633="","",
H633*LOOKUP($F392,_xlfn._xlws.FILTER($F$454:$F$463,H$454:H$463&lt;&gt;""),_xlfn._xlws.FILTER(H$454:H$463,H$454:H$463&lt;&gt;"")))</f>
        <v/>
      </c>
      <c r="I392" s="81" t="str" cm="1">
        <f t="array" ref="I392">IF(I633="","",
I633*LOOKUP($F392,_xlfn._xlws.FILTER($F$454:$F$463,I$454:I$463&lt;&gt;""),_xlfn._xlws.FILTER(I$454:I$463,I$454:I$463&lt;&gt;"")))</f>
        <v/>
      </c>
      <c r="J392" s="88" t="str">
        <f t="shared" si="29"/>
        <v/>
      </c>
      <c r="K392" s="89" t="str" cm="1">
        <f t="array" ref="K392">IF(M633="","",
$N$477*(M633/LOOKUP($F392,_xlfn._xlws.FILTER($F$468:$F$477,G$468:G$477&lt;&gt;""),_xlfn._xlws.FILTER(G$468:G$477,G$468:G$477&lt;&gt;"")))*(N633/LOOKUP($F392,_xlfn._xlws.FILTER($F$468:$F$477,H$468:H$477&lt;&gt;""),_xlfn._xlws.FILTER(H$468:H$477,H$468:H$477&lt;&gt;""))))</f>
        <v/>
      </c>
      <c r="L392" s="84" t="str">
        <f t="shared" si="30"/>
        <v/>
      </c>
      <c r="M392" s="77" t="str">
        <f t="shared" si="23"/>
        <v/>
      </c>
      <c r="N392" s="12"/>
      <c r="O392" s="24">
        <v>49857</v>
      </c>
      <c r="P392" s="85" t="str">
        <f t="shared" si="24"/>
        <v/>
      </c>
      <c r="Q392" s="85" t="str">
        <f t="shared" si="25"/>
        <v/>
      </c>
      <c r="R392" s="85" t="str">
        <f t="shared" si="26"/>
        <v/>
      </c>
      <c r="S392" s="85" t="str">
        <f t="shared" si="27"/>
        <v/>
      </c>
      <c r="T392" s="86" t="str">
        <f t="shared" si="28"/>
        <v/>
      </c>
      <c r="U392" s="87" t="str">
        <f t="shared" si="31"/>
        <v/>
      </c>
      <c r="V392" s="12"/>
      <c r="W392" s="12"/>
    </row>
    <row r="393" spans="5:23" ht="13.5" hidden="1" customHeight="1">
      <c r="E393" s="12"/>
      <c r="F393" s="24">
        <v>49888</v>
      </c>
      <c r="G393" s="81" t="str" cm="1">
        <f t="array" ref="G393">IF(G634="","",
G634*LOOKUP($F393,_xlfn._xlws.FILTER($F$454:$F$463,G$454:G$463&lt;&gt;""),_xlfn._xlws.FILTER(G$454:G$463,G$454:G$463&lt;&gt;"")))</f>
        <v/>
      </c>
      <c r="H393" s="81" t="str" cm="1">
        <f t="array" ref="H393">IF(H634="","",
H634*LOOKUP($F393,_xlfn._xlws.FILTER($F$454:$F$463,H$454:H$463&lt;&gt;""),_xlfn._xlws.FILTER(H$454:H$463,H$454:H$463&lt;&gt;"")))</f>
        <v/>
      </c>
      <c r="I393" s="81" t="str" cm="1">
        <f t="array" ref="I393">IF(I634="","",
I634*LOOKUP($F393,_xlfn._xlws.FILTER($F$454:$F$463,I$454:I$463&lt;&gt;""),_xlfn._xlws.FILTER(I$454:I$463,I$454:I$463&lt;&gt;"")))</f>
        <v/>
      </c>
      <c r="J393" s="88" t="str">
        <f t="shared" si="29"/>
        <v/>
      </c>
      <c r="K393" s="89" t="str" cm="1">
        <f t="array" ref="K393">IF(M634="","",
$N$477*(M634/LOOKUP($F393,_xlfn._xlws.FILTER($F$468:$F$477,G$468:G$477&lt;&gt;""),_xlfn._xlws.FILTER(G$468:G$477,G$468:G$477&lt;&gt;"")))*(N634/LOOKUP($F393,_xlfn._xlws.FILTER($F$468:$F$477,H$468:H$477&lt;&gt;""),_xlfn._xlws.FILTER(H$468:H$477,H$468:H$477&lt;&gt;""))))</f>
        <v/>
      </c>
      <c r="L393" s="84" t="str">
        <f t="shared" si="30"/>
        <v/>
      </c>
      <c r="M393" s="77" t="str">
        <f t="shared" si="23"/>
        <v/>
      </c>
      <c r="N393" s="12"/>
      <c r="O393" s="24">
        <v>49888</v>
      </c>
      <c r="P393" s="85" t="str">
        <f t="shared" si="24"/>
        <v/>
      </c>
      <c r="Q393" s="85" t="str">
        <f t="shared" si="25"/>
        <v/>
      </c>
      <c r="R393" s="85" t="str">
        <f t="shared" si="26"/>
        <v/>
      </c>
      <c r="S393" s="85" t="str">
        <f t="shared" si="27"/>
        <v/>
      </c>
      <c r="T393" s="86" t="str">
        <f t="shared" si="28"/>
        <v/>
      </c>
      <c r="U393" s="87" t="str">
        <f t="shared" si="31"/>
        <v/>
      </c>
      <c r="V393" s="12"/>
      <c r="W393" s="12"/>
    </row>
    <row r="394" spans="5:23" ht="13.5" hidden="1" customHeight="1">
      <c r="E394" s="12"/>
      <c r="F394" s="24">
        <v>49919</v>
      </c>
      <c r="G394" s="81" t="str" cm="1">
        <f t="array" ref="G394">IF(G635="","",
G635*LOOKUP($F394,_xlfn._xlws.FILTER($F$454:$F$463,G$454:G$463&lt;&gt;""),_xlfn._xlws.FILTER(G$454:G$463,G$454:G$463&lt;&gt;"")))</f>
        <v/>
      </c>
      <c r="H394" s="81" t="str" cm="1">
        <f t="array" ref="H394">IF(H635="","",
H635*LOOKUP($F394,_xlfn._xlws.FILTER($F$454:$F$463,H$454:H$463&lt;&gt;""),_xlfn._xlws.FILTER(H$454:H$463,H$454:H$463&lt;&gt;"")))</f>
        <v/>
      </c>
      <c r="I394" s="81" t="str" cm="1">
        <f t="array" ref="I394">IF(I635="","",
I635*LOOKUP($F394,_xlfn._xlws.FILTER($F$454:$F$463,I$454:I$463&lt;&gt;""),_xlfn._xlws.FILTER(I$454:I$463,I$454:I$463&lt;&gt;"")))</f>
        <v/>
      </c>
      <c r="J394" s="88" t="str">
        <f t="shared" si="29"/>
        <v/>
      </c>
      <c r="K394" s="89" t="str" cm="1">
        <f t="array" ref="K394">IF(M635="","",
$N$477*(M635/LOOKUP($F394,_xlfn._xlws.FILTER($F$468:$F$477,G$468:G$477&lt;&gt;""),_xlfn._xlws.FILTER(G$468:G$477,G$468:G$477&lt;&gt;"")))*(N635/LOOKUP($F394,_xlfn._xlws.FILTER($F$468:$F$477,H$468:H$477&lt;&gt;""),_xlfn._xlws.FILTER(H$468:H$477,H$468:H$477&lt;&gt;""))))</f>
        <v/>
      </c>
      <c r="L394" s="84" t="str">
        <f t="shared" si="30"/>
        <v/>
      </c>
      <c r="M394" s="77" t="str">
        <f t="shared" si="23"/>
        <v/>
      </c>
      <c r="N394" s="12"/>
      <c r="O394" s="24">
        <v>49919</v>
      </c>
      <c r="P394" s="85" t="str">
        <f t="shared" si="24"/>
        <v/>
      </c>
      <c r="Q394" s="85" t="str">
        <f t="shared" si="25"/>
        <v/>
      </c>
      <c r="R394" s="85" t="str">
        <f t="shared" si="26"/>
        <v/>
      </c>
      <c r="S394" s="85" t="str">
        <f t="shared" si="27"/>
        <v/>
      </c>
      <c r="T394" s="86" t="str">
        <f t="shared" si="28"/>
        <v/>
      </c>
      <c r="U394" s="87" t="str">
        <f t="shared" si="31"/>
        <v/>
      </c>
      <c r="V394" s="12"/>
      <c r="W394" s="12"/>
    </row>
    <row r="395" spans="5:23" ht="13.5" hidden="1" customHeight="1">
      <c r="E395" s="12"/>
      <c r="F395" s="24">
        <v>49949</v>
      </c>
      <c r="G395" s="81" t="str" cm="1">
        <f t="array" ref="G395">IF(G636="","",
G636*LOOKUP($F395,_xlfn._xlws.FILTER($F$454:$F$463,G$454:G$463&lt;&gt;""),_xlfn._xlws.FILTER(G$454:G$463,G$454:G$463&lt;&gt;"")))</f>
        <v/>
      </c>
      <c r="H395" s="81" t="str" cm="1">
        <f t="array" ref="H395">IF(H636="","",
H636*LOOKUP($F395,_xlfn._xlws.FILTER($F$454:$F$463,H$454:H$463&lt;&gt;""),_xlfn._xlws.FILTER(H$454:H$463,H$454:H$463&lt;&gt;"")))</f>
        <v/>
      </c>
      <c r="I395" s="81" t="str" cm="1">
        <f t="array" ref="I395">IF(I636="","",
I636*LOOKUP($F395,_xlfn._xlws.FILTER($F$454:$F$463,I$454:I$463&lt;&gt;""),_xlfn._xlws.FILTER(I$454:I$463,I$454:I$463&lt;&gt;"")))</f>
        <v/>
      </c>
      <c r="J395" s="88" t="str">
        <f t="shared" si="29"/>
        <v/>
      </c>
      <c r="K395" s="89" t="str" cm="1">
        <f t="array" ref="K395">IF(M636="","",
$N$477*(M636/LOOKUP($F395,_xlfn._xlws.FILTER($F$468:$F$477,G$468:G$477&lt;&gt;""),_xlfn._xlws.FILTER(G$468:G$477,G$468:G$477&lt;&gt;"")))*(N636/LOOKUP($F395,_xlfn._xlws.FILTER($F$468:$F$477,H$468:H$477&lt;&gt;""),_xlfn._xlws.FILTER(H$468:H$477,H$468:H$477&lt;&gt;""))))</f>
        <v/>
      </c>
      <c r="L395" s="84" t="str">
        <f t="shared" si="30"/>
        <v/>
      </c>
      <c r="M395" s="77" t="str">
        <f t="shared" si="23"/>
        <v/>
      </c>
      <c r="N395" s="12"/>
      <c r="O395" s="24">
        <v>49949</v>
      </c>
      <c r="P395" s="85" t="str">
        <f t="shared" si="24"/>
        <v/>
      </c>
      <c r="Q395" s="85" t="str">
        <f t="shared" si="25"/>
        <v/>
      </c>
      <c r="R395" s="85" t="str">
        <f t="shared" si="26"/>
        <v/>
      </c>
      <c r="S395" s="85" t="str">
        <f t="shared" si="27"/>
        <v/>
      </c>
      <c r="T395" s="86" t="str">
        <f t="shared" si="28"/>
        <v/>
      </c>
      <c r="U395" s="87" t="str">
        <f t="shared" si="31"/>
        <v/>
      </c>
      <c r="V395" s="12"/>
      <c r="W395" s="12"/>
    </row>
    <row r="396" spans="5:23" ht="13.5" hidden="1" customHeight="1">
      <c r="E396" s="12"/>
      <c r="F396" s="24">
        <v>49980</v>
      </c>
      <c r="G396" s="81" t="str" cm="1">
        <f t="array" ref="G396">IF(G637="","",
G637*LOOKUP($F396,_xlfn._xlws.FILTER($F$454:$F$463,G$454:G$463&lt;&gt;""),_xlfn._xlws.FILTER(G$454:G$463,G$454:G$463&lt;&gt;"")))</f>
        <v/>
      </c>
      <c r="H396" s="81" t="str" cm="1">
        <f t="array" ref="H396">IF(H637="","",
H637*LOOKUP($F396,_xlfn._xlws.FILTER($F$454:$F$463,H$454:H$463&lt;&gt;""),_xlfn._xlws.FILTER(H$454:H$463,H$454:H$463&lt;&gt;"")))</f>
        <v/>
      </c>
      <c r="I396" s="81" t="str" cm="1">
        <f t="array" ref="I396">IF(I637="","",
I637*LOOKUP($F396,_xlfn._xlws.FILTER($F$454:$F$463,I$454:I$463&lt;&gt;""),_xlfn._xlws.FILTER(I$454:I$463,I$454:I$463&lt;&gt;"")))</f>
        <v/>
      </c>
      <c r="J396" s="88" t="str">
        <f t="shared" si="29"/>
        <v/>
      </c>
      <c r="K396" s="89" t="str" cm="1">
        <f t="array" ref="K396">IF(M637="","",
$N$477*(M637/LOOKUP($F396,_xlfn._xlws.FILTER($F$468:$F$477,G$468:G$477&lt;&gt;""),_xlfn._xlws.FILTER(G$468:G$477,G$468:G$477&lt;&gt;"")))*(N637/LOOKUP($F396,_xlfn._xlws.FILTER($F$468:$F$477,H$468:H$477&lt;&gt;""),_xlfn._xlws.FILTER(H$468:H$477,H$468:H$477&lt;&gt;""))))</f>
        <v/>
      </c>
      <c r="L396" s="84" t="str">
        <f t="shared" si="30"/>
        <v/>
      </c>
      <c r="M396" s="77" t="str">
        <f t="shared" si="23"/>
        <v/>
      </c>
      <c r="N396" s="12"/>
      <c r="O396" s="24">
        <v>49980</v>
      </c>
      <c r="P396" s="85" t="str">
        <f t="shared" si="24"/>
        <v/>
      </c>
      <c r="Q396" s="85" t="str">
        <f t="shared" si="25"/>
        <v/>
      </c>
      <c r="R396" s="85" t="str">
        <f t="shared" si="26"/>
        <v/>
      </c>
      <c r="S396" s="85" t="str">
        <f t="shared" si="27"/>
        <v/>
      </c>
      <c r="T396" s="86" t="str">
        <f t="shared" si="28"/>
        <v/>
      </c>
      <c r="U396" s="87" t="str">
        <f t="shared" si="31"/>
        <v/>
      </c>
      <c r="V396" s="12"/>
      <c r="W396" s="12"/>
    </row>
    <row r="397" spans="5:23" ht="13.5" hidden="1" customHeight="1">
      <c r="E397" s="12"/>
      <c r="F397" s="24">
        <v>50010</v>
      </c>
      <c r="G397" s="81" t="str" cm="1">
        <f t="array" ref="G397">IF(G638="","",
G638*LOOKUP($F397,_xlfn._xlws.FILTER($F$454:$F$463,G$454:G$463&lt;&gt;""),_xlfn._xlws.FILTER(G$454:G$463,G$454:G$463&lt;&gt;"")))</f>
        <v/>
      </c>
      <c r="H397" s="81" t="str" cm="1">
        <f t="array" ref="H397">IF(H638="","",
H638*LOOKUP($F397,_xlfn._xlws.FILTER($F$454:$F$463,H$454:H$463&lt;&gt;""),_xlfn._xlws.FILTER(H$454:H$463,H$454:H$463&lt;&gt;"")))</f>
        <v/>
      </c>
      <c r="I397" s="81" t="str" cm="1">
        <f t="array" ref="I397">IF(I638="","",
I638*LOOKUP($F397,_xlfn._xlws.FILTER($F$454:$F$463,I$454:I$463&lt;&gt;""),_xlfn._xlws.FILTER(I$454:I$463,I$454:I$463&lt;&gt;"")))</f>
        <v/>
      </c>
      <c r="J397" s="88" t="str">
        <f t="shared" si="29"/>
        <v/>
      </c>
      <c r="K397" s="89" t="str" cm="1">
        <f t="array" ref="K397">IF(M638="","",
$N$477*(M638/LOOKUP($F397,_xlfn._xlws.FILTER($F$468:$F$477,G$468:G$477&lt;&gt;""),_xlfn._xlws.FILTER(G$468:G$477,G$468:G$477&lt;&gt;"")))*(N638/LOOKUP($F397,_xlfn._xlws.FILTER($F$468:$F$477,H$468:H$477&lt;&gt;""),_xlfn._xlws.FILTER(H$468:H$477,H$468:H$477&lt;&gt;""))))</f>
        <v/>
      </c>
      <c r="L397" s="84" t="str">
        <f t="shared" si="30"/>
        <v/>
      </c>
      <c r="M397" s="77" t="str">
        <f t="shared" si="23"/>
        <v/>
      </c>
      <c r="N397" s="12"/>
      <c r="O397" s="24">
        <v>50010</v>
      </c>
      <c r="P397" s="85" t="str">
        <f t="shared" si="24"/>
        <v/>
      </c>
      <c r="Q397" s="85" t="str">
        <f t="shared" si="25"/>
        <v/>
      </c>
      <c r="R397" s="85" t="str">
        <f t="shared" si="26"/>
        <v/>
      </c>
      <c r="S397" s="85" t="str">
        <f t="shared" si="27"/>
        <v/>
      </c>
      <c r="T397" s="86" t="str">
        <f t="shared" si="28"/>
        <v/>
      </c>
      <c r="U397" s="87" t="str">
        <f t="shared" si="31"/>
        <v/>
      </c>
      <c r="V397" s="12"/>
      <c r="W397" s="12"/>
    </row>
    <row r="398" spans="5:23" ht="13.5" hidden="1" customHeight="1">
      <c r="E398" s="12"/>
      <c r="F398" s="24">
        <v>50041</v>
      </c>
      <c r="G398" s="81" t="str" cm="1">
        <f t="array" ref="G398">IF(G639="","",
G639*LOOKUP($F398,_xlfn._xlws.FILTER($F$454:$F$463,G$454:G$463&lt;&gt;""),_xlfn._xlws.FILTER(G$454:G$463,G$454:G$463&lt;&gt;"")))</f>
        <v/>
      </c>
      <c r="H398" s="81" t="str" cm="1">
        <f t="array" ref="H398">IF(H639="","",
H639*LOOKUP($F398,_xlfn._xlws.FILTER($F$454:$F$463,H$454:H$463&lt;&gt;""),_xlfn._xlws.FILTER(H$454:H$463,H$454:H$463&lt;&gt;"")))</f>
        <v/>
      </c>
      <c r="I398" s="81" t="str" cm="1">
        <f t="array" ref="I398">IF(I639="","",
I639*LOOKUP($F398,_xlfn._xlws.FILTER($F$454:$F$463,I$454:I$463&lt;&gt;""),_xlfn._xlws.FILTER(I$454:I$463,I$454:I$463&lt;&gt;"")))</f>
        <v/>
      </c>
      <c r="J398" s="88" t="str">
        <f t="shared" si="29"/>
        <v/>
      </c>
      <c r="K398" s="89" t="str" cm="1">
        <f t="array" ref="K398">IF(M639="","",
$N$477*(M639/LOOKUP($F398,_xlfn._xlws.FILTER($F$468:$F$477,G$468:G$477&lt;&gt;""),_xlfn._xlws.FILTER(G$468:G$477,G$468:G$477&lt;&gt;"")))*(N639/LOOKUP($F398,_xlfn._xlws.FILTER($F$468:$F$477,H$468:H$477&lt;&gt;""),_xlfn._xlws.FILTER(H$468:H$477,H$468:H$477&lt;&gt;""))))</f>
        <v/>
      </c>
      <c r="L398" s="84" t="str">
        <f t="shared" si="30"/>
        <v/>
      </c>
      <c r="M398" s="77" t="str">
        <f t="shared" si="23"/>
        <v/>
      </c>
      <c r="N398" s="12"/>
      <c r="O398" s="24">
        <v>50041</v>
      </c>
      <c r="P398" s="85" t="str">
        <f t="shared" si="24"/>
        <v/>
      </c>
      <c r="Q398" s="85" t="str">
        <f t="shared" si="25"/>
        <v/>
      </c>
      <c r="R398" s="85" t="str">
        <f t="shared" si="26"/>
        <v/>
      </c>
      <c r="S398" s="85" t="str">
        <f t="shared" si="27"/>
        <v/>
      </c>
      <c r="T398" s="86" t="str">
        <f t="shared" si="28"/>
        <v/>
      </c>
      <c r="U398" s="87" t="str">
        <f t="shared" si="31"/>
        <v/>
      </c>
      <c r="V398" s="12"/>
      <c r="W398" s="12"/>
    </row>
    <row r="399" spans="5:23" ht="13.5" hidden="1" customHeight="1">
      <c r="E399" s="12"/>
      <c r="F399" s="24">
        <v>50072</v>
      </c>
      <c r="G399" s="81" t="str" cm="1">
        <f t="array" ref="G399">IF(G640="","",
G640*LOOKUP($F399,_xlfn._xlws.FILTER($F$454:$F$463,G$454:G$463&lt;&gt;""),_xlfn._xlws.FILTER(G$454:G$463,G$454:G$463&lt;&gt;"")))</f>
        <v/>
      </c>
      <c r="H399" s="81" t="str" cm="1">
        <f t="array" ref="H399">IF(H640="","",
H640*LOOKUP($F399,_xlfn._xlws.FILTER($F$454:$F$463,H$454:H$463&lt;&gt;""),_xlfn._xlws.FILTER(H$454:H$463,H$454:H$463&lt;&gt;"")))</f>
        <v/>
      </c>
      <c r="I399" s="81" t="str" cm="1">
        <f t="array" ref="I399">IF(I640="","",
I640*LOOKUP($F399,_xlfn._xlws.FILTER($F$454:$F$463,I$454:I$463&lt;&gt;""),_xlfn._xlws.FILTER(I$454:I$463,I$454:I$463&lt;&gt;"")))</f>
        <v/>
      </c>
      <c r="J399" s="88" t="str">
        <f t="shared" si="29"/>
        <v/>
      </c>
      <c r="K399" s="89" t="str" cm="1">
        <f t="array" ref="K399">IF(M640="","",
$N$477*(M640/LOOKUP($F399,_xlfn._xlws.FILTER($F$468:$F$477,G$468:G$477&lt;&gt;""),_xlfn._xlws.FILTER(G$468:G$477,G$468:G$477&lt;&gt;"")))*(N640/LOOKUP($F399,_xlfn._xlws.FILTER($F$468:$F$477,H$468:H$477&lt;&gt;""),_xlfn._xlws.FILTER(H$468:H$477,H$468:H$477&lt;&gt;""))))</f>
        <v/>
      </c>
      <c r="L399" s="84" t="str">
        <f t="shared" si="30"/>
        <v/>
      </c>
      <c r="M399" s="77" t="str">
        <f t="shared" si="23"/>
        <v/>
      </c>
      <c r="N399" s="12"/>
      <c r="O399" s="24">
        <v>50072</v>
      </c>
      <c r="P399" s="85" t="str">
        <f t="shared" si="24"/>
        <v/>
      </c>
      <c r="Q399" s="85" t="str">
        <f t="shared" si="25"/>
        <v/>
      </c>
      <c r="R399" s="85" t="str">
        <f t="shared" si="26"/>
        <v/>
      </c>
      <c r="S399" s="85" t="str">
        <f t="shared" si="27"/>
        <v/>
      </c>
      <c r="T399" s="86" t="str">
        <f t="shared" si="28"/>
        <v/>
      </c>
      <c r="U399" s="87" t="str">
        <f t="shared" si="31"/>
        <v/>
      </c>
      <c r="V399" s="12"/>
      <c r="W399" s="12"/>
    </row>
    <row r="400" spans="5:23" ht="13.5" hidden="1" customHeight="1">
      <c r="E400" s="12"/>
      <c r="F400" s="24">
        <v>50100</v>
      </c>
      <c r="G400" s="81" t="str" cm="1">
        <f t="array" ref="G400">IF(G641="","",
G641*LOOKUP($F400,_xlfn._xlws.FILTER($F$454:$F$463,G$454:G$463&lt;&gt;""),_xlfn._xlws.FILTER(G$454:G$463,G$454:G$463&lt;&gt;"")))</f>
        <v/>
      </c>
      <c r="H400" s="81" t="str" cm="1">
        <f t="array" ref="H400">IF(H641="","",
H641*LOOKUP($F400,_xlfn._xlws.FILTER($F$454:$F$463,H$454:H$463&lt;&gt;""),_xlfn._xlws.FILTER(H$454:H$463,H$454:H$463&lt;&gt;"")))</f>
        <v/>
      </c>
      <c r="I400" s="81" t="str" cm="1">
        <f t="array" ref="I400">IF(I641="","",
I641*LOOKUP($F400,_xlfn._xlws.FILTER($F$454:$F$463,I$454:I$463&lt;&gt;""),_xlfn._xlws.FILTER(I$454:I$463,I$454:I$463&lt;&gt;"")))</f>
        <v/>
      </c>
      <c r="J400" s="88" t="str">
        <f t="shared" si="29"/>
        <v/>
      </c>
      <c r="K400" s="89" t="str" cm="1">
        <f t="array" ref="K400">IF(M641="","",
$N$477*(M641/LOOKUP($F400,_xlfn._xlws.FILTER($F$468:$F$477,G$468:G$477&lt;&gt;""),_xlfn._xlws.FILTER(G$468:G$477,G$468:G$477&lt;&gt;"")))*(N641/LOOKUP($F400,_xlfn._xlws.FILTER($F$468:$F$477,H$468:H$477&lt;&gt;""),_xlfn._xlws.FILTER(H$468:H$477,H$468:H$477&lt;&gt;""))))</f>
        <v/>
      </c>
      <c r="L400" s="84" t="str">
        <f t="shared" si="30"/>
        <v/>
      </c>
      <c r="M400" s="77" t="str">
        <f t="shared" si="23"/>
        <v/>
      </c>
      <c r="N400" s="12"/>
      <c r="O400" s="24">
        <v>50100</v>
      </c>
      <c r="P400" s="85" t="str">
        <f t="shared" si="24"/>
        <v/>
      </c>
      <c r="Q400" s="85" t="str">
        <f t="shared" si="25"/>
        <v/>
      </c>
      <c r="R400" s="85" t="str">
        <f t="shared" si="26"/>
        <v/>
      </c>
      <c r="S400" s="85" t="str">
        <f t="shared" si="27"/>
        <v/>
      </c>
      <c r="T400" s="86" t="str">
        <f t="shared" si="28"/>
        <v/>
      </c>
      <c r="U400" s="87" t="str">
        <f t="shared" si="31"/>
        <v/>
      </c>
      <c r="V400" s="12"/>
      <c r="W400" s="12"/>
    </row>
    <row r="401" spans="5:23" ht="13.5" hidden="1" customHeight="1">
      <c r="E401" s="12"/>
      <c r="F401" s="24">
        <v>50131</v>
      </c>
      <c r="G401" s="81" t="str" cm="1">
        <f t="array" ref="G401">IF(G642="","",
G642*LOOKUP($F401,_xlfn._xlws.FILTER($F$454:$F$463,G$454:G$463&lt;&gt;""),_xlfn._xlws.FILTER(G$454:G$463,G$454:G$463&lt;&gt;"")))</f>
        <v/>
      </c>
      <c r="H401" s="81" t="str" cm="1">
        <f t="array" ref="H401">IF(H642="","",
H642*LOOKUP($F401,_xlfn._xlws.FILTER($F$454:$F$463,H$454:H$463&lt;&gt;""),_xlfn._xlws.FILTER(H$454:H$463,H$454:H$463&lt;&gt;"")))</f>
        <v/>
      </c>
      <c r="I401" s="81" t="str" cm="1">
        <f t="array" ref="I401">IF(I642="","",
I642*LOOKUP($F401,_xlfn._xlws.FILTER($F$454:$F$463,I$454:I$463&lt;&gt;""),_xlfn._xlws.FILTER(I$454:I$463,I$454:I$463&lt;&gt;"")))</f>
        <v/>
      </c>
      <c r="J401" s="88" t="str">
        <f t="shared" si="29"/>
        <v/>
      </c>
      <c r="K401" s="89" t="str" cm="1">
        <f t="array" ref="K401">IF(M642="","",
$N$477*(M642/LOOKUP($F401,_xlfn._xlws.FILTER($F$468:$F$477,G$468:G$477&lt;&gt;""),_xlfn._xlws.FILTER(G$468:G$477,G$468:G$477&lt;&gt;"")))*(N642/LOOKUP($F401,_xlfn._xlws.FILTER($F$468:$F$477,H$468:H$477&lt;&gt;""),_xlfn._xlws.FILTER(H$468:H$477,H$468:H$477&lt;&gt;""))))</f>
        <v/>
      </c>
      <c r="L401" s="84" t="str">
        <f t="shared" si="30"/>
        <v/>
      </c>
      <c r="M401" s="77" t="str">
        <f t="shared" si="23"/>
        <v/>
      </c>
      <c r="N401" s="12"/>
      <c r="O401" s="24">
        <v>50131</v>
      </c>
      <c r="P401" s="85" t="str">
        <f t="shared" si="24"/>
        <v/>
      </c>
      <c r="Q401" s="85" t="str">
        <f t="shared" si="25"/>
        <v/>
      </c>
      <c r="R401" s="85" t="str">
        <f t="shared" si="26"/>
        <v/>
      </c>
      <c r="S401" s="85" t="str">
        <f t="shared" si="27"/>
        <v/>
      </c>
      <c r="T401" s="86" t="str">
        <f t="shared" si="28"/>
        <v/>
      </c>
      <c r="U401" s="87" t="str">
        <f t="shared" si="31"/>
        <v/>
      </c>
      <c r="V401" s="12"/>
      <c r="W401" s="12"/>
    </row>
    <row r="402" spans="5:23" ht="13.5" hidden="1" customHeight="1">
      <c r="E402" s="12"/>
      <c r="F402" s="24">
        <v>50161</v>
      </c>
      <c r="G402" s="81" t="str" cm="1">
        <f t="array" ref="G402">IF(G643="","",
G643*LOOKUP($F402,_xlfn._xlws.FILTER($F$454:$F$463,G$454:G$463&lt;&gt;""),_xlfn._xlws.FILTER(G$454:G$463,G$454:G$463&lt;&gt;"")))</f>
        <v/>
      </c>
      <c r="H402" s="81" t="str" cm="1">
        <f t="array" ref="H402">IF(H643="","",
H643*LOOKUP($F402,_xlfn._xlws.FILTER($F$454:$F$463,H$454:H$463&lt;&gt;""),_xlfn._xlws.FILTER(H$454:H$463,H$454:H$463&lt;&gt;"")))</f>
        <v/>
      </c>
      <c r="I402" s="81" t="str" cm="1">
        <f t="array" ref="I402">IF(I643="","",
I643*LOOKUP($F402,_xlfn._xlws.FILTER($F$454:$F$463,I$454:I$463&lt;&gt;""),_xlfn._xlws.FILTER(I$454:I$463,I$454:I$463&lt;&gt;"")))</f>
        <v/>
      </c>
      <c r="J402" s="88" t="str">
        <f t="shared" si="29"/>
        <v/>
      </c>
      <c r="K402" s="89" t="str" cm="1">
        <f t="array" ref="K402">IF(M643="","",
$N$477*(M643/LOOKUP($F402,_xlfn._xlws.FILTER($F$468:$F$477,G$468:G$477&lt;&gt;""),_xlfn._xlws.FILTER(G$468:G$477,G$468:G$477&lt;&gt;"")))*(N643/LOOKUP($F402,_xlfn._xlws.FILTER($F$468:$F$477,H$468:H$477&lt;&gt;""),_xlfn._xlws.FILTER(H$468:H$477,H$468:H$477&lt;&gt;""))))</f>
        <v/>
      </c>
      <c r="L402" s="84" t="str">
        <f t="shared" si="30"/>
        <v/>
      </c>
      <c r="M402" s="77" t="str">
        <f t="shared" si="23"/>
        <v/>
      </c>
      <c r="N402" s="12"/>
      <c r="O402" s="24">
        <v>50161</v>
      </c>
      <c r="P402" s="85" t="str">
        <f t="shared" si="24"/>
        <v/>
      </c>
      <c r="Q402" s="85" t="str">
        <f t="shared" si="25"/>
        <v/>
      </c>
      <c r="R402" s="85" t="str">
        <f t="shared" si="26"/>
        <v/>
      </c>
      <c r="S402" s="85" t="str">
        <f t="shared" si="27"/>
        <v/>
      </c>
      <c r="T402" s="86" t="str">
        <f t="shared" si="28"/>
        <v/>
      </c>
      <c r="U402" s="87" t="str">
        <f t="shared" si="31"/>
        <v/>
      </c>
      <c r="V402" s="12"/>
      <c r="W402" s="12"/>
    </row>
    <row r="403" spans="5:23" ht="13.5" hidden="1" customHeight="1">
      <c r="E403" s="12"/>
      <c r="F403" s="24">
        <v>50192</v>
      </c>
      <c r="G403" s="81" t="str" cm="1">
        <f t="array" ref="G403">IF(G644="","",
G644*LOOKUP($F403,_xlfn._xlws.FILTER($F$454:$F$463,G$454:G$463&lt;&gt;""),_xlfn._xlws.FILTER(G$454:G$463,G$454:G$463&lt;&gt;"")))</f>
        <v/>
      </c>
      <c r="H403" s="81" t="str" cm="1">
        <f t="array" ref="H403">IF(H644="","",
H644*LOOKUP($F403,_xlfn._xlws.FILTER($F$454:$F$463,H$454:H$463&lt;&gt;""),_xlfn._xlws.FILTER(H$454:H$463,H$454:H$463&lt;&gt;"")))</f>
        <v/>
      </c>
      <c r="I403" s="81" t="str" cm="1">
        <f t="array" ref="I403">IF(I644="","",
I644*LOOKUP($F403,_xlfn._xlws.FILTER($F$454:$F$463,I$454:I$463&lt;&gt;""),_xlfn._xlws.FILTER(I$454:I$463,I$454:I$463&lt;&gt;"")))</f>
        <v/>
      </c>
      <c r="J403" s="88" t="str">
        <f t="shared" si="29"/>
        <v/>
      </c>
      <c r="K403" s="89" t="str" cm="1">
        <f t="array" ref="K403">IF(M644="","",
$N$477*(M644/LOOKUP($F403,_xlfn._xlws.FILTER($F$468:$F$477,G$468:G$477&lt;&gt;""),_xlfn._xlws.FILTER(G$468:G$477,G$468:G$477&lt;&gt;"")))*(N644/LOOKUP($F403,_xlfn._xlws.FILTER($F$468:$F$477,H$468:H$477&lt;&gt;""),_xlfn._xlws.FILTER(H$468:H$477,H$468:H$477&lt;&gt;""))))</f>
        <v/>
      </c>
      <c r="L403" s="84" t="str">
        <f t="shared" si="30"/>
        <v/>
      </c>
      <c r="M403" s="77" t="str">
        <f t="shared" si="23"/>
        <v/>
      </c>
      <c r="N403" s="12"/>
      <c r="O403" s="24">
        <v>50192</v>
      </c>
      <c r="P403" s="85" t="str">
        <f t="shared" si="24"/>
        <v/>
      </c>
      <c r="Q403" s="85" t="str">
        <f t="shared" si="25"/>
        <v/>
      </c>
      <c r="R403" s="85" t="str">
        <f t="shared" si="26"/>
        <v/>
      </c>
      <c r="S403" s="85" t="str">
        <f t="shared" si="27"/>
        <v/>
      </c>
      <c r="T403" s="86" t="str">
        <f t="shared" si="28"/>
        <v/>
      </c>
      <c r="U403" s="87" t="str">
        <f t="shared" si="31"/>
        <v/>
      </c>
      <c r="V403" s="12"/>
      <c r="W403" s="12"/>
    </row>
    <row r="404" spans="5:23" ht="13.5" hidden="1" customHeight="1">
      <c r="E404" s="12"/>
      <c r="F404" s="24">
        <v>50222</v>
      </c>
      <c r="G404" s="81" t="str" cm="1">
        <f t="array" ref="G404">IF(G645="","",
G645*LOOKUP($F404,_xlfn._xlws.FILTER($F$454:$F$463,G$454:G$463&lt;&gt;""),_xlfn._xlws.FILTER(G$454:G$463,G$454:G$463&lt;&gt;"")))</f>
        <v/>
      </c>
      <c r="H404" s="81" t="str" cm="1">
        <f t="array" ref="H404">IF(H645="","",
H645*LOOKUP($F404,_xlfn._xlws.FILTER($F$454:$F$463,H$454:H$463&lt;&gt;""),_xlfn._xlws.FILTER(H$454:H$463,H$454:H$463&lt;&gt;"")))</f>
        <v/>
      </c>
      <c r="I404" s="81" t="str" cm="1">
        <f t="array" ref="I404">IF(I645="","",
I645*LOOKUP($F404,_xlfn._xlws.FILTER($F$454:$F$463,I$454:I$463&lt;&gt;""),_xlfn._xlws.FILTER(I$454:I$463,I$454:I$463&lt;&gt;"")))</f>
        <v/>
      </c>
      <c r="J404" s="88" t="str">
        <f t="shared" si="29"/>
        <v/>
      </c>
      <c r="K404" s="89" t="str" cm="1">
        <f t="array" ref="K404">IF(M645="","",
$N$477*(M645/LOOKUP($F404,_xlfn._xlws.FILTER($F$468:$F$477,G$468:G$477&lt;&gt;""),_xlfn._xlws.FILTER(G$468:G$477,G$468:G$477&lt;&gt;"")))*(N645/LOOKUP($F404,_xlfn._xlws.FILTER($F$468:$F$477,H$468:H$477&lt;&gt;""),_xlfn._xlws.FILTER(H$468:H$477,H$468:H$477&lt;&gt;""))))</f>
        <v/>
      </c>
      <c r="L404" s="84" t="str">
        <f t="shared" si="30"/>
        <v/>
      </c>
      <c r="M404" s="77" t="str">
        <f t="shared" si="23"/>
        <v/>
      </c>
      <c r="N404" s="12"/>
      <c r="O404" s="24">
        <v>50222</v>
      </c>
      <c r="P404" s="85" t="str">
        <f t="shared" si="24"/>
        <v/>
      </c>
      <c r="Q404" s="85" t="str">
        <f t="shared" si="25"/>
        <v/>
      </c>
      <c r="R404" s="85" t="str">
        <f t="shared" si="26"/>
        <v/>
      </c>
      <c r="S404" s="85" t="str">
        <f t="shared" si="27"/>
        <v/>
      </c>
      <c r="T404" s="86" t="str">
        <f t="shared" si="28"/>
        <v/>
      </c>
      <c r="U404" s="87" t="str">
        <f t="shared" si="31"/>
        <v/>
      </c>
      <c r="V404" s="12"/>
      <c r="W404" s="12"/>
    </row>
    <row r="405" spans="5:23" ht="13.5" hidden="1" customHeight="1">
      <c r="E405" s="12"/>
      <c r="F405" s="24">
        <v>50253</v>
      </c>
      <c r="G405" s="81" t="str" cm="1">
        <f t="array" ref="G405">IF(G646="","",
G646*LOOKUP($F405,_xlfn._xlws.FILTER($F$454:$F$463,G$454:G$463&lt;&gt;""),_xlfn._xlws.FILTER(G$454:G$463,G$454:G$463&lt;&gt;"")))</f>
        <v/>
      </c>
      <c r="H405" s="81" t="str" cm="1">
        <f t="array" ref="H405">IF(H646="","",
H646*LOOKUP($F405,_xlfn._xlws.FILTER($F$454:$F$463,H$454:H$463&lt;&gt;""),_xlfn._xlws.FILTER(H$454:H$463,H$454:H$463&lt;&gt;"")))</f>
        <v/>
      </c>
      <c r="I405" s="81" t="str" cm="1">
        <f t="array" ref="I405">IF(I646="","",
I646*LOOKUP($F405,_xlfn._xlws.FILTER($F$454:$F$463,I$454:I$463&lt;&gt;""),_xlfn._xlws.FILTER(I$454:I$463,I$454:I$463&lt;&gt;"")))</f>
        <v/>
      </c>
      <c r="J405" s="88" t="str">
        <f t="shared" si="29"/>
        <v/>
      </c>
      <c r="K405" s="89" t="str" cm="1">
        <f t="array" ref="K405">IF(M646="","",
$N$477*(M646/LOOKUP($F405,_xlfn._xlws.FILTER($F$468:$F$477,G$468:G$477&lt;&gt;""),_xlfn._xlws.FILTER(G$468:G$477,G$468:G$477&lt;&gt;"")))*(N646/LOOKUP($F405,_xlfn._xlws.FILTER($F$468:$F$477,H$468:H$477&lt;&gt;""),_xlfn._xlws.FILTER(H$468:H$477,H$468:H$477&lt;&gt;""))))</f>
        <v/>
      </c>
      <c r="L405" s="84" t="str">
        <f t="shared" si="30"/>
        <v/>
      </c>
      <c r="M405" s="77" t="str">
        <f t="shared" si="23"/>
        <v/>
      </c>
      <c r="N405" s="12"/>
      <c r="O405" s="24">
        <v>50253</v>
      </c>
      <c r="P405" s="85" t="str">
        <f t="shared" si="24"/>
        <v/>
      </c>
      <c r="Q405" s="85" t="str">
        <f t="shared" si="25"/>
        <v/>
      </c>
      <c r="R405" s="85" t="str">
        <f t="shared" si="26"/>
        <v/>
      </c>
      <c r="S405" s="85" t="str">
        <f t="shared" si="27"/>
        <v/>
      </c>
      <c r="T405" s="86" t="str">
        <f t="shared" si="28"/>
        <v/>
      </c>
      <c r="U405" s="87" t="str">
        <f t="shared" si="31"/>
        <v/>
      </c>
      <c r="V405" s="12"/>
      <c r="W405" s="12"/>
    </row>
    <row r="406" spans="5:23" ht="13.5" hidden="1" customHeight="1">
      <c r="E406" s="12"/>
      <c r="F406" s="24">
        <v>50284</v>
      </c>
      <c r="G406" s="81" t="str" cm="1">
        <f t="array" ref="G406">IF(G647="","",
G647*LOOKUP($F406,_xlfn._xlws.FILTER($F$454:$F$463,G$454:G$463&lt;&gt;""),_xlfn._xlws.FILTER(G$454:G$463,G$454:G$463&lt;&gt;"")))</f>
        <v/>
      </c>
      <c r="H406" s="81" t="str" cm="1">
        <f t="array" ref="H406">IF(H647="","",
H647*LOOKUP($F406,_xlfn._xlws.FILTER($F$454:$F$463,H$454:H$463&lt;&gt;""),_xlfn._xlws.FILTER(H$454:H$463,H$454:H$463&lt;&gt;"")))</f>
        <v/>
      </c>
      <c r="I406" s="81" t="str" cm="1">
        <f t="array" ref="I406">IF(I647="","",
I647*LOOKUP($F406,_xlfn._xlws.FILTER($F$454:$F$463,I$454:I$463&lt;&gt;""),_xlfn._xlws.FILTER(I$454:I$463,I$454:I$463&lt;&gt;"")))</f>
        <v/>
      </c>
      <c r="J406" s="88" t="str">
        <f t="shared" si="29"/>
        <v/>
      </c>
      <c r="K406" s="89" t="str" cm="1">
        <f t="array" ref="K406">IF(M647="","",
$N$477*(M647/LOOKUP($F406,_xlfn._xlws.FILTER($F$468:$F$477,G$468:G$477&lt;&gt;""),_xlfn._xlws.FILTER(G$468:G$477,G$468:G$477&lt;&gt;"")))*(N647/LOOKUP($F406,_xlfn._xlws.FILTER($F$468:$F$477,H$468:H$477&lt;&gt;""),_xlfn._xlws.FILTER(H$468:H$477,H$468:H$477&lt;&gt;""))))</f>
        <v/>
      </c>
      <c r="L406" s="84" t="str">
        <f t="shared" si="30"/>
        <v/>
      </c>
      <c r="M406" s="77" t="str">
        <f t="shared" ref="M406:M445" si="32">IF(L406="","",L406/L405-1)</f>
        <v/>
      </c>
      <c r="N406" s="12"/>
      <c r="O406" s="24">
        <v>50284</v>
      </c>
      <c r="P406" s="85" t="str">
        <f t="shared" si="24"/>
        <v/>
      </c>
      <c r="Q406" s="85" t="str">
        <f t="shared" si="25"/>
        <v/>
      </c>
      <c r="R406" s="85" t="str">
        <f t="shared" si="26"/>
        <v/>
      </c>
      <c r="S406" s="85" t="str">
        <f t="shared" si="27"/>
        <v/>
      </c>
      <c r="T406" s="86" t="str">
        <f t="shared" si="28"/>
        <v/>
      </c>
      <c r="U406" s="87" t="str">
        <f t="shared" si="31"/>
        <v/>
      </c>
      <c r="V406" s="12"/>
      <c r="W406" s="12"/>
    </row>
    <row r="407" spans="5:23" ht="13.5" hidden="1" customHeight="1">
      <c r="E407" s="12"/>
      <c r="F407" s="24">
        <v>50314</v>
      </c>
      <c r="G407" s="81" t="str" cm="1">
        <f t="array" ref="G407">IF(G648="","",
G648*LOOKUP($F407,_xlfn._xlws.FILTER($F$454:$F$463,G$454:G$463&lt;&gt;""),_xlfn._xlws.FILTER(G$454:G$463,G$454:G$463&lt;&gt;"")))</f>
        <v/>
      </c>
      <c r="H407" s="81" t="str" cm="1">
        <f t="array" ref="H407">IF(H648="","",
H648*LOOKUP($F407,_xlfn._xlws.FILTER($F$454:$F$463,H$454:H$463&lt;&gt;""),_xlfn._xlws.FILTER(H$454:H$463,H$454:H$463&lt;&gt;"")))</f>
        <v/>
      </c>
      <c r="I407" s="81" t="str" cm="1">
        <f t="array" ref="I407">IF(I648="","",
I648*LOOKUP($F407,_xlfn._xlws.FILTER($F$454:$F$463,I$454:I$463&lt;&gt;""),_xlfn._xlws.FILTER(I$454:I$463,I$454:I$463&lt;&gt;"")))</f>
        <v/>
      </c>
      <c r="J407" s="88" t="str">
        <f t="shared" si="29"/>
        <v/>
      </c>
      <c r="K407" s="89" t="str" cm="1">
        <f t="array" ref="K407">IF(M648="","",
$N$477*(M648/LOOKUP($F407,_xlfn._xlws.FILTER($F$468:$F$477,G$468:G$477&lt;&gt;""),_xlfn._xlws.FILTER(G$468:G$477,G$468:G$477&lt;&gt;"")))*(N648/LOOKUP($F407,_xlfn._xlws.FILTER($F$468:$F$477,H$468:H$477&lt;&gt;""),_xlfn._xlws.FILTER(H$468:H$477,H$468:H$477&lt;&gt;""))))</f>
        <v/>
      </c>
      <c r="L407" s="84" t="str">
        <f t="shared" si="30"/>
        <v/>
      </c>
      <c r="M407" s="77" t="str">
        <f t="shared" si="32"/>
        <v/>
      </c>
      <c r="N407" s="12"/>
      <c r="O407" s="24">
        <v>50314</v>
      </c>
      <c r="P407" s="85" t="str">
        <f t="shared" si="24"/>
        <v/>
      </c>
      <c r="Q407" s="85" t="str">
        <f t="shared" si="25"/>
        <v/>
      </c>
      <c r="R407" s="85" t="str">
        <f t="shared" si="26"/>
        <v/>
      </c>
      <c r="S407" s="85" t="str">
        <f t="shared" si="27"/>
        <v/>
      </c>
      <c r="T407" s="86" t="str">
        <f t="shared" si="28"/>
        <v/>
      </c>
      <c r="U407" s="87" t="str">
        <f t="shared" si="31"/>
        <v/>
      </c>
      <c r="V407" s="12"/>
      <c r="W407" s="12"/>
    </row>
    <row r="408" spans="5:23" ht="13.5" hidden="1" customHeight="1">
      <c r="E408" s="12"/>
      <c r="F408" s="24">
        <v>50345</v>
      </c>
      <c r="G408" s="81" t="str" cm="1">
        <f t="array" ref="G408">IF(G649="","",
G649*LOOKUP($F408,_xlfn._xlws.FILTER($F$454:$F$463,G$454:G$463&lt;&gt;""),_xlfn._xlws.FILTER(G$454:G$463,G$454:G$463&lt;&gt;"")))</f>
        <v/>
      </c>
      <c r="H408" s="81" t="str" cm="1">
        <f t="array" ref="H408">IF(H649="","",
H649*LOOKUP($F408,_xlfn._xlws.FILTER($F$454:$F$463,H$454:H$463&lt;&gt;""),_xlfn._xlws.FILTER(H$454:H$463,H$454:H$463&lt;&gt;"")))</f>
        <v/>
      </c>
      <c r="I408" s="81" t="str" cm="1">
        <f t="array" ref="I408">IF(I649="","",
I649*LOOKUP($F408,_xlfn._xlws.FILTER($F$454:$F$463,I$454:I$463&lt;&gt;""),_xlfn._xlws.FILTER(I$454:I$463,I$454:I$463&lt;&gt;"")))</f>
        <v/>
      </c>
      <c r="J408" s="88" t="str">
        <f t="shared" si="29"/>
        <v/>
      </c>
      <c r="K408" s="89" t="str" cm="1">
        <f t="array" ref="K408">IF(M649="","",
$N$477*(M649/LOOKUP($F408,_xlfn._xlws.FILTER($F$468:$F$477,G$468:G$477&lt;&gt;""),_xlfn._xlws.FILTER(G$468:G$477,G$468:G$477&lt;&gt;"")))*(N649/LOOKUP($F408,_xlfn._xlws.FILTER($F$468:$F$477,H$468:H$477&lt;&gt;""),_xlfn._xlws.FILTER(H$468:H$477,H$468:H$477&lt;&gt;""))))</f>
        <v/>
      </c>
      <c r="L408" s="84" t="str">
        <f t="shared" si="30"/>
        <v/>
      </c>
      <c r="M408" s="77" t="str">
        <f t="shared" si="32"/>
        <v/>
      </c>
      <c r="N408" s="12"/>
      <c r="O408" s="24">
        <v>50345</v>
      </c>
      <c r="P408" s="85" t="str">
        <f t="shared" si="24"/>
        <v/>
      </c>
      <c r="Q408" s="85" t="str">
        <f t="shared" si="25"/>
        <v/>
      </c>
      <c r="R408" s="85" t="str">
        <f t="shared" si="26"/>
        <v/>
      </c>
      <c r="S408" s="85" t="str">
        <f t="shared" si="27"/>
        <v/>
      </c>
      <c r="T408" s="86" t="str">
        <f t="shared" si="28"/>
        <v/>
      </c>
      <c r="U408" s="87" t="str">
        <f t="shared" si="31"/>
        <v/>
      </c>
      <c r="V408" s="12"/>
      <c r="W408" s="12"/>
    </row>
    <row r="409" spans="5:23" ht="13.5" hidden="1" customHeight="1">
      <c r="E409" s="12"/>
      <c r="F409" s="24">
        <v>50375</v>
      </c>
      <c r="G409" s="81" t="str" cm="1">
        <f t="array" ref="G409">IF(G650="","",
G650*LOOKUP($F409,_xlfn._xlws.FILTER($F$454:$F$463,G$454:G$463&lt;&gt;""),_xlfn._xlws.FILTER(G$454:G$463,G$454:G$463&lt;&gt;"")))</f>
        <v/>
      </c>
      <c r="H409" s="81" t="str" cm="1">
        <f t="array" ref="H409">IF(H650="","",
H650*LOOKUP($F409,_xlfn._xlws.FILTER($F$454:$F$463,H$454:H$463&lt;&gt;""),_xlfn._xlws.FILTER(H$454:H$463,H$454:H$463&lt;&gt;"")))</f>
        <v/>
      </c>
      <c r="I409" s="81" t="str" cm="1">
        <f t="array" ref="I409">IF(I650="","",
I650*LOOKUP($F409,_xlfn._xlws.FILTER($F$454:$F$463,I$454:I$463&lt;&gt;""),_xlfn._xlws.FILTER(I$454:I$463,I$454:I$463&lt;&gt;"")))</f>
        <v/>
      </c>
      <c r="J409" s="88" t="str">
        <f t="shared" si="29"/>
        <v/>
      </c>
      <c r="K409" s="89" t="str" cm="1">
        <f t="array" ref="K409">IF(M650="","",
$N$477*(M650/LOOKUP($F409,_xlfn._xlws.FILTER($F$468:$F$477,G$468:G$477&lt;&gt;""),_xlfn._xlws.FILTER(G$468:G$477,G$468:G$477&lt;&gt;"")))*(N650/LOOKUP($F409,_xlfn._xlws.FILTER($F$468:$F$477,H$468:H$477&lt;&gt;""),_xlfn._xlws.FILTER(H$468:H$477,H$468:H$477&lt;&gt;""))))</f>
        <v/>
      </c>
      <c r="L409" s="84" t="str">
        <f t="shared" si="30"/>
        <v/>
      </c>
      <c r="M409" s="77" t="str">
        <f t="shared" si="32"/>
        <v/>
      </c>
      <c r="N409" s="12"/>
      <c r="O409" s="24">
        <v>50375</v>
      </c>
      <c r="P409" s="85" t="str">
        <f t="shared" si="24"/>
        <v/>
      </c>
      <c r="Q409" s="85" t="str">
        <f t="shared" si="25"/>
        <v/>
      </c>
      <c r="R409" s="85" t="str">
        <f t="shared" si="26"/>
        <v/>
      </c>
      <c r="S409" s="85" t="str">
        <f t="shared" si="27"/>
        <v/>
      </c>
      <c r="T409" s="86" t="str">
        <f t="shared" si="28"/>
        <v/>
      </c>
      <c r="U409" s="87" t="str">
        <f t="shared" si="31"/>
        <v/>
      </c>
      <c r="V409" s="12"/>
      <c r="W409" s="12"/>
    </row>
    <row r="410" spans="5:23" ht="13.5" hidden="1" customHeight="1">
      <c r="E410" s="12"/>
      <c r="F410" s="24">
        <v>50406</v>
      </c>
      <c r="G410" s="81" t="str" cm="1">
        <f t="array" ref="G410">IF(G651="","",
G651*LOOKUP($F410,_xlfn._xlws.FILTER($F$454:$F$463,G$454:G$463&lt;&gt;""),_xlfn._xlws.FILTER(G$454:G$463,G$454:G$463&lt;&gt;"")))</f>
        <v/>
      </c>
      <c r="H410" s="81" t="str" cm="1">
        <f t="array" ref="H410">IF(H651="","",
H651*LOOKUP($F410,_xlfn._xlws.FILTER($F$454:$F$463,H$454:H$463&lt;&gt;""),_xlfn._xlws.FILTER(H$454:H$463,H$454:H$463&lt;&gt;"")))</f>
        <v/>
      </c>
      <c r="I410" s="81" t="str" cm="1">
        <f t="array" ref="I410">IF(I651="","",
I651*LOOKUP($F410,_xlfn._xlws.FILTER($F$454:$F$463,I$454:I$463&lt;&gt;""),_xlfn._xlws.FILTER(I$454:I$463,I$454:I$463&lt;&gt;"")))</f>
        <v/>
      </c>
      <c r="J410" s="88" t="str">
        <f t="shared" si="29"/>
        <v/>
      </c>
      <c r="K410" s="89" t="str" cm="1">
        <f t="array" ref="K410">IF(M651="","",
$N$477*(M651/LOOKUP($F410,_xlfn._xlws.FILTER($F$468:$F$477,G$468:G$477&lt;&gt;""),_xlfn._xlws.FILTER(G$468:G$477,G$468:G$477&lt;&gt;"")))*(N651/LOOKUP($F410,_xlfn._xlws.FILTER($F$468:$F$477,H$468:H$477&lt;&gt;""),_xlfn._xlws.FILTER(H$468:H$477,H$468:H$477&lt;&gt;""))))</f>
        <v/>
      </c>
      <c r="L410" s="84" t="str">
        <f t="shared" si="30"/>
        <v/>
      </c>
      <c r="M410" s="77" t="str">
        <f t="shared" si="32"/>
        <v/>
      </c>
      <c r="N410" s="12"/>
      <c r="O410" s="24">
        <v>50406</v>
      </c>
      <c r="P410" s="85" t="str">
        <f t="shared" si="24"/>
        <v/>
      </c>
      <c r="Q410" s="85" t="str">
        <f t="shared" si="25"/>
        <v/>
      </c>
      <c r="R410" s="85" t="str">
        <f t="shared" si="26"/>
        <v/>
      </c>
      <c r="S410" s="85" t="str">
        <f t="shared" si="27"/>
        <v/>
      </c>
      <c r="T410" s="86" t="str">
        <f t="shared" si="28"/>
        <v/>
      </c>
      <c r="U410" s="87" t="str">
        <f t="shared" si="31"/>
        <v/>
      </c>
      <c r="V410" s="12"/>
      <c r="W410" s="12"/>
    </row>
    <row r="411" spans="5:23" ht="13.5" hidden="1" customHeight="1">
      <c r="E411" s="12"/>
      <c r="F411" s="24">
        <v>50437</v>
      </c>
      <c r="G411" s="81" t="str" cm="1">
        <f t="array" ref="G411">IF(G652="","",
G652*LOOKUP($F411,_xlfn._xlws.FILTER($F$454:$F$463,G$454:G$463&lt;&gt;""),_xlfn._xlws.FILTER(G$454:G$463,G$454:G$463&lt;&gt;"")))</f>
        <v/>
      </c>
      <c r="H411" s="81" t="str" cm="1">
        <f t="array" ref="H411">IF(H652="","",
H652*LOOKUP($F411,_xlfn._xlws.FILTER($F$454:$F$463,H$454:H$463&lt;&gt;""),_xlfn._xlws.FILTER(H$454:H$463,H$454:H$463&lt;&gt;"")))</f>
        <v/>
      </c>
      <c r="I411" s="81" t="str" cm="1">
        <f t="array" ref="I411">IF(I652="","",
I652*LOOKUP($F411,_xlfn._xlws.FILTER($F$454:$F$463,I$454:I$463&lt;&gt;""),_xlfn._xlws.FILTER(I$454:I$463,I$454:I$463&lt;&gt;"")))</f>
        <v/>
      </c>
      <c r="J411" s="88" t="str">
        <f t="shared" si="29"/>
        <v/>
      </c>
      <c r="K411" s="89" t="str" cm="1">
        <f t="array" ref="K411">IF(M652="","",
$N$477*(M652/LOOKUP($F411,_xlfn._xlws.FILTER($F$468:$F$477,G$468:G$477&lt;&gt;""),_xlfn._xlws.FILTER(G$468:G$477,G$468:G$477&lt;&gt;"")))*(N652/LOOKUP($F411,_xlfn._xlws.FILTER($F$468:$F$477,H$468:H$477&lt;&gt;""),_xlfn._xlws.FILTER(H$468:H$477,H$468:H$477&lt;&gt;""))))</f>
        <v/>
      </c>
      <c r="L411" s="84" t="str">
        <f t="shared" si="30"/>
        <v/>
      </c>
      <c r="M411" s="77" t="str">
        <f t="shared" si="32"/>
        <v/>
      </c>
      <c r="N411" s="12"/>
      <c r="O411" s="24">
        <v>50437</v>
      </c>
      <c r="P411" s="85" t="str">
        <f t="shared" si="24"/>
        <v/>
      </c>
      <c r="Q411" s="85" t="str">
        <f t="shared" si="25"/>
        <v/>
      </c>
      <c r="R411" s="85" t="str">
        <f t="shared" si="26"/>
        <v/>
      </c>
      <c r="S411" s="85" t="str">
        <f t="shared" si="27"/>
        <v/>
      </c>
      <c r="T411" s="86" t="str">
        <f t="shared" si="28"/>
        <v/>
      </c>
      <c r="U411" s="87" t="str">
        <f t="shared" si="31"/>
        <v/>
      </c>
      <c r="V411" s="12"/>
      <c r="W411" s="12"/>
    </row>
    <row r="412" spans="5:23" ht="13.5" hidden="1" customHeight="1">
      <c r="E412" s="12"/>
      <c r="F412" s="24">
        <v>50465</v>
      </c>
      <c r="G412" s="81" t="str" cm="1">
        <f t="array" ref="G412">IF(G653="","",
G653*LOOKUP($F412,_xlfn._xlws.FILTER($F$454:$F$463,G$454:G$463&lt;&gt;""),_xlfn._xlws.FILTER(G$454:G$463,G$454:G$463&lt;&gt;"")))</f>
        <v/>
      </c>
      <c r="H412" s="81" t="str" cm="1">
        <f t="array" ref="H412">IF(H653="","",
H653*LOOKUP($F412,_xlfn._xlws.FILTER($F$454:$F$463,H$454:H$463&lt;&gt;""),_xlfn._xlws.FILTER(H$454:H$463,H$454:H$463&lt;&gt;"")))</f>
        <v/>
      </c>
      <c r="I412" s="81" t="str" cm="1">
        <f t="array" ref="I412">IF(I653="","",
I653*LOOKUP($F412,_xlfn._xlws.FILTER($F$454:$F$463,I$454:I$463&lt;&gt;""),_xlfn._xlws.FILTER(I$454:I$463,I$454:I$463&lt;&gt;"")))</f>
        <v/>
      </c>
      <c r="J412" s="88" t="str">
        <f t="shared" si="29"/>
        <v/>
      </c>
      <c r="K412" s="89" t="str" cm="1">
        <f t="array" ref="K412">IF(M653="","",
$N$477*(M653/LOOKUP($F412,_xlfn._xlws.FILTER($F$468:$F$477,G$468:G$477&lt;&gt;""),_xlfn._xlws.FILTER(G$468:G$477,G$468:G$477&lt;&gt;"")))*(N653/LOOKUP($F412,_xlfn._xlws.FILTER($F$468:$F$477,H$468:H$477&lt;&gt;""),_xlfn._xlws.FILTER(H$468:H$477,H$468:H$477&lt;&gt;""))))</f>
        <v/>
      </c>
      <c r="L412" s="84" t="str">
        <f t="shared" si="30"/>
        <v/>
      </c>
      <c r="M412" s="77" t="str">
        <f t="shared" si="32"/>
        <v/>
      </c>
      <c r="N412" s="12"/>
      <c r="O412" s="24">
        <v>50465</v>
      </c>
      <c r="P412" s="85" t="str">
        <f t="shared" si="24"/>
        <v/>
      </c>
      <c r="Q412" s="85" t="str">
        <f t="shared" si="25"/>
        <v/>
      </c>
      <c r="R412" s="85" t="str">
        <f t="shared" si="26"/>
        <v/>
      </c>
      <c r="S412" s="85" t="str">
        <f t="shared" si="27"/>
        <v/>
      </c>
      <c r="T412" s="86" t="str">
        <f t="shared" si="28"/>
        <v/>
      </c>
      <c r="U412" s="87" t="str">
        <f t="shared" si="31"/>
        <v/>
      </c>
      <c r="V412" s="12"/>
      <c r="W412" s="12"/>
    </row>
    <row r="413" spans="5:23" ht="13.5" hidden="1" customHeight="1">
      <c r="E413" s="12"/>
      <c r="F413" s="24">
        <v>50496</v>
      </c>
      <c r="G413" s="81" t="str" cm="1">
        <f t="array" ref="G413">IF(G654="","",
G654*LOOKUP($F413,_xlfn._xlws.FILTER($F$454:$F$463,G$454:G$463&lt;&gt;""),_xlfn._xlws.FILTER(G$454:G$463,G$454:G$463&lt;&gt;"")))</f>
        <v/>
      </c>
      <c r="H413" s="81" t="str" cm="1">
        <f t="array" ref="H413">IF(H654="","",
H654*LOOKUP($F413,_xlfn._xlws.FILTER($F$454:$F$463,H$454:H$463&lt;&gt;""),_xlfn._xlws.FILTER(H$454:H$463,H$454:H$463&lt;&gt;"")))</f>
        <v/>
      </c>
      <c r="I413" s="81" t="str" cm="1">
        <f t="array" ref="I413">IF(I654="","",
I654*LOOKUP($F413,_xlfn._xlws.FILTER($F$454:$F$463,I$454:I$463&lt;&gt;""),_xlfn._xlws.FILTER(I$454:I$463,I$454:I$463&lt;&gt;"")))</f>
        <v/>
      </c>
      <c r="J413" s="88" t="str">
        <f t="shared" si="29"/>
        <v/>
      </c>
      <c r="K413" s="89" t="str" cm="1">
        <f t="array" ref="K413">IF(M654="","",
$N$477*(M654/LOOKUP($F413,_xlfn._xlws.FILTER($F$468:$F$477,G$468:G$477&lt;&gt;""),_xlfn._xlws.FILTER(G$468:G$477,G$468:G$477&lt;&gt;"")))*(N654/LOOKUP($F413,_xlfn._xlws.FILTER($F$468:$F$477,H$468:H$477&lt;&gt;""),_xlfn._xlws.FILTER(H$468:H$477,H$468:H$477&lt;&gt;""))))</f>
        <v/>
      </c>
      <c r="L413" s="84" t="str">
        <f t="shared" si="30"/>
        <v/>
      </c>
      <c r="M413" s="77" t="str">
        <f t="shared" si="32"/>
        <v/>
      </c>
      <c r="N413" s="12"/>
      <c r="O413" s="24">
        <v>50496</v>
      </c>
      <c r="P413" s="85" t="str">
        <f t="shared" si="24"/>
        <v/>
      </c>
      <c r="Q413" s="85" t="str">
        <f t="shared" si="25"/>
        <v/>
      </c>
      <c r="R413" s="85" t="str">
        <f t="shared" si="26"/>
        <v/>
      </c>
      <c r="S413" s="85" t="str">
        <f t="shared" si="27"/>
        <v/>
      </c>
      <c r="T413" s="86" t="str">
        <f t="shared" si="28"/>
        <v/>
      </c>
      <c r="U413" s="87" t="str">
        <f t="shared" si="31"/>
        <v/>
      </c>
      <c r="V413" s="12"/>
      <c r="W413" s="12"/>
    </row>
    <row r="414" spans="5:23" ht="13.5" hidden="1" customHeight="1">
      <c r="E414" s="12"/>
      <c r="F414" s="24">
        <v>50526</v>
      </c>
      <c r="G414" s="81" t="str" cm="1">
        <f t="array" ref="G414">IF(G655="","",
G655*LOOKUP($F414,_xlfn._xlws.FILTER($F$454:$F$463,G$454:G$463&lt;&gt;""),_xlfn._xlws.FILTER(G$454:G$463,G$454:G$463&lt;&gt;"")))</f>
        <v/>
      </c>
      <c r="H414" s="81" t="str" cm="1">
        <f t="array" ref="H414">IF(H655="","",
H655*LOOKUP($F414,_xlfn._xlws.FILTER($F$454:$F$463,H$454:H$463&lt;&gt;""),_xlfn._xlws.FILTER(H$454:H$463,H$454:H$463&lt;&gt;"")))</f>
        <v/>
      </c>
      <c r="I414" s="81" t="str" cm="1">
        <f t="array" ref="I414">IF(I655="","",
I655*LOOKUP($F414,_xlfn._xlws.FILTER($F$454:$F$463,I$454:I$463&lt;&gt;""),_xlfn._xlws.FILTER(I$454:I$463,I$454:I$463&lt;&gt;"")))</f>
        <v/>
      </c>
      <c r="J414" s="88" t="str">
        <f t="shared" si="29"/>
        <v/>
      </c>
      <c r="K414" s="89" t="str" cm="1">
        <f t="array" ref="K414">IF(M655="","",
$N$477*(M655/LOOKUP($F414,_xlfn._xlws.FILTER($F$468:$F$477,G$468:G$477&lt;&gt;""),_xlfn._xlws.FILTER(G$468:G$477,G$468:G$477&lt;&gt;"")))*(N655/LOOKUP($F414,_xlfn._xlws.FILTER($F$468:$F$477,H$468:H$477&lt;&gt;""),_xlfn._xlws.FILTER(H$468:H$477,H$468:H$477&lt;&gt;""))))</f>
        <v/>
      </c>
      <c r="L414" s="84" t="str">
        <f t="shared" si="30"/>
        <v/>
      </c>
      <c r="M414" s="77" t="str">
        <f t="shared" si="32"/>
        <v/>
      </c>
      <c r="N414" s="12"/>
      <c r="O414" s="24">
        <v>50526</v>
      </c>
      <c r="P414" s="85" t="str">
        <f t="shared" si="24"/>
        <v/>
      </c>
      <c r="Q414" s="85" t="str">
        <f t="shared" si="25"/>
        <v/>
      </c>
      <c r="R414" s="85" t="str">
        <f t="shared" si="26"/>
        <v/>
      </c>
      <c r="S414" s="85" t="str">
        <f t="shared" si="27"/>
        <v/>
      </c>
      <c r="T414" s="86" t="str">
        <f t="shared" si="28"/>
        <v/>
      </c>
      <c r="U414" s="87" t="str">
        <f t="shared" si="31"/>
        <v/>
      </c>
      <c r="V414" s="12"/>
      <c r="W414" s="12"/>
    </row>
    <row r="415" spans="5:23" ht="13.5" hidden="1" customHeight="1">
      <c r="E415" s="12"/>
      <c r="F415" s="24">
        <v>50557</v>
      </c>
      <c r="G415" s="81" t="str" cm="1">
        <f t="array" ref="G415">IF(G656="","",
G656*LOOKUP($F415,_xlfn._xlws.FILTER($F$454:$F$463,G$454:G$463&lt;&gt;""),_xlfn._xlws.FILTER(G$454:G$463,G$454:G$463&lt;&gt;"")))</f>
        <v/>
      </c>
      <c r="H415" s="81" t="str" cm="1">
        <f t="array" ref="H415">IF(H656="","",
H656*LOOKUP($F415,_xlfn._xlws.FILTER($F$454:$F$463,H$454:H$463&lt;&gt;""),_xlfn._xlws.FILTER(H$454:H$463,H$454:H$463&lt;&gt;"")))</f>
        <v/>
      </c>
      <c r="I415" s="81" t="str" cm="1">
        <f t="array" ref="I415">IF(I656="","",
I656*LOOKUP($F415,_xlfn._xlws.FILTER($F$454:$F$463,I$454:I$463&lt;&gt;""),_xlfn._xlws.FILTER(I$454:I$463,I$454:I$463&lt;&gt;"")))</f>
        <v/>
      </c>
      <c r="J415" s="88" t="str">
        <f t="shared" si="29"/>
        <v/>
      </c>
      <c r="K415" s="89" t="str" cm="1">
        <f t="array" ref="K415">IF(M656="","",
$N$477*(M656/LOOKUP($F415,_xlfn._xlws.FILTER($F$468:$F$477,G$468:G$477&lt;&gt;""),_xlfn._xlws.FILTER(G$468:G$477,G$468:G$477&lt;&gt;"")))*(N656/LOOKUP($F415,_xlfn._xlws.FILTER($F$468:$F$477,H$468:H$477&lt;&gt;""),_xlfn._xlws.FILTER(H$468:H$477,H$468:H$477&lt;&gt;""))))</f>
        <v/>
      </c>
      <c r="L415" s="84" t="str">
        <f t="shared" si="30"/>
        <v/>
      </c>
      <c r="M415" s="77" t="str">
        <f t="shared" si="32"/>
        <v/>
      </c>
      <c r="N415" s="12"/>
      <c r="O415" s="24">
        <v>50557</v>
      </c>
      <c r="P415" s="85" t="str">
        <f t="shared" si="24"/>
        <v/>
      </c>
      <c r="Q415" s="85" t="str">
        <f t="shared" si="25"/>
        <v/>
      </c>
      <c r="R415" s="85" t="str">
        <f t="shared" si="26"/>
        <v/>
      </c>
      <c r="S415" s="85" t="str">
        <f t="shared" si="27"/>
        <v/>
      </c>
      <c r="T415" s="86" t="str">
        <f t="shared" si="28"/>
        <v/>
      </c>
      <c r="U415" s="87" t="str">
        <f t="shared" si="31"/>
        <v/>
      </c>
      <c r="V415" s="12"/>
      <c r="W415" s="12"/>
    </row>
    <row r="416" spans="5:23" ht="13.5" hidden="1" customHeight="1">
      <c r="E416" s="12"/>
      <c r="F416" s="24">
        <v>50587</v>
      </c>
      <c r="G416" s="81" t="str" cm="1">
        <f t="array" ref="G416">IF(G657="","",
G657*LOOKUP($F416,_xlfn._xlws.FILTER($F$454:$F$463,G$454:G$463&lt;&gt;""),_xlfn._xlws.FILTER(G$454:G$463,G$454:G$463&lt;&gt;"")))</f>
        <v/>
      </c>
      <c r="H416" s="81" t="str" cm="1">
        <f t="array" ref="H416">IF(H657="","",
H657*LOOKUP($F416,_xlfn._xlws.FILTER($F$454:$F$463,H$454:H$463&lt;&gt;""),_xlfn._xlws.FILTER(H$454:H$463,H$454:H$463&lt;&gt;"")))</f>
        <v/>
      </c>
      <c r="I416" s="81" t="str" cm="1">
        <f t="array" ref="I416">IF(I657="","",
I657*LOOKUP($F416,_xlfn._xlws.FILTER($F$454:$F$463,I$454:I$463&lt;&gt;""),_xlfn._xlws.FILTER(I$454:I$463,I$454:I$463&lt;&gt;"")))</f>
        <v/>
      </c>
      <c r="J416" s="88" t="str">
        <f t="shared" si="29"/>
        <v/>
      </c>
      <c r="K416" s="89" t="str" cm="1">
        <f t="array" ref="K416">IF(M657="","",
$N$477*(M657/LOOKUP($F416,_xlfn._xlws.FILTER($F$468:$F$477,G$468:G$477&lt;&gt;""),_xlfn._xlws.FILTER(G$468:G$477,G$468:G$477&lt;&gt;"")))*(N657/LOOKUP($F416,_xlfn._xlws.FILTER($F$468:$F$477,H$468:H$477&lt;&gt;""),_xlfn._xlws.FILTER(H$468:H$477,H$468:H$477&lt;&gt;""))))</f>
        <v/>
      </c>
      <c r="L416" s="84" t="str">
        <f t="shared" si="30"/>
        <v/>
      </c>
      <c r="M416" s="77" t="str">
        <f t="shared" si="32"/>
        <v/>
      </c>
      <c r="N416" s="12"/>
      <c r="O416" s="24">
        <v>50587</v>
      </c>
      <c r="P416" s="85" t="str">
        <f t="shared" si="24"/>
        <v/>
      </c>
      <c r="Q416" s="85" t="str">
        <f t="shared" si="25"/>
        <v/>
      </c>
      <c r="R416" s="85" t="str">
        <f t="shared" si="26"/>
        <v/>
      </c>
      <c r="S416" s="85" t="str">
        <f t="shared" si="27"/>
        <v/>
      </c>
      <c r="T416" s="86" t="str">
        <f t="shared" si="28"/>
        <v/>
      </c>
      <c r="U416" s="87" t="str">
        <f t="shared" si="31"/>
        <v/>
      </c>
      <c r="V416" s="12"/>
      <c r="W416" s="12"/>
    </row>
    <row r="417" spans="5:23" ht="13.5" hidden="1" customHeight="1">
      <c r="E417" s="12"/>
      <c r="F417" s="24">
        <v>50618</v>
      </c>
      <c r="G417" s="81" t="str" cm="1">
        <f t="array" ref="G417">IF(G658="","",
G658*LOOKUP($F417,_xlfn._xlws.FILTER($F$454:$F$463,G$454:G$463&lt;&gt;""),_xlfn._xlws.FILTER(G$454:G$463,G$454:G$463&lt;&gt;"")))</f>
        <v/>
      </c>
      <c r="H417" s="81" t="str" cm="1">
        <f t="array" ref="H417">IF(H658="","",
H658*LOOKUP($F417,_xlfn._xlws.FILTER($F$454:$F$463,H$454:H$463&lt;&gt;""),_xlfn._xlws.FILTER(H$454:H$463,H$454:H$463&lt;&gt;"")))</f>
        <v/>
      </c>
      <c r="I417" s="81" t="str" cm="1">
        <f t="array" ref="I417">IF(I658="","",
I658*LOOKUP($F417,_xlfn._xlws.FILTER($F$454:$F$463,I$454:I$463&lt;&gt;""),_xlfn._xlws.FILTER(I$454:I$463,I$454:I$463&lt;&gt;"")))</f>
        <v/>
      </c>
      <c r="J417" s="88" t="str">
        <f t="shared" si="29"/>
        <v/>
      </c>
      <c r="K417" s="89" t="str" cm="1">
        <f t="array" ref="K417">IF(M658="","",
$N$477*(M658/LOOKUP($F417,_xlfn._xlws.FILTER($F$468:$F$477,G$468:G$477&lt;&gt;""),_xlfn._xlws.FILTER(G$468:G$477,G$468:G$477&lt;&gt;"")))*(N658/LOOKUP($F417,_xlfn._xlws.FILTER($F$468:$F$477,H$468:H$477&lt;&gt;""),_xlfn._xlws.FILTER(H$468:H$477,H$468:H$477&lt;&gt;""))))</f>
        <v/>
      </c>
      <c r="L417" s="84" t="str">
        <f t="shared" si="30"/>
        <v/>
      </c>
      <c r="M417" s="77" t="str">
        <f t="shared" si="32"/>
        <v/>
      </c>
      <c r="N417" s="12"/>
      <c r="O417" s="24">
        <v>50618</v>
      </c>
      <c r="P417" s="85" t="str">
        <f t="shared" si="24"/>
        <v/>
      </c>
      <c r="Q417" s="85" t="str">
        <f t="shared" si="25"/>
        <v/>
      </c>
      <c r="R417" s="85" t="str">
        <f t="shared" si="26"/>
        <v/>
      </c>
      <c r="S417" s="85" t="str">
        <f t="shared" si="27"/>
        <v/>
      </c>
      <c r="T417" s="86" t="str">
        <f t="shared" si="28"/>
        <v/>
      </c>
      <c r="U417" s="87" t="str">
        <f t="shared" si="31"/>
        <v/>
      </c>
      <c r="V417" s="12"/>
      <c r="W417" s="12"/>
    </row>
    <row r="418" spans="5:23" ht="13.5" hidden="1" customHeight="1">
      <c r="E418" s="12"/>
      <c r="F418" s="24">
        <v>50649</v>
      </c>
      <c r="G418" s="81" t="str" cm="1">
        <f t="array" ref="G418">IF(G659="","",
G659*LOOKUP($F418,_xlfn._xlws.FILTER($F$454:$F$463,G$454:G$463&lt;&gt;""),_xlfn._xlws.FILTER(G$454:G$463,G$454:G$463&lt;&gt;"")))</f>
        <v/>
      </c>
      <c r="H418" s="81" t="str" cm="1">
        <f t="array" ref="H418">IF(H659="","",
H659*LOOKUP($F418,_xlfn._xlws.FILTER($F$454:$F$463,H$454:H$463&lt;&gt;""),_xlfn._xlws.FILTER(H$454:H$463,H$454:H$463&lt;&gt;"")))</f>
        <v/>
      </c>
      <c r="I418" s="81" t="str" cm="1">
        <f t="array" ref="I418">IF(I659="","",
I659*LOOKUP($F418,_xlfn._xlws.FILTER($F$454:$F$463,I$454:I$463&lt;&gt;""),_xlfn._xlws.FILTER(I$454:I$463,I$454:I$463&lt;&gt;"")))</f>
        <v/>
      </c>
      <c r="J418" s="88" t="str">
        <f t="shared" si="29"/>
        <v/>
      </c>
      <c r="K418" s="89" t="str" cm="1">
        <f t="array" ref="K418">IF(M659="","",
$N$477*(M659/LOOKUP($F418,_xlfn._xlws.FILTER($F$468:$F$477,G$468:G$477&lt;&gt;""),_xlfn._xlws.FILTER(G$468:G$477,G$468:G$477&lt;&gt;"")))*(N659/LOOKUP($F418,_xlfn._xlws.FILTER($F$468:$F$477,H$468:H$477&lt;&gt;""),_xlfn._xlws.FILTER(H$468:H$477,H$468:H$477&lt;&gt;""))))</f>
        <v/>
      </c>
      <c r="L418" s="84" t="str">
        <f t="shared" si="30"/>
        <v/>
      </c>
      <c r="M418" s="77" t="str">
        <f t="shared" si="32"/>
        <v/>
      </c>
      <c r="N418" s="12"/>
      <c r="O418" s="24">
        <v>50649</v>
      </c>
      <c r="P418" s="85" t="str">
        <f t="shared" si="24"/>
        <v/>
      </c>
      <c r="Q418" s="85" t="str">
        <f t="shared" si="25"/>
        <v/>
      </c>
      <c r="R418" s="85" t="str">
        <f t="shared" si="26"/>
        <v/>
      </c>
      <c r="S418" s="85" t="str">
        <f t="shared" si="27"/>
        <v/>
      </c>
      <c r="T418" s="86" t="str">
        <f t="shared" si="28"/>
        <v/>
      </c>
      <c r="U418" s="87" t="str">
        <f t="shared" si="31"/>
        <v/>
      </c>
      <c r="V418" s="12"/>
      <c r="W418" s="12"/>
    </row>
    <row r="419" spans="5:23" ht="13.5" hidden="1" customHeight="1">
      <c r="E419" s="12"/>
      <c r="F419" s="24">
        <v>50679</v>
      </c>
      <c r="G419" s="81" t="str" cm="1">
        <f t="array" ref="G419">IF(G660="","",
G660*LOOKUP($F419,_xlfn._xlws.FILTER($F$454:$F$463,G$454:G$463&lt;&gt;""),_xlfn._xlws.FILTER(G$454:G$463,G$454:G$463&lt;&gt;"")))</f>
        <v/>
      </c>
      <c r="H419" s="81" t="str" cm="1">
        <f t="array" ref="H419">IF(H660="","",
H660*LOOKUP($F419,_xlfn._xlws.FILTER($F$454:$F$463,H$454:H$463&lt;&gt;""),_xlfn._xlws.FILTER(H$454:H$463,H$454:H$463&lt;&gt;"")))</f>
        <v/>
      </c>
      <c r="I419" s="81" t="str" cm="1">
        <f t="array" ref="I419">IF(I660="","",
I660*LOOKUP($F419,_xlfn._xlws.FILTER($F$454:$F$463,I$454:I$463&lt;&gt;""),_xlfn._xlws.FILTER(I$454:I$463,I$454:I$463&lt;&gt;"")))</f>
        <v/>
      </c>
      <c r="J419" s="88" t="str">
        <f t="shared" si="29"/>
        <v/>
      </c>
      <c r="K419" s="89" t="str" cm="1">
        <f t="array" ref="K419">IF(M660="","",
$N$477*(M660/LOOKUP($F419,_xlfn._xlws.FILTER($F$468:$F$477,G$468:G$477&lt;&gt;""),_xlfn._xlws.FILTER(G$468:G$477,G$468:G$477&lt;&gt;"")))*(N660/LOOKUP($F419,_xlfn._xlws.FILTER($F$468:$F$477,H$468:H$477&lt;&gt;""),_xlfn._xlws.FILTER(H$468:H$477,H$468:H$477&lt;&gt;""))))</f>
        <v/>
      </c>
      <c r="L419" s="84" t="str">
        <f t="shared" si="30"/>
        <v/>
      </c>
      <c r="M419" s="77" t="str">
        <f t="shared" si="32"/>
        <v/>
      </c>
      <c r="N419" s="12"/>
      <c r="O419" s="24">
        <v>50679</v>
      </c>
      <c r="P419" s="85" t="str">
        <f t="shared" si="24"/>
        <v/>
      </c>
      <c r="Q419" s="85" t="str">
        <f t="shared" si="25"/>
        <v/>
      </c>
      <c r="R419" s="85" t="str">
        <f t="shared" si="26"/>
        <v/>
      </c>
      <c r="S419" s="85" t="str">
        <f t="shared" si="27"/>
        <v/>
      </c>
      <c r="T419" s="86" t="str">
        <f t="shared" si="28"/>
        <v/>
      </c>
      <c r="U419" s="87" t="str">
        <f t="shared" si="31"/>
        <v/>
      </c>
      <c r="V419" s="12"/>
      <c r="W419" s="12"/>
    </row>
    <row r="420" spans="5:23" ht="13.5" hidden="1" customHeight="1">
      <c r="E420" s="12"/>
      <c r="F420" s="24">
        <v>50710</v>
      </c>
      <c r="G420" s="81" t="str" cm="1">
        <f t="array" ref="G420">IF(G661="","",
G661*LOOKUP($F420,_xlfn._xlws.FILTER($F$454:$F$463,G$454:G$463&lt;&gt;""),_xlfn._xlws.FILTER(G$454:G$463,G$454:G$463&lt;&gt;"")))</f>
        <v/>
      </c>
      <c r="H420" s="81" t="str" cm="1">
        <f t="array" ref="H420">IF(H661="","",
H661*LOOKUP($F420,_xlfn._xlws.FILTER($F$454:$F$463,H$454:H$463&lt;&gt;""),_xlfn._xlws.FILTER(H$454:H$463,H$454:H$463&lt;&gt;"")))</f>
        <v/>
      </c>
      <c r="I420" s="81" t="str" cm="1">
        <f t="array" ref="I420">IF(I661="","",
I661*LOOKUP($F420,_xlfn._xlws.FILTER($F$454:$F$463,I$454:I$463&lt;&gt;""),_xlfn._xlws.FILTER(I$454:I$463,I$454:I$463&lt;&gt;"")))</f>
        <v/>
      </c>
      <c r="J420" s="88" t="str">
        <f t="shared" si="29"/>
        <v/>
      </c>
      <c r="K420" s="89" t="str" cm="1">
        <f t="array" ref="K420">IF(M661="","",
$N$477*(M661/LOOKUP($F420,_xlfn._xlws.FILTER($F$468:$F$477,G$468:G$477&lt;&gt;""),_xlfn._xlws.FILTER(G$468:G$477,G$468:G$477&lt;&gt;"")))*(N661/LOOKUP($F420,_xlfn._xlws.FILTER($F$468:$F$477,H$468:H$477&lt;&gt;""),_xlfn._xlws.FILTER(H$468:H$477,H$468:H$477&lt;&gt;""))))</f>
        <v/>
      </c>
      <c r="L420" s="84" t="str">
        <f t="shared" si="30"/>
        <v/>
      </c>
      <c r="M420" s="77" t="str">
        <f t="shared" si="32"/>
        <v/>
      </c>
      <c r="N420" s="12"/>
      <c r="O420" s="24">
        <v>50710</v>
      </c>
      <c r="P420" s="85" t="str">
        <f t="shared" si="24"/>
        <v/>
      </c>
      <c r="Q420" s="85" t="str">
        <f t="shared" si="25"/>
        <v/>
      </c>
      <c r="R420" s="85" t="str">
        <f t="shared" si="26"/>
        <v/>
      </c>
      <c r="S420" s="85" t="str">
        <f t="shared" si="27"/>
        <v/>
      </c>
      <c r="T420" s="86" t="str">
        <f t="shared" si="28"/>
        <v/>
      </c>
      <c r="U420" s="87" t="str">
        <f t="shared" si="31"/>
        <v/>
      </c>
      <c r="V420" s="12"/>
      <c r="W420" s="12"/>
    </row>
    <row r="421" spans="5:23" ht="13.5" hidden="1" customHeight="1">
      <c r="E421" s="12"/>
      <c r="F421" s="24">
        <v>50740</v>
      </c>
      <c r="G421" s="81" t="str" cm="1">
        <f t="array" ref="G421">IF(G662="","",
G662*LOOKUP($F421,_xlfn._xlws.FILTER($F$454:$F$463,G$454:G$463&lt;&gt;""),_xlfn._xlws.FILTER(G$454:G$463,G$454:G$463&lt;&gt;"")))</f>
        <v/>
      </c>
      <c r="H421" s="81" t="str" cm="1">
        <f t="array" ref="H421">IF(H662="","",
H662*LOOKUP($F421,_xlfn._xlws.FILTER($F$454:$F$463,H$454:H$463&lt;&gt;""),_xlfn._xlws.FILTER(H$454:H$463,H$454:H$463&lt;&gt;"")))</f>
        <v/>
      </c>
      <c r="I421" s="81" t="str" cm="1">
        <f t="array" ref="I421">IF(I662="","",
I662*LOOKUP($F421,_xlfn._xlws.FILTER($F$454:$F$463,I$454:I$463&lt;&gt;""),_xlfn._xlws.FILTER(I$454:I$463,I$454:I$463&lt;&gt;"")))</f>
        <v/>
      </c>
      <c r="J421" s="88" t="str">
        <f t="shared" si="29"/>
        <v/>
      </c>
      <c r="K421" s="89" t="str" cm="1">
        <f t="array" ref="K421">IF(M662="","",
$N$477*(M662/LOOKUP($F421,_xlfn._xlws.FILTER($F$468:$F$477,G$468:G$477&lt;&gt;""),_xlfn._xlws.FILTER(G$468:G$477,G$468:G$477&lt;&gt;"")))*(N662/LOOKUP($F421,_xlfn._xlws.FILTER($F$468:$F$477,H$468:H$477&lt;&gt;""),_xlfn._xlws.FILTER(H$468:H$477,H$468:H$477&lt;&gt;""))))</f>
        <v/>
      </c>
      <c r="L421" s="84" t="str">
        <f t="shared" si="30"/>
        <v/>
      </c>
      <c r="M421" s="77" t="str">
        <f t="shared" si="32"/>
        <v/>
      </c>
      <c r="N421" s="12"/>
      <c r="O421" s="24">
        <v>50740</v>
      </c>
      <c r="P421" s="85" t="str">
        <f t="shared" si="24"/>
        <v/>
      </c>
      <c r="Q421" s="85" t="str">
        <f t="shared" si="25"/>
        <v/>
      </c>
      <c r="R421" s="85" t="str">
        <f t="shared" si="26"/>
        <v/>
      </c>
      <c r="S421" s="85" t="str">
        <f t="shared" si="27"/>
        <v/>
      </c>
      <c r="T421" s="86" t="str">
        <f t="shared" si="28"/>
        <v/>
      </c>
      <c r="U421" s="87" t="str">
        <f t="shared" si="31"/>
        <v/>
      </c>
      <c r="V421" s="12"/>
      <c r="W421" s="12"/>
    </row>
    <row r="422" spans="5:23" ht="13.5" hidden="1" customHeight="1">
      <c r="E422" s="12"/>
      <c r="F422" s="24">
        <v>50771</v>
      </c>
      <c r="G422" s="81" t="str" cm="1">
        <f t="array" ref="G422">IF(G663="","",
G663*LOOKUP($F422,_xlfn._xlws.FILTER($F$454:$F$463,G$454:G$463&lt;&gt;""),_xlfn._xlws.FILTER(G$454:G$463,G$454:G$463&lt;&gt;"")))</f>
        <v/>
      </c>
      <c r="H422" s="81" t="str" cm="1">
        <f t="array" ref="H422">IF(H663="","",
H663*LOOKUP($F422,_xlfn._xlws.FILTER($F$454:$F$463,H$454:H$463&lt;&gt;""),_xlfn._xlws.FILTER(H$454:H$463,H$454:H$463&lt;&gt;"")))</f>
        <v/>
      </c>
      <c r="I422" s="81" t="str" cm="1">
        <f t="array" ref="I422">IF(I663="","",
I663*LOOKUP($F422,_xlfn._xlws.FILTER($F$454:$F$463,I$454:I$463&lt;&gt;""),_xlfn._xlws.FILTER(I$454:I$463,I$454:I$463&lt;&gt;"")))</f>
        <v/>
      </c>
      <c r="J422" s="88" t="str">
        <f t="shared" si="29"/>
        <v/>
      </c>
      <c r="K422" s="89" t="str" cm="1">
        <f t="array" ref="K422">IF(M663="","",
$N$477*(M663/LOOKUP($F422,_xlfn._xlws.FILTER($F$468:$F$477,G$468:G$477&lt;&gt;""),_xlfn._xlws.FILTER(G$468:G$477,G$468:G$477&lt;&gt;"")))*(N663/LOOKUP($F422,_xlfn._xlws.FILTER($F$468:$F$477,H$468:H$477&lt;&gt;""),_xlfn._xlws.FILTER(H$468:H$477,H$468:H$477&lt;&gt;""))))</f>
        <v/>
      </c>
      <c r="L422" s="84" t="str">
        <f t="shared" si="30"/>
        <v/>
      </c>
      <c r="M422" s="77" t="str">
        <f t="shared" si="32"/>
        <v/>
      </c>
      <c r="N422" s="12"/>
      <c r="O422" s="24">
        <v>50771</v>
      </c>
      <c r="P422" s="85" t="str">
        <f t="shared" si="24"/>
        <v/>
      </c>
      <c r="Q422" s="85" t="str">
        <f t="shared" si="25"/>
        <v/>
      </c>
      <c r="R422" s="85" t="str">
        <f t="shared" si="26"/>
        <v/>
      </c>
      <c r="S422" s="85" t="str">
        <f t="shared" si="27"/>
        <v/>
      </c>
      <c r="T422" s="86" t="str">
        <f t="shared" si="28"/>
        <v/>
      </c>
      <c r="U422" s="87" t="str">
        <f t="shared" si="31"/>
        <v/>
      </c>
      <c r="V422" s="12"/>
      <c r="W422" s="12"/>
    </row>
    <row r="423" spans="5:23" ht="13.5" hidden="1" customHeight="1">
      <c r="E423" s="12"/>
      <c r="F423" s="24">
        <v>50802</v>
      </c>
      <c r="G423" s="81" t="str" cm="1">
        <f t="array" ref="G423">IF(G664="","",
G664*LOOKUP($F423,_xlfn._xlws.FILTER($F$454:$F$463,G$454:G$463&lt;&gt;""),_xlfn._xlws.FILTER(G$454:G$463,G$454:G$463&lt;&gt;"")))</f>
        <v/>
      </c>
      <c r="H423" s="81" t="str" cm="1">
        <f t="array" ref="H423">IF(H664="","",
H664*LOOKUP($F423,_xlfn._xlws.FILTER($F$454:$F$463,H$454:H$463&lt;&gt;""),_xlfn._xlws.FILTER(H$454:H$463,H$454:H$463&lt;&gt;"")))</f>
        <v/>
      </c>
      <c r="I423" s="81" t="str" cm="1">
        <f t="array" ref="I423">IF(I664="","",
I664*LOOKUP($F423,_xlfn._xlws.FILTER($F$454:$F$463,I$454:I$463&lt;&gt;""),_xlfn._xlws.FILTER(I$454:I$463,I$454:I$463&lt;&gt;"")))</f>
        <v/>
      </c>
      <c r="J423" s="88" t="str">
        <f t="shared" si="29"/>
        <v/>
      </c>
      <c r="K423" s="89" t="str" cm="1">
        <f t="array" ref="K423">IF(M664="","",
$N$477*(M664/LOOKUP($F423,_xlfn._xlws.FILTER($F$468:$F$477,G$468:G$477&lt;&gt;""),_xlfn._xlws.FILTER(G$468:G$477,G$468:G$477&lt;&gt;"")))*(N664/LOOKUP($F423,_xlfn._xlws.FILTER($F$468:$F$477,H$468:H$477&lt;&gt;""),_xlfn._xlws.FILTER(H$468:H$477,H$468:H$477&lt;&gt;""))))</f>
        <v/>
      </c>
      <c r="L423" s="84" t="str">
        <f t="shared" si="30"/>
        <v/>
      </c>
      <c r="M423" s="77" t="str">
        <f t="shared" si="32"/>
        <v/>
      </c>
      <c r="N423" s="12"/>
      <c r="O423" s="24">
        <v>50802</v>
      </c>
      <c r="P423" s="85" t="str">
        <f t="shared" si="24"/>
        <v/>
      </c>
      <c r="Q423" s="85" t="str">
        <f t="shared" si="25"/>
        <v/>
      </c>
      <c r="R423" s="85" t="str">
        <f t="shared" si="26"/>
        <v/>
      </c>
      <c r="S423" s="85" t="str">
        <f t="shared" si="27"/>
        <v/>
      </c>
      <c r="T423" s="86" t="str">
        <f t="shared" si="28"/>
        <v/>
      </c>
      <c r="U423" s="87" t="str">
        <f t="shared" si="31"/>
        <v/>
      </c>
      <c r="V423" s="12"/>
      <c r="W423" s="12"/>
    </row>
    <row r="424" spans="5:23" ht="13.5" hidden="1" customHeight="1">
      <c r="E424" s="12"/>
      <c r="F424" s="24">
        <v>50830</v>
      </c>
      <c r="G424" s="81" t="str" cm="1">
        <f t="array" ref="G424">IF(G665="","",
G665*LOOKUP($F424,_xlfn._xlws.FILTER($F$454:$F$463,G$454:G$463&lt;&gt;""),_xlfn._xlws.FILTER(G$454:G$463,G$454:G$463&lt;&gt;"")))</f>
        <v/>
      </c>
      <c r="H424" s="81" t="str" cm="1">
        <f t="array" ref="H424">IF(H665="","",
H665*LOOKUP($F424,_xlfn._xlws.FILTER($F$454:$F$463,H$454:H$463&lt;&gt;""),_xlfn._xlws.FILTER(H$454:H$463,H$454:H$463&lt;&gt;"")))</f>
        <v/>
      </c>
      <c r="I424" s="81" t="str" cm="1">
        <f t="array" ref="I424">IF(I665="","",
I665*LOOKUP($F424,_xlfn._xlws.FILTER($F$454:$F$463,I$454:I$463&lt;&gt;""),_xlfn._xlws.FILTER(I$454:I$463,I$454:I$463&lt;&gt;"")))</f>
        <v/>
      </c>
      <c r="J424" s="88" t="str">
        <f t="shared" si="29"/>
        <v/>
      </c>
      <c r="K424" s="89" t="str" cm="1">
        <f t="array" ref="K424">IF(M665="","",
$N$477*(M665/LOOKUP($F424,_xlfn._xlws.FILTER($F$468:$F$477,G$468:G$477&lt;&gt;""),_xlfn._xlws.FILTER(G$468:G$477,G$468:G$477&lt;&gt;"")))*(N665/LOOKUP($F424,_xlfn._xlws.FILTER($F$468:$F$477,H$468:H$477&lt;&gt;""),_xlfn._xlws.FILTER(H$468:H$477,H$468:H$477&lt;&gt;""))))</f>
        <v/>
      </c>
      <c r="L424" s="84" t="str">
        <f t="shared" si="30"/>
        <v/>
      </c>
      <c r="M424" s="77" t="str">
        <f t="shared" si="32"/>
        <v/>
      </c>
      <c r="N424" s="12"/>
      <c r="O424" s="24">
        <v>50830</v>
      </c>
      <c r="P424" s="85" t="str">
        <f t="shared" si="24"/>
        <v/>
      </c>
      <c r="Q424" s="85" t="str">
        <f t="shared" si="25"/>
        <v/>
      </c>
      <c r="R424" s="85" t="str">
        <f t="shared" si="26"/>
        <v/>
      </c>
      <c r="S424" s="85" t="str">
        <f t="shared" si="27"/>
        <v/>
      </c>
      <c r="T424" s="86" t="str">
        <f t="shared" si="28"/>
        <v/>
      </c>
      <c r="U424" s="87" t="str">
        <f t="shared" si="31"/>
        <v/>
      </c>
      <c r="V424" s="12"/>
      <c r="W424" s="12"/>
    </row>
    <row r="425" spans="5:23" ht="13.5" hidden="1" customHeight="1">
      <c r="E425" s="12"/>
      <c r="F425" s="24">
        <v>50861</v>
      </c>
      <c r="G425" s="81" t="str" cm="1">
        <f t="array" ref="G425">IF(G666="","",
G666*LOOKUP($F425,_xlfn._xlws.FILTER($F$454:$F$463,G$454:G$463&lt;&gt;""),_xlfn._xlws.FILTER(G$454:G$463,G$454:G$463&lt;&gt;"")))</f>
        <v/>
      </c>
      <c r="H425" s="81" t="str" cm="1">
        <f t="array" ref="H425">IF(H666="","",
H666*LOOKUP($F425,_xlfn._xlws.FILTER($F$454:$F$463,H$454:H$463&lt;&gt;""),_xlfn._xlws.FILTER(H$454:H$463,H$454:H$463&lt;&gt;"")))</f>
        <v/>
      </c>
      <c r="I425" s="81" t="str" cm="1">
        <f t="array" ref="I425">IF(I666="","",
I666*LOOKUP($F425,_xlfn._xlws.FILTER($F$454:$F$463,I$454:I$463&lt;&gt;""),_xlfn._xlws.FILTER(I$454:I$463,I$454:I$463&lt;&gt;"")))</f>
        <v/>
      </c>
      <c r="J425" s="88" t="str">
        <f t="shared" si="29"/>
        <v/>
      </c>
      <c r="K425" s="89" t="str" cm="1">
        <f t="array" ref="K425">IF(M666="","",
$N$477*(M666/LOOKUP($F425,_xlfn._xlws.FILTER($F$468:$F$477,G$468:G$477&lt;&gt;""),_xlfn._xlws.FILTER(G$468:G$477,G$468:G$477&lt;&gt;"")))*(N666/LOOKUP($F425,_xlfn._xlws.FILTER($F$468:$F$477,H$468:H$477&lt;&gt;""),_xlfn._xlws.FILTER(H$468:H$477,H$468:H$477&lt;&gt;""))))</f>
        <v/>
      </c>
      <c r="L425" s="84" t="str">
        <f t="shared" si="30"/>
        <v/>
      </c>
      <c r="M425" s="77" t="str">
        <f t="shared" si="32"/>
        <v/>
      </c>
      <c r="N425" s="12"/>
      <c r="O425" s="24">
        <v>50861</v>
      </c>
      <c r="P425" s="85" t="str">
        <f t="shared" si="24"/>
        <v/>
      </c>
      <c r="Q425" s="85" t="str">
        <f t="shared" si="25"/>
        <v/>
      </c>
      <c r="R425" s="85" t="str">
        <f t="shared" si="26"/>
        <v/>
      </c>
      <c r="S425" s="85" t="str">
        <f t="shared" si="27"/>
        <v/>
      </c>
      <c r="T425" s="86" t="str">
        <f t="shared" si="28"/>
        <v/>
      </c>
      <c r="U425" s="87" t="str">
        <f t="shared" si="31"/>
        <v/>
      </c>
      <c r="V425" s="12"/>
      <c r="W425" s="12"/>
    </row>
    <row r="426" spans="5:23" ht="13.5" hidden="1" customHeight="1">
      <c r="E426" s="12"/>
      <c r="F426" s="24">
        <v>50891</v>
      </c>
      <c r="G426" s="81" t="str" cm="1">
        <f t="array" ref="G426">IF(G667="","",
G667*LOOKUP($F426,_xlfn._xlws.FILTER($F$454:$F$463,G$454:G$463&lt;&gt;""),_xlfn._xlws.FILTER(G$454:G$463,G$454:G$463&lt;&gt;"")))</f>
        <v/>
      </c>
      <c r="H426" s="81" t="str" cm="1">
        <f t="array" ref="H426">IF(H667="","",
H667*LOOKUP($F426,_xlfn._xlws.FILTER($F$454:$F$463,H$454:H$463&lt;&gt;""),_xlfn._xlws.FILTER(H$454:H$463,H$454:H$463&lt;&gt;"")))</f>
        <v/>
      </c>
      <c r="I426" s="81" t="str" cm="1">
        <f t="array" ref="I426">IF(I667="","",
I667*LOOKUP($F426,_xlfn._xlws.FILTER($F$454:$F$463,I$454:I$463&lt;&gt;""),_xlfn._xlws.FILTER(I$454:I$463,I$454:I$463&lt;&gt;"")))</f>
        <v/>
      </c>
      <c r="J426" s="88" t="str">
        <f t="shared" si="29"/>
        <v/>
      </c>
      <c r="K426" s="89" t="str" cm="1">
        <f t="array" ref="K426">IF(M667="","",
$N$477*(M667/LOOKUP($F426,_xlfn._xlws.FILTER($F$468:$F$477,G$468:G$477&lt;&gt;""),_xlfn._xlws.FILTER(G$468:G$477,G$468:G$477&lt;&gt;"")))*(N667/LOOKUP($F426,_xlfn._xlws.FILTER($F$468:$F$477,H$468:H$477&lt;&gt;""),_xlfn._xlws.FILTER(H$468:H$477,H$468:H$477&lt;&gt;""))))</f>
        <v/>
      </c>
      <c r="L426" s="84" t="str">
        <f t="shared" si="30"/>
        <v/>
      </c>
      <c r="M426" s="77" t="str">
        <f t="shared" si="32"/>
        <v/>
      </c>
      <c r="N426" s="12"/>
      <c r="O426" s="24">
        <v>50891</v>
      </c>
      <c r="P426" s="85" t="str">
        <f t="shared" si="24"/>
        <v/>
      </c>
      <c r="Q426" s="85" t="str">
        <f t="shared" si="25"/>
        <v/>
      </c>
      <c r="R426" s="85" t="str">
        <f t="shared" si="26"/>
        <v/>
      </c>
      <c r="S426" s="85" t="str">
        <f t="shared" si="27"/>
        <v/>
      </c>
      <c r="T426" s="86" t="str">
        <f t="shared" si="28"/>
        <v/>
      </c>
      <c r="U426" s="87" t="str">
        <f t="shared" si="31"/>
        <v/>
      </c>
      <c r="V426" s="12"/>
      <c r="W426" s="12"/>
    </row>
    <row r="427" spans="5:23" ht="13.5" hidden="1" customHeight="1">
      <c r="E427" s="12"/>
      <c r="F427" s="24">
        <v>50922</v>
      </c>
      <c r="G427" s="81" t="str" cm="1">
        <f t="array" ref="G427">IF(G668="","",
G668*LOOKUP($F427,_xlfn._xlws.FILTER($F$454:$F$463,G$454:G$463&lt;&gt;""),_xlfn._xlws.FILTER(G$454:G$463,G$454:G$463&lt;&gt;"")))</f>
        <v/>
      </c>
      <c r="H427" s="81" t="str" cm="1">
        <f t="array" ref="H427">IF(H668="","",
H668*LOOKUP($F427,_xlfn._xlws.FILTER($F$454:$F$463,H$454:H$463&lt;&gt;""),_xlfn._xlws.FILTER(H$454:H$463,H$454:H$463&lt;&gt;"")))</f>
        <v/>
      </c>
      <c r="I427" s="81" t="str" cm="1">
        <f t="array" ref="I427">IF(I668="","",
I668*LOOKUP($F427,_xlfn._xlws.FILTER($F$454:$F$463,I$454:I$463&lt;&gt;""),_xlfn._xlws.FILTER(I$454:I$463,I$454:I$463&lt;&gt;"")))</f>
        <v/>
      </c>
      <c r="J427" s="88" t="str">
        <f t="shared" si="29"/>
        <v/>
      </c>
      <c r="K427" s="89" t="str" cm="1">
        <f t="array" ref="K427">IF(M668="","",
$N$477*(M668/LOOKUP($F427,_xlfn._xlws.FILTER($F$468:$F$477,G$468:G$477&lt;&gt;""),_xlfn._xlws.FILTER(G$468:G$477,G$468:G$477&lt;&gt;"")))*(N668/LOOKUP($F427,_xlfn._xlws.FILTER($F$468:$F$477,H$468:H$477&lt;&gt;""),_xlfn._xlws.FILTER(H$468:H$477,H$468:H$477&lt;&gt;""))))</f>
        <v/>
      </c>
      <c r="L427" s="84" t="str">
        <f t="shared" si="30"/>
        <v/>
      </c>
      <c r="M427" s="77" t="str">
        <f t="shared" si="32"/>
        <v/>
      </c>
      <c r="N427" s="12"/>
      <c r="O427" s="24">
        <v>50922</v>
      </c>
      <c r="P427" s="85" t="str">
        <f t="shared" si="24"/>
        <v/>
      </c>
      <c r="Q427" s="85" t="str">
        <f t="shared" si="25"/>
        <v/>
      </c>
      <c r="R427" s="85" t="str">
        <f t="shared" si="26"/>
        <v/>
      </c>
      <c r="S427" s="85" t="str">
        <f t="shared" si="27"/>
        <v/>
      </c>
      <c r="T427" s="86" t="str">
        <f t="shared" si="28"/>
        <v/>
      </c>
      <c r="U427" s="87" t="str">
        <f t="shared" si="31"/>
        <v/>
      </c>
      <c r="V427" s="12"/>
      <c r="W427" s="12"/>
    </row>
    <row r="428" spans="5:23" ht="13.5" hidden="1" customHeight="1">
      <c r="E428" s="12"/>
      <c r="F428" s="24">
        <v>50952</v>
      </c>
      <c r="G428" s="81" t="str" cm="1">
        <f t="array" ref="G428">IF(G669="","",
G669*LOOKUP($F428,_xlfn._xlws.FILTER($F$454:$F$463,G$454:G$463&lt;&gt;""),_xlfn._xlws.FILTER(G$454:G$463,G$454:G$463&lt;&gt;"")))</f>
        <v/>
      </c>
      <c r="H428" s="81" t="str" cm="1">
        <f t="array" ref="H428">IF(H669="","",
H669*LOOKUP($F428,_xlfn._xlws.FILTER($F$454:$F$463,H$454:H$463&lt;&gt;""),_xlfn._xlws.FILTER(H$454:H$463,H$454:H$463&lt;&gt;"")))</f>
        <v/>
      </c>
      <c r="I428" s="81" t="str" cm="1">
        <f t="array" ref="I428">IF(I669="","",
I669*LOOKUP($F428,_xlfn._xlws.FILTER($F$454:$F$463,I$454:I$463&lt;&gt;""),_xlfn._xlws.FILTER(I$454:I$463,I$454:I$463&lt;&gt;"")))</f>
        <v/>
      </c>
      <c r="J428" s="88" t="str">
        <f t="shared" si="29"/>
        <v/>
      </c>
      <c r="K428" s="89" t="str" cm="1">
        <f t="array" ref="K428">IF(M669="","",
$N$477*(M669/LOOKUP($F428,_xlfn._xlws.FILTER($F$468:$F$477,G$468:G$477&lt;&gt;""),_xlfn._xlws.FILTER(G$468:G$477,G$468:G$477&lt;&gt;"")))*(N669/LOOKUP($F428,_xlfn._xlws.FILTER($F$468:$F$477,H$468:H$477&lt;&gt;""),_xlfn._xlws.FILTER(H$468:H$477,H$468:H$477&lt;&gt;""))))</f>
        <v/>
      </c>
      <c r="L428" s="84" t="str">
        <f t="shared" si="30"/>
        <v/>
      </c>
      <c r="M428" s="77" t="str">
        <f t="shared" si="32"/>
        <v/>
      </c>
      <c r="N428" s="12"/>
      <c r="O428" s="24">
        <v>50952</v>
      </c>
      <c r="P428" s="85" t="str">
        <f t="shared" si="24"/>
        <v/>
      </c>
      <c r="Q428" s="85" t="str">
        <f t="shared" si="25"/>
        <v/>
      </c>
      <c r="R428" s="85" t="str">
        <f t="shared" si="26"/>
        <v/>
      </c>
      <c r="S428" s="85" t="str">
        <f t="shared" si="27"/>
        <v/>
      </c>
      <c r="T428" s="86" t="str">
        <f t="shared" si="28"/>
        <v/>
      </c>
      <c r="U428" s="87" t="str">
        <f t="shared" si="31"/>
        <v/>
      </c>
      <c r="V428" s="12"/>
      <c r="W428" s="12"/>
    </row>
    <row r="429" spans="5:23" ht="13.5" hidden="1" customHeight="1">
      <c r="E429" s="12"/>
      <c r="F429" s="24">
        <v>50983</v>
      </c>
      <c r="G429" s="81" t="str" cm="1">
        <f t="array" ref="G429">IF(G670="","",
G670*LOOKUP($F429,_xlfn._xlws.FILTER($F$454:$F$463,G$454:G$463&lt;&gt;""),_xlfn._xlws.FILTER(G$454:G$463,G$454:G$463&lt;&gt;"")))</f>
        <v/>
      </c>
      <c r="H429" s="81" t="str" cm="1">
        <f t="array" ref="H429">IF(H670="","",
H670*LOOKUP($F429,_xlfn._xlws.FILTER($F$454:$F$463,H$454:H$463&lt;&gt;""),_xlfn._xlws.FILTER(H$454:H$463,H$454:H$463&lt;&gt;"")))</f>
        <v/>
      </c>
      <c r="I429" s="81" t="str" cm="1">
        <f t="array" ref="I429">IF(I670="","",
I670*LOOKUP($F429,_xlfn._xlws.FILTER($F$454:$F$463,I$454:I$463&lt;&gt;""),_xlfn._xlws.FILTER(I$454:I$463,I$454:I$463&lt;&gt;"")))</f>
        <v/>
      </c>
      <c r="J429" s="88" t="str">
        <f t="shared" si="29"/>
        <v/>
      </c>
      <c r="K429" s="89" t="str" cm="1">
        <f t="array" ref="K429">IF(M670="","",
$N$477*(M670/LOOKUP($F429,_xlfn._xlws.FILTER($F$468:$F$477,G$468:G$477&lt;&gt;""),_xlfn._xlws.FILTER(G$468:G$477,G$468:G$477&lt;&gt;"")))*(N670/LOOKUP($F429,_xlfn._xlws.FILTER($F$468:$F$477,H$468:H$477&lt;&gt;""),_xlfn._xlws.FILTER(H$468:H$477,H$468:H$477&lt;&gt;""))))</f>
        <v/>
      </c>
      <c r="L429" s="84" t="str">
        <f t="shared" si="30"/>
        <v/>
      </c>
      <c r="M429" s="77" t="str">
        <f t="shared" si="32"/>
        <v/>
      </c>
      <c r="N429" s="12"/>
      <c r="O429" s="24">
        <v>50983</v>
      </c>
      <c r="P429" s="85" t="str">
        <f t="shared" si="24"/>
        <v/>
      </c>
      <c r="Q429" s="85" t="str">
        <f t="shared" si="25"/>
        <v/>
      </c>
      <c r="R429" s="85" t="str">
        <f t="shared" si="26"/>
        <v/>
      </c>
      <c r="S429" s="85" t="str">
        <f t="shared" si="27"/>
        <v/>
      </c>
      <c r="T429" s="86" t="str">
        <f t="shared" si="28"/>
        <v/>
      </c>
      <c r="U429" s="87" t="str">
        <f t="shared" si="31"/>
        <v/>
      </c>
      <c r="V429" s="12"/>
      <c r="W429" s="12"/>
    </row>
    <row r="430" spans="5:23" ht="13.5" hidden="1" customHeight="1">
      <c r="E430" s="12"/>
      <c r="F430" s="24">
        <v>51014</v>
      </c>
      <c r="G430" s="81" t="str" cm="1">
        <f t="array" ref="G430">IF(G671="","",
G671*LOOKUP($F430,_xlfn._xlws.FILTER($F$454:$F$463,G$454:G$463&lt;&gt;""),_xlfn._xlws.FILTER(G$454:G$463,G$454:G$463&lt;&gt;"")))</f>
        <v/>
      </c>
      <c r="H430" s="81" t="str" cm="1">
        <f t="array" ref="H430">IF(H671="","",
H671*LOOKUP($F430,_xlfn._xlws.FILTER($F$454:$F$463,H$454:H$463&lt;&gt;""),_xlfn._xlws.FILTER(H$454:H$463,H$454:H$463&lt;&gt;"")))</f>
        <v/>
      </c>
      <c r="I430" s="81" t="str" cm="1">
        <f t="array" ref="I430">IF(I671="","",
I671*LOOKUP($F430,_xlfn._xlws.FILTER($F$454:$F$463,I$454:I$463&lt;&gt;""),_xlfn._xlws.FILTER(I$454:I$463,I$454:I$463&lt;&gt;"")))</f>
        <v/>
      </c>
      <c r="J430" s="88" t="str">
        <f t="shared" si="29"/>
        <v/>
      </c>
      <c r="K430" s="89" t="str" cm="1">
        <f t="array" ref="K430">IF(M671="","",
$N$477*(M671/LOOKUP($F430,_xlfn._xlws.FILTER($F$468:$F$477,G$468:G$477&lt;&gt;""),_xlfn._xlws.FILTER(G$468:G$477,G$468:G$477&lt;&gt;"")))*(N671/LOOKUP($F430,_xlfn._xlws.FILTER($F$468:$F$477,H$468:H$477&lt;&gt;""),_xlfn._xlws.FILTER(H$468:H$477,H$468:H$477&lt;&gt;""))))</f>
        <v/>
      </c>
      <c r="L430" s="84" t="str">
        <f t="shared" si="30"/>
        <v/>
      </c>
      <c r="M430" s="77" t="str">
        <f t="shared" si="32"/>
        <v/>
      </c>
      <c r="N430" s="12"/>
      <c r="O430" s="24">
        <v>51014</v>
      </c>
      <c r="P430" s="85" t="str">
        <f t="shared" si="24"/>
        <v/>
      </c>
      <c r="Q430" s="85" t="str">
        <f t="shared" si="25"/>
        <v/>
      </c>
      <c r="R430" s="85" t="str">
        <f t="shared" si="26"/>
        <v/>
      </c>
      <c r="S430" s="85" t="str">
        <f t="shared" si="27"/>
        <v/>
      </c>
      <c r="T430" s="86" t="str">
        <f t="shared" si="28"/>
        <v/>
      </c>
      <c r="U430" s="87" t="str">
        <f t="shared" si="31"/>
        <v/>
      </c>
      <c r="V430" s="12"/>
      <c r="W430" s="12"/>
    </row>
    <row r="431" spans="5:23" ht="13.5" hidden="1" customHeight="1">
      <c r="E431" s="12"/>
      <c r="F431" s="24">
        <v>51044</v>
      </c>
      <c r="G431" s="81" t="str" cm="1">
        <f t="array" ref="G431">IF(G672="","",
G672*LOOKUP($F431,_xlfn._xlws.FILTER($F$454:$F$463,G$454:G$463&lt;&gt;""),_xlfn._xlws.FILTER(G$454:G$463,G$454:G$463&lt;&gt;"")))</f>
        <v/>
      </c>
      <c r="H431" s="81" t="str" cm="1">
        <f t="array" ref="H431">IF(H672="","",
H672*LOOKUP($F431,_xlfn._xlws.FILTER($F$454:$F$463,H$454:H$463&lt;&gt;""),_xlfn._xlws.FILTER(H$454:H$463,H$454:H$463&lt;&gt;"")))</f>
        <v/>
      </c>
      <c r="I431" s="81" t="str" cm="1">
        <f t="array" ref="I431">IF(I672="","",
I672*LOOKUP($F431,_xlfn._xlws.FILTER($F$454:$F$463,I$454:I$463&lt;&gt;""),_xlfn._xlws.FILTER(I$454:I$463,I$454:I$463&lt;&gt;"")))</f>
        <v/>
      </c>
      <c r="J431" s="88" t="str">
        <f t="shared" si="29"/>
        <v/>
      </c>
      <c r="K431" s="89" t="str" cm="1">
        <f t="array" ref="K431">IF(M672="","",
$N$477*(M672/LOOKUP($F431,_xlfn._xlws.FILTER($F$468:$F$477,G$468:G$477&lt;&gt;""),_xlfn._xlws.FILTER(G$468:G$477,G$468:G$477&lt;&gt;"")))*(N672/LOOKUP($F431,_xlfn._xlws.FILTER($F$468:$F$477,H$468:H$477&lt;&gt;""),_xlfn._xlws.FILTER(H$468:H$477,H$468:H$477&lt;&gt;""))))</f>
        <v/>
      </c>
      <c r="L431" s="84" t="str">
        <f t="shared" si="30"/>
        <v/>
      </c>
      <c r="M431" s="77" t="str">
        <f t="shared" si="32"/>
        <v/>
      </c>
      <c r="N431" s="12"/>
      <c r="O431" s="24">
        <v>51044</v>
      </c>
      <c r="P431" s="85" t="str">
        <f t="shared" si="24"/>
        <v/>
      </c>
      <c r="Q431" s="85" t="str">
        <f t="shared" si="25"/>
        <v/>
      </c>
      <c r="R431" s="85" t="str">
        <f t="shared" si="26"/>
        <v/>
      </c>
      <c r="S431" s="85" t="str">
        <f t="shared" si="27"/>
        <v/>
      </c>
      <c r="T431" s="86" t="str">
        <f t="shared" si="28"/>
        <v/>
      </c>
      <c r="U431" s="87" t="str">
        <f t="shared" si="31"/>
        <v/>
      </c>
      <c r="V431" s="12"/>
      <c r="W431" s="12"/>
    </row>
    <row r="432" spans="5:23" ht="13.5" hidden="1" customHeight="1">
      <c r="E432" s="12"/>
      <c r="F432" s="24">
        <v>51075</v>
      </c>
      <c r="G432" s="81" t="str" cm="1">
        <f t="array" ref="G432">IF(G673="","",
G673*LOOKUP($F432,_xlfn._xlws.FILTER($F$454:$F$463,G$454:G$463&lt;&gt;""),_xlfn._xlws.FILTER(G$454:G$463,G$454:G$463&lt;&gt;"")))</f>
        <v/>
      </c>
      <c r="H432" s="81" t="str" cm="1">
        <f t="array" ref="H432">IF(H673="","",
H673*LOOKUP($F432,_xlfn._xlws.FILTER($F$454:$F$463,H$454:H$463&lt;&gt;""),_xlfn._xlws.FILTER(H$454:H$463,H$454:H$463&lt;&gt;"")))</f>
        <v/>
      </c>
      <c r="I432" s="81" t="str" cm="1">
        <f t="array" ref="I432">IF(I673="","",
I673*LOOKUP($F432,_xlfn._xlws.FILTER($F$454:$F$463,I$454:I$463&lt;&gt;""),_xlfn._xlws.FILTER(I$454:I$463,I$454:I$463&lt;&gt;"")))</f>
        <v/>
      </c>
      <c r="J432" s="88" t="str">
        <f t="shared" si="29"/>
        <v/>
      </c>
      <c r="K432" s="89" t="str" cm="1">
        <f t="array" ref="K432">IF(M673="","",
$N$477*(M673/LOOKUP($F432,_xlfn._xlws.FILTER($F$468:$F$477,G$468:G$477&lt;&gt;""),_xlfn._xlws.FILTER(G$468:G$477,G$468:G$477&lt;&gt;"")))*(N673/LOOKUP($F432,_xlfn._xlws.FILTER($F$468:$F$477,H$468:H$477&lt;&gt;""),_xlfn._xlws.FILTER(H$468:H$477,H$468:H$477&lt;&gt;""))))</f>
        <v/>
      </c>
      <c r="L432" s="84" t="str">
        <f t="shared" si="30"/>
        <v/>
      </c>
      <c r="M432" s="77" t="str">
        <f t="shared" si="32"/>
        <v/>
      </c>
      <c r="N432" s="12"/>
      <c r="O432" s="24">
        <v>51075</v>
      </c>
      <c r="P432" s="85" t="str">
        <f t="shared" si="24"/>
        <v/>
      </c>
      <c r="Q432" s="85" t="str">
        <f t="shared" si="25"/>
        <v/>
      </c>
      <c r="R432" s="85" t="str">
        <f t="shared" si="26"/>
        <v/>
      </c>
      <c r="S432" s="85" t="str">
        <f t="shared" si="27"/>
        <v/>
      </c>
      <c r="T432" s="86" t="str">
        <f t="shared" si="28"/>
        <v/>
      </c>
      <c r="U432" s="87" t="str">
        <f t="shared" si="31"/>
        <v/>
      </c>
      <c r="V432" s="12"/>
      <c r="W432" s="12"/>
    </row>
    <row r="433" spans="5:23" ht="13.5" hidden="1" customHeight="1">
      <c r="E433" s="12"/>
      <c r="F433" s="24">
        <v>51105</v>
      </c>
      <c r="G433" s="81" t="str" cm="1">
        <f t="array" ref="G433">IF(G674="","",
G674*LOOKUP($F433,_xlfn._xlws.FILTER($F$454:$F$463,G$454:G$463&lt;&gt;""),_xlfn._xlws.FILTER(G$454:G$463,G$454:G$463&lt;&gt;"")))</f>
        <v/>
      </c>
      <c r="H433" s="81" t="str" cm="1">
        <f t="array" ref="H433">IF(H674="","",
H674*LOOKUP($F433,_xlfn._xlws.FILTER($F$454:$F$463,H$454:H$463&lt;&gt;""),_xlfn._xlws.FILTER(H$454:H$463,H$454:H$463&lt;&gt;"")))</f>
        <v/>
      </c>
      <c r="I433" s="81" t="str" cm="1">
        <f t="array" ref="I433">IF(I674="","",
I674*LOOKUP($F433,_xlfn._xlws.FILTER($F$454:$F$463,I$454:I$463&lt;&gt;""),_xlfn._xlws.FILTER(I$454:I$463,I$454:I$463&lt;&gt;"")))</f>
        <v/>
      </c>
      <c r="J433" s="88" t="str">
        <f t="shared" si="29"/>
        <v/>
      </c>
      <c r="K433" s="89" t="str" cm="1">
        <f t="array" ref="K433">IF(M674="","",
$N$477*(M674/LOOKUP($F433,_xlfn._xlws.FILTER($F$468:$F$477,G$468:G$477&lt;&gt;""),_xlfn._xlws.FILTER(G$468:G$477,G$468:G$477&lt;&gt;"")))*(N674/LOOKUP($F433,_xlfn._xlws.FILTER($F$468:$F$477,H$468:H$477&lt;&gt;""),_xlfn._xlws.FILTER(H$468:H$477,H$468:H$477&lt;&gt;""))))</f>
        <v/>
      </c>
      <c r="L433" s="84" t="str">
        <f t="shared" si="30"/>
        <v/>
      </c>
      <c r="M433" s="77" t="str">
        <f t="shared" si="32"/>
        <v/>
      </c>
      <c r="N433" s="12"/>
      <c r="O433" s="24">
        <v>51105</v>
      </c>
      <c r="P433" s="85" t="str">
        <f t="shared" si="24"/>
        <v/>
      </c>
      <c r="Q433" s="85" t="str">
        <f t="shared" si="25"/>
        <v/>
      </c>
      <c r="R433" s="85" t="str">
        <f t="shared" si="26"/>
        <v/>
      </c>
      <c r="S433" s="85" t="str">
        <f t="shared" si="27"/>
        <v/>
      </c>
      <c r="T433" s="86" t="str">
        <f t="shared" si="28"/>
        <v/>
      </c>
      <c r="U433" s="87" t="str">
        <f t="shared" si="31"/>
        <v/>
      </c>
      <c r="V433" s="12"/>
      <c r="W433" s="12"/>
    </row>
    <row r="434" spans="5:23" ht="13.5" hidden="1" customHeight="1">
      <c r="E434" s="12"/>
      <c r="F434" s="24">
        <v>51136</v>
      </c>
      <c r="G434" s="81" t="str" cm="1">
        <f t="array" ref="G434">IF(G675="","",
G675*LOOKUP($F434,_xlfn._xlws.FILTER($F$454:$F$463,G$454:G$463&lt;&gt;""),_xlfn._xlws.FILTER(G$454:G$463,G$454:G$463&lt;&gt;"")))</f>
        <v/>
      </c>
      <c r="H434" s="81" t="str" cm="1">
        <f t="array" ref="H434">IF(H675="","",
H675*LOOKUP($F434,_xlfn._xlws.FILTER($F$454:$F$463,H$454:H$463&lt;&gt;""),_xlfn._xlws.FILTER(H$454:H$463,H$454:H$463&lt;&gt;"")))</f>
        <v/>
      </c>
      <c r="I434" s="81" t="str" cm="1">
        <f t="array" ref="I434">IF(I675="","",
I675*LOOKUP($F434,_xlfn._xlws.FILTER($F$454:$F$463,I$454:I$463&lt;&gt;""),_xlfn._xlws.FILTER(I$454:I$463,I$454:I$463&lt;&gt;"")))</f>
        <v/>
      </c>
      <c r="J434" s="88" t="str">
        <f t="shared" si="29"/>
        <v/>
      </c>
      <c r="K434" s="89" t="str" cm="1">
        <f t="array" ref="K434">IF(M675="","",
$N$477*(M675/LOOKUP($F434,_xlfn._xlws.FILTER($F$468:$F$477,G$468:G$477&lt;&gt;""),_xlfn._xlws.FILTER(G$468:G$477,G$468:G$477&lt;&gt;"")))*(N675/LOOKUP($F434,_xlfn._xlws.FILTER($F$468:$F$477,H$468:H$477&lt;&gt;""),_xlfn._xlws.FILTER(H$468:H$477,H$468:H$477&lt;&gt;""))))</f>
        <v/>
      </c>
      <c r="L434" s="84" t="str">
        <f t="shared" si="30"/>
        <v/>
      </c>
      <c r="M434" s="77" t="str">
        <f t="shared" si="32"/>
        <v/>
      </c>
      <c r="N434" s="12"/>
      <c r="O434" s="24">
        <v>51136</v>
      </c>
      <c r="P434" s="85" t="str">
        <f t="shared" ref="P434:P445" si="33">IFERROR((G434*Q$480)/$L434*($L$171/Q$481),"")</f>
        <v/>
      </c>
      <c r="Q434" s="85" t="str">
        <f t="shared" ref="Q434:Q445" si="34">IFERROR((H434*R$480)/$L434*($L$171/R$481),"")</f>
        <v/>
      </c>
      <c r="R434" s="85" t="str">
        <f t="shared" ref="R434:R445" si="35">IFERROR((I434*S$480)/$L434*($L$171/S$481),"")</f>
        <v/>
      </c>
      <c r="S434" s="85" t="str">
        <f t="shared" ref="S434:S445" si="36">IFERROR((J434*T$480)/$L434*($L$171/T$481),"")</f>
        <v/>
      </c>
      <c r="T434" s="86" t="str">
        <f t="shared" ref="T434:T445" si="37">IFERROR((K434*U$480)/$L434*($L$171/U$481),"")</f>
        <v/>
      </c>
      <c r="U434" s="87" t="str">
        <f t="shared" si="31"/>
        <v/>
      </c>
      <c r="V434" s="12"/>
      <c r="W434" s="12"/>
    </row>
    <row r="435" spans="5:23" ht="13.5" hidden="1" customHeight="1">
      <c r="E435" s="12"/>
      <c r="F435" s="24">
        <v>51167</v>
      </c>
      <c r="G435" s="81" t="str" cm="1">
        <f t="array" ref="G435">IF(G676="","",
G676*LOOKUP($F435,_xlfn._xlws.FILTER($F$454:$F$463,G$454:G$463&lt;&gt;""),_xlfn._xlws.FILTER(G$454:G$463,G$454:G$463&lt;&gt;"")))</f>
        <v/>
      </c>
      <c r="H435" s="81" t="str" cm="1">
        <f t="array" ref="H435">IF(H676="","",
H676*LOOKUP($F435,_xlfn._xlws.FILTER($F$454:$F$463,H$454:H$463&lt;&gt;""),_xlfn._xlws.FILTER(H$454:H$463,H$454:H$463&lt;&gt;"")))</f>
        <v/>
      </c>
      <c r="I435" s="81" t="str" cm="1">
        <f t="array" ref="I435">IF(I676="","",
I676*LOOKUP($F435,_xlfn._xlws.FILTER($F$454:$F$463,I$454:I$463&lt;&gt;""),_xlfn._xlws.FILTER(I$454:I$463,I$454:I$463&lt;&gt;"")))</f>
        <v/>
      </c>
      <c r="J435" s="88" t="str">
        <f t="shared" ref="J435:J445" si="38">IF(J676="","",J676)</f>
        <v/>
      </c>
      <c r="K435" s="89" t="str" cm="1">
        <f t="array" ref="K435">IF(M676="","",
$N$477*(M676/LOOKUP($F435,_xlfn._xlws.FILTER($F$468:$F$477,G$468:G$477&lt;&gt;""),_xlfn._xlws.FILTER(G$468:G$477,G$468:G$477&lt;&gt;"")))*(N676/LOOKUP($F435,_xlfn._xlws.FILTER($F$468:$F$477,H$468:H$477&lt;&gt;""),_xlfn._xlws.FILTER(H$468:H$477,H$468:H$477&lt;&gt;""))))</f>
        <v/>
      </c>
      <c r="L435" s="84" t="str">
        <f t="shared" ref="L435:L445" si="39">IF(V676="","",V676)</f>
        <v/>
      </c>
      <c r="M435" s="77" t="str">
        <f t="shared" si="32"/>
        <v/>
      </c>
      <c r="N435" s="12"/>
      <c r="O435" s="24">
        <v>51167</v>
      </c>
      <c r="P435" s="85" t="str">
        <f t="shared" si="33"/>
        <v/>
      </c>
      <c r="Q435" s="85" t="str">
        <f t="shared" si="34"/>
        <v/>
      </c>
      <c r="R435" s="85" t="str">
        <f t="shared" si="35"/>
        <v/>
      </c>
      <c r="S435" s="85" t="str">
        <f t="shared" si="36"/>
        <v/>
      </c>
      <c r="T435" s="86" t="str">
        <f t="shared" si="37"/>
        <v/>
      </c>
      <c r="U435" s="87" t="str">
        <f t="shared" ref="U435:U445" si="40">IF(P435="","",SUM(P435:T435))</f>
        <v/>
      </c>
      <c r="V435" s="12"/>
      <c r="W435" s="12"/>
    </row>
    <row r="436" spans="5:23" ht="13.5" hidden="1" customHeight="1">
      <c r="E436" s="12"/>
      <c r="F436" s="24">
        <v>51196</v>
      </c>
      <c r="G436" s="81" t="str" cm="1">
        <f t="array" ref="G436">IF(G677="","",
G677*LOOKUP($F436,_xlfn._xlws.FILTER($F$454:$F$463,G$454:G$463&lt;&gt;""),_xlfn._xlws.FILTER(G$454:G$463,G$454:G$463&lt;&gt;"")))</f>
        <v/>
      </c>
      <c r="H436" s="81" t="str" cm="1">
        <f t="array" ref="H436">IF(H677="","",
H677*LOOKUP($F436,_xlfn._xlws.FILTER($F$454:$F$463,H$454:H$463&lt;&gt;""),_xlfn._xlws.FILTER(H$454:H$463,H$454:H$463&lt;&gt;"")))</f>
        <v/>
      </c>
      <c r="I436" s="81" t="str" cm="1">
        <f t="array" ref="I436">IF(I677="","",
I677*LOOKUP($F436,_xlfn._xlws.FILTER($F$454:$F$463,I$454:I$463&lt;&gt;""),_xlfn._xlws.FILTER(I$454:I$463,I$454:I$463&lt;&gt;"")))</f>
        <v/>
      </c>
      <c r="J436" s="88" t="str">
        <f t="shared" si="38"/>
        <v/>
      </c>
      <c r="K436" s="89" t="str" cm="1">
        <f t="array" ref="K436">IF(M677="","",
$N$477*(M677/LOOKUP($F436,_xlfn._xlws.FILTER($F$468:$F$477,G$468:G$477&lt;&gt;""),_xlfn._xlws.FILTER(G$468:G$477,G$468:G$477&lt;&gt;"")))*(N677/LOOKUP($F436,_xlfn._xlws.FILTER($F$468:$F$477,H$468:H$477&lt;&gt;""),_xlfn._xlws.FILTER(H$468:H$477,H$468:H$477&lt;&gt;""))))</f>
        <v/>
      </c>
      <c r="L436" s="84" t="str">
        <f t="shared" si="39"/>
        <v/>
      </c>
      <c r="M436" s="77" t="str">
        <f t="shared" si="32"/>
        <v/>
      </c>
      <c r="N436" s="12"/>
      <c r="O436" s="24">
        <v>51196</v>
      </c>
      <c r="P436" s="85" t="str">
        <f t="shared" si="33"/>
        <v/>
      </c>
      <c r="Q436" s="85" t="str">
        <f t="shared" si="34"/>
        <v/>
      </c>
      <c r="R436" s="85" t="str">
        <f t="shared" si="35"/>
        <v/>
      </c>
      <c r="S436" s="85" t="str">
        <f t="shared" si="36"/>
        <v/>
      </c>
      <c r="T436" s="86" t="str">
        <f t="shared" si="37"/>
        <v/>
      </c>
      <c r="U436" s="87" t="str">
        <f t="shared" si="40"/>
        <v/>
      </c>
      <c r="V436" s="12"/>
      <c r="W436" s="12"/>
    </row>
    <row r="437" spans="5:23" ht="13.5" hidden="1" customHeight="1">
      <c r="E437" s="12"/>
      <c r="F437" s="24">
        <v>51227</v>
      </c>
      <c r="G437" s="81" t="str" cm="1">
        <f t="array" ref="G437">IF(G678="","",
G678*LOOKUP($F437,_xlfn._xlws.FILTER($F$454:$F$463,G$454:G$463&lt;&gt;""),_xlfn._xlws.FILTER(G$454:G$463,G$454:G$463&lt;&gt;"")))</f>
        <v/>
      </c>
      <c r="H437" s="81" t="str" cm="1">
        <f t="array" ref="H437">IF(H678="","",
H678*LOOKUP($F437,_xlfn._xlws.FILTER($F$454:$F$463,H$454:H$463&lt;&gt;""),_xlfn._xlws.FILTER(H$454:H$463,H$454:H$463&lt;&gt;"")))</f>
        <v/>
      </c>
      <c r="I437" s="81" t="str" cm="1">
        <f t="array" ref="I437">IF(I678="","",
I678*LOOKUP($F437,_xlfn._xlws.FILTER($F$454:$F$463,I$454:I$463&lt;&gt;""),_xlfn._xlws.FILTER(I$454:I$463,I$454:I$463&lt;&gt;"")))</f>
        <v/>
      </c>
      <c r="J437" s="88" t="str">
        <f t="shared" si="38"/>
        <v/>
      </c>
      <c r="K437" s="89" t="str" cm="1">
        <f t="array" ref="K437">IF(M678="","",
$N$477*(M678/LOOKUP($F437,_xlfn._xlws.FILTER($F$468:$F$477,G$468:G$477&lt;&gt;""),_xlfn._xlws.FILTER(G$468:G$477,G$468:G$477&lt;&gt;"")))*(N678/LOOKUP($F437,_xlfn._xlws.FILTER($F$468:$F$477,H$468:H$477&lt;&gt;""),_xlfn._xlws.FILTER(H$468:H$477,H$468:H$477&lt;&gt;""))))</f>
        <v/>
      </c>
      <c r="L437" s="84" t="str">
        <f t="shared" si="39"/>
        <v/>
      </c>
      <c r="M437" s="77" t="str">
        <f t="shared" si="32"/>
        <v/>
      </c>
      <c r="N437" s="12"/>
      <c r="O437" s="24">
        <v>51227</v>
      </c>
      <c r="P437" s="85" t="str">
        <f t="shared" si="33"/>
        <v/>
      </c>
      <c r="Q437" s="85" t="str">
        <f t="shared" si="34"/>
        <v/>
      </c>
      <c r="R437" s="85" t="str">
        <f t="shared" si="35"/>
        <v/>
      </c>
      <c r="S437" s="85" t="str">
        <f t="shared" si="36"/>
        <v/>
      </c>
      <c r="T437" s="86" t="str">
        <f t="shared" si="37"/>
        <v/>
      </c>
      <c r="U437" s="87" t="str">
        <f t="shared" si="40"/>
        <v/>
      </c>
      <c r="V437" s="12"/>
      <c r="W437" s="12"/>
    </row>
    <row r="438" spans="5:23" ht="13.5" hidden="1" customHeight="1">
      <c r="E438" s="12"/>
      <c r="F438" s="24">
        <v>51257</v>
      </c>
      <c r="G438" s="81" t="str" cm="1">
        <f t="array" ref="G438">IF(G679="","",
G679*LOOKUP($F438,_xlfn._xlws.FILTER($F$454:$F$463,G$454:G$463&lt;&gt;""),_xlfn._xlws.FILTER(G$454:G$463,G$454:G$463&lt;&gt;"")))</f>
        <v/>
      </c>
      <c r="H438" s="81" t="str" cm="1">
        <f t="array" ref="H438">IF(H679="","",
H679*LOOKUP($F438,_xlfn._xlws.FILTER($F$454:$F$463,H$454:H$463&lt;&gt;""),_xlfn._xlws.FILTER(H$454:H$463,H$454:H$463&lt;&gt;"")))</f>
        <v/>
      </c>
      <c r="I438" s="81" t="str" cm="1">
        <f t="array" ref="I438">IF(I679="","",
I679*LOOKUP($F438,_xlfn._xlws.FILTER($F$454:$F$463,I$454:I$463&lt;&gt;""),_xlfn._xlws.FILTER(I$454:I$463,I$454:I$463&lt;&gt;"")))</f>
        <v/>
      </c>
      <c r="J438" s="88" t="str">
        <f t="shared" si="38"/>
        <v/>
      </c>
      <c r="K438" s="89" t="str" cm="1">
        <f t="array" ref="K438">IF(M679="","",
$N$477*(M679/LOOKUP($F438,_xlfn._xlws.FILTER($F$468:$F$477,G$468:G$477&lt;&gt;""),_xlfn._xlws.FILTER(G$468:G$477,G$468:G$477&lt;&gt;"")))*(N679/LOOKUP($F438,_xlfn._xlws.FILTER($F$468:$F$477,H$468:H$477&lt;&gt;""),_xlfn._xlws.FILTER(H$468:H$477,H$468:H$477&lt;&gt;""))))</f>
        <v/>
      </c>
      <c r="L438" s="84" t="str">
        <f t="shared" si="39"/>
        <v/>
      </c>
      <c r="M438" s="77" t="str">
        <f t="shared" si="32"/>
        <v/>
      </c>
      <c r="N438" s="12"/>
      <c r="O438" s="24">
        <v>51257</v>
      </c>
      <c r="P438" s="85" t="str">
        <f t="shared" si="33"/>
        <v/>
      </c>
      <c r="Q438" s="85" t="str">
        <f t="shared" si="34"/>
        <v/>
      </c>
      <c r="R438" s="85" t="str">
        <f t="shared" si="35"/>
        <v/>
      </c>
      <c r="S438" s="85" t="str">
        <f t="shared" si="36"/>
        <v/>
      </c>
      <c r="T438" s="86" t="str">
        <f t="shared" si="37"/>
        <v/>
      </c>
      <c r="U438" s="87" t="str">
        <f t="shared" si="40"/>
        <v/>
      </c>
      <c r="V438" s="12"/>
      <c r="W438" s="12"/>
    </row>
    <row r="439" spans="5:23" ht="13.5" hidden="1" customHeight="1">
      <c r="E439" s="12"/>
      <c r="F439" s="24">
        <v>51288</v>
      </c>
      <c r="G439" s="81" t="str" cm="1">
        <f t="array" ref="G439">IF(G680="","",
G680*LOOKUP($F439,_xlfn._xlws.FILTER($F$454:$F$463,G$454:G$463&lt;&gt;""),_xlfn._xlws.FILTER(G$454:G$463,G$454:G$463&lt;&gt;"")))</f>
        <v/>
      </c>
      <c r="H439" s="81" t="str" cm="1">
        <f t="array" ref="H439">IF(H680="","",
H680*LOOKUP($F439,_xlfn._xlws.FILTER($F$454:$F$463,H$454:H$463&lt;&gt;""),_xlfn._xlws.FILTER(H$454:H$463,H$454:H$463&lt;&gt;"")))</f>
        <v/>
      </c>
      <c r="I439" s="81" t="str" cm="1">
        <f t="array" ref="I439">IF(I680="","",
I680*LOOKUP($F439,_xlfn._xlws.FILTER($F$454:$F$463,I$454:I$463&lt;&gt;""),_xlfn._xlws.FILTER(I$454:I$463,I$454:I$463&lt;&gt;"")))</f>
        <v/>
      </c>
      <c r="J439" s="88" t="str">
        <f t="shared" si="38"/>
        <v/>
      </c>
      <c r="K439" s="89" t="str" cm="1">
        <f t="array" ref="K439">IF(M680="","",
$N$477*(M680/LOOKUP($F439,_xlfn._xlws.FILTER($F$468:$F$477,G$468:G$477&lt;&gt;""),_xlfn._xlws.FILTER(G$468:G$477,G$468:G$477&lt;&gt;"")))*(N680/LOOKUP($F439,_xlfn._xlws.FILTER($F$468:$F$477,H$468:H$477&lt;&gt;""),_xlfn._xlws.FILTER(H$468:H$477,H$468:H$477&lt;&gt;""))))</f>
        <v/>
      </c>
      <c r="L439" s="84" t="str">
        <f t="shared" si="39"/>
        <v/>
      </c>
      <c r="M439" s="77" t="str">
        <f t="shared" si="32"/>
        <v/>
      </c>
      <c r="N439" s="12"/>
      <c r="O439" s="24">
        <v>51288</v>
      </c>
      <c r="P439" s="85" t="str">
        <f t="shared" si="33"/>
        <v/>
      </c>
      <c r="Q439" s="85" t="str">
        <f t="shared" si="34"/>
        <v/>
      </c>
      <c r="R439" s="85" t="str">
        <f t="shared" si="35"/>
        <v/>
      </c>
      <c r="S439" s="85" t="str">
        <f t="shared" si="36"/>
        <v/>
      </c>
      <c r="T439" s="86" t="str">
        <f t="shared" si="37"/>
        <v/>
      </c>
      <c r="U439" s="87" t="str">
        <f t="shared" si="40"/>
        <v/>
      </c>
      <c r="V439" s="12"/>
      <c r="W439" s="12"/>
    </row>
    <row r="440" spans="5:23" ht="13.5" hidden="1" customHeight="1">
      <c r="E440" s="12"/>
      <c r="F440" s="24">
        <v>51318</v>
      </c>
      <c r="G440" s="81" t="str" cm="1">
        <f t="array" ref="G440">IF(G681="","",
G681*LOOKUP($F440,_xlfn._xlws.FILTER($F$454:$F$463,G$454:G$463&lt;&gt;""),_xlfn._xlws.FILTER(G$454:G$463,G$454:G$463&lt;&gt;"")))</f>
        <v/>
      </c>
      <c r="H440" s="81" t="str" cm="1">
        <f t="array" ref="H440">IF(H681="","",
H681*LOOKUP($F440,_xlfn._xlws.FILTER($F$454:$F$463,H$454:H$463&lt;&gt;""),_xlfn._xlws.FILTER(H$454:H$463,H$454:H$463&lt;&gt;"")))</f>
        <v/>
      </c>
      <c r="I440" s="81" t="str" cm="1">
        <f t="array" ref="I440">IF(I681="","",
I681*LOOKUP($F440,_xlfn._xlws.FILTER($F$454:$F$463,I$454:I$463&lt;&gt;""),_xlfn._xlws.FILTER(I$454:I$463,I$454:I$463&lt;&gt;"")))</f>
        <v/>
      </c>
      <c r="J440" s="88" t="str">
        <f t="shared" si="38"/>
        <v/>
      </c>
      <c r="K440" s="89" t="str" cm="1">
        <f t="array" ref="K440">IF(M681="","",
$N$477*(M681/LOOKUP($F440,_xlfn._xlws.FILTER($F$468:$F$477,G$468:G$477&lt;&gt;""),_xlfn._xlws.FILTER(G$468:G$477,G$468:G$477&lt;&gt;"")))*(N681/LOOKUP($F440,_xlfn._xlws.FILTER($F$468:$F$477,H$468:H$477&lt;&gt;""),_xlfn._xlws.FILTER(H$468:H$477,H$468:H$477&lt;&gt;""))))</f>
        <v/>
      </c>
      <c r="L440" s="84" t="str">
        <f t="shared" si="39"/>
        <v/>
      </c>
      <c r="M440" s="77" t="str">
        <f t="shared" si="32"/>
        <v/>
      </c>
      <c r="N440" s="12"/>
      <c r="O440" s="24">
        <v>51318</v>
      </c>
      <c r="P440" s="85" t="str">
        <f t="shared" si="33"/>
        <v/>
      </c>
      <c r="Q440" s="85" t="str">
        <f t="shared" si="34"/>
        <v/>
      </c>
      <c r="R440" s="85" t="str">
        <f t="shared" si="35"/>
        <v/>
      </c>
      <c r="S440" s="85" t="str">
        <f t="shared" si="36"/>
        <v/>
      </c>
      <c r="T440" s="86" t="str">
        <f t="shared" si="37"/>
        <v/>
      </c>
      <c r="U440" s="87" t="str">
        <f t="shared" si="40"/>
        <v/>
      </c>
      <c r="V440" s="12"/>
      <c r="W440" s="12"/>
    </row>
    <row r="441" spans="5:23" ht="13.5" hidden="1" customHeight="1">
      <c r="E441" s="12"/>
      <c r="F441" s="24">
        <v>51349</v>
      </c>
      <c r="G441" s="81" t="str" cm="1">
        <f t="array" ref="G441">IF(G682="","",
G682*LOOKUP($F441,_xlfn._xlws.FILTER($F$454:$F$463,G$454:G$463&lt;&gt;""),_xlfn._xlws.FILTER(G$454:G$463,G$454:G$463&lt;&gt;"")))</f>
        <v/>
      </c>
      <c r="H441" s="81" t="str" cm="1">
        <f t="array" ref="H441">IF(H682="","",
H682*LOOKUP($F441,_xlfn._xlws.FILTER($F$454:$F$463,H$454:H$463&lt;&gt;""),_xlfn._xlws.FILTER(H$454:H$463,H$454:H$463&lt;&gt;"")))</f>
        <v/>
      </c>
      <c r="I441" s="81" t="str" cm="1">
        <f t="array" ref="I441">IF(I682="","",
I682*LOOKUP($F441,_xlfn._xlws.FILTER($F$454:$F$463,I$454:I$463&lt;&gt;""),_xlfn._xlws.FILTER(I$454:I$463,I$454:I$463&lt;&gt;"")))</f>
        <v/>
      </c>
      <c r="J441" s="88" t="str">
        <f t="shared" si="38"/>
        <v/>
      </c>
      <c r="K441" s="89" t="str" cm="1">
        <f t="array" ref="K441">IF(M682="","",
$N$477*(M682/LOOKUP($F441,_xlfn._xlws.FILTER($F$468:$F$477,G$468:G$477&lt;&gt;""),_xlfn._xlws.FILTER(G$468:G$477,G$468:G$477&lt;&gt;"")))*(N682/LOOKUP($F441,_xlfn._xlws.FILTER($F$468:$F$477,H$468:H$477&lt;&gt;""),_xlfn._xlws.FILTER(H$468:H$477,H$468:H$477&lt;&gt;""))))</f>
        <v/>
      </c>
      <c r="L441" s="84" t="str">
        <f t="shared" si="39"/>
        <v/>
      </c>
      <c r="M441" s="77" t="str">
        <f t="shared" si="32"/>
        <v/>
      </c>
      <c r="N441" s="12"/>
      <c r="O441" s="24">
        <v>51349</v>
      </c>
      <c r="P441" s="85" t="str">
        <f t="shared" si="33"/>
        <v/>
      </c>
      <c r="Q441" s="85" t="str">
        <f t="shared" si="34"/>
        <v/>
      </c>
      <c r="R441" s="85" t="str">
        <f t="shared" si="35"/>
        <v/>
      </c>
      <c r="S441" s="85" t="str">
        <f t="shared" si="36"/>
        <v/>
      </c>
      <c r="T441" s="86" t="str">
        <f t="shared" si="37"/>
        <v/>
      </c>
      <c r="U441" s="87" t="str">
        <f t="shared" si="40"/>
        <v/>
      </c>
      <c r="V441" s="12"/>
      <c r="W441" s="12"/>
    </row>
    <row r="442" spans="5:23" ht="13.5" hidden="1" customHeight="1">
      <c r="E442" s="12"/>
      <c r="F442" s="24">
        <v>51380</v>
      </c>
      <c r="G442" s="81" t="str" cm="1">
        <f t="array" ref="G442">IF(G683="","",
G683*LOOKUP($F442,_xlfn._xlws.FILTER($F$454:$F$463,G$454:G$463&lt;&gt;""),_xlfn._xlws.FILTER(G$454:G$463,G$454:G$463&lt;&gt;"")))</f>
        <v/>
      </c>
      <c r="H442" s="81" t="str" cm="1">
        <f t="array" ref="H442">IF(H683="","",
H683*LOOKUP($F442,_xlfn._xlws.FILTER($F$454:$F$463,H$454:H$463&lt;&gt;""),_xlfn._xlws.FILTER(H$454:H$463,H$454:H$463&lt;&gt;"")))</f>
        <v/>
      </c>
      <c r="I442" s="81" t="str" cm="1">
        <f t="array" ref="I442">IF(I683="","",
I683*LOOKUP($F442,_xlfn._xlws.FILTER($F$454:$F$463,I$454:I$463&lt;&gt;""),_xlfn._xlws.FILTER(I$454:I$463,I$454:I$463&lt;&gt;"")))</f>
        <v/>
      </c>
      <c r="J442" s="88" t="str">
        <f t="shared" si="38"/>
        <v/>
      </c>
      <c r="K442" s="89" t="str" cm="1">
        <f t="array" ref="K442">IF(M683="","",
$N$477*(M683/LOOKUP($F442,_xlfn._xlws.FILTER($F$468:$F$477,G$468:G$477&lt;&gt;""),_xlfn._xlws.FILTER(G$468:G$477,G$468:G$477&lt;&gt;"")))*(N683/LOOKUP($F442,_xlfn._xlws.FILTER($F$468:$F$477,H$468:H$477&lt;&gt;""),_xlfn._xlws.FILTER(H$468:H$477,H$468:H$477&lt;&gt;""))))</f>
        <v/>
      </c>
      <c r="L442" s="84" t="str">
        <f t="shared" si="39"/>
        <v/>
      </c>
      <c r="M442" s="77" t="str">
        <f t="shared" si="32"/>
        <v/>
      </c>
      <c r="N442" s="12"/>
      <c r="O442" s="24">
        <v>51380</v>
      </c>
      <c r="P442" s="85" t="str">
        <f t="shared" si="33"/>
        <v/>
      </c>
      <c r="Q442" s="85" t="str">
        <f t="shared" si="34"/>
        <v/>
      </c>
      <c r="R442" s="85" t="str">
        <f t="shared" si="35"/>
        <v/>
      </c>
      <c r="S442" s="85" t="str">
        <f t="shared" si="36"/>
        <v/>
      </c>
      <c r="T442" s="86" t="str">
        <f t="shared" si="37"/>
        <v/>
      </c>
      <c r="U442" s="87" t="str">
        <f t="shared" si="40"/>
        <v/>
      </c>
      <c r="V442" s="12"/>
      <c r="W442" s="12"/>
    </row>
    <row r="443" spans="5:23" ht="13.5" hidden="1" customHeight="1">
      <c r="E443" s="12"/>
      <c r="F443" s="24">
        <v>51410</v>
      </c>
      <c r="G443" s="81" t="str" cm="1">
        <f t="array" ref="G443">IF(G684="","",
G684*LOOKUP($F443,_xlfn._xlws.FILTER($F$454:$F$463,G$454:G$463&lt;&gt;""),_xlfn._xlws.FILTER(G$454:G$463,G$454:G$463&lt;&gt;"")))</f>
        <v/>
      </c>
      <c r="H443" s="81" t="str" cm="1">
        <f t="array" ref="H443">IF(H684="","",
H684*LOOKUP($F443,_xlfn._xlws.FILTER($F$454:$F$463,H$454:H$463&lt;&gt;""),_xlfn._xlws.FILTER(H$454:H$463,H$454:H$463&lt;&gt;"")))</f>
        <v/>
      </c>
      <c r="I443" s="81" t="str" cm="1">
        <f t="array" ref="I443">IF(I684="","",
I684*LOOKUP($F443,_xlfn._xlws.FILTER($F$454:$F$463,I$454:I$463&lt;&gt;""),_xlfn._xlws.FILTER(I$454:I$463,I$454:I$463&lt;&gt;"")))</f>
        <v/>
      </c>
      <c r="J443" s="88" t="str">
        <f t="shared" si="38"/>
        <v/>
      </c>
      <c r="K443" s="89" t="str" cm="1">
        <f t="array" ref="K443">IF(M684="","",
$N$477*(M684/LOOKUP($F443,_xlfn._xlws.FILTER($F$468:$F$477,G$468:G$477&lt;&gt;""),_xlfn._xlws.FILTER(G$468:G$477,G$468:G$477&lt;&gt;"")))*(N684/LOOKUP($F443,_xlfn._xlws.FILTER($F$468:$F$477,H$468:H$477&lt;&gt;""),_xlfn._xlws.FILTER(H$468:H$477,H$468:H$477&lt;&gt;""))))</f>
        <v/>
      </c>
      <c r="L443" s="84" t="str">
        <f t="shared" si="39"/>
        <v/>
      </c>
      <c r="M443" s="77" t="str">
        <f t="shared" si="32"/>
        <v/>
      </c>
      <c r="N443" s="12"/>
      <c r="O443" s="24">
        <v>51410</v>
      </c>
      <c r="P443" s="85" t="str">
        <f t="shared" si="33"/>
        <v/>
      </c>
      <c r="Q443" s="85" t="str">
        <f t="shared" si="34"/>
        <v/>
      </c>
      <c r="R443" s="85" t="str">
        <f t="shared" si="35"/>
        <v/>
      </c>
      <c r="S443" s="85" t="str">
        <f t="shared" si="36"/>
        <v/>
      </c>
      <c r="T443" s="86" t="str">
        <f t="shared" si="37"/>
        <v/>
      </c>
      <c r="U443" s="87" t="str">
        <f t="shared" si="40"/>
        <v/>
      </c>
      <c r="V443" s="12"/>
      <c r="W443" s="12"/>
    </row>
    <row r="444" spans="5:23" ht="13.5" hidden="1" customHeight="1">
      <c r="E444" s="12"/>
      <c r="F444" s="24">
        <v>51441</v>
      </c>
      <c r="G444" s="81" t="str" cm="1">
        <f t="array" ref="G444">IF(G685="","",
G685*LOOKUP($F444,_xlfn._xlws.FILTER($F$454:$F$463,G$454:G$463&lt;&gt;""),_xlfn._xlws.FILTER(G$454:G$463,G$454:G$463&lt;&gt;"")))</f>
        <v/>
      </c>
      <c r="H444" s="81" t="str" cm="1">
        <f t="array" ref="H444">IF(H685="","",
H685*LOOKUP($F444,_xlfn._xlws.FILTER($F$454:$F$463,H$454:H$463&lt;&gt;""),_xlfn._xlws.FILTER(H$454:H$463,H$454:H$463&lt;&gt;"")))</f>
        <v/>
      </c>
      <c r="I444" s="81" t="str" cm="1">
        <f t="array" ref="I444">IF(I685="","",
I685*LOOKUP($F444,_xlfn._xlws.FILTER($F$454:$F$463,I$454:I$463&lt;&gt;""),_xlfn._xlws.FILTER(I$454:I$463,I$454:I$463&lt;&gt;"")))</f>
        <v/>
      </c>
      <c r="J444" s="88" t="str">
        <f t="shared" si="38"/>
        <v/>
      </c>
      <c r="K444" s="89" t="str" cm="1">
        <f t="array" ref="K444">IF(M685="","",
$N$477*(M685/LOOKUP($F444,_xlfn._xlws.FILTER($F$468:$F$477,G$468:G$477&lt;&gt;""),_xlfn._xlws.FILTER(G$468:G$477,G$468:G$477&lt;&gt;"")))*(N685/LOOKUP($F444,_xlfn._xlws.FILTER($F$468:$F$477,H$468:H$477&lt;&gt;""),_xlfn._xlws.FILTER(H$468:H$477,H$468:H$477&lt;&gt;""))))</f>
        <v/>
      </c>
      <c r="L444" s="84" t="str">
        <f t="shared" si="39"/>
        <v/>
      </c>
      <c r="M444" s="77" t="str">
        <f t="shared" si="32"/>
        <v/>
      </c>
      <c r="N444" s="12"/>
      <c r="O444" s="24">
        <v>51441</v>
      </c>
      <c r="P444" s="85" t="str">
        <f t="shared" si="33"/>
        <v/>
      </c>
      <c r="Q444" s="85" t="str">
        <f t="shared" si="34"/>
        <v/>
      </c>
      <c r="R444" s="85" t="str">
        <f t="shared" si="35"/>
        <v/>
      </c>
      <c r="S444" s="85" t="str">
        <f t="shared" si="36"/>
        <v/>
      </c>
      <c r="T444" s="86" t="str">
        <f t="shared" si="37"/>
        <v/>
      </c>
      <c r="U444" s="87" t="str">
        <f t="shared" si="40"/>
        <v/>
      </c>
      <c r="V444" s="12"/>
      <c r="W444" s="12"/>
    </row>
    <row r="445" spans="5:23" ht="13.5" hidden="1" customHeight="1">
      <c r="E445" s="12"/>
      <c r="F445" s="35">
        <v>51471</v>
      </c>
      <c r="G445" s="90" t="str" cm="1">
        <f t="array" ref="G445">IF(G686="","",
G686*LOOKUP($F445,_xlfn._xlws.FILTER($F$454:$F$463,G$454:G$463&lt;&gt;""),_xlfn._xlws.FILTER(G$454:G$463,G$454:G$463&lt;&gt;"")))</f>
        <v/>
      </c>
      <c r="H445" s="90" t="str" cm="1">
        <f t="array" ref="H445">IF(H686="","",
H686*LOOKUP($F445,_xlfn._xlws.FILTER($F$454:$F$463,H$454:H$463&lt;&gt;""),_xlfn._xlws.FILTER(H$454:H$463,H$454:H$463&lt;&gt;"")))</f>
        <v/>
      </c>
      <c r="I445" s="90" t="str" cm="1">
        <f t="array" ref="I445">IF(I686="","",
I686*LOOKUP($F445,_xlfn._xlws.FILTER($F$454:$F$463,I$454:I$463&lt;&gt;""),_xlfn._xlws.FILTER(I$454:I$463,I$454:I$463&lt;&gt;"")))</f>
        <v/>
      </c>
      <c r="J445" s="91" t="str">
        <f t="shared" si="38"/>
        <v/>
      </c>
      <c r="K445" s="92" t="str" cm="1">
        <f t="array" ref="K445">IF(M686="","",
$N$477*(M686/LOOKUP($F445,_xlfn._xlws.FILTER($F$468:$F$477,G$468:G$477&lt;&gt;""),_xlfn._xlws.FILTER(G$468:G$477,G$468:G$477&lt;&gt;"")))*(N686/LOOKUP($F445,_xlfn._xlws.FILTER($F$468:$F$477,H$468:H$477&lt;&gt;""),_xlfn._xlws.FILTER(H$468:H$477,H$468:H$477&lt;&gt;""))))</f>
        <v/>
      </c>
      <c r="L445" s="93" t="str">
        <f t="shared" si="39"/>
        <v/>
      </c>
      <c r="M445" s="94" t="str">
        <f t="shared" si="32"/>
        <v/>
      </c>
      <c r="N445" s="12"/>
      <c r="O445" s="35">
        <v>51471</v>
      </c>
      <c r="P445" s="95" t="str">
        <f t="shared" si="33"/>
        <v/>
      </c>
      <c r="Q445" s="95" t="str">
        <f t="shared" si="34"/>
        <v/>
      </c>
      <c r="R445" s="95" t="str">
        <f t="shared" si="35"/>
        <v/>
      </c>
      <c r="S445" s="95" t="str">
        <f t="shared" si="36"/>
        <v/>
      </c>
      <c r="T445" s="96" t="str">
        <f t="shared" si="37"/>
        <v/>
      </c>
      <c r="U445" s="97" t="str">
        <f t="shared" si="40"/>
        <v/>
      </c>
      <c r="V445" s="12"/>
      <c r="W445" s="12"/>
    </row>
    <row r="446" spans="5:23"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5:23"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5:23"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5:23" s="98" customFormat="1"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</row>
    <row r="450" spans="5:23" s="98" customFormat="1" ht="14">
      <c r="E450" s="12"/>
      <c r="F450" s="39" t="s">
        <v>82</v>
      </c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5:23" s="98" customFormat="1" ht="14">
      <c r="E451" s="12"/>
      <c r="F451" s="39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5:23" s="98" customFormat="1">
      <c r="E452" s="12"/>
      <c r="F452" s="19" t="s">
        <v>83</v>
      </c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5:23" s="98" customFormat="1">
      <c r="E453" s="12"/>
      <c r="F453" s="45" t="s">
        <v>84</v>
      </c>
      <c r="G453" s="99" t="s">
        <v>71</v>
      </c>
      <c r="H453" s="99" t="s">
        <v>10</v>
      </c>
      <c r="I453" s="99" t="s">
        <v>11</v>
      </c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5:23" s="98" customFormat="1">
      <c r="E454" s="12"/>
      <c r="F454" s="100">
        <v>45292</v>
      </c>
      <c r="G454" s="101">
        <v>1.0101</v>
      </c>
      <c r="H454" s="101">
        <v>1.3126252505010021</v>
      </c>
      <c r="I454" s="101">
        <v>1.0137779530325515</v>
      </c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5:23" s="98" customFormat="1">
      <c r="E455" s="12"/>
      <c r="F455" s="102">
        <v>45536</v>
      </c>
      <c r="G455" s="103">
        <v>1.2977498765432098</v>
      </c>
      <c r="H455" s="103"/>
      <c r="I455" s="103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5:23" s="98" customFormat="1">
      <c r="E456" s="12"/>
      <c r="F456" s="102">
        <v>45689</v>
      </c>
      <c r="G456" s="103"/>
      <c r="H456" s="103"/>
      <c r="I456" s="103">
        <v>1.1001896063226724</v>
      </c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5:23" s="98" customFormat="1">
      <c r="E457" s="12"/>
      <c r="F457" s="102"/>
      <c r="G457" s="103"/>
      <c r="H457" s="103"/>
      <c r="I457" s="103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5:23" s="98" customFormat="1">
      <c r="E458" s="12"/>
      <c r="F458" s="102"/>
      <c r="G458" s="103"/>
      <c r="H458" s="103"/>
      <c r="I458" s="103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5:23" s="98" customFormat="1">
      <c r="E459" s="12"/>
      <c r="F459" s="102"/>
      <c r="G459" s="103"/>
      <c r="H459" s="103"/>
      <c r="I459" s="103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5:23" s="98" customFormat="1">
      <c r="E460" s="12"/>
      <c r="F460" s="102"/>
      <c r="G460" s="103"/>
      <c r="H460" s="103"/>
      <c r="I460" s="103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5:23" s="98" customFormat="1">
      <c r="E461" s="12"/>
      <c r="F461" s="102"/>
      <c r="G461" s="103"/>
      <c r="H461" s="103"/>
      <c r="I461" s="103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5:23" s="98" customFormat="1">
      <c r="E462" s="12"/>
      <c r="F462" s="102"/>
      <c r="G462" s="103"/>
      <c r="H462" s="103"/>
      <c r="I462" s="103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5:23" s="98" customFormat="1">
      <c r="E463" s="12"/>
      <c r="F463" s="104"/>
      <c r="G463" s="105"/>
      <c r="H463" s="105"/>
      <c r="I463" s="105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5:23" s="98" customFormat="1"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5:23" s="98" customFormat="1">
      <c r="E465" s="12"/>
      <c r="F465" s="19" t="s">
        <v>85</v>
      </c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5:23" s="98" customFormat="1">
      <c r="E466" s="12"/>
      <c r="F466" s="45" t="s">
        <v>86</v>
      </c>
      <c r="G466" s="72" t="s">
        <v>41</v>
      </c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5:23" s="98" customFormat="1">
      <c r="E467" s="12"/>
      <c r="F467" s="106" t="s">
        <v>84</v>
      </c>
      <c r="G467" s="107" t="s">
        <v>94</v>
      </c>
      <c r="H467" s="99" t="s">
        <v>87</v>
      </c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5:23" s="98" customFormat="1">
      <c r="E468" s="12"/>
      <c r="F468" s="108">
        <v>43132</v>
      </c>
      <c r="G468" s="101">
        <v>121.4</v>
      </c>
      <c r="H468" s="101">
        <v>74.63</v>
      </c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5:23" s="98" customFormat="1">
      <c r="E469" s="12"/>
      <c r="F469" s="3"/>
      <c r="G469" s="103"/>
      <c r="H469" s="103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5:23" s="98" customFormat="1">
      <c r="E470" s="12"/>
      <c r="F470" s="3"/>
      <c r="G470" s="103"/>
      <c r="H470" s="103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5:23" s="98" customFormat="1">
      <c r="E471" s="12"/>
      <c r="F471" s="3"/>
      <c r="G471" s="103"/>
      <c r="H471" s="103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5:23" s="98" customFormat="1">
      <c r="E472" s="12"/>
      <c r="F472" s="3"/>
      <c r="G472" s="103"/>
      <c r="H472" s="103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5:23" s="98" customFormat="1">
      <c r="E473" s="12"/>
      <c r="F473" s="3"/>
      <c r="G473" s="103"/>
      <c r="H473" s="103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5:23" s="98" customFormat="1">
      <c r="E474" s="12"/>
      <c r="F474" s="3"/>
      <c r="G474" s="103"/>
      <c r="H474" s="103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5:23" s="98" customFormat="1">
      <c r="E475" s="12"/>
      <c r="F475" s="3"/>
      <c r="G475" s="103"/>
      <c r="H475" s="103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5:23" s="98" customFormat="1">
      <c r="E476" s="12"/>
      <c r="F476" s="3"/>
      <c r="G476" s="103"/>
      <c r="H476" s="103"/>
      <c r="I476" s="12"/>
      <c r="J476" s="12"/>
      <c r="K476" s="12"/>
      <c r="L476" s="12"/>
      <c r="M476" s="12"/>
      <c r="N476" s="19" t="s">
        <v>95</v>
      </c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5:23" s="98" customFormat="1">
      <c r="E477" s="12"/>
      <c r="F477" s="46"/>
      <c r="G477" s="105"/>
      <c r="H477" s="105"/>
      <c r="I477" s="12"/>
      <c r="J477" s="12"/>
      <c r="K477" s="12"/>
      <c r="L477" s="12"/>
      <c r="M477" s="12"/>
      <c r="N477" s="122">
        <v>251.89399894453334</v>
      </c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5:23" s="98" customFormat="1"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5:23" s="98" customFormat="1"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9" t="s">
        <v>88</v>
      </c>
      <c r="Q479" s="12"/>
      <c r="R479" s="12"/>
      <c r="S479" s="12"/>
      <c r="T479" s="12"/>
      <c r="U479" s="12"/>
      <c r="V479" s="12"/>
      <c r="W479" s="12"/>
    </row>
    <row r="480" spans="5:23" s="98" customFormat="1">
      <c r="E480" s="12"/>
      <c r="F480" s="40"/>
      <c r="G480" s="7"/>
      <c r="H480" s="7"/>
      <c r="I480" s="7"/>
      <c r="J480" s="7"/>
      <c r="K480" s="12"/>
      <c r="L480" s="12"/>
      <c r="M480" s="12"/>
      <c r="N480" s="12"/>
      <c r="O480" s="12"/>
      <c r="P480" s="109" t="s">
        <v>89</v>
      </c>
      <c r="Q480" s="110">
        <v>0.59936718313663351</v>
      </c>
      <c r="R480" s="110">
        <v>7.4428691833688512E-2</v>
      </c>
      <c r="S480" s="110">
        <v>7.7665812432695519E-2</v>
      </c>
      <c r="T480" s="110">
        <v>6.2007595343024696E-3</v>
      </c>
      <c r="U480" s="110">
        <v>0.24233755306267996</v>
      </c>
      <c r="V480" s="111"/>
      <c r="W480" s="12"/>
    </row>
    <row r="481" spans="5:23" s="98" customFormat="1">
      <c r="E481" s="12"/>
      <c r="F481" s="112" t="s">
        <v>90</v>
      </c>
      <c r="G481" s="7"/>
      <c r="H481" s="7"/>
      <c r="I481" s="7"/>
      <c r="J481" s="7"/>
      <c r="K481" s="12"/>
      <c r="L481" s="112" t="s">
        <v>91</v>
      </c>
      <c r="M481" s="12"/>
      <c r="N481" s="12"/>
      <c r="O481" s="12"/>
      <c r="P481" s="67" t="s">
        <v>92</v>
      </c>
      <c r="Q481" s="36">
        <v>134.24229</v>
      </c>
      <c r="R481" s="36">
        <v>132.96893787575152</v>
      </c>
      <c r="S481" s="36">
        <v>103.68702807357212</v>
      </c>
      <c r="T481" s="36">
        <v>0.61</v>
      </c>
      <c r="U481" s="36">
        <v>251.89399894453408</v>
      </c>
      <c r="V481" s="46"/>
      <c r="W481" s="12"/>
    </row>
    <row r="482" spans="5:23" s="98" customFormat="1" ht="34.5">
      <c r="E482" s="12"/>
      <c r="F482" s="113" t="s">
        <v>3</v>
      </c>
      <c r="G482" s="114" t="s">
        <v>71</v>
      </c>
      <c r="H482" s="115" t="s">
        <v>10</v>
      </c>
      <c r="I482" s="115" t="s">
        <v>11</v>
      </c>
      <c r="J482" s="115" t="s">
        <v>12</v>
      </c>
      <c r="K482" s="40"/>
      <c r="L482" s="113" t="s">
        <v>3</v>
      </c>
      <c r="M482" s="115" t="s">
        <v>41</v>
      </c>
      <c r="N482" s="114" t="s">
        <v>96</v>
      </c>
      <c r="O482" s="40"/>
      <c r="P482" s="116" t="s">
        <v>3</v>
      </c>
      <c r="Q482" s="99" t="s">
        <v>71</v>
      </c>
      <c r="R482" s="117" t="s">
        <v>10</v>
      </c>
      <c r="S482" s="117" t="s">
        <v>11</v>
      </c>
      <c r="T482" s="117" t="s">
        <v>12</v>
      </c>
      <c r="U482" s="117" t="s">
        <v>41</v>
      </c>
      <c r="V482" s="117" t="s">
        <v>4</v>
      </c>
      <c r="W482" s="12"/>
    </row>
    <row r="483" spans="5:23" s="98" customFormat="1">
      <c r="E483" s="12"/>
      <c r="F483" s="24">
        <v>45292</v>
      </c>
      <c r="G483" s="34">
        <v>153.5</v>
      </c>
      <c r="H483" s="34">
        <v>117.3</v>
      </c>
      <c r="I483" s="34">
        <v>123.5</v>
      </c>
      <c r="J483" s="34">
        <v>3.51</v>
      </c>
      <c r="K483" s="12"/>
      <c r="L483" s="24">
        <v>45292</v>
      </c>
      <c r="M483" s="34">
        <v>254.1</v>
      </c>
      <c r="N483" s="34">
        <v>64.650000000000006</v>
      </c>
      <c r="O483" s="12"/>
      <c r="P483" s="118">
        <v>45292</v>
      </c>
      <c r="Q483" s="119">
        <v>15.50037622272386</v>
      </c>
      <c r="R483" s="119">
        <v>15.794669299111547</v>
      </c>
      <c r="S483" s="119">
        <v>20.749508907403658</v>
      </c>
      <c r="T483" s="119">
        <v>475.40983606557381</v>
      </c>
      <c r="U483" s="119">
        <v>81.318060918211941</v>
      </c>
      <c r="V483" s="119">
        <v>166.72014015198874</v>
      </c>
      <c r="W483" s="12"/>
    </row>
    <row r="484" spans="5:23" s="98" customFormat="1">
      <c r="E484" s="12"/>
      <c r="F484" s="24">
        <v>45323</v>
      </c>
      <c r="G484" s="34">
        <v>153.5</v>
      </c>
      <c r="H484" s="34">
        <v>116.7</v>
      </c>
      <c r="I484" s="34">
        <v>123.3</v>
      </c>
      <c r="J484" s="34">
        <v>3.18</v>
      </c>
      <c r="K484" s="12"/>
      <c r="L484" s="24">
        <v>45323</v>
      </c>
      <c r="M484" s="34">
        <v>239.1</v>
      </c>
      <c r="N484" s="34">
        <v>65.14</v>
      </c>
      <c r="O484" s="12"/>
      <c r="P484" s="24">
        <v>45323</v>
      </c>
      <c r="Q484" s="120">
        <v>15.50037622272386</v>
      </c>
      <c r="R484" s="120">
        <v>15.202369200394866</v>
      </c>
      <c r="S484" s="120">
        <v>20.553963143990856</v>
      </c>
      <c r="T484" s="120">
        <v>421.31147540983613</v>
      </c>
      <c r="U484" s="120">
        <v>71.907649400965184</v>
      </c>
      <c r="V484" s="120">
        <v>163.4097662134065</v>
      </c>
      <c r="W484" s="12"/>
    </row>
    <row r="485" spans="5:23" s="98" customFormat="1">
      <c r="E485" s="12"/>
      <c r="F485" s="24">
        <v>45352</v>
      </c>
      <c r="G485" s="34">
        <v>153.5</v>
      </c>
      <c r="H485" s="34">
        <v>117.8</v>
      </c>
      <c r="I485" s="34">
        <v>122.3</v>
      </c>
      <c r="J485" s="34">
        <v>3.23</v>
      </c>
      <c r="K485" s="12"/>
      <c r="L485" s="24">
        <v>45352</v>
      </c>
      <c r="M485" s="34">
        <v>187.7</v>
      </c>
      <c r="N485" s="34">
        <v>66.489999999999995</v>
      </c>
      <c r="O485" s="12"/>
      <c r="P485" s="24">
        <v>45352</v>
      </c>
      <c r="Q485" s="120">
        <v>15.50037622272386</v>
      </c>
      <c r="R485" s="120">
        <v>16.288252714708765</v>
      </c>
      <c r="S485" s="120">
        <v>19.576234326926865</v>
      </c>
      <c r="T485" s="120">
        <v>429.50819672131149</v>
      </c>
      <c r="U485" s="120">
        <v>37.749007128191145</v>
      </c>
      <c r="V485" s="120">
        <v>153.23542169368963</v>
      </c>
      <c r="W485" s="12"/>
    </row>
    <row r="486" spans="5:23" s="98" customFormat="1">
      <c r="E486" s="12"/>
      <c r="F486" s="24">
        <v>45383</v>
      </c>
      <c r="G486" s="34">
        <v>154.80000000000001</v>
      </c>
      <c r="H486" s="34">
        <v>118.4</v>
      </c>
      <c r="I486" s="34">
        <v>122.6</v>
      </c>
      <c r="J486" s="34">
        <v>3.38</v>
      </c>
      <c r="K486" s="12"/>
      <c r="L486" s="24">
        <v>45383</v>
      </c>
      <c r="M486" s="34">
        <v>193.6</v>
      </c>
      <c r="N486" s="34">
        <v>66.14</v>
      </c>
      <c r="O486" s="12"/>
      <c r="P486" s="24">
        <v>45383</v>
      </c>
      <c r="Q486" s="120">
        <v>16.478555304740418</v>
      </c>
      <c r="R486" s="120">
        <v>16.880552813425467</v>
      </c>
      <c r="S486" s="120">
        <v>19.869552972046062</v>
      </c>
      <c r="T486" s="120">
        <v>454.09836065573774</v>
      </c>
      <c r="U486" s="120">
        <v>41.330994575986843</v>
      </c>
      <c r="V486" s="120">
        <v>155.30647150395401</v>
      </c>
      <c r="W486" s="12"/>
    </row>
    <row r="487" spans="5:23" s="98" customFormat="1">
      <c r="E487" s="12"/>
      <c r="F487" s="24">
        <v>45413</v>
      </c>
      <c r="G487" s="34">
        <v>154.80000000000001</v>
      </c>
      <c r="H487" s="34">
        <v>118.4</v>
      </c>
      <c r="I487" s="34">
        <v>122.2</v>
      </c>
      <c r="J487" s="34">
        <v>3.39</v>
      </c>
      <c r="K487" s="12"/>
      <c r="L487" s="24">
        <v>45413</v>
      </c>
      <c r="M487" s="34">
        <v>188.6</v>
      </c>
      <c r="N487" s="34">
        <v>66.22</v>
      </c>
      <c r="O487" s="12"/>
      <c r="P487" s="24">
        <v>45413</v>
      </c>
      <c r="Q487" s="120">
        <v>16.478555304740418</v>
      </c>
      <c r="R487" s="120">
        <v>16.880552813425467</v>
      </c>
      <c r="S487" s="120">
        <v>19.478461445220468</v>
      </c>
      <c r="T487" s="120">
        <v>455.73770491803282</v>
      </c>
      <c r="U487" s="120">
        <v>37.847449945816855</v>
      </c>
      <c r="V487" s="120">
        <v>154.23684032546961</v>
      </c>
      <c r="W487" s="12"/>
    </row>
    <row r="488" spans="5:23" s="98" customFormat="1">
      <c r="E488" s="12"/>
      <c r="F488" s="24">
        <v>45444</v>
      </c>
      <c r="G488" s="34">
        <v>154.80000000000001</v>
      </c>
      <c r="H488" s="34">
        <v>118.5</v>
      </c>
      <c r="I488" s="34">
        <v>122.7</v>
      </c>
      <c r="J488" s="34">
        <v>3.43</v>
      </c>
      <c r="K488" s="12"/>
      <c r="L488" s="24">
        <v>45444</v>
      </c>
      <c r="M488" s="34">
        <v>187.5</v>
      </c>
      <c r="N488" s="34">
        <v>66.180000000000007</v>
      </c>
      <c r="O488" s="12"/>
      <c r="P488" s="24">
        <v>45444</v>
      </c>
      <c r="Q488" s="120">
        <v>16.478555304740418</v>
      </c>
      <c r="R488" s="120">
        <v>16.979269496544905</v>
      </c>
      <c r="S488" s="120">
        <v>19.96732585375247</v>
      </c>
      <c r="T488" s="120">
        <v>462.29508196721315</v>
      </c>
      <c r="U488" s="120">
        <v>36.96068092981902</v>
      </c>
      <c r="V488" s="120">
        <v>154.07731026602255</v>
      </c>
      <c r="W488" s="12"/>
    </row>
    <row r="489" spans="5:23" s="98" customFormat="1">
      <c r="E489" s="12"/>
      <c r="F489" s="24">
        <v>45474</v>
      </c>
      <c r="G489" s="34">
        <v>156.1</v>
      </c>
      <c r="H489" s="34">
        <v>118.5</v>
      </c>
      <c r="I489" s="34">
        <v>123.2</v>
      </c>
      <c r="J489" s="34">
        <v>3.49</v>
      </c>
      <c r="K489" s="12"/>
      <c r="L489" s="24">
        <v>45474</v>
      </c>
      <c r="M489" s="34">
        <v>181.8</v>
      </c>
      <c r="N489" s="34">
        <v>64.55</v>
      </c>
      <c r="O489" s="12"/>
      <c r="P489" s="24">
        <v>45474</v>
      </c>
      <c r="Q489" s="120">
        <v>17.456734386756949</v>
      </c>
      <c r="R489" s="120">
        <v>16.979269496544905</v>
      </c>
      <c r="S489" s="120">
        <v>20.456190262284458</v>
      </c>
      <c r="T489" s="120">
        <v>472.1311475409837</v>
      </c>
      <c r="U489" s="120">
        <v>29.526311130516987</v>
      </c>
      <c r="V489" s="120">
        <v>152.69587786859492</v>
      </c>
      <c r="W489" s="12"/>
    </row>
    <row r="490" spans="5:23" s="98" customFormat="1">
      <c r="E490" s="12"/>
      <c r="F490" s="24">
        <v>45505</v>
      </c>
      <c r="G490" s="34">
        <v>156.1</v>
      </c>
      <c r="H490" s="34">
        <v>118.5</v>
      </c>
      <c r="I490" s="34">
        <v>123.2</v>
      </c>
      <c r="J490" s="34">
        <v>3.4</v>
      </c>
      <c r="K490" s="12"/>
      <c r="L490" s="24">
        <v>45505</v>
      </c>
      <c r="M490" s="34">
        <v>177</v>
      </c>
      <c r="N490" s="34">
        <v>63.91</v>
      </c>
      <c r="O490" s="12"/>
      <c r="P490" s="24">
        <v>45505</v>
      </c>
      <c r="Q490" s="120">
        <v>17.456734386756949</v>
      </c>
      <c r="R490" s="120">
        <v>16.979269496544905</v>
      </c>
      <c r="S490" s="120">
        <v>20.456190262284458</v>
      </c>
      <c r="T490" s="120">
        <v>457.37704918032784</v>
      </c>
      <c r="U490" s="120">
        <v>24.856154723544062</v>
      </c>
      <c r="V490" s="120">
        <v>151.18221273446221</v>
      </c>
      <c r="W490" s="12"/>
    </row>
    <row r="491" spans="5:23" s="98" customFormat="1">
      <c r="E491" s="12"/>
      <c r="F491" s="24">
        <v>45536</v>
      </c>
      <c r="G491" s="34">
        <v>121.5</v>
      </c>
      <c r="H491" s="34">
        <v>119.8</v>
      </c>
      <c r="I491" s="34">
        <v>123.4</v>
      </c>
      <c r="J491" s="34">
        <v>3.12</v>
      </c>
      <c r="K491" s="12"/>
      <c r="L491" s="24">
        <v>45536</v>
      </c>
      <c r="M491" s="34">
        <v>179</v>
      </c>
      <c r="N491" s="34">
        <v>66.180000000000007</v>
      </c>
      <c r="O491" s="12"/>
      <c r="P491" s="24">
        <v>45536</v>
      </c>
      <c r="Q491" s="120">
        <v>17.456734386756949</v>
      </c>
      <c r="R491" s="120">
        <v>18.26258637709773</v>
      </c>
      <c r="S491" s="120">
        <v>20.651736025697264</v>
      </c>
      <c r="T491" s="120">
        <v>411.47540983606564</v>
      </c>
      <c r="U491" s="120">
        <v>30.751796727667209</v>
      </c>
      <c r="V491" s="120">
        <v>152.73494619286586</v>
      </c>
      <c r="W491" s="12"/>
    </row>
    <row r="492" spans="5:23" s="98" customFormat="1">
      <c r="E492" s="12"/>
      <c r="F492" s="24">
        <v>45566</v>
      </c>
      <c r="G492" s="34">
        <v>125.5</v>
      </c>
      <c r="H492" s="34">
        <v>119.3</v>
      </c>
      <c r="I492" s="34">
        <v>123.6</v>
      </c>
      <c r="J492" s="34">
        <v>3.05</v>
      </c>
      <c r="K492" s="12"/>
      <c r="L492" s="24">
        <v>45566</v>
      </c>
      <c r="M492" s="34">
        <v>172.9</v>
      </c>
      <c r="N492" s="34">
        <v>64.67</v>
      </c>
      <c r="O492" s="12"/>
      <c r="P492" s="24">
        <v>45566</v>
      </c>
      <c r="Q492" s="120">
        <v>21.323622761629622</v>
      </c>
      <c r="R492" s="120">
        <v>17.769002961500487</v>
      </c>
      <c r="S492" s="120">
        <v>20.847281789110053</v>
      </c>
      <c r="T492" s="120">
        <v>400</v>
      </c>
      <c r="U492" s="120">
        <v>23.414368655824184</v>
      </c>
      <c r="V492" s="120">
        <v>153.28788302490673</v>
      </c>
      <c r="W492" s="12"/>
    </row>
    <row r="493" spans="5:23" s="98" customFormat="1">
      <c r="E493" s="12"/>
      <c r="F493" s="24">
        <v>45597</v>
      </c>
      <c r="G493" s="34">
        <v>125.5</v>
      </c>
      <c r="H493" s="34">
        <v>118.9</v>
      </c>
      <c r="I493" s="34">
        <v>123.5</v>
      </c>
      <c r="J493" s="34">
        <v>2.82</v>
      </c>
      <c r="K493" s="12"/>
      <c r="L493" s="24">
        <v>45597</v>
      </c>
      <c r="M493" s="34">
        <v>164.9</v>
      </c>
      <c r="N493" s="34">
        <v>64.81</v>
      </c>
      <c r="O493" s="12"/>
      <c r="P493" s="24">
        <v>45597</v>
      </c>
      <c r="Q493" s="120">
        <v>21.323622761629622</v>
      </c>
      <c r="R493" s="120">
        <v>17.374136229022707</v>
      </c>
      <c r="S493" s="120">
        <v>20.749508907403658</v>
      </c>
      <c r="T493" s="120">
        <v>362.29508196721309</v>
      </c>
      <c r="U493" s="120">
        <v>17.958855118529492</v>
      </c>
      <c r="V493" s="120">
        <v>151.31684562173675</v>
      </c>
      <c r="W493" s="12"/>
    </row>
    <row r="494" spans="5:23" s="98" customFormat="1">
      <c r="E494" s="12"/>
      <c r="F494" s="24">
        <v>45627</v>
      </c>
      <c r="G494" s="34">
        <v>125.5</v>
      </c>
      <c r="H494" s="34">
        <v>119.6</v>
      </c>
      <c r="I494" s="34">
        <v>122.9</v>
      </c>
      <c r="J494" s="34">
        <v>2.9</v>
      </c>
      <c r="K494" s="12"/>
      <c r="L494" s="24">
        <v>45627</v>
      </c>
      <c r="M494" s="34">
        <v>166.1</v>
      </c>
      <c r="N494" s="34">
        <v>65.92</v>
      </c>
      <c r="O494" s="12"/>
      <c r="P494" s="24">
        <v>45627</v>
      </c>
      <c r="Q494" s="120">
        <v>21.323622761629622</v>
      </c>
      <c r="R494" s="120">
        <v>18.065153010858825</v>
      </c>
      <c r="S494" s="120">
        <v>20.162871617165276</v>
      </c>
      <c r="T494" s="120">
        <v>375.40983606557376</v>
      </c>
      <c r="U494" s="120">
        <v>20.852239527191564</v>
      </c>
      <c r="V494" s="120">
        <v>152.29238818987142</v>
      </c>
      <c r="W494" s="12"/>
    </row>
    <row r="495" spans="5:23" s="98" customFormat="1">
      <c r="E495" s="12"/>
      <c r="F495" s="24">
        <v>45658</v>
      </c>
      <c r="G495" s="34">
        <v>124.7</v>
      </c>
      <c r="H495" s="34">
        <v>119.2</v>
      </c>
      <c r="I495" s="34">
        <v>123.2</v>
      </c>
      <c r="J495" s="34">
        <v>2.67</v>
      </c>
      <c r="K495" s="12"/>
      <c r="L495" s="24">
        <v>45658</v>
      </c>
      <c r="M495" s="34">
        <v>171.6</v>
      </c>
      <c r="N495" s="34">
        <v>66.02</v>
      </c>
      <c r="O495" s="12"/>
      <c r="P495" s="24">
        <v>45658</v>
      </c>
      <c r="Q495" s="120">
        <v>20.550245086655082</v>
      </c>
      <c r="R495" s="120">
        <v>17.670286278381049</v>
      </c>
      <c r="S495" s="120">
        <v>20.456190262284458</v>
      </c>
      <c r="T495" s="120">
        <v>337.70491803278691</v>
      </c>
      <c r="U495" s="120">
        <v>25.043371572133271</v>
      </c>
      <c r="V495" s="120">
        <v>152.67812202911554</v>
      </c>
      <c r="W495" s="12"/>
    </row>
    <row r="496" spans="5:23" s="98" customFormat="1">
      <c r="E496" s="12"/>
      <c r="F496" s="24">
        <v>45689</v>
      </c>
      <c r="G496" s="34">
        <v>124.7</v>
      </c>
      <c r="H496" s="34">
        <v>118.9</v>
      </c>
      <c r="I496" s="34">
        <v>113.8</v>
      </c>
      <c r="J496" s="34">
        <v>2.82</v>
      </c>
      <c r="K496" s="12"/>
      <c r="L496" s="24">
        <v>45689</v>
      </c>
      <c r="M496" s="34">
        <v>173.7</v>
      </c>
      <c r="N496" s="34">
        <v>64.349999999999994</v>
      </c>
      <c r="O496" s="12"/>
      <c r="P496" s="24">
        <v>45689</v>
      </c>
      <c r="Q496" s="120">
        <v>20.550245086655082</v>
      </c>
      <c r="R496" s="120">
        <v>17.374136229022707</v>
      </c>
      <c r="S496" s="120">
        <v>20.749508907403673</v>
      </c>
      <c r="T496" s="120">
        <v>362.29508196721309</v>
      </c>
      <c r="U496" s="120">
        <v>23.371896634047722</v>
      </c>
      <c r="V496" s="120">
        <v>152.36648388964974</v>
      </c>
      <c r="W496" s="12"/>
    </row>
    <row r="497" spans="5:23" s="98" customFormat="1">
      <c r="E497" s="12"/>
      <c r="F497" s="24">
        <v>45717</v>
      </c>
      <c r="G497" s="34">
        <v>124.7</v>
      </c>
      <c r="H497" s="34">
        <v>119.6</v>
      </c>
      <c r="I497" s="34">
        <v>113.1</v>
      </c>
      <c r="J497" s="34">
        <v>2.73</v>
      </c>
      <c r="K497" s="12"/>
      <c r="L497" s="24">
        <v>45717</v>
      </c>
      <c r="M497" s="34">
        <v>180.5</v>
      </c>
      <c r="N497" s="34">
        <v>65.12</v>
      </c>
      <c r="O497" s="12"/>
      <c r="P497" s="24">
        <v>45717</v>
      </c>
      <c r="Q497" s="120">
        <v>20.550245086655082</v>
      </c>
      <c r="R497" s="120">
        <v>18.065153010858825</v>
      </c>
      <c r="S497" s="120">
        <v>20.006761488816824</v>
      </c>
      <c r="T497" s="120">
        <v>347.5409836065574</v>
      </c>
      <c r="U497" s="120">
        <v>29.735691133920934</v>
      </c>
      <c r="V497" s="120">
        <v>154.1538720466842</v>
      </c>
      <c r="W497" s="12"/>
    </row>
    <row r="498" spans="5:23" s="98" customFormat="1">
      <c r="E498" s="12"/>
      <c r="F498" s="24">
        <v>45748</v>
      </c>
      <c r="G498" s="34">
        <v>125.8</v>
      </c>
      <c r="H498" s="34">
        <v>120.8</v>
      </c>
      <c r="I498" s="34">
        <v>112.9</v>
      </c>
      <c r="J498" s="34">
        <v>2.69</v>
      </c>
      <c r="K498" s="12"/>
      <c r="L498" s="24">
        <v>45748</v>
      </c>
      <c r="M498" s="34">
        <v>178.9</v>
      </c>
      <c r="N498" s="34">
        <v>64.87</v>
      </c>
      <c r="O498" s="12"/>
      <c r="P498" s="24">
        <v>45748</v>
      </c>
      <c r="Q498" s="120">
        <v>21.613639389745057</v>
      </c>
      <c r="R498" s="120">
        <v>19.249753208292187</v>
      </c>
      <c r="S498" s="120">
        <v>19.794547940649167</v>
      </c>
      <c r="T498" s="120">
        <v>340.98360655737707</v>
      </c>
      <c r="U498" s="120">
        <v>28.09203051363076</v>
      </c>
      <c r="V498" s="120">
        <v>154.4880610373981</v>
      </c>
      <c r="W498" s="12"/>
    </row>
    <row r="499" spans="5:23" s="98" customFormat="1">
      <c r="E499" s="12"/>
      <c r="F499" s="24">
        <v>45778</v>
      </c>
      <c r="G499" s="34">
        <v>125.8</v>
      </c>
      <c r="H499" s="34">
        <v>120.2</v>
      </c>
      <c r="I499" s="34">
        <v>112.8</v>
      </c>
      <c r="J499" s="34">
        <v>2.75</v>
      </c>
      <c r="K499" s="12"/>
      <c r="L499" s="24">
        <v>45778</v>
      </c>
      <c r="M499" s="34">
        <v>169.7</v>
      </c>
      <c r="N499" s="34">
        <v>66.33</v>
      </c>
      <c r="O499" s="12"/>
      <c r="P499" s="24">
        <v>45778</v>
      </c>
      <c r="Q499" s="120">
        <v>21.613639389745057</v>
      </c>
      <c r="R499" s="120">
        <v>18.657453109575506</v>
      </c>
      <c r="S499" s="120">
        <v>19.688441166565326</v>
      </c>
      <c r="T499" s="120">
        <v>350.81967213114757</v>
      </c>
      <c r="U499" s="120">
        <v>24.239504675564376</v>
      </c>
      <c r="V499" s="120">
        <v>153.34351304925661</v>
      </c>
      <c r="W499" s="12"/>
    </row>
    <row r="500" spans="5:23" s="98" customFormat="1">
      <c r="E500" s="12"/>
      <c r="F500" s="24">
        <v>45809</v>
      </c>
      <c r="G500" s="34">
        <v>125.8</v>
      </c>
      <c r="H500" s="34">
        <v>120.3</v>
      </c>
      <c r="I500" s="34">
        <v>114.6</v>
      </c>
      <c r="J500" s="34">
        <v>2.61</v>
      </c>
      <c r="K500" s="12"/>
      <c r="L500" s="24">
        <v>45809</v>
      </c>
      <c r="M500" s="34">
        <v>157</v>
      </c>
      <c r="N500" s="34">
        <v>67.489999999999995</v>
      </c>
      <c r="O500" s="12"/>
      <c r="P500" s="24">
        <v>45809</v>
      </c>
      <c r="Q500" s="120">
        <v>21.613639389745057</v>
      </c>
      <c r="R500" s="120">
        <v>18.756169792694948</v>
      </c>
      <c r="S500" s="120">
        <v>21.598363100074351</v>
      </c>
      <c r="T500" s="120">
        <v>327.86885245901641</v>
      </c>
      <c r="U500" s="120">
        <v>16.951811252922084</v>
      </c>
      <c r="V500" s="120">
        <v>151.17466959254048</v>
      </c>
      <c r="W500" s="12"/>
    </row>
    <row r="501" spans="5:23" s="98" customFormat="1">
      <c r="E501" s="12"/>
      <c r="F501" s="24">
        <v>45839</v>
      </c>
      <c r="G501" s="34">
        <v>126.3</v>
      </c>
      <c r="H501" s="34">
        <v>120.4</v>
      </c>
      <c r="I501" s="34">
        <v>114.9</v>
      </c>
      <c r="J501" s="34">
        <v>2.67</v>
      </c>
      <c r="K501" s="12"/>
      <c r="L501" s="24">
        <v>45839</v>
      </c>
      <c r="M501" s="34">
        <v>146.9</v>
      </c>
      <c r="N501" s="34">
        <v>67.48</v>
      </c>
      <c r="O501" s="12"/>
      <c r="P501" s="24">
        <v>45839</v>
      </c>
      <c r="Q501" s="120">
        <v>22.097000436604137</v>
      </c>
      <c r="R501" s="120">
        <v>18.854886475814407</v>
      </c>
      <c r="S501" s="120">
        <v>21.916683422325857</v>
      </c>
      <c r="T501" s="120">
        <v>337.70491803278691</v>
      </c>
      <c r="U501" s="120">
        <v>9.4119457196962717</v>
      </c>
      <c r="V501" s="120">
        <v>149.38731161299614</v>
      </c>
      <c r="W501" s="12"/>
    </row>
    <row r="502" spans="5:23" s="98" customFormat="1">
      <c r="E502" s="12"/>
      <c r="F502" s="24">
        <v>45870</v>
      </c>
      <c r="G502" s="34">
        <v>126.3</v>
      </c>
      <c r="H502" s="34">
        <v>120.7</v>
      </c>
      <c r="I502" s="34">
        <v>114.4</v>
      </c>
      <c r="J502" s="34">
        <v>2.75</v>
      </c>
      <c r="K502" s="12"/>
      <c r="L502" s="24">
        <v>45870</v>
      </c>
      <c r="M502" s="34">
        <v>151.9</v>
      </c>
      <c r="N502" s="34">
        <v>68.52</v>
      </c>
      <c r="O502" s="12"/>
      <c r="P502" s="24">
        <v>45870</v>
      </c>
      <c r="Q502" s="120">
        <v>22.097000436604137</v>
      </c>
      <c r="R502" s="120">
        <v>19.151036525172746</v>
      </c>
      <c r="S502" s="120">
        <v>21.38614955190668</v>
      </c>
      <c r="T502" s="120">
        <v>350.81967213114757</v>
      </c>
      <c r="U502" s="120">
        <v>14.879622502312561</v>
      </c>
      <c r="V502" s="120">
        <v>151.10384177294989</v>
      </c>
      <c r="W502" s="12"/>
    </row>
    <row r="503" spans="5:23" s="98" customFormat="1">
      <c r="E503" s="12"/>
      <c r="F503" s="24">
        <v>45901</v>
      </c>
      <c r="G503" s="34">
        <v>126.3</v>
      </c>
      <c r="H503" s="34">
        <v>122.5</v>
      </c>
      <c r="I503" s="34">
        <v>114.8</v>
      </c>
      <c r="J503" s="34">
        <v>2.69</v>
      </c>
      <c r="K503" s="12"/>
      <c r="L503" s="24">
        <v>45901</v>
      </c>
      <c r="M503" s="34">
        <v>163.6</v>
      </c>
      <c r="N503" s="34">
        <v>68.040000000000006</v>
      </c>
      <c r="O503" s="12"/>
      <c r="P503" s="24">
        <v>45901</v>
      </c>
      <c r="Q503" s="120">
        <v>22.097000436604137</v>
      </c>
      <c r="R503" s="120">
        <v>20.927936821322788</v>
      </c>
      <c r="S503" s="120">
        <v>21.810576648242016</v>
      </c>
      <c r="T503" s="120">
        <v>340.98360655737707</v>
      </c>
      <c r="U503" s="120">
        <v>22.861404565653675</v>
      </c>
      <c r="V503" s="120">
        <v>153.62633916615147</v>
      </c>
      <c r="W503" s="12"/>
    </row>
    <row r="504" spans="5:23" s="98" customFormat="1">
      <c r="E504" s="12"/>
      <c r="F504" s="24">
        <v>45931</v>
      </c>
      <c r="G504" s="34">
        <v>129.1</v>
      </c>
      <c r="H504" s="34">
        <v>121.7</v>
      </c>
      <c r="I504" s="34">
        <v>113.3</v>
      </c>
      <c r="J504" s="34">
        <v>2.73</v>
      </c>
      <c r="K504" s="12"/>
      <c r="L504" s="24">
        <v>45931</v>
      </c>
      <c r="M504" s="34">
        <v>169.3</v>
      </c>
      <c r="N504" s="34">
        <v>66.23</v>
      </c>
      <c r="O504" s="12"/>
      <c r="P504" s="24">
        <v>45931</v>
      </c>
      <c r="Q504" s="120">
        <v>24.803822299015003</v>
      </c>
      <c r="R504" s="120">
        <v>20.138203356367228</v>
      </c>
      <c r="S504" s="120">
        <v>20.218975036984492</v>
      </c>
      <c r="T504" s="120">
        <v>347.5409836065574</v>
      </c>
      <c r="U504" s="120">
        <v>23.759795993016048</v>
      </c>
      <c r="V504" s="120">
        <v>155.72793086720716</v>
      </c>
      <c r="W504" s="12"/>
    </row>
    <row r="505" spans="5:23" s="98" customFormat="1">
      <c r="E505" s="12"/>
      <c r="F505" s="24">
        <v>45962</v>
      </c>
      <c r="G505" s="34">
        <v>129.1</v>
      </c>
      <c r="H505" s="34">
        <v>121.6</v>
      </c>
      <c r="I505" s="34">
        <v>113.3</v>
      </c>
      <c r="J505" s="34">
        <v>2.76</v>
      </c>
      <c r="K505" s="12"/>
      <c r="L505" s="24">
        <v>45962</v>
      </c>
      <c r="M505" s="34">
        <v>181.2</v>
      </c>
      <c r="N505" s="34">
        <v>66.77</v>
      </c>
      <c r="O505" s="12"/>
      <c r="P505" s="24">
        <v>45962</v>
      </c>
      <c r="Q505" s="34">
        <v>24.803822299015003</v>
      </c>
      <c r="R505" s="34">
        <v>20.039486673247765</v>
      </c>
      <c r="S505" s="34">
        <v>20.218975036984492</v>
      </c>
      <c r="T505" s="34">
        <v>352.45901639344265</v>
      </c>
      <c r="U505" s="34">
        <v>33.53879137076202</v>
      </c>
      <c r="V505" s="120">
        <v>158.68903952458996</v>
      </c>
      <c r="W505" s="12"/>
    </row>
    <row r="506" spans="5:23" s="98" customFormat="1">
      <c r="E506" s="12"/>
      <c r="F506" s="24">
        <v>45992</v>
      </c>
      <c r="G506" s="34">
        <v>129.1</v>
      </c>
      <c r="H506" s="34"/>
      <c r="I506" s="34"/>
      <c r="J506" s="34"/>
      <c r="K506" s="12"/>
      <c r="L506" s="24">
        <v>45992</v>
      </c>
      <c r="M506" s="34"/>
      <c r="N506" s="34"/>
      <c r="O506" s="12"/>
      <c r="P506" s="24">
        <v>45992</v>
      </c>
      <c r="Q506" s="34">
        <v>24.803822299015003</v>
      </c>
      <c r="R506" s="34"/>
      <c r="S506" s="34"/>
      <c r="T506" s="34"/>
      <c r="U506" s="34"/>
      <c r="V506" s="120"/>
      <c r="W506" s="12"/>
    </row>
    <row r="507" spans="5:23" s="98" customFormat="1">
      <c r="E507" s="12"/>
      <c r="F507" s="24">
        <v>46023</v>
      </c>
      <c r="G507" s="34"/>
      <c r="H507" s="34"/>
      <c r="I507" s="34"/>
      <c r="J507" s="34"/>
      <c r="K507" s="12"/>
      <c r="L507" s="24">
        <v>46023</v>
      </c>
      <c r="M507" s="34"/>
      <c r="N507" s="34"/>
      <c r="O507" s="12"/>
      <c r="P507" s="24">
        <v>46023</v>
      </c>
      <c r="Q507" s="34"/>
      <c r="R507" s="34"/>
      <c r="S507" s="34"/>
      <c r="T507" s="34"/>
      <c r="U507" s="34"/>
      <c r="V507" s="120"/>
      <c r="W507" s="12"/>
    </row>
    <row r="508" spans="5:23" s="98" customFormat="1">
      <c r="E508" s="12"/>
      <c r="F508" s="24">
        <v>46054</v>
      </c>
      <c r="G508" s="34"/>
      <c r="H508" s="34"/>
      <c r="I508" s="34"/>
      <c r="J508" s="34"/>
      <c r="K508" s="12"/>
      <c r="L508" s="24">
        <v>46054</v>
      </c>
      <c r="M508" s="34"/>
      <c r="N508" s="34"/>
      <c r="O508" s="12"/>
      <c r="P508" s="24">
        <v>46054</v>
      </c>
      <c r="Q508" s="34"/>
      <c r="R508" s="34"/>
      <c r="S508" s="34"/>
      <c r="T508" s="34"/>
      <c r="U508" s="34"/>
      <c r="V508" s="120"/>
      <c r="W508" s="12"/>
    </row>
    <row r="509" spans="5:23" s="98" customFormat="1">
      <c r="E509" s="12"/>
      <c r="F509" s="24">
        <v>46082</v>
      </c>
      <c r="G509" s="34"/>
      <c r="H509" s="34"/>
      <c r="I509" s="34"/>
      <c r="J509" s="34"/>
      <c r="K509" s="12"/>
      <c r="L509" s="24">
        <v>46082</v>
      </c>
      <c r="M509" s="34"/>
      <c r="N509" s="34"/>
      <c r="O509" s="12"/>
      <c r="P509" s="24">
        <v>46082</v>
      </c>
      <c r="Q509" s="34"/>
      <c r="R509" s="34"/>
      <c r="S509" s="34"/>
      <c r="T509" s="34"/>
      <c r="U509" s="34"/>
      <c r="V509" s="120"/>
      <c r="W509" s="12"/>
    </row>
    <row r="510" spans="5:23" s="98" customFormat="1">
      <c r="E510" s="12"/>
      <c r="F510" s="24">
        <v>46113</v>
      </c>
      <c r="G510" s="34"/>
      <c r="H510" s="34"/>
      <c r="I510" s="34"/>
      <c r="J510" s="34"/>
      <c r="K510" s="12"/>
      <c r="L510" s="24">
        <v>46113</v>
      </c>
      <c r="M510" s="34"/>
      <c r="N510" s="34"/>
      <c r="O510" s="12"/>
      <c r="P510" s="24">
        <v>46113</v>
      </c>
      <c r="Q510" s="34"/>
      <c r="R510" s="34"/>
      <c r="S510" s="34"/>
      <c r="T510" s="34"/>
      <c r="U510" s="34"/>
      <c r="V510" s="120"/>
      <c r="W510" s="12"/>
    </row>
    <row r="511" spans="5:23" s="98" customFormat="1">
      <c r="E511" s="12"/>
      <c r="F511" s="24">
        <v>46143</v>
      </c>
      <c r="G511" s="34"/>
      <c r="H511" s="34"/>
      <c r="I511" s="34"/>
      <c r="J511" s="34"/>
      <c r="K511" s="12"/>
      <c r="L511" s="24">
        <v>46143</v>
      </c>
      <c r="M511" s="34"/>
      <c r="N511" s="34"/>
      <c r="O511" s="12"/>
      <c r="P511" s="24">
        <v>46143</v>
      </c>
      <c r="Q511" s="34"/>
      <c r="R511" s="34"/>
      <c r="S511" s="34"/>
      <c r="T511" s="34"/>
      <c r="U511" s="34"/>
      <c r="V511" s="120"/>
      <c r="W511" s="12"/>
    </row>
    <row r="512" spans="5:23" s="98" customFormat="1">
      <c r="E512" s="12"/>
      <c r="F512" s="24">
        <v>46174</v>
      </c>
      <c r="G512" s="34"/>
      <c r="H512" s="34"/>
      <c r="I512" s="34"/>
      <c r="J512" s="34"/>
      <c r="K512" s="12"/>
      <c r="L512" s="24">
        <v>46174</v>
      </c>
      <c r="M512" s="34"/>
      <c r="N512" s="34"/>
      <c r="O512" s="12"/>
      <c r="P512" s="24">
        <v>46174</v>
      </c>
      <c r="Q512" s="34"/>
      <c r="R512" s="34"/>
      <c r="S512" s="34"/>
      <c r="T512" s="34"/>
      <c r="U512" s="34"/>
      <c r="V512" s="120"/>
      <c r="W512" s="12"/>
    </row>
    <row r="513" spans="5:23" s="98" customFormat="1">
      <c r="E513" s="12"/>
      <c r="F513" s="24">
        <v>46204</v>
      </c>
      <c r="G513" s="34"/>
      <c r="H513" s="34"/>
      <c r="I513" s="34"/>
      <c r="J513" s="34"/>
      <c r="K513" s="12"/>
      <c r="L513" s="24">
        <v>46204</v>
      </c>
      <c r="M513" s="34"/>
      <c r="N513" s="34"/>
      <c r="O513" s="12"/>
      <c r="P513" s="24">
        <v>46204</v>
      </c>
      <c r="Q513" s="34"/>
      <c r="R513" s="34"/>
      <c r="S513" s="34"/>
      <c r="T513" s="34"/>
      <c r="U513" s="34"/>
      <c r="V513" s="120"/>
      <c r="W513" s="12"/>
    </row>
    <row r="514" spans="5:23" s="98" customFormat="1">
      <c r="E514" s="12"/>
      <c r="F514" s="24">
        <v>46235</v>
      </c>
      <c r="G514" s="34"/>
      <c r="H514" s="34"/>
      <c r="I514" s="34"/>
      <c r="J514" s="34"/>
      <c r="K514" s="12"/>
      <c r="L514" s="24">
        <v>46235</v>
      </c>
      <c r="M514" s="34"/>
      <c r="N514" s="34"/>
      <c r="O514" s="12"/>
      <c r="P514" s="24">
        <v>46235</v>
      </c>
      <c r="Q514" s="34"/>
      <c r="R514" s="34"/>
      <c r="S514" s="34"/>
      <c r="T514" s="34"/>
      <c r="U514" s="34"/>
      <c r="V514" s="120"/>
      <c r="W514" s="12"/>
    </row>
    <row r="515" spans="5:23" s="98" customFormat="1">
      <c r="E515" s="12"/>
      <c r="F515" s="24">
        <v>46266</v>
      </c>
      <c r="G515" s="34"/>
      <c r="H515" s="34"/>
      <c r="I515" s="34"/>
      <c r="J515" s="34"/>
      <c r="K515" s="12"/>
      <c r="L515" s="24">
        <v>46266</v>
      </c>
      <c r="M515" s="34"/>
      <c r="N515" s="34"/>
      <c r="O515" s="12"/>
      <c r="P515" s="24">
        <v>46266</v>
      </c>
      <c r="Q515" s="34"/>
      <c r="R515" s="34"/>
      <c r="S515" s="34"/>
      <c r="T515" s="34"/>
      <c r="U515" s="34"/>
      <c r="V515" s="120"/>
      <c r="W515" s="12"/>
    </row>
    <row r="516" spans="5:23" s="98" customFormat="1">
      <c r="E516" s="12"/>
      <c r="F516" s="24">
        <v>46296</v>
      </c>
      <c r="G516" s="34"/>
      <c r="H516" s="34"/>
      <c r="I516" s="34"/>
      <c r="J516" s="34"/>
      <c r="K516" s="12"/>
      <c r="L516" s="24">
        <v>46296</v>
      </c>
      <c r="M516" s="34"/>
      <c r="N516" s="34"/>
      <c r="O516" s="12"/>
      <c r="P516" s="24">
        <v>46296</v>
      </c>
      <c r="Q516" s="34"/>
      <c r="R516" s="34"/>
      <c r="S516" s="34"/>
      <c r="T516" s="34"/>
      <c r="U516" s="34"/>
      <c r="V516" s="120"/>
      <c r="W516" s="12"/>
    </row>
    <row r="517" spans="5:23" s="98" customFormat="1">
      <c r="E517" s="12"/>
      <c r="F517" s="24">
        <v>46327</v>
      </c>
      <c r="G517" s="34"/>
      <c r="H517" s="34"/>
      <c r="I517" s="34"/>
      <c r="J517" s="34"/>
      <c r="K517" s="12"/>
      <c r="L517" s="24">
        <v>46327</v>
      </c>
      <c r="M517" s="34"/>
      <c r="N517" s="34"/>
      <c r="O517" s="12"/>
      <c r="P517" s="24">
        <v>46327</v>
      </c>
      <c r="Q517" s="34"/>
      <c r="R517" s="34"/>
      <c r="S517" s="34"/>
      <c r="T517" s="34"/>
      <c r="U517" s="34"/>
      <c r="V517" s="120"/>
      <c r="W517" s="12"/>
    </row>
    <row r="518" spans="5:23" s="98" customFormat="1">
      <c r="E518" s="12"/>
      <c r="F518" s="24">
        <v>46357</v>
      </c>
      <c r="G518" s="34"/>
      <c r="H518" s="34"/>
      <c r="I518" s="34"/>
      <c r="J518" s="34"/>
      <c r="K518" s="12"/>
      <c r="L518" s="24">
        <v>46357</v>
      </c>
      <c r="M518" s="34"/>
      <c r="N518" s="34"/>
      <c r="O518" s="12"/>
      <c r="P518" s="24">
        <v>46357</v>
      </c>
      <c r="Q518" s="34"/>
      <c r="R518" s="34"/>
      <c r="S518" s="34"/>
      <c r="T518" s="34"/>
      <c r="U518" s="34"/>
      <c r="V518" s="120"/>
      <c r="W518" s="12"/>
    </row>
    <row r="519" spans="5:23" s="98" customFormat="1">
      <c r="E519" s="12"/>
      <c r="F519" s="24">
        <v>46388</v>
      </c>
      <c r="G519" s="34"/>
      <c r="H519" s="34"/>
      <c r="I519" s="34"/>
      <c r="J519" s="34"/>
      <c r="K519" s="12"/>
      <c r="L519" s="24">
        <v>46388</v>
      </c>
      <c r="M519" s="34"/>
      <c r="N519" s="34"/>
      <c r="O519" s="12"/>
      <c r="P519" s="24">
        <v>46388</v>
      </c>
      <c r="Q519" s="34"/>
      <c r="R519" s="34"/>
      <c r="S519" s="34"/>
      <c r="T519" s="34"/>
      <c r="U519" s="34"/>
      <c r="V519" s="120"/>
      <c r="W519" s="12"/>
    </row>
    <row r="520" spans="5:23" s="98" customFormat="1">
      <c r="E520" s="12"/>
      <c r="F520" s="24">
        <v>46419</v>
      </c>
      <c r="G520" s="34"/>
      <c r="H520" s="34"/>
      <c r="I520" s="34"/>
      <c r="J520" s="34"/>
      <c r="K520" s="12"/>
      <c r="L520" s="24">
        <v>46419</v>
      </c>
      <c r="M520" s="34"/>
      <c r="N520" s="34"/>
      <c r="O520" s="12"/>
      <c r="P520" s="24">
        <v>46419</v>
      </c>
      <c r="Q520" s="34"/>
      <c r="R520" s="34"/>
      <c r="S520" s="34"/>
      <c r="T520" s="34"/>
      <c r="U520" s="34"/>
      <c r="V520" s="120"/>
      <c r="W520" s="12"/>
    </row>
    <row r="521" spans="5:23" s="98" customFormat="1">
      <c r="E521" s="12"/>
      <c r="F521" s="24">
        <v>46447</v>
      </c>
      <c r="G521" s="34"/>
      <c r="H521" s="34"/>
      <c r="I521" s="34"/>
      <c r="J521" s="34"/>
      <c r="K521" s="12"/>
      <c r="L521" s="24">
        <v>46447</v>
      </c>
      <c r="M521" s="34"/>
      <c r="N521" s="34"/>
      <c r="O521" s="12"/>
      <c r="P521" s="24">
        <v>46447</v>
      </c>
      <c r="Q521" s="34"/>
      <c r="R521" s="34"/>
      <c r="S521" s="34"/>
      <c r="T521" s="34"/>
      <c r="U521" s="34"/>
      <c r="V521" s="120"/>
      <c r="W521" s="12"/>
    </row>
    <row r="522" spans="5:23" s="98" customFormat="1">
      <c r="E522" s="12"/>
      <c r="F522" s="24">
        <v>46478</v>
      </c>
      <c r="G522" s="34"/>
      <c r="H522" s="34"/>
      <c r="I522" s="34"/>
      <c r="J522" s="34"/>
      <c r="K522" s="12"/>
      <c r="L522" s="24">
        <v>46478</v>
      </c>
      <c r="M522" s="34"/>
      <c r="N522" s="34"/>
      <c r="O522" s="12"/>
      <c r="P522" s="24">
        <v>46478</v>
      </c>
      <c r="Q522" s="34"/>
      <c r="R522" s="34"/>
      <c r="S522" s="34"/>
      <c r="T522" s="34"/>
      <c r="U522" s="34"/>
      <c r="V522" s="120"/>
      <c r="W522" s="12"/>
    </row>
    <row r="523" spans="5:23" s="98" customFormat="1">
      <c r="E523" s="12"/>
      <c r="F523" s="24">
        <v>46508</v>
      </c>
      <c r="G523" s="34"/>
      <c r="H523" s="34"/>
      <c r="I523" s="34"/>
      <c r="J523" s="34"/>
      <c r="K523" s="12"/>
      <c r="L523" s="24">
        <v>46508</v>
      </c>
      <c r="M523" s="34"/>
      <c r="N523" s="34"/>
      <c r="O523" s="12"/>
      <c r="P523" s="24">
        <v>46508</v>
      </c>
      <c r="Q523" s="34"/>
      <c r="R523" s="34"/>
      <c r="S523" s="34"/>
      <c r="T523" s="34"/>
      <c r="U523" s="34"/>
      <c r="V523" s="120"/>
      <c r="W523" s="12"/>
    </row>
    <row r="524" spans="5:23" s="98" customFormat="1">
      <c r="E524" s="12"/>
      <c r="F524" s="24">
        <v>46539</v>
      </c>
      <c r="G524" s="34"/>
      <c r="H524" s="34"/>
      <c r="I524" s="34"/>
      <c r="J524" s="34"/>
      <c r="K524" s="12"/>
      <c r="L524" s="24">
        <v>46539</v>
      </c>
      <c r="M524" s="34"/>
      <c r="N524" s="34"/>
      <c r="O524" s="12"/>
      <c r="P524" s="24">
        <v>46539</v>
      </c>
      <c r="Q524" s="34"/>
      <c r="R524" s="34"/>
      <c r="S524" s="34"/>
      <c r="T524" s="34"/>
      <c r="U524" s="34"/>
      <c r="V524" s="120"/>
      <c r="W524" s="12"/>
    </row>
    <row r="525" spans="5:23" s="98" customFormat="1">
      <c r="E525" s="12"/>
      <c r="F525" s="24">
        <v>46569</v>
      </c>
      <c r="G525" s="34"/>
      <c r="H525" s="34"/>
      <c r="I525" s="34"/>
      <c r="J525" s="34"/>
      <c r="K525" s="12"/>
      <c r="L525" s="24">
        <v>46569</v>
      </c>
      <c r="M525" s="34"/>
      <c r="N525" s="34"/>
      <c r="O525" s="12"/>
      <c r="P525" s="24">
        <v>46569</v>
      </c>
      <c r="Q525" s="34"/>
      <c r="R525" s="34"/>
      <c r="S525" s="34"/>
      <c r="T525" s="34"/>
      <c r="U525" s="34"/>
      <c r="V525" s="120"/>
      <c r="W525" s="12"/>
    </row>
    <row r="526" spans="5:23" s="98" customFormat="1">
      <c r="E526" s="12"/>
      <c r="F526" s="24">
        <v>46600</v>
      </c>
      <c r="G526" s="34"/>
      <c r="H526" s="34"/>
      <c r="I526" s="34"/>
      <c r="J526" s="34"/>
      <c r="K526" s="12"/>
      <c r="L526" s="24">
        <v>46600</v>
      </c>
      <c r="M526" s="34"/>
      <c r="N526" s="34"/>
      <c r="O526" s="12"/>
      <c r="P526" s="24">
        <v>46600</v>
      </c>
      <c r="Q526" s="34"/>
      <c r="R526" s="34"/>
      <c r="S526" s="34"/>
      <c r="T526" s="34"/>
      <c r="U526" s="34"/>
      <c r="V526" s="120"/>
      <c r="W526" s="12"/>
    </row>
    <row r="527" spans="5:23" s="98" customFormat="1">
      <c r="E527" s="12"/>
      <c r="F527" s="24">
        <v>46631</v>
      </c>
      <c r="G527" s="34"/>
      <c r="H527" s="34"/>
      <c r="I527" s="34"/>
      <c r="J527" s="34"/>
      <c r="K527" s="12"/>
      <c r="L527" s="24">
        <v>46631</v>
      </c>
      <c r="M527" s="34"/>
      <c r="N527" s="34"/>
      <c r="O527" s="12"/>
      <c r="P527" s="24">
        <v>46631</v>
      </c>
      <c r="Q527" s="34"/>
      <c r="R527" s="34"/>
      <c r="S527" s="34"/>
      <c r="T527" s="34"/>
      <c r="U527" s="34"/>
      <c r="V527" s="120"/>
      <c r="W527" s="12"/>
    </row>
    <row r="528" spans="5:23" s="98" customFormat="1">
      <c r="E528" s="12"/>
      <c r="F528" s="24">
        <v>46661</v>
      </c>
      <c r="G528" s="34"/>
      <c r="H528" s="34"/>
      <c r="I528" s="34"/>
      <c r="J528" s="34"/>
      <c r="K528" s="12"/>
      <c r="L528" s="24">
        <v>46661</v>
      </c>
      <c r="M528" s="34"/>
      <c r="N528" s="34"/>
      <c r="O528" s="12"/>
      <c r="P528" s="24">
        <v>46661</v>
      </c>
      <c r="Q528" s="34"/>
      <c r="R528" s="34"/>
      <c r="S528" s="34"/>
      <c r="T528" s="34"/>
      <c r="U528" s="34"/>
      <c r="V528" s="120"/>
      <c r="W528" s="12"/>
    </row>
    <row r="529" spans="5:23" s="98" customFormat="1">
      <c r="E529" s="12"/>
      <c r="F529" s="24">
        <v>46692</v>
      </c>
      <c r="G529" s="34"/>
      <c r="H529" s="34"/>
      <c r="I529" s="34"/>
      <c r="J529" s="34"/>
      <c r="K529" s="12"/>
      <c r="L529" s="24">
        <v>46692</v>
      </c>
      <c r="M529" s="34"/>
      <c r="N529" s="34"/>
      <c r="O529" s="12"/>
      <c r="P529" s="24">
        <v>46692</v>
      </c>
      <c r="Q529" s="34"/>
      <c r="R529" s="34"/>
      <c r="S529" s="34"/>
      <c r="T529" s="34"/>
      <c r="U529" s="34"/>
      <c r="V529" s="120"/>
      <c r="W529" s="12"/>
    </row>
    <row r="530" spans="5:23" s="98" customFormat="1">
      <c r="E530" s="12"/>
      <c r="F530" s="24">
        <v>46722</v>
      </c>
      <c r="G530" s="34"/>
      <c r="H530" s="34"/>
      <c r="I530" s="34"/>
      <c r="J530" s="34"/>
      <c r="K530" s="12"/>
      <c r="L530" s="24">
        <v>46722</v>
      </c>
      <c r="M530" s="34"/>
      <c r="N530" s="34"/>
      <c r="O530" s="12"/>
      <c r="P530" s="24">
        <v>46722</v>
      </c>
      <c r="Q530" s="34"/>
      <c r="R530" s="34"/>
      <c r="S530" s="34"/>
      <c r="T530" s="34"/>
      <c r="U530" s="34"/>
      <c r="V530" s="120"/>
      <c r="W530" s="12"/>
    </row>
    <row r="531" spans="5:23" s="98" customFormat="1">
      <c r="E531" s="12"/>
      <c r="F531" s="24">
        <v>46753</v>
      </c>
      <c r="G531" s="34"/>
      <c r="H531" s="34"/>
      <c r="I531" s="34"/>
      <c r="J531" s="34"/>
      <c r="K531" s="12"/>
      <c r="L531" s="24">
        <v>46753</v>
      </c>
      <c r="M531" s="34"/>
      <c r="N531" s="34"/>
      <c r="O531" s="12"/>
      <c r="P531" s="24">
        <v>46753</v>
      </c>
      <c r="Q531" s="34"/>
      <c r="R531" s="34"/>
      <c r="S531" s="34"/>
      <c r="T531" s="34"/>
      <c r="U531" s="34"/>
      <c r="V531" s="120"/>
      <c r="W531" s="12"/>
    </row>
    <row r="532" spans="5:23" s="98" customFormat="1">
      <c r="E532" s="12"/>
      <c r="F532" s="24">
        <v>46784</v>
      </c>
      <c r="G532" s="34"/>
      <c r="H532" s="34"/>
      <c r="I532" s="34"/>
      <c r="J532" s="34"/>
      <c r="K532" s="12"/>
      <c r="L532" s="24">
        <v>46784</v>
      </c>
      <c r="M532" s="34"/>
      <c r="N532" s="34"/>
      <c r="O532" s="12"/>
      <c r="P532" s="24">
        <v>46784</v>
      </c>
      <c r="Q532" s="34"/>
      <c r="R532" s="34"/>
      <c r="S532" s="34"/>
      <c r="T532" s="34"/>
      <c r="U532" s="34"/>
      <c r="V532" s="120"/>
      <c r="W532" s="12"/>
    </row>
    <row r="533" spans="5:23" s="98" customFormat="1">
      <c r="E533" s="12"/>
      <c r="F533" s="24">
        <v>46813</v>
      </c>
      <c r="G533" s="34"/>
      <c r="H533" s="34"/>
      <c r="I533" s="34"/>
      <c r="J533" s="34"/>
      <c r="K533" s="12"/>
      <c r="L533" s="24">
        <v>46813</v>
      </c>
      <c r="M533" s="34"/>
      <c r="N533" s="34"/>
      <c r="O533" s="12"/>
      <c r="P533" s="24">
        <v>46813</v>
      </c>
      <c r="Q533" s="34"/>
      <c r="R533" s="34"/>
      <c r="S533" s="34"/>
      <c r="T533" s="34"/>
      <c r="U533" s="34"/>
      <c r="V533" s="120"/>
      <c r="W533" s="12"/>
    </row>
    <row r="534" spans="5:23" s="98" customFormat="1">
      <c r="E534" s="12"/>
      <c r="F534" s="24">
        <v>46844</v>
      </c>
      <c r="G534" s="34"/>
      <c r="H534" s="34"/>
      <c r="I534" s="34"/>
      <c r="J534" s="34"/>
      <c r="K534" s="12"/>
      <c r="L534" s="24">
        <v>46844</v>
      </c>
      <c r="M534" s="34"/>
      <c r="N534" s="34"/>
      <c r="O534" s="12"/>
      <c r="P534" s="24">
        <v>46844</v>
      </c>
      <c r="Q534" s="34"/>
      <c r="R534" s="34"/>
      <c r="S534" s="34"/>
      <c r="T534" s="34"/>
      <c r="U534" s="34"/>
      <c r="V534" s="120"/>
      <c r="W534" s="12"/>
    </row>
    <row r="535" spans="5:23" s="98" customFormat="1">
      <c r="E535" s="12"/>
      <c r="F535" s="24">
        <v>46874</v>
      </c>
      <c r="G535" s="34"/>
      <c r="H535" s="34"/>
      <c r="I535" s="34"/>
      <c r="J535" s="34"/>
      <c r="K535" s="12"/>
      <c r="L535" s="24">
        <v>46874</v>
      </c>
      <c r="M535" s="34"/>
      <c r="N535" s="34"/>
      <c r="O535" s="12"/>
      <c r="P535" s="24">
        <v>46874</v>
      </c>
      <c r="Q535" s="34"/>
      <c r="R535" s="34"/>
      <c r="S535" s="34"/>
      <c r="T535" s="34"/>
      <c r="U535" s="34"/>
      <c r="V535" s="120"/>
      <c r="W535" s="12"/>
    </row>
    <row r="536" spans="5:23" s="98" customFormat="1">
      <c r="E536" s="12"/>
      <c r="F536" s="24">
        <v>46905</v>
      </c>
      <c r="G536" s="34"/>
      <c r="H536" s="34"/>
      <c r="I536" s="34"/>
      <c r="J536" s="34"/>
      <c r="K536" s="12"/>
      <c r="L536" s="24">
        <v>46905</v>
      </c>
      <c r="M536" s="34"/>
      <c r="N536" s="34"/>
      <c r="O536" s="12"/>
      <c r="P536" s="24">
        <v>46905</v>
      </c>
      <c r="Q536" s="34"/>
      <c r="R536" s="34"/>
      <c r="S536" s="34"/>
      <c r="T536" s="34"/>
      <c r="U536" s="34"/>
      <c r="V536" s="120"/>
      <c r="W536" s="12"/>
    </row>
    <row r="537" spans="5:23" s="98" customFormat="1">
      <c r="E537" s="12"/>
      <c r="F537" s="24">
        <v>46935</v>
      </c>
      <c r="G537" s="34"/>
      <c r="H537" s="34"/>
      <c r="I537" s="34"/>
      <c r="J537" s="34"/>
      <c r="K537" s="12"/>
      <c r="L537" s="24">
        <v>46935</v>
      </c>
      <c r="M537" s="34"/>
      <c r="N537" s="34"/>
      <c r="O537" s="12"/>
      <c r="P537" s="24">
        <v>46935</v>
      </c>
      <c r="Q537" s="34"/>
      <c r="R537" s="34"/>
      <c r="S537" s="34"/>
      <c r="T537" s="34"/>
      <c r="U537" s="34"/>
      <c r="V537" s="120"/>
      <c r="W537" s="12"/>
    </row>
    <row r="538" spans="5:23" s="98" customFormat="1">
      <c r="E538" s="12"/>
      <c r="F538" s="24">
        <v>46966</v>
      </c>
      <c r="G538" s="34"/>
      <c r="H538" s="34"/>
      <c r="I538" s="34"/>
      <c r="J538" s="34"/>
      <c r="K538" s="12"/>
      <c r="L538" s="24">
        <v>46966</v>
      </c>
      <c r="M538" s="34"/>
      <c r="N538" s="34"/>
      <c r="O538" s="12"/>
      <c r="P538" s="24">
        <v>46966</v>
      </c>
      <c r="Q538" s="34"/>
      <c r="R538" s="34"/>
      <c r="S538" s="34"/>
      <c r="T538" s="34"/>
      <c r="U538" s="34"/>
      <c r="V538" s="120"/>
      <c r="W538" s="12"/>
    </row>
    <row r="539" spans="5:23" s="98" customFormat="1">
      <c r="E539" s="12"/>
      <c r="F539" s="24">
        <v>46997</v>
      </c>
      <c r="G539" s="34"/>
      <c r="H539" s="34"/>
      <c r="I539" s="34"/>
      <c r="J539" s="34"/>
      <c r="K539" s="12"/>
      <c r="L539" s="24">
        <v>46997</v>
      </c>
      <c r="M539" s="34"/>
      <c r="N539" s="34"/>
      <c r="O539" s="12"/>
      <c r="P539" s="24">
        <v>46997</v>
      </c>
      <c r="Q539" s="34"/>
      <c r="R539" s="34"/>
      <c r="S539" s="34"/>
      <c r="T539" s="34"/>
      <c r="U539" s="34"/>
      <c r="V539" s="120"/>
      <c r="W539" s="12"/>
    </row>
    <row r="540" spans="5:23" s="98" customFormat="1">
      <c r="E540" s="12"/>
      <c r="F540" s="24">
        <v>47027</v>
      </c>
      <c r="G540" s="34"/>
      <c r="H540" s="34"/>
      <c r="I540" s="34"/>
      <c r="J540" s="34"/>
      <c r="K540" s="12"/>
      <c r="L540" s="24">
        <v>47027</v>
      </c>
      <c r="M540" s="34"/>
      <c r="N540" s="34"/>
      <c r="O540" s="12"/>
      <c r="P540" s="24">
        <v>47027</v>
      </c>
      <c r="Q540" s="34"/>
      <c r="R540" s="34"/>
      <c r="S540" s="34"/>
      <c r="T540" s="34"/>
      <c r="U540" s="34"/>
      <c r="V540" s="120"/>
      <c r="W540" s="12"/>
    </row>
    <row r="541" spans="5:23" s="98" customFormat="1">
      <c r="E541" s="12"/>
      <c r="F541" s="24">
        <v>47058</v>
      </c>
      <c r="G541" s="34"/>
      <c r="H541" s="34"/>
      <c r="I541" s="34"/>
      <c r="J541" s="34"/>
      <c r="K541" s="12"/>
      <c r="L541" s="24">
        <v>47058</v>
      </c>
      <c r="M541" s="34"/>
      <c r="N541" s="34"/>
      <c r="O541" s="12"/>
      <c r="P541" s="24">
        <v>47058</v>
      </c>
      <c r="Q541" s="34"/>
      <c r="R541" s="34"/>
      <c r="S541" s="34"/>
      <c r="T541" s="34"/>
      <c r="U541" s="34"/>
      <c r="V541" s="120"/>
      <c r="W541" s="12"/>
    </row>
    <row r="542" spans="5:23" s="98" customFormat="1">
      <c r="E542" s="12"/>
      <c r="F542" s="24">
        <v>47088</v>
      </c>
      <c r="G542" s="34"/>
      <c r="H542" s="34"/>
      <c r="I542" s="34"/>
      <c r="J542" s="34"/>
      <c r="K542" s="12"/>
      <c r="L542" s="24">
        <v>47088</v>
      </c>
      <c r="M542" s="34"/>
      <c r="N542" s="34"/>
      <c r="O542" s="12"/>
      <c r="P542" s="24">
        <v>47088</v>
      </c>
      <c r="Q542" s="34"/>
      <c r="R542" s="34"/>
      <c r="S542" s="34"/>
      <c r="T542" s="34"/>
      <c r="U542" s="34"/>
      <c r="V542" s="120"/>
      <c r="W542" s="12"/>
    </row>
    <row r="543" spans="5:23" s="98" customFormat="1">
      <c r="E543" s="12"/>
      <c r="F543" s="24">
        <v>47119</v>
      </c>
      <c r="G543" s="34"/>
      <c r="H543" s="34"/>
      <c r="I543" s="34"/>
      <c r="J543" s="34"/>
      <c r="K543" s="12"/>
      <c r="L543" s="24">
        <v>47119</v>
      </c>
      <c r="M543" s="34"/>
      <c r="N543" s="34"/>
      <c r="O543" s="12"/>
      <c r="P543" s="24">
        <v>47119</v>
      </c>
      <c r="Q543" s="34"/>
      <c r="R543" s="34"/>
      <c r="S543" s="34"/>
      <c r="T543" s="34"/>
      <c r="U543" s="34"/>
      <c r="V543" s="120"/>
      <c r="W543" s="12"/>
    </row>
    <row r="544" spans="5:23" s="98" customFormat="1">
      <c r="E544" s="12"/>
      <c r="F544" s="24">
        <v>47150</v>
      </c>
      <c r="G544" s="34"/>
      <c r="H544" s="34"/>
      <c r="I544" s="34"/>
      <c r="J544" s="34"/>
      <c r="K544" s="12"/>
      <c r="L544" s="24">
        <v>47150</v>
      </c>
      <c r="M544" s="34"/>
      <c r="N544" s="34"/>
      <c r="O544" s="12"/>
      <c r="P544" s="24">
        <v>47150</v>
      </c>
      <c r="Q544" s="34"/>
      <c r="R544" s="34"/>
      <c r="S544" s="34"/>
      <c r="T544" s="34"/>
      <c r="U544" s="34"/>
      <c r="V544" s="120"/>
      <c r="W544" s="12"/>
    </row>
    <row r="545" spans="5:23" s="98" customFormat="1">
      <c r="E545" s="12"/>
      <c r="F545" s="24">
        <v>47178</v>
      </c>
      <c r="G545" s="34"/>
      <c r="H545" s="34"/>
      <c r="I545" s="34"/>
      <c r="J545" s="34"/>
      <c r="K545" s="12"/>
      <c r="L545" s="24">
        <v>47178</v>
      </c>
      <c r="M545" s="34"/>
      <c r="N545" s="34"/>
      <c r="O545" s="12"/>
      <c r="P545" s="24">
        <v>47178</v>
      </c>
      <c r="Q545" s="34"/>
      <c r="R545" s="34"/>
      <c r="S545" s="34"/>
      <c r="T545" s="34"/>
      <c r="U545" s="34"/>
      <c r="V545" s="120"/>
      <c r="W545" s="12"/>
    </row>
    <row r="546" spans="5:23" s="98" customFormat="1">
      <c r="E546" s="12"/>
      <c r="F546" s="24">
        <v>47209</v>
      </c>
      <c r="G546" s="34"/>
      <c r="H546" s="34"/>
      <c r="I546" s="34"/>
      <c r="J546" s="34"/>
      <c r="K546" s="12"/>
      <c r="L546" s="24">
        <v>47209</v>
      </c>
      <c r="M546" s="34"/>
      <c r="N546" s="34"/>
      <c r="O546" s="12"/>
      <c r="P546" s="24">
        <v>47209</v>
      </c>
      <c r="Q546" s="34"/>
      <c r="R546" s="34"/>
      <c r="S546" s="34"/>
      <c r="T546" s="34"/>
      <c r="U546" s="34"/>
      <c r="V546" s="120"/>
      <c r="W546" s="12"/>
    </row>
    <row r="547" spans="5:23" s="98" customFormat="1">
      <c r="E547" s="12"/>
      <c r="F547" s="24">
        <v>47239</v>
      </c>
      <c r="G547" s="34"/>
      <c r="H547" s="34"/>
      <c r="I547" s="34"/>
      <c r="J547" s="34"/>
      <c r="K547" s="12"/>
      <c r="L547" s="24">
        <v>47239</v>
      </c>
      <c r="M547" s="34"/>
      <c r="N547" s="34"/>
      <c r="O547" s="12"/>
      <c r="P547" s="24">
        <v>47239</v>
      </c>
      <c r="Q547" s="34"/>
      <c r="R547" s="34"/>
      <c r="S547" s="34"/>
      <c r="T547" s="34"/>
      <c r="U547" s="34"/>
      <c r="V547" s="120"/>
      <c r="W547" s="12"/>
    </row>
    <row r="548" spans="5:23" s="98" customFormat="1">
      <c r="E548" s="12"/>
      <c r="F548" s="24">
        <v>47270</v>
      </c>
      <c r="G548" s="34"/>
      <c r="H548" s="34"/>
      <c r="I548" s="34"/>
      <c r="J548" s="34"/>
      <c r="K548" s="12"/>
      <c r="L548" s="24">
        <v>47270</v>
      </c>
      <c r="M548" s="34"/>
      <c r="N548" s="34"/>
      <c r="O548" s="12"/>
      <c r="P548" s="24">
        <v>47270</v>
      </c>
      <c r="Q548" s="34"/>
      <c r="R548" s="34"/>
      <c r="S548" s="34"/>
      <c r="T548" s="34"/>
      <c r="U548" s="34"/>
      <c r="V548" s="120"/>
      <c r="W548" s="12"/>
    </row>
    <row r="549" spans="5:23" s="98" customFormat="1">
      <c r="E549" s="12"/>
      <c r="F549" s="24">
        <v>47300</v>
      </c>
      <c r="G549" s="34"/>
      <c r="H549" s="34"/>
      <c r="I549" s="34"/>
      <c r="J549" s="34"/>
      <c r="K549" s="12"/>
      <c r="L549" s="24">
        <v>47300</v>
      </c>
      <c r="M549" s="34"/>
      <c r="N549" s="34"/>
      <c r="O549" s="12"/>
      <c r="P549" s="24">
        <v>47300</v>
      </c>
      <c r="Q549" s="34"/>
      <c r="R549" s="34"/>
      <c r="S549" s="34"/>
      <c r="T549" s="34"/>
      <c r="U549" s="34"/>
      <c r="V549" s="120"/>
      <c r="W549" s="12"/>
    </row>
    <row r="550" spans="5:23" s="98" customFormat="1">
      <c r="E550" s="12"/>
      <c r="F550" s="24">
        <v>47331</v>
      </c>
      <c r="G550" s="34"/>
      <c r="H550" s="34"/>
      <c r="I550" s="34"/>
      <c r="J550" s="34"/>
      <c r="K550" s="12"/>
      <c r="L550" s="24">
        <v>47331</v>
      </c>
      <c r="M550" s="34"/>
      <c r="N550" s="34"/>
      <c r="O550" s="12"/>
      <c r="P550" s="24">
        <v>47331</v>
      </c>
      <c r="Q550" s="34"/>
      <c r="R550" s="34"/>
      <c r="S550" s="34"/>
      <c r="T550" s="34"/>
      <c r="U550" s="34"/>
      <c r="V550" s="120"/>
      <c r="W550" s="12"/>
    </row>
    <row r="551" spans="5:23" s="98" customFormat="1">
      <c r="E551" s="12"/>
      <c r="F551" s="24">
        <v>47362</v>
      </c>
      <c r="G551" s="34"/>
      <c r="H551" s="34"/>
      <c r="I551" s="34"/>
      <c r="J551" s="34"/>
      <c r="K551" s="12"/>
      <c r="L551" s="24">
        <v>47362</v>
      </c>
      <c r="M551" s="34"/>
      <c r="N551" s="34"/>
      <c r="O551" s="12"/>
      <c r="P551" s="24">
        <v>47362</v>
      </c>
      <c r="Q551" s="34"/>
      <c r="R551" s="34"/>
      <c r="S551" s="34"/>
      <c r="T551" s="34"/>
      <c r="U551" s="34"/>
      <c r="V551" s="120"/>
      <c r="W551" s="12"/>
    </row>
    <row r="552" spans="5:23" s="98" customFormat="1">
      <c r="E552" s="12"/>
      <c r="F552" s="24">
        <v>47392</v>
      </c>
      <c r="G552" s="34"/>
      <c r="H552" s="34"/>
      <c r="I552" s="34"/>
      <c r="J552" s="34"/>
      <c r="K552" s="12"/>
      <c r="L552" s="24">
        <v>47392</v>
      </c>
      <c r="M552" s="34"/>
      <c r="N552" s="34"/>
      <c r="O552" s="12"/>
      <c r="P552" s="24">
        <v>47392</v>
      </c>
      <c r="Q552" s="34"/>
      <c r="R552" s="34"/>
      <c r="S552" s="34"/>
      <c r="T552" s="34"/>
      <c r="U552" s="34"/>
      <c r="V552" s="120"/>
      <c r="W552" s="12"/>
    </row>
    <row r="553" spans="5:23" s="98" customFormat="1">
      <c r="E553" s="12"/>
      <c r="F553" s="24">
        <v>47423</v>
      </c>
      <c r="G553" s="34"/>
      <c r="H553" s="34"/>
      <c r="I553" s="34"/>
      <c r="J553" s="34"/>
      <c r="K553" s="12"/>
      <c r="L553" s="24">
        <v>47423</v>
      </c>
      <c r="M553" s="34"/>
      <c r="N553" s="34"/>
      <c r="O553" s="12"/>
      <c r="P553" s="24">
        <v>47423</v>
      </c>
      <c r="Q553" s="34"/>
      <c r="R553" s="34"/>
      <c r="S553" s="34"/>
      <c r="T553" s="34"/>
      <c r="U553" s="34"/>
      <c r="V553" s="120"/>
      <c r="W553" s="12"/>
    </row>
    <row r="554" spans="5:23" s="98" customFormat="1">
      <c r="E554" s="12"/>
      <c r="F554" s="24">
        <v>47453</v>
      </c>
      <c r="G554" s="34"/>
      <c r="H554" s="34"/>
      <c r="I554" s="34"/>
      <c r="J554" s="34"/>
      <c r="K554" s="12"/>
      <c r="L554" s="24">
        <v>47453</v>
      </c>
      <c r="M554" s="34"/>
      <c r="N554" s="34"/>
      <c r="O554" s="12"/>
      <c r="P554" s="24">
        <v>47453</v>
      </c>
      <c r="Q554" s="34"/>
      <c r="R554" s="34"/>
      <c r="S554" s="34"/>
      <c r="T554" s="34"/>
      <c r="U554" s="34"/>
      <c r="V554" s="120"/>
      <c r="W554" s="12"/>
    </row>
    <row r="555" spans="5:23" s="98" customFormat="1">
      <c r="E555" s="12"/>
      <c r="F555" s="24">
        <v>47484</v>
      </c>
      <c r="G555" s="34"/>
      <c r="H555" s="34"/>
      <c r="I555" s="34"/>
      <c r="J555" s="34"/>
      <c r="K555" s="12"/>
      <c r="L555" s="24">
        <v>47484</v>
      </c>
      <c r="M555" s="34"/>
      <c r="N555" s="34"/>
      <c r="O555" s="12"/>
      <c r="P555" s="24">
        <v>47484</v>
      </c>
      <c r="Q555" s="34"/>
      <c r="R555" s="34"/>
      <c r="S555" s="34"/>
      <c r="T555" s="34"/>
      <c r="U555" s="34"/>
      <c r="V555" s="120"/>
      <c r="W555" s="12"/>
    </row>
    <row r="556" spans="5:23" s="98" customFormat="1">
      <c r="E556" s="12"/>
      <c r="F556" s="24">
        <v>47515</v>
      </c>
      <c r="G556" s="34"/>
      <c r="H556" s="34"/>
      <c r="I556" s="34"/>
      <c r="J556" s="34"/>
      <c r="K556" s="12"/>
      <c r="L556" s="24">
        <v>47515</v>
      </c>
      <c r="M556" s="34"/>
      <c r="N556" s="34"/>
      <c r="O556" s="12"/>
      <c r="P556" s="24">
        <v>47515</v>
      </c>
      <c r="Q556" s="34"/>
      <c r="R556" s="34"/>
      <c r="S556" s="34"/>
      <c r="T556" s="34"/>
      <c r="U556" s="34"/>
      <c r="V556" s="120"/>
      <c r="W556" s="12"/>
    </row>
    <row r="557" spans="5:23" s="98" customFormat="1">
      <c r="E557" s="12"/>
      <c r="F557" s="24">
        <v>47543</v>
      </c>
      <c r="G557" s="34"/>
      <c r="H557" s="34"/>
      <c r="I557" s="34"/>
      <c r="J557" s="34"/>
      <c r="K557" s="12"/>
      <c r="L557" s="24">
        <v>47543</v>
      </c>
      <c r="M557" s="34"/>
      <c r="N557" s="34"/>
      <c r="O557" s="12"/>
      <c r="P557" s="24">
        <v>47543</v>
      </c>
      <c r="Q557" s="34"/>
      <c r="R557" s="34"/>
      <c r="S557" s="34"/>
      <c r="T557" s="34"/>
      <c r="U557" s="34"/>
      <c r="V557" s="120"/>
      <c r="W557" s="12"/>
    </row>
    <row r="558" spans="5:23" s="98" customFormat="1">
      <c r="E558" s="12"/>
      <c r="F558" s="24">
        <v>47574</v>
      </c>
      <c r="G558" s="34"/>
      <c r="H558" s="34"/>
      <c r="I558" s="34"/>
      <c r="J558" s="34"/>
      <c r="K558" s="12"/>
      <c r="L558" s="24">
        <v>47574</v>
      </c>
      <c r="M558" s="34"/>
      <c r="N558" s="34"/>
      <c r="O558" s="12"/>
      <c r="P558" s="24">
        <v>47574</v>
      </c>
      <c r="Q558" s="34"/>
      <c r="R558" s="34"/>
      <c r="S558" s="34"/>
      <c r="T558" s="34"/>
      <c r="U558" s="34"/>
      <c r="V558" s="120"/>
      <c r="W558" s="12"/>
    </row>
    <row r="559" spans="5:23" s="98" customFormat="1">
      <c r="E559" s="12"/>
      <c r="F559" s="24">
        <v>47604</v>
      </c>
      <c r="G559" s="34"/>
      <c r="H559" s="34"/>
      <c r="I559" s="34"/>
      <c r="J559" s="34"/>
      <c r="K559" s="12"/>
      <c r="L559" s="24">
        <v>47604</v>
      </c>
      <c r="M559" s="34"/>
      <c r="N559" s="34"/>
      <c r="O559" s="12"/>
      <c r="P559" s="24">
        <v>47604</v>
      </c>
      <c r="Q559" s="34"/>
      <c r="R559" s="34"/>
      <c r="S559" s="34"/>
      <c r="T559" s="34"/>
      <c r="U559" s="34"/>
      <c r="V559" s="120"/>
      <c r="W559" s="12"/>
    </row>
    <row r="560" spans="5:23" s="98" customFormat="1">
      <c r="E560" s="12"/>
      <c r="F560" s="24">
        <v>47635</v>
      </c>
      <c r="G560" s="34"/>
      <c r="H560" s="34"/>
      <c r="I560" s="34"/>
      <c r="J560" s="34"/>
      <c r="K560" s="12"/>
      <c r="L560" s="24">
        <v>47635</v>
      </c>
      <c r="M560" s="34"/>
      <c r="N560" s="34"/>
      <c r="O560" s="12"/>
      <c r="P560" s="24">
        <v>47635</v>
      </c>
      <c r="Q560" s="34"/>
      <c r="R560" s="34"/>
      <c r="S560" s="34"/>
      <c r="T560" s="34"/>
      <c r="U560" s="34"/>
      <c r="V560" s="120"/>
      <c r="W560" s="12"/>
    </row>
    <row r="561" spans="5:23" s="98" customFormat="1">
      <c r="E561" s="12"/>
      <c r="F561" s="24">
        <v>47665</v>
      </c>
      <c r="G561" s="34"/>
      <c r="H561" s="34"/>
      <c r="I561" s="34"/>
      <c r="J561" s="34"/>
      <c r="K561" s="12"/>
      <c r="L561" s="24">
        <v>47665</v>
      </c>
      <c r="M561" s="34"/>
      <c r="N561" s="34"/>
      <c r="O561" s="12"/>
      <c r="P561" s="24">
        <v>47665</v>
      </c>
      <c r="Q561" s="34"/>
      <c r="R561" s="34"/>
      <c r="S561" s="34"/>
      <c r="T561" s="34"/>
      <c r="U561" s="34"/>
      <c r="V561" s="120"/>
      <c r="W561" s="12"/>
    </row>
    <row r="562" spans="5:23" s="98" customFormat="1">
      <c r="E562" s="12"/>
      <c r="F562" s="24">
        <v>47696</v>
      </c>
      <c r="G562" s="34"/>
      <c r="H562" s="34"/>
      <c r="I562" s="34"/>
      <c r="J562" s="34"/>
      <c r="K562" s="12"/>
      <c r="L562" s="24">
        <v>47696</v>
      </c>
      <c r="M562" s="34"/>
      <c r="N562" s="34"/>
      <c r="O562" s="12"/>
      <c r="P562" s="24">
        <v>47696</v>
      </c>
      <c r="Q562" s="34"/>
      <c r="R562" s="34"/>
      <c r="S562" s="34"/>
      <c r="T562" s="34"/>
      <c r="U562" s="34"/>
      <c r="V562" s="120"/>
      <c r="W562" s="12"/>
    </row>
    <row r="563" spans="5:23" s="98" customFormat="1">
      <c r="E563" s="12"/>
      <c r="F563" s="24">
        <v>47727</v>
      </c>
      <c r="G563" s="34"/>
      <c r="H563" s="34"/>
      <c r="I563" s="34"/>
      <c r="J563" s="34"/>
      <c r="K563" s="12"/>
      <c r="L563" s="24">
        <v>47727</v>
      </c>
      <c r="M563" s="34"/>
      <c r="N563" s="34"/>
      <c r="O563" s="12"/>
      <c r="P563" s="24">
        <v>47727</v>
      </c>
      <c r="Q563" s="34"/>
      <c r="R563" s="34"/>
      <c r="S563" s="34"/>
      <c r="T563" s="34"/>
      <c r="U563" s="34"/>
      <c r="V563" s="120"/>
      <c r="W563" s="12"/>
    </row>
    <row r="564" spans="5:23" s="98" customFormat="1">
      <c r="E564" s="12"/>
      <c r="F564" s="24">
        <v>47757</v>
      </c>
      <c r="G564" s="34"/>
      <c r="H564" s="34"/>
      <c r="I564" s="34"/>
      <c r="J564" s="34"/>
      <c r="K564" s="12"/>
      <c r="L564" s="24">
        <v>47757</v>
      </c>
      <c r="M564" s="34"/>
      <c r="N564" s="34"/>
      <c r="O564" s="12"/>
      <c r="P564" s="24">
        <v>47757</v>
      </c>
      <c r="Q564" s="34"/>
      <c r="R564" s="34"/>
      <c r="S564" s="34"/>
      <c r="T564" s="34"/>
      <c r="U564" s="34"/>
      <c r="V564" s="120"/>
      <c r="W564" s="12"/>
    </row>
    <row r="565" spans="5:23" s="98" customFormat="1">
      <c r="E565" s="12"/>
      <c r="F565" s="24">
        <v>47788</v>
      </c>
      <c r="G565" s="34"/>
      <c r="H565" s="34"/>
      <c r="I565" s="34"/>
      <c r="J565" s="34"/>
      <c r="K565" s="12"/>
      <c r="L565" s="24">
        <v>47788</v>
      </c>
      <c r="M565" s="34"/>
      <c r="N565" s="34"/>
      <c r="O565" s="12"/>
      <c r="P565" s="24">
        <v>47788</v>
      </c>
      <c r="Q565" s="34"/>
      <c r="R565" s="34"/>
      <c r="S565" s="34"/>
      <c r="T565" s="34"/>
      <c r="U565" s="34"/>
      <c r="V565" s="120"/>
      <c r="W565" s="12"/>
    </row>
    <row r="566" spans="5:23" s="98" customFormat="1">
      <c r="E566" s="12"/>
      <c r="F566" s="24">
        <v>47818</v>
      </c>
      <c r="G566" s="34"/>
      <c r="H566" s="34"/>
      <c r="I566" s="34"/>
      <c r="J566" s="34"/>
      <c r="K566" s="12"/>
      <c r="L566" s="24">
        <v>47818</v>
      </c>
      <c r="M566" s="34"/>
      <c r="N566" s="34"/>
      <c r="O566" s="12"/>
      <c r="P566" s="24">
        <v>47818</v>
      </c>
      <c r="Q566" s="34"/>
      <c r="R566" s="34"/>
      <c r="S566" s="34"/>
      <c r="T566" s="34"/>
      <c r="U566" s="34"/>
      <c r="V566" s="120"/>
      <c r="W566" s="12"/>
    </row>
    <row r="567" spans="5:23" s="98" customFormat="1">
      <c r="E567" s="12"/>
      <c r="F567" s="24">
        <v>47849</v>
      </c>
      <c r="G567" s="34"/>
      <c r="H567" s="34"/>
      <c r="I567" s="34"/>
      <c r="J567" s="34"/>
      <c r="K567" s="12"/>
      <c r="L567" s="24">
        <v>47849</v>
      </c>
      <c r="M567" s="34"/>
      <c r="N567" s="34"/>
      <c r="O567" s="12"/>
      <c r="P567" s="24">
        <v>47849</v>
      </c>
      <c r="Q567" s="34"/>
      <c r="R567" s="34"/>
      <c r="S567" s="34"/>
      <c r="T567" s="34"/>
      <c r="U567" s="34"/>
      <c r="V567" s="120"/>
      <c r="W567" s="12"/>
    </row>
    <row r="568" spans="5:23" s="98" customFormat="1">
      <c r="E568" s="12"/>
      <c r="F568" s="24">
        <v>47880</v>
      </c>
      <c r="G568" s="34"/>
      <c r="H568" s="34"/>
      <c r="I568" s="34"/>
      <c r="J568" s="34"/>
      <c r="K568" s="12"/>
      <c r="L568" s="24">
        <v>47880</v>
      </c>
      <c r="M568" s="34"/>
      <c r="N568" s="34"/>
      <c r="O568" s="12"/>
      <c r="P568" s="24">
        <v>47880</v>
      </c>
      <c r="Q568" s="34"/>
      <c r="R568" s="34"/>
      <c r="S568" s="34"/>
      <c r="T568" s="34"/>
      <c r="U568" s="34"/>
      <c r="V568" s="120"/>
      <c r="W568" s="12"/>
    </row>
    <row r="569" spans="5:23" s="98" customFormat="1">
      <c r="E569" s="12"/>
      <c r="F569" s="24">
        <v>47908</v>
      </c>
      <c r="G569" s="34"/>
      <c r="H569" s="34"/>
      <c r="I569" s="34"/>
      <c r="J569" s="34"/>
      <c r="K569" s="12"/>
      <c r="L569" s="24">
        <v>47908</v>
      </c>
      <c r="M569" s="34"/>
      <c r="N569" s="34"/>
      <c r="O569" s="12"/>
      <c r="P569" s="24">
        <v>47908</v>
      </c>
      <c r="Q569" s="34"/>
      <c r="R569" s="34"/>
      <c r="S569" s="34"/>
      <c r="T569" s="34"/>
      <c r="U569" s="34"/>
      <c r="V569" s="120"/>
      <c r="W569" s="12"/>
    </row>
    <row r="570" spans="5:23" s="98" customFormat="1">
      <c r="E570" s="12"/>
      <c r="F570" s="24">
        <v>47939</v>
      </c>
      <c r="G570" s="34"/>
      <c r="H570" s="34"/>
      <c r="I570" s="34"/>
      <c r="J570" s="34"/>
      <c r="K570" s="12"/>
      <c r="L570" s="24">
        <v>47939</v>
      </c>
      <c r="M570" s="34"/>
      <c r="N570" s="34"/>
      <c r="O570" s="12"/>
      <c r="P570" s="24">
        <v>47939</v>
      </c>
      <c r="Q570" s="34"/>
      <c r="R570" s="34"/>
      <c r="S570" s="34"/>
      <c r="T570" s="34"/>
      <c r="U570" s="34"/>
      <c r="V570" s="120"/>
      <c r="W570" s="12"/>
    </row>
    <row r="571" spans="5:23" s="98" customFormat="1">
      <c r="E571" s="12"/>
      <c r="F571" s="24">
        <v>47969</v>
      </c>
      <c r="G571" s="34"/>
      <c r="H571" s="34"/>
      <c r="I571" s="34"/>
      <c r="J571" s="34"/>
      <c r="K571" s="12"/>
      <c r="L571" s="24">
        <v>47969</v>
      </c>
      <c r="M571" s="34"/>
      <c r="N571" s="34"/>
      <c r="O571" s="12"/>
      <c r="P571" s="24">
        <v>47969</v>
      </c>
      <c r="Q571" s="34"/>
      <c r="R571" s="34"/>
      <c r="S571" s="34"/>
      <c r="T571" s="34"/>
      <c r="U571" s="34"/>
      <c r="V571" s="120"/>
      <c r="W571" s="12"/>
    </row>
    <row r="572" spans="5:23" s="98" customFormat="1">
      <c r="E572" s="12"/>
      <c r="F572" s="24">
        <v>48000</v>
      </c>
      <c r="G572" s="34"/>
      <c r="H572" s="34"/>
      <c r="I572" s="34"/>
      <c r="J572" s="34"/>
      <c r="K572" s="12"/>
      <c r="L572" s="24">
        <v>48000</v>
      </c>
      <c r="M572" s="34"/>
      <c r="N572" s="34"/>
      <c r="O572" s="12"/>
      <c r="P572" s="24">
        <v>48000</v>
      </c>
      <c r="Q572" s="34"/>
      <c r="R572" s="34"/>
      <c r="S572" s="34"/>
      <c r="T572" s="34"/>
      <c r="U572" s="34"/>
      <c r="V572" s="120"/>
      <c r="W572" s="12"/>
    </row>
    <row r="573" spans="5:23" s="98" customFormat="1">
      <c r="E573" s="12"/>
      <c r="F573" s="24">
        <v>48030</v>
      </c>
      <c r="G573" s="34"/>
      <c r="H573" s="34"/>
      <c r="I573" s="34"/>
      <c r="J573" s="34"/>
      <c r="K573" s="12"/>
      <c r="L573" s="24">
        <v>48030</v>
      </c>
      <c r="M573" s="34"/>
      <c r="N573" s="34"/>
      <c r="O573" s="12"/>
      <c r="P573" s="24">
        <v>48030</v>
      </c>
      <c r="Q573" s="34"/>
      <c r="R573" s="34"/>
      <c r="S573" s="34"/>
      <c r="T573" s="34"/>
      <c r="U573" s="34"/>
      <c r="V573" s="120"/>
      <c r="W573" s="12"/>
    </row>
    <row r="574" spans="5:23" s="98" customFormat="1">
      <c r="E574" s="12"/>
      <c r="F574" s="24">
        <v>48061</v>
      </c>
      <c r="G574" s="34"/>
      <c r="H574" s="34"/>
      <c r="I574" s="34"/>
      <c r="J574" s="34"/>
      <c r="K574" s="12"/>
      <c r="L574" s="24">
        <v>48061</v>
      </c>
      <c r="M574" s="34"/>
      <c r="N574" s="34"/>
      <c r="O574" s="12"/>
      <c r="P574" s="24">
        <v>48061</v>
      </c>
      <c r="Q574" s="34"/>
      <c r="R574" s="34"/>
      <c r="S574" s="34"/>
      <c r="T574" s="34"/>
      <c r="U574" s="34"/>
      <c r="V574" s="120"/>
      <c r="W574" s="12"/>
    </row>
    <row r="575" spans="5:23" s="98" customFormat="1">
      <c r="E575" s="12"/>
      <c r="F575" s="24">
        <v>48092</v>
      </c>
      <c r="G575" s="34"/>
      <c r="H575" s="34"/>
      <c r="I575" s="34"/>
      <c r="J575" s="34"/>
      <c r="K575" s="12"/>
      <c r="L575" s="24">
        <v>48092</v>
      </c>
      <c r="M575" s="34"/>
      <c r="N575" s="34"/>
      <c r="O575" s="12"/>
      <c r="P575" s="24">
        <v>48092</v>
      </c>
      <c r="Q575" s="34"/>
      <c r="R575" s="34"/>
      <c r="S575" s="34"/>
      <c r="T575" s="34"/>
      <c r="U575" s="34"/>
      <c r="V575" s="120"/>
      <c r="W575" s="12"/>
    </row>
    <row r="576" spans="5:23" s="98" customFormat="1">
      <c r="E576" s="12"/>
      <c r="F576" s="24">
        <v>48122</v>
      </c>
      <c r="G576" s="34"/>
      <c r="H576" s="34"/>
      <c r="I576" s="34"/>
      <c r="J576" s="34"/>
      <c r="K576" s="12"/>
      <c r="L576" s="24">
        <v>48122</v>
      </c>
      <c r="M576" s="34"/>
      <c r="N576" s="34"/>
      <c r="O576" s="12"/>
      <c r="P576" s="24">
        <v>48122</v>
      </c>
      <c r="Q576" s="34"/>
      <c r="R576" s="34"/>
      <c r="S576" s="34"/>
      <c r="T576" s="34"/>
      <c r="U576" s="34"/>
      <c r="V576" s="120"/>
      <c r="W576" s="12"/>
    </row>
    <row r="577" spans="5:23" s="98" customFormat="1">
      <c r="E577" s="12"/>
      <c r="F577" s="24">
        <v>48153</v>
      </c>
      <c r="G577" s="34"/>
      <c r="H577" s="34"/>
      <c r="I577" s="34"/>
      <c r="J577" s="34"/>
      <c r="K577" s="12"/>
      <c r="L577" s="24">
        <v>48153</v>
      </c>
      <c r="M577" s="34"/>
      <c r="N577" s="34"/>
      <c r="O577" s="12"/>
      <c r="P577" s="24">
        <v>48153</v>
      </c>
      <c r="Q577" s="34"/>
      <c r="R577" s="34"/>
      <c r="S577" s="34"/>
      <c r="T577" s="34"/>
      <c r="U577" s="34"/>
      <c r="V577" s="120"/>
      <c r="W577" s="12"/>
    </row>
    <row r="578" spans="5:23" s="98" customFormat="1">
      <c r="E578" s="12"/>
      <c r="F578" s="24">
        <v>48183</v>
      </c>
      <c r="G578" s="34"/>
      <c r="H578" s="34"/>
      <c r="I578" s="34"/>
      <c r="J578" s="34"/>
      <c r="K578" s="12"/>
      <c r="L578" s="24">
        <v>48183</v>
      </c>
      <c r="M578" s="34"/>
      <c r="N578" s="34"/>
      <c r="O578" s="12"/>
      <c r="P578" s="24">
        <v>48183</v>
      </c>
      <c r="Q578" s="34"/>
      <c r="R578" s="34"/>
      <c r="S578" s="34"/>
      <c r="T578" s="34"/>
      <c r="U578" s="34"/>
      <c r="V578" s="120"/>
      <c r="W578" s="12"/>
    </row>
    <row r="579" spans="5:23" s="98" customFormat="1">
      <c r="E579" s="12"/>
      <c r="F579" s="24">
        <v>48214</v>
      </c>
      <c r="G579" s="34"/>
      <c r="H579" s="34"/>
      <c r="I579" s="34"/>
      <c r="J579" s="34"/>
      <c r="K579" s="12"/>
      <c r="L579" s="24">
        <v>48214</v>
      </c>
      <c r="M579" s="34"/>
      <c r="N579" s="34"/>
      <c r="O579" s="12"/>
      <c r="P579" s="24">
        <v>48214</v>
      </c>
      <c r="Q579" s="34"/>
      <c r="R579" s="34"/>
      <c r="S579" s="34"/>
      <c r="T579" s="34"/>
      <c r="U579" s="34"/>
      <c r="V579" s="120"/>
      <c r="W579" s="12"/>
    </row>
    <row r="580" spans="5:23" s="98" customFormat="1">
      <c r="E580" s="12"/>
      <c r="F580" s="24">
        <v>48245</v>
      </c>
      <c r="G580" s="34"/>
      <c r="H580" s="34"/>
      <c r="I580" s="34"/>
      <c r="J580" s="34"/>
      <c r="K580" s="12"/>
      <c r="L580" s="24">
        <v>48245</v>
      </c>
      <c r="M580" s="34"/>
      <c r="N580" s="34"/>
      <c r="O580" s="12"/>
      <c r="P580" s="24">
        <v>48245</v>
      </c>
      <c r="Q580" s="34"/>
      <c r="R580" s="34"/>
      <c r="S580" s="34"/>
      <c r="T580" s="34"/>
      <c r="U580" s="34"/>
      <c r="V580" s="120"/>
      <c r="W580" s="12"/>
    </row>
    <row r="581" spans="5:23" s="98" customFormat="1">
      <c r="E581" s="12"/>
      <c r="F581" s="24">
        <v>48274</v>
      </c>
      <c r="G581" s="34"/>
      <c r="H581" s="34"/>
      <c r="I581" s="34"/>
      <c r="J581" s="34"/>
      <c r="K581" s="12"/>
      <c r="L581" s="24">
        <v>48274</v>
      </c>
      <c r="M581" s="34"/>
      <c r="N581" s="34"/>
      <c r="O581" s="12"/>
      <c r="P581" s="24">
        <v>48274</v>
      </c>
      <c r="Q581" s="34"/>
      <c r="R581" s="34"/>
      <c r="S581" s="34"/>
      <c r="T581" s="34"/>
      <c r="U581" s="34"/>
      <c r="V581" s="120"/>
      <c r="W581" s="12"/>
    </row>
    <row r="582" spans="5:23" s="98" customFormat="1">
      <c r="E582" s="12"/>
      <c r="F582" s="24">
        <v>48305</v>
      </c>
      <c r="G582" s="34"/>
      <c r="H582" s="34"/>
      <c r="I582" s="34"/>
      <c r="J582" s="34"/>
      <c r="K582" s="12"/>
      <c r="L582" s="24">
        <v>48305</v>
      </c>
      <c r="M582" s="34"/>
      <c r="N582" s="34"/>
      <c r="O582" s="12"/>
      <c r="P582" s="24">
        <v>48305</v>
      </c>
      <c r="Q582" s="34"/>
      <c r="R582" s="34"/>
      <c r="S582" s="34"/>
      <c r="T582" s="34"/>
      <c r="U582" s="34"/>
      <c r="V582" s="120"/>
      <c r="W582" s="12"/>
    </row>
    <row r="583" spans="5:23" s="98" customFormat="1">
      <c r="E583" s="12"/>
      <c r="F583" s="24">
        <v>48335</v>
      </c>
      <c r="G583" s="34"/>
      <c r="H583" s="34"/>
      <c r="I583" s="34"/>
      <c r="J583" s="34"/>
      <c r="K583" s="12"/>
      <c r="L583" s="24">
        <v>48335</v>
      </c>
      <c r="M583" s="34"/>
      <c r="N583" s="34"/>
      <c r="O583" s="12"/>
      <c r="P583" s="24">
        <v>48335</v>
      </c>
      <c r="Q583" s="34"/>
      <c r="R583" s="34"/>
      <c r="S583" s="34"/>
      <c r="T583" s="34"/>
      <c r="U583" s="34"/>
      <c r="V583" s="120"/>
      <c r="W583" s="12"/>
    </row>
    <row r="584" spans="5:23" s="98" customFormat="1">
      <c r="E584" s="12"/>
      <c r="F584" s="24">
        <v>48366</v>
      </c>
      <c r="G584" s="34"/>
      <c r="H584" s="34"/>
      <c r="I584" s="34"/>
      <c r="J584" s="34"/>
      <c r="K584" s="12"/>
      <c r="L584" s="24">
        <v>48366</v>
      </c>
      <c r="M584" s="34"/>
      <c r="N584" s="34"/>
      <c r="O584" s="12"/>
      <c r="P584" s="24">
        <v>48366</v>
      </c>
      <c r="Q584" s="34"/>
      <c r="R584" s="34"/>
      <c r="S584" s="34"/>
      <c r="T584" s="34"/>
      <c r="U584" s="34"/>
      <c r="V584" s="120"/>
      <c r="W584" s="12"/>
    </row>
    <row r="585" spans="5:23" s="98" customFormat="1">
      <c r="E585" s="12"/>
      <c r="F585" s="24">
        <v>48396</v>
      </c>
      <c r="G585" s="34"/>
      <c r="H585" s="34"/>
      <c r="I585" s="34"/>
      <c r="J585" s="34"/>
      <c r="K585" s="12"/>
      <c r="L585" s="24">
        <v>48396</v>
      </c>
      <c r="M585" s="34"/>
      <c r="N585" s="34"/>
      <c r="O585" s="12"/>
      <c r="P585" s="24">
        <v>48396</v>
      </c>
      <c r="Q585" s="34"/>
      <c r="R585" s="34"/>
      <c r="S585" s="34"/>
      <c r="T585" s="34"/>
      <c r="U585" s="34"/>
      <c r="V585" s="120"/>
      <c r="W585" s="12"/>
    </row>
    <row r="586" spans="5:23" s="98" customFormat="1">
      <c r="E586" s="12"/>
      <c r="F586" s="24">
        <v>48427</v>
      </c>
      <c r="G586" s="34"/>
      <c r="H586" s="34"/>
      <c r="I586" s="34"/>
      <c r="J586" s="34"/>
      <c r="K586" s="12"/>
      <c r="L586" s="24">
        <v>48427</v>
      </c>
      <c r="M586" s="34"/>
      <c r="N586" s="34"/>
      <c r="O586" s="12"/>
      <c r="P586" s="24">
        <v>48427</v>
      </c>
      <c r="Q586" s="34"/>
      <c r="R586" s="34"/>
      <c r="S586" s="34"/>
      <c r="T586" s="34"/>
      <c r="U586" s="34"/>
      <c r="V586" s="120"/>
      <c r="W586" s="12"/>
    </row>
    <row r="587" spans="5:23" s="98" customFormat="1">
      <c r="E587" s="12"/>
      <c r="F587" s="24">
        <v>48458</v>
      </c>
      <c r="G587" s="34"/>
      <c r="H587" s="34"/>
      <c r="I587" s="34"/>
      <c r="J587" s="34"/>
      <c r="K587" s="12"/>
      <c r="L587" s="24">
        <v>48458</v>
      </c>
      <c r="M587" s="34"/>
      <c r="N587" s="34"/>
      <c r="O587" s="12"/>
      <c r="P587" s="24">
        <v>48458</v>
      </c>
      <c r="Q587" s="34"/>
      <c r="R587" s="34"/>
      <c r="S587" s="34"/>
      <c r="T587" s="34"/>
      <c r="U587" s="34"/>
      <c r="V587" s="120"/>
      <c r="W587" s="12"/>
    </row>
    <row r="588" spans="5:23" s="98" customFormat="1">
      <c r="E588" s="12"/>
      <c r="F588" s="24">
        <v>48488</v>
      </c>
      <c r="G588" s="34"/>
      <c r="H588" s="34"/>
      <c r="I588" s="34"/>
      <c r="J588" s="34"/>
      <c r="K588" s="12"/>
      <c r="L588" s="24">
        <v>48488</v>
      </c>
      <c r="M588" s="34"/>
      <c r="N588" s="34"/>
      <c r="O588" s="12"/>
      <c r="P588" s="24">
        <v>48488</v>
      </c>
      <c r="Q588" s="34"/>
      <c r="R588" s="34"/>
      <c r="S588" s="34"/>
      <c r="T588" s="34"/>
      <c r="U588" s="34"/>
      <c r="V588" s="120"/>
      <c r="W588" s="12"/>
    </row>
    <row r="589" spans="5:23" s="98" customFormat="1">
      <c r="E589" s="12"/>
      <c r="F589" s="24">
        <v>48519</v>
      </c>
      <c r="G589" s="34"/>
      <c r="H589" s="34"/>
      <c r="I589" s="34"/>
      <c r="J589" s="34"/>
      <c r="K589" s="12"/>
      <c r="L589" s="24">
        <v>48519</v>
      </c>
      <c r="M589" s="34"/>
      <c r="N589" s="34"/>
      <c r="O589" s="12"/>
      <c r="P589" s="24">
        <v>48519</v>
      </c>
      <c r="Q589" s="34"/>
      <c r="R589" s="34"/>
      <c r="S589" s="34"/>
      <c r="T589" s="34"/>
      <c r="U589" s="34"/>
      <c r="V589" s="120"/>
      <c r="W589" s="12"/>
    </row>
    <row r="590" spans="5:23" s="98" customFormat="1">
      <c r="E590" s="12"/>
      <c r="F590" s="24">
        <v>48549</v>
      </c>
      <c r="G590" s="34"/>
      <c r="H590" s="34"/>
      <c r="I590" s="34"/>
      <c r="J590" s="34"/>
      <c r="K590" s="12"/>
      <c r="L590" s="24">
        <v>48549</v>
      </c>
      <c r="M590" s="34"/>
      <c r="N590" s="34"/>
      <c r="O590" s="12"/>
      <c r="P590" s="24">
        <v>48549</v>
      </c>
      <c r="Q590" s="34"/>
      <c r="R590" s="34"/>
      <c r="S590" s="34"/>
      <c r="T590" s="34"/>
      <c r="U590" s="34"/>
      <c r="V590" s="120"/>
      <c r="W590" s="12"/>
    </row>
    <row r="591" spans="5:23" s="98" customFormat="1">
      <c r="E591" s="12"/>
      <c r="F591" s="24">
        <v>48580</v>
      </c>
      <c r="G591" s="34"/>
      <c r="H591" s="34"/>
      <c r="I591" s="34"/>
      <c r="J591" s="34"/>
      <c r="K591" s="12"/>
      <c r="L591" s="24">
        <v>48580</v>
      </c>
      <c r="M591" s="34"/>
      <c r="N591" s="34"/>
      <c r="O591" s="12"/>
      <c r="P591" s="24">
        <v>48580</v>
      </c>
      <c r="Q591" s="34"/>
      <c r="R591" s="34"/>
      <c r="S591" s="34"/>
      <c r="T591" s="34"/>
      <c r="U591" s="34"/>
      <c r="V591" s="120"/>
      <c r="W591" s="12"/>
    </row>
    <row r="592" spans="5:23" s="98" customFormat="1">
      <c r="E592" s="12"/>
      <c r="F592" s="24">
        <v>48611</v>
      </c>
      <c r="G592" s="34"/>
      <c r="H592" s="34"/>
      <c r="I592" s="34"/>
      <c r="J592" s="34"/>
      <c r="K592" s="12"/>
      <c r="L592" s="24">
        <v>48611</v>
      </c>
      <c r="M592" s="34"/>
      <c r="N592" s="34"/>
      <c r="O592" s="12"/>
      <c r="P592" s="24">
        <v>48611</v>
      </c>
      <c r="Q592" s="34"/>
      <c r="R592" s="34"/>
      <c r="S592" s="34"/>
      <c r="T592" s="34"/>
      <c r="U592" s="34"/>
      <c r="V592" s="120"/>
      <c r="W592" s="12"/>
    </row>
    <row r="593" spans="5:23" s="98" customFormat="1">
      <c r="E593" s="12"/>
      <c r="F593" s="24">
        <v>48639</v>
      </c>
      <c r="G593" s="34"/>
      <c r="H593" s="34"/>
      <c r="I593" s="34"/>
      <c r="J593" s="34"/>
      <c r="K593" s="12"/>
      <c r="L593" s="24">
        <v>48639</v>
      </c>
      <c r="M593" s="34"/>
      <c r="N593" s="34"/>
      <c r="O593" s="12"/>
      <c r="P593" s="24">
        <v>48639</v>
      </c>
      <c r="Q593" s="34"/>
      <c r="R593" s="34"/>
      <c r="S593" s="34"/>
      <c r="T593" s="34"/>
      <c r="U593" s="34"/>
      <c r="V593" s="120"/>
      <c r="W593" s="12"/>
    </row>
    <row r="594" spans="5:23" s="98" customFormat="1">
      <c r="E594" s="12"/>
      <c r="F594" s="24">
        <v>48670</v>
      </c>
      <c r="G594" s="34"/>
      <c r="H594" s="34"/>
      <c r="I594" s="34"/>
      <c r="J594" s="34"/>
      <c r="K594" s="12"/>
      <c r="L594" s="24">
        <v>48670</v>
      </c>
      <c r="M594" s="34"/>
      <c r="N594" s="34"/>
      <c r="O594" s="12"/>
      <c r="P594" s="24">
        <v>48670</v>
      </c>
      <c r="Q594" s="34"/>
      <c r="R594" s="34"/>
      <c r="S594" s="34"/>
      <c r="T594" s="34"/>
      <c r="U594" s="34"/>
      <c r="V594" s="120"/>
      <c r="W594" s="12"/>
    </row>
    <row r="595" spans="5:23" s="98" customFormat="1">
      <c r="E595" s="12"/>
      <c r="F595" s="24">
        <v>48700</v>
      </c>
      <c r="G595" s="34"/>
      <c r="H595" s="34"/>
      <c r="I595" s="34"/>
      <c r="J595" s="34"/>
      <c r="K595" s="12"/>
      <c r="L595" s="24">
        <v>48700</v>
      </c>
      <c r="M595" s="34"/>
      <c r="N595" s="34"/>
      <c r="O595" s="12"/>
      <c r="P595" s="24">
        <v>48700</v>
      </c>
      <c r="Q595" s="34"/>
      <c r="R595" s="34"/>
      <c r="S595" s="34"/>
      <c r="T595" s="34"/>
      <c r="U595" s="34"/>
      <c r="V595" s="120"/>
      <c r="W595" s="12"/>
    </row>
    <row r="596" spans="5:23" s="98" customFormat="1">
      <c r="E596" s="12"/>
      <c r="F596" s="24">
        <v>48731</v>
      </c>
      <c r="G596" s="34"/>
      <c r="H596" s="34"/>
      <c r="I596" s="34"/>
      <c r="J596" s="34"/>
      <c r="K596" s="12"/>
      <c r="L596" s="24">
        <v>48731</v>
      </c>
      <c r="M596" s="34"/>
      <c r="N596" s="34"/>
      <c r="O596" s="12"/>
      <c r="P596" s="24">
        <v>48731</v>
      </c>
      <c r="Q596" s="34"/>
      <c r="R596" s="34"/>
      <c r="S596" s="34"/>
      <c r="T596" s="34"/>
      <c r="U596" s="34"/>
      <c r="V596" s="120"/>
      <c r="W596" s="12"/>
    </row>
    <row r="597" spans="5:23" s="98" customFormat="1">
      <c r="E597" s="12"/>
      <c r="F597" s="24">
        <v>48761</v>
      </c>
      <c r="G597" s="34"/>
      <c r="H597" s="34"/>
      <c r="I597" s="34"/>
      <c r="J597" s="34"/>
      <c r="K597" s="12"/>
      <c r="L597" s="24">
        <v>48761</v>
      </c>
      <c r="M597" s="34"/>
      <c r="N597" s="34"/>
      <c r="O597" s="12"/>
      <c r="P597" s="24">
        <v>48761</v>
      </c>
      <c r="Q597" s="34"/>
      <c r="R597" s="34"/>
      <c r="S597" s="34"/>
      <c r="T597" s="34"/>
      <c r="U597" s="34"/>
      <c r="V597" s="120"/>
      <c r="W597" s="12"/>
    </row>
    <row r="598" spans="5:23" s="98" customFormat="1">
      <c r="E598" s="12"/>
      <c r="F598" s="24">
        <v>48792</v>
      </c>
      <c r="G598" s="34"/>
      <c r="H598" s="34"/>
      <c r="I598" s="34"/>
      <c r="J598" s="34"/>
      <c r="K598" s="12"/>
      <c r="L598" s="24">
        <v>48792</v>
      </c>
      <c r="M598" s="34"/>
      <c r="N598" s="34"/>
      <c r="O598" s="12"/>
      <c r="P598" s="24">
        <v>48792</v>
      </c>
      <c r="Q598" s="34"/>
      <c r="R598" s="34"/>
      <c r="S598" s="34"/>
      <c r="T598" s="34"/>
      <c r="U598" s="34"/>
      <c r="V598" s="120"/>
      <c r="W598" s="12"/>
    </row>
    <row r="599" spans="5:23" s="98" customFormat="1">
      <c r="E599" s="12"/>
      <c r="F599" s="24">
        <v>48823</v>
      </c>
      <c r="G599" s="34"/>
      <c r="H599" s="34"/>
      <c r="I599" s="34"/>
      <c r="J599" s="34"/>
      <c r="K599" s="12"/>
      <c r="L599" s="24">
        <v>48823</v>
      </c>
      <c r="M599" s="34"/>
      <c r="N599" s="34"/>
      <c r="O599" s="12"/>
      <c r="P599" s="24">
        <v>48823</v>
      </c>
      <c r="Q599" s="34"/>
      <c r="R599" s="34"/>
      <c r="S599" s="34"/>
      <c r="T599" s="34"/>
      <c r="U599" s="34"/>
      <c r="V599" s="120"/>
      <c r="W599" s="12"/>
    </row>
    <row r="600" spans="5:23" s="98" customFormat="1">
      <c r="E600" s="12"/>
      <c r="F600" s="24">
        <v>48853</v>
      </c>
      <c r="G600" s="34"/>
      <c r="H600" s="34"/>
      <c r="I600" s="34"/>
      <c r="J600" s="34"/>
      <c r="K600" s="12"/>
      <c r="L600" s="24">
        <v>48853</v>
      </c>
      <c r="M600" s="34"/>
      <c r="N600" s="34"/>
      <c r="O600" s="12"/>
      <c r="P600" s="24">
        <v>48853</v>
      </c>
      <c r="Q600" s="34"/>
      <c r="R600" s="34"/>
      <c r="S600" s="34"/>
      <c r="T600" s="34"/>
      <c r="U600" s="34"/>
      <c r="V600" s="120"/>
      <c r="W600" s="12"/>
    </row>
    <row r="601" spans="5:23" s="98" customFormat="1">
      <c r="E601" s="12"/>
      <c r="F601" s="24">
        <v>48884</v>
      </c>
      <c r="G601" s="34"/>
      <c r="H601" s="34"/>
      <c r="I601" s="34"/>
      <c r="J601" s="34"/>
      <c r="K601" s="12"/>
      <c r="L601" s="24">
        <v>48884</v>
      </c>
      <c r="M601" s="34"/>
      <c r="N601" s="34"/>
      <c r="O601" s="12"/>
      <c r="P601" s="24">
        <v>48884</v>
      </c>
      <c r="Q601" s="34"/>
      <c r="R601" s="34"/>
      <c r="S601" s="34"/>
      <c r="T601" s="34"/>
      <c r="U601" s="34"/>
      <c r="V601" s="120"/>
      <c r="W601" s="12"/>
    </row>
    <row r="602" spans="5:23" s="98" customFormat="1">
      <c r="E602" s="12"/>
      <c r="F602" s="24">
        <v>48914</v>
      </c>
      <c r="G602" s="34"/>
      <c r="H602" s="34"/>
      <c r="I602" s="34"/>
      <c r="J602" s="34"/>
      <c r="K602" s="12"/>
      <c r="L602" s="24">
        <v>48914</v>
      </c>
      <c r="M602" s="34"/>
      <c r="N602" s="34"/>
      <c r="O602" s="12"/>
      <c r="P602" s="24">
        <v>48914</v>
      </c>
      <c r="Q602" s="34"/>
      <c r="R602" s="34"/>
      <c r="S602" s="34"/>
      <c r="T602" s="34"/>
      <c r="U602" s="34"/>
      <c r="V602" s="120"/>
      <c r="W602" s="12"/>
    </row>
    <row r="603" spans="5:23" s="98" customFormat="1">
      <c r="E603" s="12"/>
      <c r="F603" s="24">
        <v>48945</v>
      </c>
      <c r="G603" s="34"/>
      <c r="H603" s="34"/>
      <c r="I603" s="34"/>
      <c r="J603" s="34"/>
      <c r="K603" s="12"/>
      <c r="L603" s="24">
        <v>48945</v>
      </c>
      <c r="M603" s="34"/>
      <c r="N603" s="34"/>
      <c r="O603" s="12"/>
      <c r="P603" s="24">
        <v>48945</v>
      </c>
      <c r="Q603" s="34"/>
      <c r="R603" s="34"/>
      <c r="S603" s="34"/>
      <c r="T603" s="34"/>
      <c r="U603" s="34"/>
      <c r="V603" s="120"/>
      <c r="W603" s="12"/>
    </row>
    <row r="604" spans="5:23" s="98" customFormat="1">
      <c r="E604" s="12"/>
      <c r="F604" s="24">
        <v>48976</v>
      </c>
      <c r="G604" s="34"/>
      <c r="H604" s="34"/>
      <c r="I604" s="34"/>
      <c r="J604" s="34"/>
      <c r="K604" s="12"/>
      <c r="L604" s="24">
        <v>48976</v>
      </c>
      <c r="M604" s="34"/>
      <c r="N604" s="34"/>
      <c r="O604" s="12"/>
      <c r="P604" s="24">
        <v>48976</v>
      </c>
      <c r="Q604" s="34"/>
      <c r="R604" s="34"/>
      <c r="S604" s="34"/>
      <c r="T604" s="34"/>
      <c r="U604" s="34"/>
      <c r="V604" s="120"/>
      <c r="W604" s="12"/>
    </row>
    <row r="605" spans="5:23" s="98" customFormat="1">
      <c r="E605" s="12"/>
      <c r="F605" s="24">
        <v>49004</v>
      </c>
      <c r="G605" s="34"/>
      <c r="H605" s="34"/>
      <c r="I605" s="34"/>
      <c r="J605" s="34"/>
      <c r="K605" s="12"/>
      <c r="L605" s="24">
        <v>49004</v>
      </c>
      <c r="M605" s="34"/>
      <c r="N605" s="34"/>
      <c r="O605" s="12"/>
      <c r="P605" s="24">
        <v>49004</v>
      </c>
      <c r="Q605" s="34"/>
      <c r="R605" s="34"/>
      <c r="S605" s="34"/>
      <c r="T605" s="34"/>
      <c r="U605" s="34"/>
      <c r="V605" s="120"/>
      <c r="W605" s="12"/>
    </row>
    <row r="606" spans="5:23" s="98" customFormat="1">
      <c r="E606" s="12"/>
      <c r="F606" s="24">
        <v>49035</v>
      </c>
      <c r="G606" s="34"/>
      <c r="H606" s="34"/>
      <c r="I606" s="34"/>
      <c r="J606" s="34"/>
      <c r="K606" s="12"/>
      <c r="L606" s="24">
        <v>49035</v>
      </c>
      <c r="M606" s="34"/>
      <c r="N606" s="34"/>
      <c r="O606" s="12"/>
      <c r="P606" s="24">
        <v>49035</v>
      </c>
      <c r="Q606" s="34"/>
      <c r="R606" s="34"/>
      <c r="S606" s="34"/>
      <c r="T606" s="34"/>
      <c r="U606" s="34"/>
      <c r="V606" s="120"/>
      <c r="W606" s="12"/>
    </row>
    <row r="607" spans="5:23" s="98" customFormat="1">
      <c r="E607" s="12"/>
      <c r="F607" s="24">
        <v>49065</v>
      </c>
      <c r="G607" s="34"/>
      <c r="H607" s="34"/>
      <c r="I607" s="34"/>
      <c r="J607" s="34"/>
      <c r="K607" s="12"/>
      <c r="L607" s="24">
        <v>49065</v>
      </c>
      <c r="M607" s="34"/>
      <c r="N607" s="34"/>
      <c r="O607" s="12"/>
      <c r="P607" s="24">
        <v>49065</v>
      </c>
      <c r="Q607" s="34"/>
      <c r="R607" s="34"/>
      <c r="S607" s="34"/>
      <c r="T607" s="34"/>
      <c r="U607" s="34"/>
      <c r="V607" s="120"/>
      <c r="W607" s="12"/>
    </row>
    <row r="608" spans="5:23" s="98" customFormat="1">
      <c r="E608" s="12"/>
      <c r="F608" s="24">
        <v>49096</v>
      </c>
      <c r="G608" s="34"/>
      <c r="H608" s="34"/>
      <c r="I608" s="34"/>
      <c r="J608" s="34"/>
      <c r="K608" s="12"/>
      <c r="L608" s="24">
        <v>49096</v>
      </c>
      <c r="M608" s="34"/>
      <c r="N608" s="34"/>
      <c r="O608" s="12"/>
      <c r="P608" s="24">
        <v>49096</v>
      </c>
      <c r="Q608" s="34"/>
      <c r="R608" s="34"/>
      <c r="S608" s="34"/>
      <c r="T608" s="34"/>
      <c r="U608" s="34"/>
      <c r="V608" s="120"/>
      <c r="W608" s="12"/>
    </row>
    <row r="609" spans="5:23" s="98" customFormat="1">
      <c r="E609" s="12"/>
      <c r="F609" s="24">
        <v>49126</v>
      </c>
      <c r="G609" s="34"/>
      <c r="H609" s="34"/>
      <c r="I609" s="34"/>
      <c r="J609" s="34"/>
      <c r="K609" s="12"/>
      <c r="L609" s="24">
        <v>49126</v>
      </c>
      <c r="M609" s="34"/>
      <c r="N609" s="34"/>
      <c r="O609" s="12"/>
      <c r="P609" s="24">
        <v>49126</v>
      </c>
      <c r="Q609" s="34"/>
      <c r="R609" s="34"/>
      <c r="S609" s="34"/>
      <c r="T609" s="34"/>
      <c r="U609" s="34"/>
      <c r="V609" s="120"/>
      <c r="W609" s="12"/>
    </row>
    <row r="610" spans="5:23" s="98" customFormat="1">
      <c r="E610" s="12"/>
      <c r="F610" s="24">
        <v>49157</v>
      </c>
      <c r="G610" s="34"/>
      <c r="H610" s="34"/>
      <c r="I610" s="34"/>
      <c r="J610" s="34"/>
      <c r="K610" s="12"/>
      <c r="L610" s="24">
        <v>49157</v>
      </c>
      <c r="M610" s="34"/>
      <c r="N610" s="34"/>
      <c r="O610" s="12"/>
      <c r="P610" s="24">
        <v>49157</v>
      </c>
      <c r="Q610" s="34"/>
      <c r="R610" s="34"/>
      <c r="S610" s="34"/>
      <c r="T610" s="34"/>
      <c r="U610" s="34"/>
      <c r="V610" s="120"/>
      <c r="W610" s="12"/>
    </row>
    <row r="611" spans="5:23" s="98" customFormat="1">
      <c r="E611" s="12"/>
      <c r="F611" s="24">
        <v>49188</v>
      </c>
      <c r="G611" s="34"/>
      <c r="H611" s="34"/>
      <c r="I611" s="34"/>
      <c r="J611" s="34"/>
      <c r="K611" s="12"/>
      <c r="L611" s="24">
        <v>49188</v>
      </c>
      <c r="M611" s="34"/>
      <c r="N611" s="34"/>
      <c r="O611" s="12"/>
      <c r="P611" s="24">
        <v>49188</v>
      </c>
      <c r="Q611" s="34"/>
      <c r="R611" s="34"/>
      <c r="S611" s="34"/>
      <c r="T611" s="34"/>
      <c r="U611" s="34"/>
      <c r="V611" s="120"/>
      <c r="W611" s="12"/>
    </row>
    <row r="612" spans="5:23" s="98" customFormat="1">
      <c r="E612" s="12"/>
      <c r="F612" s="24">
        <v>49218</v>
      </c>
      <c r="G612" s="34"/>
      <c r="H612" s="34"/>
      <c r="I612" s="34"/>
      <c r="J612" s="34"/>
      <c r="K612" s="12"/>
      <c r="L612" s="24">
        <v>49218</v>
      </c>
      <c r="M612" s="34"/>
      <c r="N612" s="34"/>
      <c r="O612" s="12"/>
      <c r="P612" s="24">
        <v>49218</v>
      </c>
      <c r="Q612" s="34"/>
      <c r="R612" s="34"/>
      <c r="S612" s="34"/>
      <c r="T612" s="34"/>
      <c r="U612" s="34"/>
      <c r="V612" s="120"/>
      <c r="W612" s="12"/>
    </row>
    <row r="613" spans="5:23" s="98" customFormat="1">
      <c r="E613" s="12"/>
      <c r="F613" s="24">
        <v>49249</v>
      </c>
      <c r="G613" s="34"/>
      <c r="H613" s="34"/>
      <c r="I613" s="34"/>
      <c r="J613" s="34"/>
      <c r="K613" s="12"/>
      <c r="L613" s="24">
        <v>49249</v>
      </c>
      <c r="M613" s="34"/>
      <c r="N613" s="34"/>
      <c r="O613" s="12"/>
      <c r="P613" s="24">
        <v>49249</v>
      </c>
      <c r="Q613" s="34"/>
      <c r="R613" s="34"/>
      <c r="S613" s="34"/>
      <c r="T613" s="34"/>
      <c r="U613" s="34"/>
      <c r="V613" s="120"/>
      <c r="W613" s="12"/>
    </row>
    <row r="614" spans="5:23" s="98" customFormat="1">
      <c r="E614" s="12"/>
      <c r="F614" s="24">
        <v>49279</v>
      </c>
      <c r="G614" s="34"/>
      <c r="H614" s="34"/>
      <c r="I614" s="34"/>
      <c r="J614" s="34"/>
      <c r="K614" s="12"/>
      <c r="L614" s="24">
        <v>49279</v>
      </c>
      <c r="M614" s="34"/>
      <c r="N614" s="34"/>
      <c r="O614" s="12"/>
      <c r="P614" s="24">
        <v>49279</v>
      </c>
      <c r="Q614" s="34"/>
      <c r="R614" s="34"/>
      <c r="S614" s="34"/>
      <c r="T614" s="34"/>
      <c r="U614" s="34"/>
      <c r="V614" s="120"/>
      <c r="W614" s="12"/>
    </row>
    <row r="615" spans="5:23" s="98" customFormat="1">
      <c r="E615" s="12"/>
      <c r="F615" s="24">
        <v>49310</v>
      </c>
      <c r="G615" s="34"/>
      <c r="H615" s="34"/>
      <c r="I615" s="34"/>
      <c r="J615" s="34"/>
      <c r="K615" s="12"/>
      <c r="L615" s="24">
        <v>49310</v>
      </c>
      <c r="M615" s="34"/>
      <c r="N615" s="34"/>
      <c r="O615" s="12"/>
      <c r="P615" s="24">
        <v>49310</v>
      </c>
      <c r="Q615" s="34"/>
      <c r="R615" s="34"/>
      <c r="S615" s="34"/>
      <c r="T615" s="34"/>
      <c r="U615" s="34"/>
      <c r="V615" s="120"/>
      <c r="W615" s="12"/>
    </row>
    <row r="616" spans="5:23" s="98" customFormat="1">
      <c r="E616" s="12"/>
      <c r="F616" s="24">
        <v>49341</v>
      </c>
      <c r="G616" s="34"/>
      <c r="H616" s="34"/>
      <c r="I616" s="34"/>
      <c r="J616" s="34"/>
      <c r="K616" s="12"/>
      <c r="L616" s="24">
        <v>49341</v>
      </c>
      <c r="M616" s="34"/>
      <c r="N616" s="34"/>
      <c r="O616" s="12"/>
      <c r="P616" s="24">
        <v>49341</v>
      </c>
      <c r="Q616" s="34"/>
      <c r="R616" s="34"/>
      <c r="S616" s="34"/>
      <c r="T616" s="34"/>
      <c r="U616" s="34"/>
      <c r="V616" s="120"/>
      <c r="W616" s="12"/>
    </row>
    <row r="617" spans="5:23" s="98" customFormat="1">
      <c r="E617" s="12"/>
      <c r="F617" s="24">
        <v>49369</v>
      </c>
      <c r="G617" s="34"/>
      <c r="H617" s="34"/>
      <c r="I617" s="34"/>
      <c r="J617" s="34"/>
      <c r="K617" s="12"/>
      <c r="L617" s="24">
        <v>49369</v>
      </c>
      <c r="M617" s="34"/>
      <c r="N617" s="34"/>
      <c r="O617" s="12"/>
      <c r="P617" s="24">
        <v>49369</v>
      </c>
      <c r="Q617" s="34"/>
      <c r="R617" s="34"/>
      <c r="S617" s="34"/>
      <c r="T617" s="34"/>
      <c r="U617" s="34"/>
      <c r="V617" s="120"/>
      <c r="W617" s="12"/>
    </row>
    <row r="618" spans="5:23" s="98" customFormat="1">
      <c r="E618" s="12"/>
      <c r="F618" s="24">
        <v>49400</v>
      </c>
      <c r="G618" s="34"/>
      <c r="H618" s="34"/>
      <c r="I618" s="34"/>
      <c r="J618" s="34"/>
      <c r="K618" s="12"/>
      <c r="L618" s="24">
        <v>49400</v>
      </c>
      <c r="M618" s="34"/>
      <c r="N618" s="34"/>
      <c r="O618" s="12"/>
      <c r="P618" s="24">
        <v>49400</v>
      </c>
      <c r="Q618" s="34"/>
      <c r="R618" s="34"/>
      <c r="S618" s="34"/>
      <c r="T618" s="34"/>
      <c r="U618" s="34"/>
      <c r="V618" s="120"/>
      <c r="W618" s="12"/>
    </row>
    <row r="619" spans="5:23" s="98" customFormat="1">
      <c r="E619" s="12"/>
      <c r="F619" s="24">
        <v>49430</v>
      </c>
      <c r="G619" s="34"/>
      <c r="H619" s="34"/>
      <c r="I619" s="34"/>
      <c r="J619" s="34"/>
      <c r="K619" s="12"/>
      <c r="L619" s="24">
        <v>49430</v>
      </c>
      <c r="M619" s="34"/>
      <c r="N619" s="34"/>
      <c r="O619" s="12"/>
      <c r="P619" s="24">
        <v>49430</v>
      </c>
      <c r="Q619" s="34"/>
      <c r="R619" s="34"/>
      <c r="S619" s="34"/>
      <c r="T619" s="34"/>
      <c r="U619" s="34"/>
      <c r="V619" s="120"/>
      <c r="W619" s="12"/>
    </row>
    <row r="620" spans="5:23" s="98" customFormat="1">
      <c r="E620" s="12"/>
      <c r="F620" s="24">
        <v>49461</v>
      </c>
      <c r="G620" s="34"/>
      <c r="H620" s="34"/>
      <c r="I620" s="34"/>
      <c r="J620" s="34"/>
      <c r="K620" s="12"/>
      <c r="L620" s="24">
        <v>49461</v>
      </c>
      <c r="M620" s="34"/>
      <c r="N620" s="34"/>
      <c r="O620" s="12"/>
      <c r="P620" s="24">
        <v>49461</v>
      </c>
      <c r="Q620" s="34"/>
      <c r="R620" s="34"/>
      <c r="S620" s="34"/>
      <c r="T620" s="34"/>
      <c r="U620" s="34"/>
      <c r="V620" s="120"/>
      <c r="W620" s="12"/>
    </row>
    <row r="621" spans="5:23" s="98" customFormat="1">
      <c r="E621" s="12"/>
      <c r="F621" s="24">
        <v>49491</v>
      </c>
      <c r="G621" s="34"/>
      <c r="H621" s="34"/>
      <c r="I621" s="34"/>
      <c r="J621" s="34"/>
      <c r="K621" s="12"/>
      <c r="L621" s="24">
        <v>49491</v>
      </c>
      <c r="M621" s="34"/>
      <c r="N621" s="34"/>
      <c r="O621" s="12"/>
      <c r="P621" s="24">
        <v>49491</v>
      </c>
      <c r="Q621" s="34"/>
      <c r="R621" s="34"/>
      <c r="S621" s="34"/>
      <c r="T621" s="34"/>
      <c r="U621" s="34"/>
      <c r="V621" s="120"/>
      <c r="W621" s="12"/>
    </row>
    <row r="622" spans="5:23" s="98" customFormat="1">
      <c r="E622" s="12"/>
      <c r="F622" s="24">
        <v>49522</v>
      </c>
      <c r="G622" s="34"/>
      <c r="H622" s="34"/>
      <c r="I622" s="34"/>
      <c r="J622" s="34"/>
      <c r="K622" s="12"/>
      <c r="L622" s="24">
        <v>49522</v>
      </c>
      <c r="M622" s="34"/>
      <c r="N622" s="34"/>
      <c r="O622" s="12"/>
      <c r="P622" s="24">
        <v>49522</v>
      </c>
      <c r="Q622" s="34"/>
      <c r="R622" s="34"/>
      <c r="S622" s="34"/>
      <c r="T622" s="34"/>
      <c r="U622" s="34"/>
      <c r="V622" s="120"/>
      <c r="W622" s="12"/>
    </row>
    <row r="623" spans="5:23" s="98" customFormat="1">
      <c r="E623" s="12"/>
      <c r="F623" s="24">
        <v>49553</v>
      </c>
      <c r="G623" s="34"/>
      <c r="H623" s="34"/>
      <c r="I623" s="34"/>
      <c r="J623" s="34"/>
      <c r="K623" s="12"/>
      <c r="L623" s="24">
        <v>49553</v>
      </c>
      <c r="M623" s="34"/>
      <c r="N623" s="34"/>
      <c r="O623" s="12"/>
      <c r="P623" s="24">
        <v>49553</v>
      </c>
      <c r="Q623" s="34"/>
      <c r="R623" s="34"/>
      <c r="S623" s="34"/>
      <c r="T623" s="34"/>
      <c r="U623" s="34"/>
      <c r="V623" s="120"/>
      <c r="W623" s="12"/>
    </row>
    <row r="624" spans="5:23" s="98" customFormat="1">
      <c r="E624" s="12"/>
      <c r="F624" s="24">
        <v>49583</v>
      </c>
      <c r="G624" s="34"/>
      <c r="H624" s="34"/>
      <c r="I624" s="34"/>
      <c r="J624" s="34"/>
      <c r="K624" s="12"/>
      <c r="L624" s="24">
        <v>49583</v>
      </c>
      <c r="M624" s="34"/>
      <c r="N624" s="34"/>
      <c r="O624" s="12"/>
      <c r="P624" s="24">
        <v>49583</v>
      </c>
      <c r="Q624" s="34"/>
      <c r="R624" s="34"/>
      <c r="S624" s="34"/>
      <c r="T624" s="34"/>
      <c r="U624" s="34"/>
      <c r="V624" s="120"/>
      <c r="W624" s="12"/>
    </row>
    <row r="625" spans="5:23" s="98" customFormat="1">
      <c r="E625" s="12"/>
      <c r="F625" s="24">
        <v>49614</v>
      </c>
      <c r="G625" s="34"/>
      <c r="H625" s="34"/>
      <c r="I625" s="34"/>
      <c r="J625" s="34"/>
      <c r="K625" s="12"/>
      <c r="L625" s="24">
        <v>49614</v>
      </c>
      <c r="M625" s="34"/>
      <c r="N625" s="34"/>
      <c r="O625" s="12"/>
      <c r="P625" s="24">
        <v>49614</v>
      </c>
      <c r="Q625" s="34"/>
      <c r="R625" s="34"/>
      <c r="S625" s="34"/>
      <c r="T625" s="34"/>
      <c r="U625" s="34"/>
      <c r="V625" s="120"/>
      <c r="W625" s="12"/>
    </row>
    <row r="626" spans="5:23" s="98" customFormat="1">
      <c r="E626" s="12"/>
      <c r="F626" s="24">
        <v>49644</v>
      </c>
      <c r="G626" s="34"/>
      <c r="H626" s="34"/>
      <c r="I626" s="34"/>
      <c r="J626" s="34"/>
      <c r="K626" s="12"/>
      <c r="L626" s="24">
        <v>49644</v>
      </c>
      <c r="M626" s="34"/>
      <c r="N626" s="34"/>
      <c r="O626" s="12"/>
      <c r="P626" s="24">
        <v>49644</v>
      </c>
      <c r="Q626" s="34"/>
      <c r="R626" s="34"/>
      <c r="S626" s="34"/>
      <c r="T626" s="34"/>
      <c r="U626" s="34"/>
      <c r="V626" s="120"/>
      <c r="W626" s="12"/>
    </row>
    <row r="627" spans="5:23" s="98" customFormat="1">
      <c r="E627" s="12"/>
      <c r="F627" s="24">
        <v>49675</v>
      </c>
      <c r="G627" s="34"/>
      <c r="H627" s="34"/>
      <c r="I627" s="34"/>
      <c r="J627" s="34"/>
      <c r="K627" s="12"/>
      <c r="L627" s="24">
        <v>49675</v>
      </c>
      <c r="M627" s="34"/>
      <c r="N627" s="34"/>
      <c r="O627" s="12"/>
      <c r="P627" s="24">
        <v>49675</v>
      </c>
      <c r="Q627" s="34"/>
      <c r="R627" s="34"/>
      <c r="S627" s="34"/>
      <c r="T627" s="34"/>
      <c r="U627" s="34"/>
      <c r="V627" s="120"/>
      <c r="W627" s="12"/>
    </row>
    <row r="628" spans="5:23" s="98" customFormat="1">
      <c r="E628" s="12"/>
      <c r="F628" s="24">
        <v>49706</v>
      </c>
      <c r="G628" s="34"/>
      <c r="H628" s="34"/>
      <c r="I628" s="34"/>
      <c r="J628" s="34"/>
      <c r="K628" s="12"/>
      <c r="L628" s="24">
        <v>49706</v>
      </c>
      <c r="M628" s="34"/>
      <c r="N628" s="34"/>
      <c r="O628" s="12"/>
      <c r="P628" s="24">
        <v>49706</v>
      </c>
      <c r="Q628" s="34"/>
      <c r="R628" s="34"/>
      <c r="S628" s="34"/>
      <c r="T628" s="34"/>
      <c r="U628" s="34"/>
      <c r="V628" s="120"/>
      <c r="W628" s="12"/>
    </row>
    <row r="629" spans="5:23" s="98" customFormat="1">
      <c r="E629" s="12"/>
      <c r="F629" s="24">
        <v>49735</v>
      </c>
      <c r="G629" s="34"/>
      <c r="H629" s="34"/>
      <c r="I629" s="34"/>
      <c r="J629" s="34"/>
      <c r="K629" s="12"/>
      <c r="L629" s="24">
        <v>49735</v>
      </c>
      <c r="M629" s="34"/>
      <c r="N629" s="34"/>
      <c r="O629" s="12"/>
      <c r="P629" s="24">
        <v>49735</v>
      </c>
      <c r="Q629" s="34"/>
      <c r="R629" s="34"/>
      <c r="S629" s="34"/>
      <c r="T629" s="34"/>
      <c r="U629" s="34"/>
      <c r="V629" s="120"/>
      <c r="W629" s="12"/>
    </row>
    <row r="630" spans="5:23" s="98" customFormat="1">
      <c r="E630" s="12"/>
      <c r="F630" s="24">
        <v>49766</v>
      </c>
      <c r="G630" s="34"/>
      <c r="H630" s="34"/>
      <c r="I630" s="34"/>
      <c r="J630" s="34"/>
      <c r="K630" s="12"/>
      <c r="L630" s="24">
        <v>49766</v>
      </c>
      <c r="M630" s="34"/>
      <c r="N630" s="34"/>
      <c r="O630" s="12"/>
      <c r="P630" s="24">
        <v>49766</v>
      </c>
      <c r="Q630" s="34"/>
      <c r="R630" s="34"/>
      <c r="S630" s="34"/>
      <c r="T630" s="34"/>
      <c r="U630" s="34"/>
      <c r="V630" s="120"/>
      <c r="W630" s="12"/>
    </row>
    <row r="631" spans="5:23" s="98" customFormat="1">
      <c r="E631" s="12"/>
      <c r="F631" s="24">
        <v>49796</v>
      </c>
      <c r="G631" s="34"/>
      <c r="H631" s="34"/>
      <c r="I631" s="34"/>
      <c r="J631" s="34"/>
      <c r="K631" s="12"/>
      <c r="L631" s="24">
        <v>49796</v>
      </c>
      <c r="M631" s="34"/>
      <c r="N631" s="34"/>
      <c r="O631" s="12"/>
      <c r="P631" s="24">
        <v>49796</v>
      </c>
      <c r="Q631" s="34"/>
      <c r="R631" s="34"/>
      <c r="S631" s="34"/>
      <c r="T631" s="34"/>
      <c r="U631" s="34"/>
      <c r="V631" s="120"/>
      <c r="W631" s="12"/>
    </row>
    <row r="632" spans="5:23" s="98" customFormat="1">
      <c r="E632" s="12"/>
      <c r="F632" s="24">
        <v>49827</v>
      </c>
      <c r="G632" s="34"/>
      <c r="H632" s="34"/>
      <c r="I632" s="34"/>
      <c r="J632" s="34"/>
      <c r="K632" s="12"/>
      <c r="L632" s="24">
        <v>49827</v>
      </c>
      <c r="M632" s="34"/>
      <c r="N632" s="34"/>
      <c r="O632" s="12"/>
      <c r="P632" s="24">
        <v>49827</v>
      </c>
      <c r="Q632" s="34"/>
      <c r="R632" s="34"/>
      <c r="S632" s="34"/>
      <c r="T632" s="34"/>
      <c r="U632" s="34"/>
      <c r="V632" s="120"/>
      <c r="W632" s="12"/>
    </row>
    <row r="633" spans="5:23" s="98" customFormat="1">
      <c r="E633" s="12"/>
      <c r="F633" s="24">
        <v>49857</v>
      </c>
      <c r="G633" s="34"/>
      <c r="H633" s="34"/>
      <c r="I633" s="34"/>
      <c r="J633" s="34"/>
      <c r="K633" s="12"/>
      <c r="L633" s="24">
        <v>49857</v>
      </c>
      <c r="M633" s="34"/>
      <c r="N633" s="34"/>
      <c r="O633" s="12"/>
      <c r="P633" s="24">
        <v>49857</v>
      </c>
      <c r="Q633" s="34"/>
      <c r="R633" s="34"/>
      <c r="S633" s="34"/>
      <c r="T633" s="34"/>
      <c r="U633" s="34"/>
      <c r="V633" s="120"/>
      <c r="W633" s="12"/>
    </row>
    <row r="634" spans="5:23" s="98" customFormat="1">
      <c r="E634" s="12"/>
      <c r="F634" s="24">
        <v>49888</v>
      </c>
      <c r="G634" s="34"/>
      <c r="H634" s="34"/>
      <c r="I634" s="34"/>
      <c r="J634" s="34"/>
      <c r="K634" s="12"/>
      <c r="L634" s="24">
        <v>49888</v>
      </c>
      <c r="M634" s="34"/>
      <c r="N634" s="34"/>
      <c r="O634" s="12"/>
      <c r="P634" s="24">
        <v>49888</v>
      </c>
      <c r="Q634" s="34"/>
      <c r="R634" s="34"/>
      <c r="S634" s="34"/>
      <c r="T634" s="34"/>
      <c r="U634" s="34"/>
      <c r="V634" s="120"/>
      <c r="W634" s="12"/>
    </row>
    <row r="635" spans="5:23" s="98" customFormat="1">
      <c r="E635" s="12"/>
      <c r="F635" s="24">
        <v>49919</v>
      </c>
      <c r="G635" s="34"/>
      <c r="H635" s="34"/>
      <c r="I635" s="34"/>
      <c r="J635" s="34"/>
      <c r="K635" s="12"/>
      <c r="L635" s="24">
        <v>49919</v>
      </c>
      <c r="M635" s="34"/>
      <c r="N635" s="34"/>
      <c r="O635" s="12"/>
      <c r="P635" s="24">
        <v>49919</v>
      </c>
      <c r="Q635" s="34"/>
      <c r="R635" s="34"/>
      <c r="S635" s="34"/>
      <c r="T635" s="34"/>
      <c r="U635" s="34"/>
      <c r="V635" s="120"/>
      <c r="W635" s="12"/>
    </row>
    <row r="636" spans="5:23" s="98" customFormat="1">
      <c r="E636" s="12"/>
      <c r="F636" s="24">
        <v>49949</v>
      </c>
      <c r="G636" s="34"/>
      <c r="H636" s="34"/>
      <c r="I636" s="34"/>
      <c r="J636" s="34"/>
      <c r="K636" s="12"/>
      <c r="L636" s="24">
        <v>49949</v>
      </c>
      <c r="M636" s="34"/>
      <c r="N636" s="34"/>
      <c r="O636" s="12"/>
      <c r="P636" s="24">
        <v>49949</v>
      </c>
      <c r="Q636" s="34"/>
      <c r="R636" s="34"/>
      <c r="S636" s="34"/>
      <c r="T636" s="34"/>
      <c r="U636" s="34"/>
      <c r="V636" s="120"/>
      <c r="W636" s="12"/>
    </row>
    <row r="637" spans="5:23" s="98" customFormat="1">
      <c r="E637" s="12"/>
      <c r="F637" s="24">
        <v>49980</v>
      </c>
      <c r="G637" s="34"/>
      <c r="H637" s="34"/>
      <c r="I637" s="34"/>
      <c r="J637" s="34"/>
      <c r="K637" s="12"/>
      <c r="L637" s="24">
        <v>49980</v>
      </c>
      <c r="M637" s="34"/>
      <c r="N637" s="34"/>
      <c r="O637" s="12"/>
      <c r="P637" s="24">
        <v>49980</v>
      </c>
      <c r="Q637" s="34"/>
      <c r="R637" s="34"/>
      <c r="S637" s="34"/>
      <c r="T637" s="34"/>
      <c r="U637" s="34"/>
      <c r="V637" s="120"/>
      <c r="W637" s="12"/>
    </row>
    <row r="638" spans="5:23" s="98" customFormat="1">
      <c r="E638" s="12"/>
      <c r="F638" s="24">
        <v>50010</v>
      </c>
      <c r="G638" s="34"/>
      <c r="H638" s="34"/>
      <c r="I638" s="34"/>
      <c r="J638" s="34"/>
      <c r="K638" s="12"/>
      <c r="L638" s="24">
        <v>50010</v>
      </c>
      <c r="M638" s="34"/>
      <c r="N638" s="34"/>
      <c r="O638" s="12"/>
      <c r="P638" s="24">
        <v>50010</v>
      </c>
      <c r="Q638" s="34"/>
      <c r="R638" s="34"/>
      <c r="S638" s="34"/>
      <c r="T638" s="34"/>
      <c r="U638" s="34"/>
      <c r="V638" s="120"/>
      <c r="W638" s="12"/>
    </row>
    <row r="639" spans="5:23" s="98" customFormat="1">
      <c r="E639" s="12"/>
      <c r="F639" s="24">
        <v>50041</v>
      </c>
      <c r="G639" s="34"/>
      <c r="H639" s="34"/>
      <c r="I639" s="34"/>
      <c r="J639" s="34"/>
      <c r="K639" s="12"/>
      <c r="L639" s="24">
        <v>50041</v>
      </c>
      <c r="M639" s="34"/>
      <c r="N639" s="34"/>
      <c r="O639" s="12"/>
      <c r="P639" s="24">
        <v>50041</v>
      </c>
      <c r="Q639" s="34"/>
      <c r="R639" s="34"/>
      <c r="S639" s="34"/>
      <c r="T639" s="34"/>
      <c r="U639" s="34"/>
      <c r="V639" s="120"/>
      <c r="W639" s="12"/>
    </row>
    <row r="640" spans="5:23" s="98" customFormat="1">
      <c r="E640" s="12"/>
      <c r="F640" s="24">
        <v>50072</v>
      </c>
      <c r="G640" s="34"/>
      <c r="H640" s="34"/>
      <c r="I640" s="34"/>
      <c r="J640" s="34"/>
      <c r="K640" s="12"/>
      <c r="L640" s="24">
        <v>50072</v>
      </c>
      <c r="M640" s="34"/>
      <c r="N640" s="34"/>
      <c r="O640" s="12"/>
      <c r="P640" s="24">
        <v>50072</v>
      </c>
      <c r="Q640" s="34"/>
      <c r="R640" s="34"/>
      <c r="S640" s="34"/>
      <c r="T640" s="34"/>
      <c r="U640" s="34"/>
      <c r="V640" s="120"/>
      <c r="W640" s="12"/>
    </row>
    <row r="641" spans="5:23" s="98" customFormat="1">
      <c r="E641" s="12"/>
      <c r="F641" s="24">
        <v>50100</v>
      </c>
      <c r="G641" s="34"/>
      <c r="H641" s="34"/>
      <c r="I641" s="34"/>
      <c r="J641" s="34"/>
      <c r="K641" s="12"/>
      <c r="L641" s="24">
        <v>50100</v>
      </c>
      <c r="M641" s="34"/>
      <c r="N641" s="34"/>
      <c r="O641" s="12"/>
      <c r="P641" s="24">
        <v>50100</v>
      </c>
      <c r="Q641" s="34"/>
      <c r="R641" s="34"/>
      <c r="S641" s="34"/>
      <c r="T641" s="34"/>
      <c r="U641" s="34"/>
      <c r="V641" s="120"/>
      <c r="W641" s="12"/>
    </row>
    <row r="642" spans="5:23" s="98" customFormat="1">
      <c r="E642" s="12"/>
      <c r="F642" s="24">
        <v>50131</v>
      </c>
      <c r="G642" s="34"/>
      <c r="H642" s="34"/>
      <c r="I642" s="34"/>
      <c r="J642" s="34"/>
      <c r="K642" s="12"/>
      <c r="L642" s="24">
        <v>50131</v>
      </c>
      <c r="M642" s="34"/>
      <c r="N642" s="34"/>
      <c r="O642" s="12"/>
      <c r="P642" s="24">
        <v>50131</v>
      </c>
      <c r="Q642" s="34"/>
      <c r="R642" s="34"/>
      <c r="S642" s="34"/>
      <c r="T642" s="34"/>
      <c r="U642" s="34"/>
      <c r="V642" s="120"/>
      <c r="W642" s="12"/>
    </row>
    <row r="643" spans="5:23" s="98" customFormat="1">
      <c r="E643" s="12"/>
      <c r="F643" s="24">
        <v>50161</v>
      </c>
      <c r="G643" s="34"/>
      <c r="H643" s="34"/>
      <c r="I643" s="34"/>
      <c r="J643" s="34"/>
      <c r="K643" s="12"/>
      <c r="L643" s="24">
        <v>50161</v>
      </c>
      <c r="M643" s="34"/>
      <c r="N643" s="34"/>
      <c r="O643" s="12"/>
      <c r="P643" s="24">
        <v>50161</v>
      </c>
      <c r="Q643" s="34"/>
      <c r="R643" s="34"/>
      <c r="S643" s="34"/>
      <c r="T643" s="34"/>
      <c r="U643" s="34"/>
      <c r="V643" s="120"/>
      <c r="W643" s="12"/>
    </row>
    <row r="644" spans="5:23" s="98" customFormat="1">
      <c r="E644" s="12"/>
      <c r="F644" s="24">
        <v>50192</v>
      </c>
      <c r="G644" s="34"/>
      <c r="H644" s="34"/>
      <c r="I644" s="34"/>
      <c r="J644" s="34"/>
      <c r="K644" s="12"/>
      <c r="L644" s="24">
        <v>50192</v>
      </c>
      <c r="M644" s="34"/>
      <c r="N644" s="34"/>
      <c r="O644" s="12"/>
      <c r="P644" s="24">
        <v>50192</v>
      </c>
      <c r="Q644" s="34"/>
      <c r="R644" s="34"/>
      <c r="S644" s="34"/>
      <c r="T644" s="34"/>
      <c r="U644" s="34"/>
      <c r="V644" s="120"/>
      <c r="W644" s="12"/>
    </row>
    <row r="645" spans="5:23" s="98" customFormat="1">
      <c r="E645" s="12"/>
      <c r="F645" s="24">
        <v>50222</v>
      </c>
      <c r="G645" s="34"/>
      <c r="H645" s="34"/>
      <c r="I645" s="34"/>
      <c r="J645" s="34"/>
      <c r="K645" s="12"/>
      <c r="L645" s="24">
        <v>50222</v>
      </c>
      <c r="M645" s="34"/>
      <c r="N645" s="34"/>
      <c r="O645" s="12"/>
      <c r="P645" s="24">
        <v>50222</v>
      </c>
      <c r="Q645" s="34"/>
      <c r="R645" s="34"/>
      <c r="S645" s="34"/>
      <c r="T645" s="34"/>
      <c r="U645" s="34"/>
      <c r="V645" s="120"/>
      <c r="W645" s="12"/>
    </row>
    <row r="646" spans="5:23" s="98" customFormat="1">
      <c r="E646" s="12"/>
      <c r="F646" s="24">
        <v>50253</v>
      </c>
      <c r="G646" s="34"/>
      <c r="H646" s="34"/>
      <c r="I646" s="34"/>
      <c r="J646" s="34"/>
      <c r="K646" s="12"/>
      <c r="L646" s="24">
        <v>50253</v>
      </c>
      <c r="M646" s="34"/>
      <c r="N646" s="34"/>
      <c r="O646" s="12"/>
      <c r="P646" s="24">
        <v>50253</v>
      </c>
      <c r="Q646" s="34"/>
      <c r="R646" s="34"/>
      <c r="S646" s="34"/>
      <c r="T646" s="34"/>
      <c r="U646" s="34"/>
      <c r="V646" s="120"/>
      <c r="W646" s="12"/>
    </row>
    <row r="647" spans="5:23" s="98" customFormat="1">
      <c r="E647" s="12"/>
      <c r="F647" s="24">
        <v>50284</v>
      </c>
      <c r="G647" s="34"/>
      <c r="H647" s="34"/>
      <c r="I647" s="34"/>
      <c r="J647" s="34"/>
      <c r="K647" s="12"/>
      <c r="L647" s="24">
        <v>50284</v>
      </c>
      <c r="M647" s="34"/>
      <c r="N647" s="34"/>
      <c r="O647" s="12"/>
      <c r="P647" s="24">
        <v>50284</v>
      </c>
      <c r="Q647" s="34"/>
      <c r="R647" s="34"/>
      <c r="S647" s="34"/>
      <c r="T647" s="34"/>
      <c r="U647" s="34"/>
      <c r="V647" s="120"/>
      <c r="W647" s="12"/>
    </row>
    <row r="648" spans="5:23" s="98" customFormat="1">
      <c r="E648" s="12"/>
      <c r="F648" s="24">
        <v>50314</v>
      </c>
      <c r="G648" s="34"/>
      <c r="H648" s="34"/>
      <c r="I648" s="34"/>
      <c r="J648" s="34"/>
      <c r="K648" s="12"/>
      <c r="L648" s="24">
        <v>50314</v>
      </c>
      <c r="M648" s="34"/>
      <c r="N648" s="34"/>
      <c r="O648" s="12"/>
      <c r="P648" s="24">
        <v>50314</v>
      </c>
      <c r="Q648" s="34"/>
      <c r="R648" s="34"/>
      <c r="S648" s="34"/>
      <c r="T648" s="34"/>
      <c r="U648" s="34"/>
      <c r="V648" s="120"/>
      <c r="W648" s="12"/>
    </row>
    <row r="649" spans="5:23" s="98" customFormat="1">
      <c r="E649" s="12"/>
      <c r="F649" s="24">
        <v>50345</v>
      </c>
      <c r="G649" s="34"/>
      <c r="H649" s="34"/>
      <c r="I649" s="34"/>
      <c r="J649" s="34"/>
      <c r="K649" s="12"/>
      <c r="L649" s="24">
        <v>50345</v>
      </c>
      <c r="M649" s="34"/>
      <c r="N649" s="34"/>
      <c r="O649" s="12"/>
      <c r="P649" s="24">
        <v>50345</v>
      </c>
      <c r="Q649" s="34"/>
      <c r="R649" s="34"/>
      <c r="S649" s="34"/>
      <c r="T649" s="34"/>
      <c r="U649" s="34"/>
      <c r="V649" s="120"/>
      <c r="W649" s="12"/>
    </row>
    <row r="650" spans="5:23" s="98" customFormat="1">
      <c r="E650" s="12"/>
      <c r="F650" s="24">
        <v>50375</v>
      </c>
      <c r="G650" s="34"/>
      <c r="H650" s="34"/>
      <c r="I650" s="34"/>
      <c r="J650" s="34"/>
      <c r="K650" s="12"/>
      <c r="L650" s="24">
        <v>50375</v>
      </c>
      <c r="M650" s="34"/>
      <c r="N650" s="34"/>
      <c r="O650" s="12"/>
      <c r="P650" s="24">
        <v>50375</v>
      </c>
      <c r="Q650" s="34"/>
      <c r="R650" s="34"/>
      <c r="S650" s="34"/>
      <c r="T650" s="34"/>
      <c r="U650" s="34"/>
      <c r="V650" s="120"/>
      <c r="W650" s="12"/>
    </row>
    <row r="651" spans="5:23" s="98" customFormat="1">
      <c r="E651" s="12"/>
      <c r="F651" s="24">
        <v>50406</v>
      </c>
      <c r="G651" s="34"/>
      <c r="H651" s="34"/>
      <c r="I651" s="34"/>
      <c r="J651" s="34"/>
      <c r="K651" s="12"/>
      <c r="L651" s="24">
        <v>50406</v>
      </c>
      <c r="M651" s="34"/>
      <c r="N651" s="34"/>
      <c r="O651" s="12"/>
      <c r="P651" s="24">
        <v>50406</v>
      </c>
      <c r="Q651" s="34"/>
      <c r="R651" s="34"/>
      <c r="S651" s="34"/>
      <c r="T651" s="34"/>
      <c r="U651" s="34"/>
      <c r="V651" s="120"/>
      <c r="W651" s="12"/>
    </row>
    <row r="652" spans="5:23" s="98" customFormat="1">
      <c r="E652" s="12"/>
      <c r="F652" s="24">
        <v>50437</v>
      </c>
      <c r="G652" s="34"/>
      <c r="H652" s="34"/>
      <c r="I652" s="34"/>
      <c r="J652" s="34"/>
      <c r="K652" s="12"/>
      <c r="L652" s="24">
        <v>50437</v>
      </c>
      <c r="M652" s="34"/>
      <c r="N652" s="34"/>
      <c r="O652" s="12"/>
      <c r="P652" s="24">
        <v>50437</v>
      </c>
      <c r="Q652" s="34"/>
      <c r="R652" s="34"/>
      <c r="S652" s="34"/>
      <c r="T652" s="34"/>
      <c r="U652" s="34"/>
      <c r="V652" s="120"/>
      <c r="W652" s="12"/>
    </row>
    <row r="653" spans="5:23" s="98" customFormat="1">
      <c r="E653" s="12"/>
      <c r="F653" s="24">
        <v>50465</v>
      </c>
      <c r="G653" s="34"/>
      <c r="H653" s="34"/>
      <c r="I653" s="34"/>
      <c r="J653" s="34"/>
      <c r="K653" s="12"/>
      <c r="L653" s="24">
        <v>50465</v>
      </c>
      <c r="M653" s="34"/>
      <c r="N653" s="34"/>
      <c r="O653" s="12"/>
      <c r="P653" s="24">
        <v>50465</v>
      </c>
      <c r="Q653" s="34"/>
      <c r="R653" s="34"/>
      <c r="S653" s="34"/>
      <c r="T653" s="34"/>
      <c r="U653" s="34"/>
      <c r="V653" s="120"/>
      <c r="W653" s="12"/>
    </row>
    <row r="654" spans="5:23" s="98" customFormat="1">
      <c r="E654" s="12"/>
      <c r="F654" s="24">
        <v>50496</v>
      </c>
      <c r="G654" s="34"/>
      <c r="H654" s="34"/>
      <c r="I654" s="34"/>
      <c r="J654" s="34"/>
      <c r="K654" s="12"/>
      <c r="L654" s="24">
        <v>50496</v>
      </c>
      <c r="M654" s="34"/>
      <c r="N654" s="34"/>
      <c r="O654" s="12"/>
      <c r="P654" s="24">
        <v>50496</v>
      </c>
      <c r="Q654" s="34"/>
      <c r="R654" s="34"/>
      <c r="S654" s="34"/>
      <c r="T654" s="34"/>
      <c r="U654" s="34"/>
      <c r="V654" s="120"/>
      <c r="W654" s="12"/>
    </row>
    <row r="655" spans="5:23" s="98" customFormat="1">
      <c r="E655" s="12"/>
      <c r="F655" s="24">
        <v>50526</v>
      </c>
      <c r="G655" s="34"/>
      <c r="H655" s="34"/>
      <c r="I655" s="34"/>
      <c r="J655" s="34"/>
      <c r="K655" s="12"/>
      <c r="L655" s="24">
        <v>50526</v>
      </c>
      <c r="M655" s="34"/>
      <c r="N655" s="34"/>
      <c r="O655" s="12"/>
      <c r="P655" s="24">
        <v>50526</v>
      </c>
      <c r="Q655" s="34"/>
      <c r="R655" s="34"/>
      <c r="S655" s="34"/>
      <c r="T655" s="34"/>
      <c r="U655" s="34"/>
      <c r="V655" s="120"/>
      <c r="W655" s="12"/>
    </row>
    <row r="656" spans="5:23" s="98" customFormat="1">
      <c r="E656" s="12"/>
      <c r="F656" s="24">
        <v>50557</v>
      </c>
      <c r="G656" s="34"/>
      <c r="H656" s="34"/>
      <c r="I656" s="34"/>
      <c r="J656" s="34"/>
      <c r="K656" s="12"/>
      <c r="L656" s="24">
        <v>50557</v>
      </c>
      <c r="M656" s="34"/>
      <c r="N656" s="34"/>
      <c r="O656" s="12"/>
      <c r="P656" s="24">
        <v>50557</v>
      </c>
      <c r="Q656" s="34"/>
      <c r="R656" s="34"/>
      <c r="S656" s="34"/>
      <c r="T656" s="34"/>
      <c r="U656" s="34"/>
      <c r="V656" s="120"/>
      <c r="W656" s="12"/>
    </row>
    <row r="657" spans="5:23" s="98" customFormat="1">
      <c r="E657" s="12"/>
      <c r="F657" s="24">
        <v>50587</v>
      </c>
      <c r="G657" s="34"/>
      <c r="H657" s="34"/>
      <c r="I657" s="34"/>
      <c r="J657" s="34"/>
      <c r="K657" s="12"/>
      <c r="L657" s="24">
        <v>50587</v>
      </c>
      <c r="M657" s="34"/>
      <c r="N657" s="34"/>
      <c r="O657" s="12"/>
      <c r="P657" s="24">
        <v>50587</v>
      </c>
      <c r="Q657" s="34"/>
      <c r="R657" s="34"/>
      <c r="S657" s="34"/>
      <c r="T657" s="34"/>
      <c r="U657" s="34"/>
      <c r="V657" s="120"/>
      <c r="W657" s="12"/>
    </row>
    <row r="658" spans="5:23" s="98" customFormat="1">
      <c r="E658" s="12"/>
      <c r="F658" s="24">
        <v>50618</v>
      </c>
      <c r="G658" s="34"/>
      <c r="H658" s="34"/>
      <c r="I658" s="34"/>
      <c r="J658" s="34"/>
      <c r="K658" s="12"/>
      <c r="L658" s="24">
        <v>50618</v>
      </c>
      <c r="M658" s="34"/>
      <c r="N658" s="34"/>
      <c r="O658" s="12"/>
      <c r="P658" s="24">
        <v>50618</v>
      </c>
      <c r="Q658" s="34"/>
      <c r="R658" s="34"/>
      <c r="S658" s="34"/>
      <c r="T658" s="34"/>
      <c r="U658" s="34"/>
      <c r="V658" s="120"/>
      <c r="W658" s="12"/>
    </row>
    <row r="659" spans="5:23" s="98" customFormat="1">
      <c r="E659" s="12"/>
      <c r="F659" s="24">
        <v>50649</v>
      </c>
      <c r="G659" s="34"/>
      <c r="H659" s="34"/>
      <c r="I659" s="34"/>
      <c r="J659" s="34"/>
      <c r="K659" s="12"/>
      <c r="L659" s="24">
        <v>50649</v>
      </c>
      <c r="M659" s="34"/>
      <c r="N659" s="34"/>
      <c r="O659" s="12"/>
      <c r="P659" s="24">
        <v>50649</v>
      </c>
      <c r="Q659" s="34"/>
      <c r="R659" s="34"/>
      <c r="S659" s="34"/>
      <c r="T659" s="34"/>
      <c r="U659" s="34"/>
      <c r="V659" s="120"/>
      <c r="W659" s="12"/>
    </row>
    <row r="660" spans="5:23" s="98" customFormat="1">
      <c r="E660" s="12"/>
      <c r="F660" s="24">
        <v>50679</v>
      </c>
      <c r="G660" s="34"/>
      <c r="H660" s="34"/>
      <c r="I660" s="34"/>
      <c r="J660" s="34"/>
      <c r="K660" s="12"/>
      <c r="L660" s="24">
        <v>50679</v>
      </c>
      <c r="M660" s="34"/>
      <c r="N660" s="34"/>
      <c r="O660" s="12"/>
      <c r="P660" s="24">
        <v>50679</v>
      </c>
      <c r="Q660" s="34"/>
      <c r="R660" s="34"/>
      <c r="S660" s="34"/>
      <c r="T660" s="34"/>
      <c r="U660" s="34"/>
      <c r="V660" s="120"/>
      <c r="W660" s="12"/>
    </row>
    <row r="661" spans="5:23" s="98" customFormat="1">
      <c r="E661" s="12"/>
      <c r="F661" s="24">
        <v>50710</v>
      </c>
      <c r="G661" s="34"/>
      <c r="H661" s="34"/>
      <c r="I661" s="34"/>
      <c r="J661" s="34"/>
      <c r="K661" s="12"/>
      <c r="L661" s="24">
        <v>50710</v>
      </c>
      <c r="M661" s="34"/>
      <c r="N661" s="34"/>
      <c r="O661" s="12"/>
      <c r="P661" s="24">
        <v>50710</v>
      </c>
      <c r="Q661" s="34"/>
      <c r="R661" s="34"/>
      <c r="S661" s="34"/>
      <c r="T661" s="34"/>
      <c r="U661" s="34"/>
      <c r="V661" s="120"/>
      <c r="W661" s="12"/>
    </row>
    <row r="662" spans="5:23" s="98" customFormat="1">
      <c r="E662" s="12"/>
      <c r="F662" s="24">
        <v>50740</v>
      </c>
      <c r="G662" s="34"/>
      <c r="H662" s="34"/>
      <c r="I662" s="34"/>
      <c r="J662" s="34"/>
      <c r="K662" s="12"/>
      <c r="L662" s="24">
        <v>50740</v>
      </c>
      <c r="M662" s="34"/>
      <c r="N662" s="34"/>
      <c r="O662" s="12"/>
      <c r="P662" s="24">
        <v>50740</v>
      </c>
      <c r="Q662" s="34"/>
      <c r="R662" s="34"/>
      <c r="S662" s="34"/>
      <c r="T662" s="34"/>
      <c r="U662" s="34"/>
      <c r="V662" s="120"/>
      <c r="W662" s="12"/>
    </row>
    <row r="663" spans="5:23" s="98" customFormat="1">
      <c r="E663" s="12"/>
      <c r="F663" s="24">
        <v>50771</v>
      </c>
      <c r="G663" s="34"/>
      <c r="H663" s="34"/>
      <c r="I663" s="34"/>
      <c r="J663" s="34"/>
      <c r="K663" s="12"/>
      <c r="L663" s="24">
        <v>50771</v>
      </c>
      <c r="M663" s="34"/>
      <c r="N663" s="34"/>
      <c r="O663" s="12"/>
      <c r="P663" s="24">
        <v>50771</v>
      </c>
      <c r="Q663" s="34"/>
      <c r="R663" s="34"/>
      <c r="S663" s="34"/>
      <c r="T663" s="34"/>
      <c r="U663" s="34"/>
      <c r="V663" s="120"/>
      <c r="W663" s="12"/>
    </row>
    <row r="664" spans="5:23" s="98" customFormat="1">
      <c r="E664" s="12"/>
      <c r="F664" s="24">
        <v>50802</v>
      </c>
      <c r="G664" s="34"/>
      <c r="H664" s="34"/>
      <c r="I664" s="34"/>
      <c r="J664" s="34"/>
      <c r="K664" s="12"/>
      <c r="L664" s="24">
        <v>50802</v>
      </c>
      <c r="M664" s="34"/>
      <c r="N664" s="34"/>
      <c r="O664" s="12"/>
      <c r="P664" s="24">
        <v>50802</v>
      </c>
      <c r="Q664" s="34"/>
      <c r="R664" s="34"/>
      <c r="S664" s="34"/>
      <c r="T664" s="34"/>
      <c r="U664" s="34"/>
      <c r="V664" s="120"/>
      <c r="W664" s="12"/>
    </row>
    <row r="665" spans="5:23" s="98" customFormat="1">
      <c r="E665" s="12"/>
      <c r="F665" s="24">
        <v>50830</v>
      </c>
      <c r="G665" s="34"/>
      <c r="H665" s="34"/>
      <c r="I665" s="34"/>
      <c r="J665" s="34"/>
      <c r="K665" s="12"/>
      <c r="L665" s="24">
        <v>50830</v>
      </c>
      <c r="M665" s="34"/>
      <c r="N665" s="34"/>
      <c r="O665" s="12"/>
      <c r="P665" s="24">
        <v>50830</v>
      </c>
      <c r="Q665" s="34"/>
      <c r="R665" s="34"/>
      <c r="S665" s="34"/>
      <c r="T665" s="34"/>
      <c r="U665" s="34"/>
      <c r="V665" s="120"/>
      <c r="W665" s="12"/>
    </row>
    <row r="666" spans="5:23" s="98" customFormat="1">
      <c r="E666" s="12"/>
      <c r="F666" s="24">
        <v>50861</v>
      </c>
      <c r="G666" s="34"/>
      <c r="H666" s="34"/>
      <c r="I666" s="34"/>
      <c r="J666" s="34"/>
      <c r="K666" s="12"/>
      <c r="L666" s="24">
        <v>50861</v>
      </c>
      <c r="M666" s="34"/>
      <c r="N666" s="34"/>
      <c r="O666" s="12"/>
      <c r="P666" s="24">
        <v>50861</v>
      </c>
      <c r="Q666" s="34"/>
      <c r="R666" s="34"/>
      <c r="S666" s="34"/>
      <c r="T666" s="34"/>
      <c r="U666" s="34"/>
      <c r="V666" s="120"/>
      <c r="W666" s="12"/>
    </row>
    <row r="667" spans="5:23" s="98" customFormat="1">
      <c r="E667" s="12"/>
      <c r="F667" s="24">
        <v>50891</v>
      </c>
      <c r="G667" s="34"/>
      <c r="H667" s="34"/>
      <c r="I667" s="34"/>
      <c r="J667" s="34"/>
      <c r="K667" s="12"/>
      <c r="L667" s="24">
        <v>50891</v>
      </c>
      <c r="M667" s="34"/>
      <c r="N667" s="34"/>
      <c r="O667" s="12"/>
      <c r="P667" s="24">
        <v>50891</v>
      </c>
      <c r="Q667" s="34"/>
      <c r="R667" s="34"/>
      <c r="S667" s="34"/>
      <c r="T667" s="34"/>
      <c r="U667" s="34"/>
      <c r="V667" s="120"/>
      <c r="W667" s="12"/>
    </row>
    <row r="668" spans="5:23" s="98" customFormat="1">
      <c r="E668" s="12"/>
      <c r="F668" s="24">
        <v>50922</v>
      </c>
      <c r="G668" s="34"/>
      <c r="H668" s="34"/>
      <c r="I668" s="34"/>
      <c r="J668" s="34"/>
      <c r="K668" s="12"/>
      <c r="L668" s="24">
        <v>50922</v>
      </c>
      <c r="M668" s="34"/>
      <c r="N668" s="34"/>
      <c r="O668" s="12"/>
      <c r="P668" s="24">
        <v>50922</v>
      </c>
      <c r="Q668" s="34"/>
      <c r="R668" s="34"/>
      <c r="S668" s="34"/>
      <c r="T668" s="34"/>
      <c r="U668" s="34"/>
      <c r="V668" s="120"/>
      <c r="W668" s="12"/>
    </row>
    <row r="669" spans="5:23" s="98" customFormat="1">
      <c r="E669" s="12"/>
      <c r="F669" s="24">
        <v>50952</v>
      </c>
      <c r="G669" s="34"/>
      <c r="H669" s="34"/>
      <c r="I669" s="34"/>
      <c r="J669" s="34"/>
      <c r="K669" s="12"/>
      <c r="L669" s="24">
        <v>50952</v>
      </c>
      <c r="M669" s="34"/>
      <c r="N669" s="34"/>
      <c r="O669" s="12"/>
      <c r="P669" s="24">
        <v>50952</v>
      </c>
      <c r="Q669" s="34"/>
      <c r="R669" s="34"/>
      <c r="S669" s="34"/>
      <c r="T669" s="34"/>
      <c r="U669" s="34"/>
      <c r="V669" s="120"/>
      <c r="W669" s="12"/>
    </row>
    <row r="670" spans="5:23" s="98" customFormat="1">
      <c r="E670" s="12"/>
      <c r="F670" s="24">
        <v>50983</v>
      </c>
      <c r="G670" s="34"/>
      <c r="H670" s="34"/>
      <c r="I670" s="34"/>
      <c r="J670" s="34"/>
      <c r="K670" s="12"/>
      <c r="L670" s="24">
        <v>50983</v>
      </c>
      <c r="M670" s="34"/>
      <c r="N670" s="34"/>
      <c r="O670" s="12"/>
      <c r="P670" s="24">
        <v>50983</v>
      </c>
      <c r="Q670" s="34"/>
      <c r="R670" s="34"/>
      <c r="S670" s="34"/>
      <c r="T670" s="34"/>
      <c r="U670" s="34"/>
      <c r="V670" s="120"/>
      <c r="W670" s="12"/>
    </row>
    <row r="671" spans="5:23" s="98" customFormat="1">
      <c r="E671" s="12"/>
      <c r="F671" s="24">
        <v>51014</v>
      </c>
      <c r="G671" s="34"/>
      <c r="H671" s="34"/>
      <c r="I671" s="34"/>
      <c r="J671" s="34"/>
      <c r="K671" s="12"/>
      <c r="L671" s="24">
        <v>51014</v>
      </c>
      <c r="M671" s="34"/>
      <c r="N671" s="34"/>
      <c r="O671" s="12"/>
      <c r="P671" s="24">
        <v>51014</v>
      </c>
      <c r="Q671" s="34"/>
      <c r="R671" s="34"/>
      <c r="S671" s="34"/>
      <c r="T671" s="34"/>
      <c r="U671" s="34"/>
      <c r="V671" s="120"/>
      <c r="W671" s="12"/>
    </row>
    <row r="672" spans="5:23" s="98" customFormat="1">
      <c r="E672" s="12"/>
      <c r="F672" s="24">
        <v>51044</v>
      </c>
      <c r="G672" s="34"/>
      <c r="H672" s="34"/>
      <c r="I672" s="34"/>
      <c r="J672" s="34"/>
      <c r="K672" s="12"/>
      <c r="L672" s="24">
        <v>51044</v>
      </c>
      <c r="M672" s="34"/>
      <c r="N672" s="34"/>
      <c r="O672" s="12"/>
      <c r="P672" s="24">
        <v>51044</v>
      </c>
      <c r="Q672" s="34"/>
      <c r="R672" s="34"/>
      <c r="S672" s="34"/>
      <c r="T672" s="34"/>
      <c r="U672" s="34"/>
      <c r="V672" s="120"/>
      <c r="W672" s="12"/>
    </row>
    <row r="673" spans="5:23" s="98" customFormat="1">
      <c r="E673" s="12"/>
      <c r="F673" s="24">
        <v>51075</v>
      </c>
      <c r="G673" s="34"/>
      <c r="H673" s="34"/>
      <c r="I673" s="34"/>
      <c r="J673" s="34"/>
      <c r="K673" s="12"/>
      <c r="L673" s="24">
        <v>51075</v>
      </c>
      <c r="M673" s="34"/>
      <c r="N673" s="34"/>
      <c r="O673" s="12"/>
      <c r="P673" s="24">
        <v>51075</v>
      </c>
      <c r="Q673" s="34"/>
      <c r="R673" s="34"/>
      <c r="S673" s="34"/>
      <c r="T673" s="34"/>
      <c r="U673" s="34"/>
      <c r="V673" s="120"/>
      <c r="W673" s="12"/>
    </row>
    <row r="674" spans="5:23" s="98" customFormat="1">
      <c r="E674" s="12"/>
      <c r="F674" s="24">
        <v>51105</v>
      </c>
      <c r="G674" s="34"/>
      <c r="H674" s="34"/>
      <c r="I674" s="34"/>
      <c r="J674" s="34"/>
      <c r="K674" s="12"/>
      <c r="L674" s="24">
        <v>51105</v>
      </c>
      <c r="M674" s="34"/>
      <c r="N674" s="34"/>
      <c r="O674" s="12"/>
      <c r="P674" s="24">
        <v>51105</v>
      </c>
      <c r="Q674" s="34"/>
      <c r="R674" s="34"/>
      <c r="S674" s="34"/>
      <c r="T674" s="34"/>
      <c r="U674" s="34"/>
      <c r="V674" s="120"/>
      <c r="W674" s="12"/>
    </row>
    <row r="675" spans="5:23" s="98" customFormat="1">
      <c r="E675" s="12"/>
      <c r="F675" s="24">
        <v>51136</v>
      </c>
      <c r="G675" s="34"/>
      <c r="H675" s="34"/>
      <c r="I675" s="34"/>
      <c r="J675" s="34"/>
      <c r="K675" s="12"/>
      <c r="L675" s="24">
        <v>51136</v>
      </c>
      <c r="M675" s="34"/>
      <c r="N675" s="34"/>
      <c r="O675" s="12"/>
      <c r="P675" s="24">
        <v>51136</v>
      </c>
      <c r="Q675" s="34"/>
      <c r="R675" s="34"/>
      <c r="S675" s="34"/>
      <c r="T675" s="34"/>
      <c r="U675" s="34"/>
      <c r="V675" s="120"/>
      <c r="W675" s="12"/>
    </row>
    <row r="676" spans="5:23" s="98" customFormat="1">
      <c r="E676" s="12"/>
      <c r="F676" s="24">
        <v>51167</v>
      </c>
      <c r="G676" s="34"/>
      <c r="H676" s="34"/>
      <c r="I676" s="34"/>
      <c r="J676" s="34"/>
      <c r="K676" s="12"/>
      <c r="L676" s="24">
        <v>51167</v>
      </c>
      <c r="M676" s="34"/>
      <c r="N676" s="34"/>
      <c r="O676" s="12"/>
      <c r="P676" s="24">
        <v>51167</v>
      </c>
      <c r="Q676" s="34"/>
      <c r="R676" s="34"/>
      <c r="S676" s="34"/>
      <c r="T676" s="34"/>
      <c r="U676" s="34"/>
      <c r="V676" s="120"/>
      <c r="W676" s="12"/>
    </row>
    <row r="677" spans="5:23" s="98" customFormat="1">
      <c r="E677" s="12"/>
      <c r="F677" s="24">
        <v>51196</v>
      </c>
      <c r="G677" s="34"/>
      <c r="H677" s="34"/>
      <c r="I677" s="34"/>
      <c r="J677" s="34"/>
      <c r="K677" s="12"/>
      <c r="L677" s="24">
        <v>51196</v>
      </c>
      <c r="M677" s="34"/>
      <c r="N677" s="34"/>
      <c r="O677" s="12"/>
      <c r="P677" s="24">
        <v>51196</v>
      </c>
      <c r="Q677" s="34"/>
      <c r="R677" s="34"/>
      <c r="S677" s="34"/>
      <c r="T677" s="34"/>
      <c r="U677" s="34"/>
      <c r="V677" s="120"/>
      <c r="W677" s="12"/>
    </row>
    <row r="678" spans="5:23" s="98" customFormat="1">
      <c r="E678" s="12"/>
      <c r="F678" s="24">
        <v>51227</v>
      </c>
      <c r="G678" s="34"/>
      <c r="H678" s="34"/>
      <c r="I678" s="34"/>
      <c r="J678" s="34"/>
      <c r="K678" s="12"/>
      <c r="L678" s="24">
        <v>51227</v>
      </c>
      <c r="M678" s="34"/>
      <c r="N678" s="34"/>
      <c r="O678" s="12"/>
      <c r="P678" s="24">
        <v>51227</v>
      </c>
      <c r="Q678" s="34"/>
      <c r="R678" s="34"/>
      <c r="S678" s="34"/>
      <c r="T678" s="34"/>
      <c r="U678" s="34"/>
      <c r="V678" s="120"/>
      <c r="W678" s="12"/>
    </row>
    <row r="679" spans="5:23" s="98" customFormat="1">
      <c r="E679" s="12"/>
      <c r="F679" s="24">
        <v>51257</v>
      </c>
      <c r="G679" s="34"/>
      <c r="H679" s="34"/>
      <c r="I679" s="34"/>
      <c r="J679" s="34"/>
      <c r="K679" s="12"/>
      <c r="L679" s="24">
        <v>51257</v>
      </c>
      <c r="M679" s="34"/>
      <c r="N679" s="34"/>
      <c r="O679" s="12"/>
      <c r="P679" s="24">
        <v>51257</v>
      </c>
      <c r="Q679" s="34"/>
      <c r="R679" s="34"/>
      <c r="S679" s="34"/>
      <c r="T679" s="34"/>
      <c r="U679" s="34"/>
      <c r="V679" s="120"/>
      <c r="W679" s="12"/>
    </row>
    <row r="680" spans="5:23" s="98" customFormat="1">
      <c r="E680" s="12"/>
      <c r="F680" s="24">
        <v>51288</v>
      </c>
      <c r="G680" s="34"/>
      <c r="H680" s="34"/>
      <c r="I680" s="34"/>
      <c r="J680" s="34"/>
      <c r="K680" s="12"/>
      <c r="L680" s="24">
        <v>51288</v>
      </c>
      <c r="M680" s="34"/>
      <c r="N680" s="34"/>
      <c r="O680" s="12"/>
      <c r="P680" s="24">
        <v>51288</v>
      </c>
      <c r="Q680" s="34"/>
      <c r="R680" s="34"/>
      <c r="S680" s="34"/>
      <c r="T680" s="34"/>
      <c r="U680" s="34"/>
      <c r="V680" s="120"/>
      <c r="W680" s="12"/>
    </row>
    <row r="681" spans="5:23" s="98" customFormat="1">
      <c r="E681" s="12"/>
      <c r="F681" s="24">
        <v>51318</v>
      </c>
      <c r="G681" s="34"/>
      <c r="H681" s="34"/>
      <c r="I681" s="34"/>
      <c r="J681" s="34"/>
      <c r="K681" s="12"/>
      <c r="L681" s="24">
        <v>51318</v>
      </c>
      <c r="M681" s="34"/>
      <c r="N681" s="34"/>
      <c r="O681" s="12"/>
      <c r="P681" s="24">
        <v>51318</v>
      </c>
      <c r="Q681" s="34"/>
      <c r="R681" s="34"/>
      <c r="S681" s="34"/>
      <c r="T681" s="34"/>
      <c r="U681" s="34"/>
      <c r="V681" s="120"/>
      <c r="W681" s="12"/>
    </row>
    <row r="682" spans="5:23" s="98" customFormat="1">
      <c r="E682" s="12"/>
      <c r="F682" s="24">
        <v>51349</v>
      </c>
      <c r="G682" s="34"/>
      <c r="H682" s="34"/>
      <c r="I682" s="34"/>
      <c r="J682" s="34"/>
      <c r="K682" s="12"/>
      <c r="L682" s="24">
        <v>51349</v>
      </c>
      <c r="M682" s="34"/>
      <c r="N682" s="34"/>
      <c r="O682" s="12"/>
      <c r="P682" s="24">
        <v>51349</v>
      </c>
      <c r="Q682" s="34"/>
      <c r="R682" s="34"/>
      <c r="S682" s="34"/>
      <c r="T682" s="34"/>
      <c r="U682" s="34"/>
      <c r="V682" s="120"/>
      <c r="W682" s="12"/>
    </row>
    <row r="683" spans="5:23" s="98" customFormat="1">
      <c r="E683" s="12"/>
      <c r="F683" s="24">
        <v>51380</v>
      </c>
      <c r="G683" s="34"/>
      <c r="H683" s="34"/>
      <c r="I683" s="34"/>
      <c r="J683" s="34"/>
      <c r="K683" s="12"/>
      <c r="L683" s="24">
        <v>51380</v>
      </c>
      <c r="M683" s="34"/>
      <c r="N683" s="34"/>
      <c r="O683" s="12"/>
      <c r="P683" s="24">
        <v>51380</v>
      </c>
      <c r="Q683" s="34"/>
      <c r="R683" s="34"/>
      <c r="S683" s="34"/>
      <c r="T683" s="34"/>
      <c r="U683" s="34"/>
      <c r="V683" s="120"/>
      <c r="W683" s="12"/>
    </row>
    <row r="684" spans="5:23" s="98" customFormat="1">
      <c r="E684" s="12"/>
      <c r="F684" s="24">
        <v>51410</v>
      </c>
      <c r="G684" s="34"/>
      <c r="H684" s="34"/>
      <c r="I684" s="34"/>
      <c r="J684" s="34"/>
      <c r="K684" s="12"/>
      <c r="L684" s="24">
        <v>51410</v>
      </c>
      <c r="M684" s="34"/>
      <c r="N684" s="34"/>
      <c r="O684" s="12"/>
      <c r="P684" s="24">
        <v>51410</v>
      </c>
      <c r="Q684" s="34"/>
      <c r="R684" s="34"/>
      <c r="S684" s="34"/>
      <c r="T684" s="34"/>
      <c r="U684" s="34"/>
      <c r="V684" s="120"/>
      <c r="W684" s="12"/>
    </row>
    <row r="685" spans="5:23" s="98" customFormat="1">
      <c r="E685" s="12"/>
      <c r="F685" s="24">
        <v>51441</v>
      </c>
      <c r="G685" s="34"/>
      <c r="H685" s="34"/>
      <c r="I685" s="34"/>
      <c r="J685" s="34"/>
      <c r="K685" s="12"/>
      <c r="L685" s="24">
        <v>51441</v>
      </c>
      <c r="M685" s="34"/>
      <c r="N685" s="34"/>
      <c r="O685" s="12"/>
      <c r="P685" s="24">
        <v>51441</v>
      </c>
      <c r="Q685" s="34"/>
      <c r="R685" s="34"/>
      <c r="S685" s="34"/>
      <c r="T685" s="34"/>
      <c r="U685" s="34"/>
      <c r="V685" s="120"/>
      <c r="W685" s="12"/>
    </row>
    <row r="686" spans="5:23" s="98" customFormat="1">
      <c r="E686" s="12"/>
      <c r="F686" s="35">
        <v>51471</v>
      </c>
      <c r="G686" s="36"/>
      <c r="H686" s="36"/>
      <c r="I686" s="36"/>
      <c r="J686" s="36"/>
      <c r="K686" s="12"/>
      <c r="L686" s="35">
        <v>51471</v>
      </c>
      <c r="M686" s="36"/>
      <c r="N686" s="36"/>
      <c r="O686" s="12"/>
      <c r="P686" s="35">
        <v>51471</v>
      </c>
      <c r="Q686" s="36"/>
      <c r="R686" s="36"/>
      <c r="S686" s="36"/>
      <c r="T686" s="36"/>
      <c r="U686" s="36"/>
      <c r="V686" s="121"/>
      <c r="W686" s="12"/>
    </row>
    <row r="687" spans="5:23" s="98" customFormat="1"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5:23" s="98" customFormat="1"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5:23" s="98" customFormat="1"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5:23" s="98" customFormat="1"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5:23" s="98" customFormat="1"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5:23" s="98" customFormat="1"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5:23" s="98" customFormat="1"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5:23" s="98" customFormat="1"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5:23" s="98" customFormat="1"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</sheetData>
  <autoFilter ref="F19:U445" xr:uid="{D3B7D596-A3D5-444F-A553-BC408F338861}">
    <filterColumn colId="0">
      <filters>
        <dateGroupItem year="2025" dateTimeGrouping="year"/>
        <dateGroupItem year="2024" dateTimeGrouping="year"/>
        <dateGroupItem year="2023" dateTimeGrouping="year"/>
      </filters>
    </filterColumn>
  </autoFilter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1" fitToHeight="0" orientation="landscape" verticalDpi="4" r:id="rId1"/>
  <headerFooter>
    <oddHeader>&amp;C&amp;F&amp;R&amp;D</oddHeader>
    <oddFooter xml:space="preserve">&amp;C&amp;8Side &amp;P af &amp;N
  &amp;R&amp;A
  </oddFooter>
  </headerFooter>
  <rowBreaks count="2" manualBreakCount="2">
    <brk id="448" max="22" man="1"/>
    <brk id="518" max="2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Scroll Bar 1">
              <controlPr defaultSize="0" autoPict="0">
                <anchor moveWithCells="1">
                  <from>
                    <xdr:col>4</xdr:col>
                    <xdr:colOff>590550</xdr:colOff>
                    <xdr:row>19</xdr:row>
                    <xdr:rowOff>38100</xdr:rowOff>
                  </from>
                  <to>
                    <xdr:col>5</xdr:col>
                    <xdr:colOff>0</xdr:colOff>
                    <xdr:row>252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Scroll Bar 2">
              <controlPr defaultSize="0" autoPict="0">
                <anchor moveWithCells="1">
                  <from>
                    <xdr:col>4</xdr:col>
                    <xdr:colOff>628650</xdr:colOff>
                    <xdr:row>53</xdr:row>
                    <xdr:rowOff>0</xdr:rowOff>
                  </from>
                  <to>
                    <xdr:col>5</xdr:col>
                    <xdr:colOff>0</xdr:colOff>
                    <xdr:row>253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zoomScale="60" zoomScaleNormal="100" workbookViewId="0"/>
  </sheetViews>
  <sheetFormatPr defaultColWidth="12.33203125" defaultRowHeight="11.5"/>
  <cols>
    <col min="1" max="1" width="2.77734375" style="37" customWidth="1"/>
    <col min="2" max="2" width="11" style="37" customWidth="1"/>
    <col min="3" max="3" width="9.6640625" style="37" customWidth="1"/>
    <col min="4" max="4" width="1.7773437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3" t="s">
        <v>9</v>
      </c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</row>
    <row r="3" spans="1:19" ht="14.25" customHeight="1">
      <c r="A3" s="2"/>
      <c r="B3" s="2"/>
      <c r="C3" s="3"/>
      <c r="D3" s="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4" spans="1:19" ht="35.15" customHeight="1">
      <c r="A4" s="2"/>
      <c r="B4" s="2"/>
      <c r="C4" s="3"/>
      <c r="D4" s="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>
      <c r="A8" s="2"/>
      <c r="B8" s="2"/>
      <c r="C8" s="3"/>
      <c r="D8" s="3"/>
      <c r="E8" s="7"/>
      <c r="F8" s="8"/>
      <c r="G8" s="8"/>
      <c r="H8" s="8"/>
      <c r="I8" s="8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1.15" customHeight="1">
      <c r="A9" s="2"/>
      <c r="B9" s="2"/>
      <c r="C9" s="3"/>
      <c r="D9" s="3"/>
      <c r="E9" s="9"/>
      <c r="F9" s="9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>
      <c r="A11" s="2"/>
      <c r="B11" s="2"/>
      <c r="C11" s="3"/>
      <c r="D11" s="3"/>
      <c r="E11" s="7"/>
      <c r="F11" s="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">
      <c r="A12" s="2"/>
      <c r="B12" s="2"/>
      <c r="C12" s="3"/>
      <c r="D12" s="3"/>
      <c r="E12" s="7"/>
      <c r="F12" s="124" t="s">
        <v>7</v>
      </c>
      <c r="G12" s="124"/>
      <c r="H12" s="12"/>
      <c r="I12" s="13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4.15" customHeight="1">
      <c r="A13" s="2"/>
      <c r="B13" s="2"/>
      <c r="C13" s="3"/>
      <c r="D13" s="3"/>
      <c r="E13" s="7"/>
      <c r="F13" s="14" t="str">
        <f>'Prognose og aktuelt indeks'!F12</f>
        <v>HVO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22.5" customHeight="1">
      <c r="A15" s="2"/>
      <c r="B15" s="2"/>
      <c r="C15" s="3"/>
      <c r="D15" s="3"/>
      <c r="E15" s="7"/>
      <c r="F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75" customHeight="1">
      <c r="A16" s="2"/>
      <c r="B16" s="2"/>
      <c r="C16" s="3"/>
      <c r="D16" s="3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26" ht="15.75" customHeight="1">
      <c r="A17" s="2"/>
      <c r="B17" s="2"/>
      <c r="C17" s="3"/>
      <c r="D17" s="3"/>
      <c r="E17" s="38">
        <v>1</v>
      </c>
      <c r="F17" s="39" t="s">
        <v>16</v>
      </c>
      <c r="G17" s="18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5" customHeight="1">
      <c r="A18" s="2"/>
      <c r="B18" s="2"/>
      <c r="C18" s="3"/>
      <c r="D18" s="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 ht="11.5" customHeight="1">
      <c r="A19" s="2"/>
      <c r="B19" s="2"/>
      <c r="C19" s="3"/>
      <c r="D19" s="3"/>
      <c r="E19" s="12"/>
      <c r="F19" s="40" t="s">
        <v>73</v>
      </c>
      <c r="G19" s="1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26" ht="14">
      <c r="A20" s="2"/>
      <c r="B20" s="2"/>
      <c r="C20" s="3"/>
      <c r="D20" s="3"/>
      <c r="E20" s="38"/>
      <c r="F20" s="40" t="s">
        <v>74</v>
      </c>
      <c r="G20" s="12"/>
      <c r="H20" s="12"/>
      <c r="I20" s="12"/>
      <c r="J20" s="38"/>
      <c r="K20" s="39"/>
      <c r="L20" s="12"/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40" t="s">
        <v>17</v>
      </c>
      <c r="G21" s="7"/>
      <c r="H21" s="12"/>
      <c r="I21" s="12"/>
      <c r="J21" s="12"/>
      <c r="K21" s="12"/>
      <c r="L21" s="12"/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12"/>
      <c r="G22" s="7"/>
      <c r="H22" s="12"/>
      <c r="I22" s="12"/>
      <c r="J22" s="12"/>
      <c r="K22" s="12"/>
      <c r="L22" s="12"/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41" t="s">
        <v>93</v>
      </c>
      <c r="G23" s="7"/>
      <c r="H23" s="12"/>
      <c r="I23" s="12"/>
      <c r="J23" s="12"/>
      <c r="K23" s="12"/>
      <c r="L23" s="12"/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41" t="s">
        <v>18</v>
      </c>
      <c r="G24" s="7"/>
      <c r="H24" s="12"/>
      <c r="I24" s="12"/>
      <c r="J24" s="12"/>
      <c r="K24" s="12"/>
      <c r="L24" s="12"/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41" t="s">
        <v>19</v>
      </c>
      <c r="G25" s="7"/>
      <c r="H25" s="12"/>
      <c r="I25" s="12"/>
      <c r="J25" s="12"/>
      <c r="K25" s="12"/>
      <c r="L25" s="12"/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41" t="s">
        <v>81</v>
      </c>
      <c r="G26" s="7"/>
      <c r="H26" s="12"/>
      <c r="I26" s="12"/>
      <c r="J26" s="12"/>
      <c r="K26" s="12"/>
      <c r="L26" s="12"/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41" t="s">
        <v>20</v>
      </c>
      <c r="G27" s="7"/>
      <c r="H27" s="12"/>
      <c r="I27" s="12"/>
      <c r="J27" s="12"/>
      <c r="K27" s="12"/>
      <c r="L27" s="12"/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41" t="s">
        <v>21</v>
      </c>
      <c r="G28" s="7"/>
      <c r="H28" s="12"/>
      <c r="I28" s="12"/>
      <c r="J28" s="12"/>
      <c r="K28" s="12"/>
      <c r="L28" s="12"/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41" t="s">
        <v>22</v>
      </c>
      <c r="G29" s="7"/>
      <c r="H29" s="12"/>
      <c r="I29" s="12"/>
      <c r="J29" s="12"/>
      <c r="K29" s="12"/>
      <c r="L29" s="12"/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3"/>
      <c r="G31" s="7"/>
      <c r="H31" s="12"/>
      <c r="I31" s="12"/>
      <c r="J31" s="12"/>
      <c r="K31" s="12"/>
      <c r="L31" s="12"/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 ht="14">
      <c r="A32" s="2"/>
      <c r="B32" s="2"/>
      <c r="C32" s="3"/>
      <c r="D32" s="3"/>
      <c r="E32" s="38">
        <v>2</v>
      </c>
      <c r="F32" s="39" t="s">
        <v>23</v>
      </c>
      <c r="G32" s="7"/>
      <c r="H32" s="12"/>
      <c r="I32" s="12"/>
      <c r="J32" s="12"/>
      <c r="K32" s="12"/>
      <c r="L32" s="12"/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3"/>
      <c r="G33" s="7"/>
      <c r="H33" s="12"/>
      <c r="I33" s="12"/>
      <c r="J33" s="12"/>
      <c r="K33" s="12"/>
      <c r="L33" s="12"/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3"/>
      <c r="G34" s="7"/>
      <c r="H34" s="12"/>
      <c r="I34" s="12"/>
      <c r="J34" s="12"/>
      <c r="K34" s="12"/>
      <c r="L34" s="12"/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 ht="14">
      <c r="A35" s="2"/>
      <c r="B35" s="2"/>
      <c r="C35" s="3"/>
      <c r="D35" s="3"/>
      <c r="E35" s="38"/>
      <c r="F35" s="39"/>
      <c r="G35" s="12"/>
      <c r="H35" s="12"/>
      <c r="I35" s="12"/>
      <c r="J35" s="38"/>
      <c r="K35" s="39"/>
      <c r="L35" s="12"/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43" t="s">
        <v>24</v>
      </c>
      <c r="G36" s="7"/>
      <c r="H36" s="12"/>
      <c r="I36" s="12"/>
      <c r="J36" s="12"/>
      <c r="K36" s="12"/>
      <c r="L36" s="12"/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3"/>
      <c r="G37" s="7"/>
      <c r="H37" s="12"/>
      <c r="I37" s="12"/>
      <c r="J37" s="12"/>
      <c r="K37" s="12"/>
      <c r="L37" s="12"/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44" t="s">
        <v>4</v>
      </c>
      <c r="G38" s="44" t="s">
        <v>25</v>
      </c>
      <c r="H38" s="45"/>
      <c r="I38" s="45"/>
      <c r="J38" s="45" t="s">
        <v>26</v>
      </c>
      <c r="K38" s="45" t="s">
        <v>27</v>
      </c>
      <c r="L38" s="12"/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3" t="s">
        <v>75</v>
      </c>
      <c r="G39" s="3" t="s">
        <v>28</v>
      </c>
      <c r="H39" s="3"/>
      <c r="I39" s="3"/>
      <c r="J39" s="3" t="s">
        <v>29</v>
      </c>
      <c r="K39" s="3" t="s">
        <v>30</v>
      </c>
      <c r="L39" s="12"/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3" t="s">
        <v>71</v>
      </c>
      <c r="G40" s="3" t="s">
        <v>70</v>
      </c>
      <c r="H40" s="3"/>
      <c r="I40" s="3"/>
      <c r="J40" s="3" t="s">
        <v>29</v>
      </c>
      <c r="K40" s="3" t="s">
        <v>30</v>
      </c>
      <c r="L40" s="12"/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3" t="s">
        <v>10</v>
      </c>
      <c r="G41" s="3" t="s">
        <v>97</v>
      </c>
      <c r="H41" s="3"/>
      <c r="I41" s="3"/>
      <c r="J41" s="3" t="s">
        <v>32</v>
      </c>
      <c r="K41" s="3" t="s">
        <v>33</v>
      </c>
      <c r="L41" s="12"/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3" t="s">
        <v>11</v>
      </c>
      <c r="G42" s="3" t="s">
        <v>98</v>
      </c>
      <c r="H42" s="3"/>
      <c r="I42" s="3"/>
      <c r="J42" s="3" t="s">
        <v>32</v>
      </c>
      <c r="K42" s="3" t="s">
        <v>33</v>
      </c>
      <c r="L42" s="12"/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46" t="s">
        <v>12</v>
      </c>
      <c r="G43" s="46" t="s">
        <v>34</v>
      </c>
      <c r="H43" s="46"/>
      <c r="I43" s="46"/>
      <c r="J43" s="46" t="s">
        <v>32</v>
      </c>
      <c r="K43" s="46" t="s">
        <v>33</v>
      </c>
      <c r="L43" s="12"/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12" t="s">
        <v>76</v>
      </c>
      <c r="G44" s="12"/>
      <c r="H44" s="12"/>
      <c r="I44" s="12"/>
      <c r="J44" s="12"/>
      <c r="K44" s="12"/>
      <c r="L44" s="12"/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12"/>
      <c r="G45" s="12"/>
      <c r="H45" s="12"/>
      <c r="I45" s="12"/>
      <c r="J45" s="12"/>
      <c r="K45" s="12"/>
      <c r="L45" s="12"/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43" t="s">
        <v>35</v>
      </c>
      <c r="G46" s="12"/>
      <c r="H46" s="12"/>
      <c r="I46" s="12"/>
      <c r="J46" s="12"/>
      <c r="K46" s="12"/>
      <c r="L46" s="12"/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12"/>
      <c r="G47" s="12"/>
      <c r="H47" s="12"/>
      <c r="I47" s="12"/>
      <c r="J47" s="12"/>
      <c r="K47" s="12"/>
      <c r="L47" s="12"/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44" t="s">
        <v>4</v>
      </c>
      <c r="G48" s="44" t="s">
        <v>25</v>
      </c>
      <c r="H48" s="45"/>
      <c r="I48" s="45"/>
      <c r="J48" s="45" t="s">
        <v>26</v>
      </c>
      <c r="K48" s="45" t="s">
        <v>27</v>
      </c>
      <c r="L48" s="12"/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3" t="s">
        <v>36</v>
      </c>
      <c r="G49" s="3" t="s">
        <v>37</v>
      </c>
      <c r="H49" s="3"/>
      <c r="I49" s="3"/>
      <c r="J49" s="3" t="s">
        <v>32</v>
      </c>
      <c r="K49" s="3" t="s">
        <v>33</v>
      </c>
      <c r="L49" s="12"/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3" t="s">
        <v>38</v>
      </c>
      <c r="G50" s="3" t="s">
        <v>31</v>
      </c>
      <c r="H50" s="3"/>
      <c r="I50" s="3"/>
      <c r="J50" s="3" t="s">
        <v>32</v>
      </c>
      <c r="K50" s="3" t="s">
        <v>33</v>
      </c>
      <c r="L50" s="12"/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3" t="s">
        <v>77</v>
      </c>
      <c r="G51" s="3" t="s">
        <v>78</v>
      </c>
      <c r="H51" s="3"/>
      <c r="I51" s="3"/>
      <c r="J51" s="3" t="s">
        <v>32</v>
      </c>
      <c r="K51" s="3" t="s">
        <v>33</v>
      </c>
      <c r="L51" s="12"/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3" t="s">
        <v>39</v>
      </c>
      <c r="G52" s="3" t="s">
        <v>40</v>
      </c>
      <c r="H52" s="3"/>
      <c r="I52" s="3"/>
      <c r="J52" s="3" t="s">
        <v>32</v>
      </c>
      <c r="K52" s="3" t="s">
        <v>33</v>
      </c>
      <c r="L52" s="12"/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3" t="s">
        <v>41</v>
      </c>
      <c r="G53" s="3" t="s">
        <v>42</v>
      </c>
      <c r="H53" s="3"/>
      <c r="I53" s="3"/>
      <c r="J53" s="3" t="s">
        <v>32</v>
      </c>
      <c r="K53" s="3" t="s">
        <v>33</v>
      </c>
      <c r="L53" s="12"/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46" t="s">
        <v>1</v>
      </c>
      <c r="G54" s="46" t="s">
        <v>43</v>
      </c>
      <c r="H54" s="46"/>
      <c r="I54" s="46"/>
      <c r="J54" s="46" t="s">
        <v>32</v>
      </c>
      <c r="K54" s="46" t="s">
        <v>33</v>
      </c>
      <c r="L54" s="12"/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12" t="s">
        <v>44</v>
      </c>
      <c r="G55" s="47"/>
      <c r="H55" s="47"/>
      <c r="I55" s="12"/>
      <c r="J55" s="12"/>
      <c r="K55" s="12"/>
      <c r="L55" s="12"/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U56" s="3"/>
      <c r="V56" s="3"/>
      <c r="W56" s="3"/>
      <c r="X56" s="3"/>
      <c r="Y56" s="3"/>
      <c r="Z56" s="3"/>
    </row>
    <row r="57" spans="1:26" ht="14">
      <c r="A57" s="2"/>
      <c r="B57" s="2"/>
      <c r="C57" s="3"/>
      <c r="D57" s="3"/>
      <c r="E57" s="38"/>
      <c r="F57" s="39"/>
      <c r="G57" s="12"/>
      <c r="H57" s="12"/>
      <c r="I57" s="12"/>
      <c r="J57" s="12"/>
      <c r="K57" s="12"/>
      <c r="L57" s="12"/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 ht="14">
      <c r="A58" s="2"/>
      <c r="B58" s="2"/>
      <c r="C58" s="3"/>
      <c r="D58" s="3"/>
      <c r="E58" s="38">
        <v>3</v>
      </c>
      <c r="F58" s="39" t="s">
        <v>45</v>
      </c>
      <c r="G58" s="7"/>
      <c r="H58" s="12"/>
      <c r="I58" s="12"/>
      <c r="J58" s="12"/>
      <c r="K58" s="12"/>
      <c r="L58" s="12"/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12"/>
      <c r="G59" s="12"/>
      <c r="H59" s="12"/>
      <c r="I59" s="12"/>
      <c r="J59" s="12"/>
      <c r="K59" s="12"/>
      <c r="L59" s="12"/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12" t="s">
        <v>46</v>
      </c>
      <c r="G60" s="7"/>
      <c r="H60" s="12"/>
      <c r="I60" s="12"/>
      <c r="J60" s="12"/>
      <c r="K60" s="12"/>
      <c r="L60" s="12"/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 ht="14">
      <c r="A61" s="2"/>
      <c r="B61" s="2"/>
      <c r="C61" s="3"/>
      <c r="D61" s="3"/>
      <c r="E61" s="38"/>
      <c r="F61" s="39"/>
      <c r="G61" s="12"/>
      <c r="H61" s="12"/>
      <c r="I61" s="12"/>
      <c r="J61" s="12"/>
      <c r="K61" s="12"/>
      <c r="L61" s="12"/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19" t="s">
        <v>47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45" t="s">
        <v>3</v>
      </c>
      <c r="G63" s="45" t="s">
        <v>4</v>
      </c>
      <c r="H63" s="45"/>
      <c r="I63" s="45"/>
      <c r="J63" s="45" t="s">
        <v>14</v>
      </c>
      <c r="K63" s="45"/>
      <c r="L63" s="45"/>
      <c r="M63" s="45"/>
      <c r="N63" s="45"/>
      <c r="O63" s="45"/>
      <c r="P63" s="45"/>
      <c r="Q63" s="45"/>
      <c r="R63" s="45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v>41275</v>
      </c>
      <c r="G64" s="3" t="s">
        <v>48</v>
      </c>
      <c r="H64" s="3"/>
      <c r="I64" s="3"/>
      <c r="J64" s="48" t="s">
        <v>49</v>
      </c>
      <c r="K64" s="48"/>
      <c r="L64" s="48"/>
      <c r="M64" s="48"/>
      <c r="N64" s="48"/>
      <c r="O64" s="48"/>
      <c r="P64" s="48"/>
      <c r="Q64" s="48"/>
      <c r="R64" s="48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v>41306</v>
      </c>
      <c r="G65" s="3" t="s">
        <v>48</v>
      </c>
      <c r="H65" s="3"/>
      <c r="I65" s="3"/>
      <c r="J65" s="49" t="s">
        <v>50</v>
      </c>
      <c r="K65" s="49"/>
      <c r="L65" s="49"/>
      <c r="M65" s="49"/>
      <c r="N65" s="49"/>
      <c r="O65" s="49"/>
      <c r="P65" s="49"/>
      <c r="Q65" s="49"/>
      <c r="R65" s="49"/>
      <c r="S65" s="12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12"/>
      <c r="F66" s="50">
        <v>41699</v>
      </c>
      <c r="G66" s="3" t="s">
        <v>51</v>
      </c>
      <c r="J66" s="49" t="s">
        <v>52</v>
      </c>
      <c r="K66" s="49"/>
      <c r="L66" s="49"/>
      <c r="M66" s="49"/>
      <c r="N66" s="49"/>
      <c r="O66" s="49"/>
      <c r="P66" s="49"/>
      <c r="Q66" s="49"/>
      <c r="R66" s="49"/>
      <c r="S66" s="12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12"/>
      <c r="F67" s="50">
        <v>41944</v>
      </c>
      <c r="G67" s="3" t="s">
        <v>51</v>
      </c>
      <c r="J67" s="51" t="s">
        <v>53</v>
      </c>
      <c r="K67" s="51"/>
      <c r="L67" s="51"/>
      <c r="M67" s="51"/>
      <c r="N67" s="51"/>
      <c r="O67" s="51"/>
      <c r="P67" s="51"/>
      <c r="Q67" s="51"/>
      <c r="R67" s="51"/>
      <c r="S67" s="12"/>
      <c r="U67" s="3"/>
      <c r="V67" s="3"/>
      <c r="W67" s="3"/>
      <c r="X67" s="3"/>
      <c r="Y67" s="3"/>
      <c r="Z67" s="3"/>
    </row>
    <row r="68" spans="1:26" ht="14">
      <c r="A68" s="2"/>
      <c r="B68" s="2"/>
      <c r="C68" s="3"/>
      <c r="D68" s="3"/>
      <c r="E68" s="32"/>
      <c r="F68" s="50">
        <v>42339</v>
      </c>
      <c r="G68" s="3" t="s">
        <v>54</v>
      </c>
      <c r="H68" s="3"/>
      <c r="I68" s="3"/>
      <c r="J68" s="51" t="s">
        <v>55</v>
      </c>
      <c r="K68" s="51"/>
      <c r="L68" s="51"/>
      <c r="M68" s="51"/>
      <c r="N68" s="51"/>
      <c r="O68" s="51"/>
      <c r="P68" s="51"/>
      <c r="Q68" s="51"/>
      <c r="R68" s="51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50">
        <v>43525</v>
      </c>
      <c r="G69" s="3" t="s">
        <v>51</v>
      </c>
      <c r="H69" s="3"/>
      <c r="I69" s="3"/>
      <c r="J69" s="51" t="s">
        <v>56</v>
      </c>
      <c r="K69" s="51"/>
      <c r="L69" s="51"/>
      <c r="M69" s="51"/>
      <c r="N69" s="51"/>
      <c r="O69" s="51"/>
      <c r="P69" s="51"/>
      <c r="Q69" s="51"/>
      <c r="R69" s="51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50">
        <v>45536</v>
      </c>
      <c r="G70" s="3" t="s">
        <v>72</v>
      </c>
      <c r="H70" s="3"/>
      <c r="I70" s="3"/>
      <c r="J70" s="51" t="s">
        <v>79</v>
      </c>
      <c r="K70" s="51"/>
      <c r="L70" s="51"/>
      <c r="M70" s="51"/>
      <c r="N70" s="51"/>
      <c r="O70" s="51"/>
      <c r="P70" s="51"/>
      <c r="Q70" s="51"/>
      <c r="R70" s="51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50">
        <v>45717</v>
      </c>
      <c r="G71" s="3" t="s">
        <v>51</v>
      </c>
      <c r="H71" s="3"/>
      <c r="I71" s="3"/>
      <c r="J71" s="51" t="s">
        <v>80</v>
      </c>
      <c r="K71" s="51"/>
      <c r="L71" s="51"/>
      <c r="M71" s="51"/>
      <c r="N71" s="51"/>
      <c r="O71" s="51"/>
      <c r="P71" s="51"/>
      <c r="Q71" s="51"/>
      <c r="R71" s="51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50"/>
      <c r="G72" s="3"/>
      <c r="H72" s="3"/>
      <c r="I72" s="3"/>
      <c r="J72" s="51"/>
      <c r="K72" s="51"/>
      <c r="L72" s="51"/>
      <c r="M72" s="51"/>
      <c r="N72" s="51"/>
      <c r="O72" s="51"/>
      <c r="P72" s="51"/>
      <c r="Q72" s="51"/>
      <c r="R72" s="51"/>
      <c r="S72" s="12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12"/>
      <c r="F73" s="50"/>
      <c r="G73" s="3"/>
      <c r="H73" s="3"/>
      <c r="I73" s="3"/>
      <c r="J73" s="51"/>
      <c r="K73" s="51"/>
      <c r="L73" s="51"/>
      <c r="M73" s="51"/>
      <c r="N73" s="51"/>
      <c r="O73" s="51"/>
      <c r="P73" s="51"/>
      <c r="Q73" s="51"/>
      <c r="R73" s="51"/>
      <c r="S73" s="12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12"/>
      <c r="F74" s="50"/>
      <c r="G74" s="3"/>
      <c r="H74" s="3"/>
      <c r="I74" s="3"/>
      <c r="J74" s="51"/>
      <c r="K74" s="51"/>
      <c r="L74" s="51"/>
      <c r="M74" s="51"/>
      <c r="N74" s="51"/>
      <c r="O74" s="51"/>
      <c r="P74" s="51"/>
      <c r="Q74" s="51"/>
      <c r="R74" s="51"/>
      <c r="S74" s="12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12"/>
      <c r="F75" s="50"/>
      <c r="G75" s="3"/>
      <c r="H75" s="3"/>
      <c r="I75" s="3"/>
      <c r="J75" s="51"/>
      <c r="K75" s="51"/>
      <c r="L75" s="51"/>
      <c r="M75" s="51"/>
      <c r="N75" s="51"/>
      <c r="O75" s="51"/>
      <c r="P75" s="51"/>
      <c r="Q75" s="51"/>
      <c r="R75" s="51"/>
      <c r="S75" s="12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12"/>
      <c r="F76" s="50"/>
      <c r="G76" s="3"/>
      <c r="H76" s="3"/>
      <c r="I76" s="3"/>
      <c r="J76" s="51"/>
      <c r="K76" s="51"/>
      <c r="L76" s="51"/>
      <c r="M76" s="51"/>
      <c r="N76" s="51"/>
      <c r="O76" s="51"/>
      <c r="P76" s="51"/>
      <c r="Q76" s="51"/>
      <c r="R76" s="51"/>
      <c r="S76" s="12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12"/>
      <c r="F77" s="50"/>
      <c r="G77" s="3"/>
      <c r="H77" s="3"/>
      <c r="I77" s="3"/>
      <c r="J77" s="51"/>
      <c r="K77" s="51"/>
      <c r="L77" s="51"/>
      <c r="M77" s="51"/>
      <c r="N77" s="51"/>
      <c r="O77" s="51"/>
      <c r="P77" s="51"/>
      <c r="Q77" s="51"/>
      <c r="R77" s="51"/>
      <c r="S77" s="12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12"/>
      <c r="F78" s="50"/>
      <c r="G78" s="3"/>
      <c r="H78" s="3"/>
      <c r="I78" s="3"/>
      <c r="J78" s="51"/>
      <c r="K78" s="51"/>
      <c r="L78" s="51"/>
      <c r="M78" s="51"/>
      <c r="N78" s="51"/>
      <c r="O78" s="51"/>
      <c r="P78" s="51"/>
      <c r="Q78" s="51"/>
      <c r="R78" s="51"/>
      <c r="S78" s="12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12"/>
      <c r="F79" s="50"/>
      <c r="G79" s="3"/>
      <c r="H79" s="3"/>
      <c r="I79" s="3"/>
      <c r="J79" s="51"/>
      <c r="K79" s="51"/>
      <c r="L79" s="51"/>
      <c r="M79" s="51"/>
      <c r="N79" s="51"/>
      <c r="O79" s="51"/>
      <c r="P79" s="51"/>
      <c r="Q79" s="51"/>
      <c r="R79" s="51"/>
      <c r="S79" s="12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12"/>
      <c r="F80" s="50"/>
      <c r="G80" s="3"/>
      <c r="H80" s="3"/>
      <c r="I80" s="3"/>
      <c r="J80" s="51"/>
      <c r="K80" s="51"/>
      <c r="L80" s="51"/>
      <c r="M80" s="51"/>
      <c r="N80" s="51"/>
      <c r="O80" s="51"/>
      <c r="P80" s="51"/>
      <c r="Q80" s="51"/>
      <c r="R80" s="51"/>
      <c r="S80" s="12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12"/>
      <c r="F81" s="50"/>
      <c r="G81" s="3"/>
      <c r="H81" s="3"/>
      <c r="I81" s="3"/>
      <c r="J81" s="51"/>
      <c r="K81" s="51"/>
      <c r="L81" s="51"/>
      <c r="M81" s="51"/>
      <c r="N81" s="51"/>
      <c r="O81" s="51"/>
      <c r="P81" s="51"/>
      <c r="Q81" s="51"/>
      <c r="R81" s="51"/>
      <c r="S81" s="12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12"/>
      <c r="F82" s="50"/>
      <c r="G82" s="3"/>
      <c r="H82" s="3"/>
      <c r="I82" s="3"/>
      <c r="J82" s="51"/>
      <c r="K82" s="51"/>
      <c r="L82" s="51"/>
      <c r="M82" s="51"/>
      <c r="N82" s="51"/>
      <c r="O82" s="51"/>
      <c r="P82" s="51"/>
      <c r="Q82" s="51"/>
      <c r="R82" s="51"/>
      <c r="S82" s="12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12"/>
      <c r="F83" s="50"/>
      <c r="G83" s="3"/>
      <c r="H83" s="3"/>
      <c r="I83" s="3"/>
      <c r="J83" s="51"/>
      <c r="K83" s="51"/>
      <c r="L83" s="51"/>
      <c r="M83" s="51"/>
      <c r="N83" s="51"/>
      <c r="O83" s="51"/>
      <c r="P83" s="51"/>
      <c r="Q83" s="51"/>
      <c r="R83" s="51"/>
      <c r="S83" s="12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12"/>
      <c r="F84" s="50"/>
      <c r="G84" s="3"/>
      <c r="H84" s="3"/>
      <c r="I84" s="3"/>
      <c r="J84" s="51"/>
      <c r="K84" s="51"/>
      <c r="L84" s="51"/>
      <c r="M84" s="51"/>
      <c r="N84" s="51"/>
      <c r="O84" s="51"/>
      <c r="P84" s="51"/>
      <c r="Q84" s="51"/>
      <c r="R84" s="51"/>
      <c r="S84" s="12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12"/>
      <c r="F85" s="50"/>
      <c r="G85" s="3"/>
      <c r="H85" s="3"/>
      <c r="I85" s="3"/>
      <c r="J85" s="51"/>
      <c r="K85" s="51"/>
      <c r="L85" s="51"/>
      <c r="M85" s="51"/>
      <c r="N85" s="51"/>
      <c r="O85" s="51"/>
      <c r="P85" s="51"/>
      <c r="Q85" s="51"/>
      <c r="R85" s="51"/>
      <c r="S85" s="12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12"/>
      <c r="F86" s="52"/>
      <c r="G86" s="46"/>
      <c r="H86" s="46"/>
      <c r="I86" s="46"/>
      <c r="J86" s="53"/>
      <c r="K86" s="53"/>
      <c r="L86" s="53"/>
      <c r="M86" s="53"/>
      <c r="N86" s="53"/>
      <c r="O86" s="53"/>
      <c r="P86" s="53"/>
      <c r="Q86" s="53"/>
      <c r="R86" s="53"/>
      <c r="S86" s="12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12"/>
      <c r="F87" s="54"/>
      <c r="G87" s="7"/>
      <c r="H87" s="55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12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12"/>
      <c r="F89" s="54"/>
      <c r="G89" s="7"/>
      <c r="H89" s="55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12"/>
      <c r="U89" s="3"/>
      <c r="V89" s="3"/>
      <c r="W89" s="3"/>
      <c r="X89" s="3"/>
      <c r="Y89" s="3"/>
      <c r="Z89" s="3"/>
    </row>
    <row r="90" spans="1:26" ht="14">
      <c r="A90" s="2"/>
      <c r="B90" s="2"/>
      <c r="C90" s="3"/>
      <c r="D90" s="3"/>
      <c r="E90" s="38">
        <v>4</v>
      </c>
      <c r="F90" s="39" t="s">
        <v>57</v>
      </c>
      <c r="G90" s="7"/>
      <c r="H90" s="12"/>
      <c r="I90" s="12"/>
      <c r="J90" s="12"/>
      <c r="K90" s="12"/>
      <c r="L90" s="12"/>
      <c r="M90" s="23"/>
      <c r="N90" s="7"/>
      <c r="O90" s="12"/>
      <c r="P90" s="12"/>
      <c r="Q90" s="12"/>
      <c r="R90" s="12"/>
      <c r="S90" s="12"/>
    </row>
    <row r="91" spans="1:26">
      <c r="A91" s="2"/>
      <c r="B91" s="2"/>
      <c r="C91" s="3"/>
      <c r="D91" s="3"/>
      <c r="E91" s="12"/>
      <c r="F91" s="23"/>
      <c r="G91" s="7"/>
      <c r="H91" s="12"/>
      <c r="I91" s="12"/>
      <c r="J91" s="12"/>
      <c r="K91" s="12"/>
      <c r="L91" s="12"/>
      <c r="M91" s="23"/>
      <c r="N91" s="7"/>
      <c r="O91" s="12"/>
      <c r="P91" s="12"/>
      <c r="Q91" s="12"/>
      <c r="R91" s="12"/>
      <c r="S91" s="12"/>
    </row>
    <row r="92" spans="1:26">
      <c r="A92" s="2"/>
      <c r="B92" s="2"/>
      <c r="C92" s="3"/>
      <c r="D92" s="3"/>
      <c r="E92" s="12"/>
      <c r="F92" s="57" t="s">
        <v>58</v>
      </c>
      <c r="G92" s="7"/>
      <c r="H92" s="12"/>
      <c r="I92" s="12"/>
      <c r="J92" s="12"/>
      <c r="K92" s="12"/>
      <c r="L92" s="12"/>
      <c r="M92" s="23"/>
      <c r="N92" s="7"/>
      <c r="O92" s="12"/>
      <c r="P92" s="12"/>
      <c r="Q92" s="12"/>
      <c r="R92" s="12"/>
      <c r="S92" s="12"/>
    </row>
    <row r="93" spans="1:26" ht="14">
      <c r="A93" s="2"/>
      <c r="B93" s="2"/>
      <c r="C93" s="3"/>
      <c r="D93" s="3"/>
      <c r="E93" s="38"/>
      <c r="F93" s="57" t="s">
        <v>59</v>
      </c>
      <c r="G93" s="12"/>
      <c r="H93" s="12"/>
      <c r="I93" s="12"/>
      <c r="J93" s="12"/>
      <c r="K93" s="12"/>
      <c r="L93" s="12"/>
      <c r="M93" s="23"/>
      <c r="N93" s="7"/>
      <c r="O93" s="12"/>
      <c r="P93" s="12"/>
      <c r="Q93" s="12"/>
      <c r="R93" s="12"/>
      <c r="S93" s="12"/>
    </row>
    <row r="94" spans="1:26">
      <c r="A94" s="2"/>
      <c r="B94" s="2"/>
      <c r="C94" s="3"/>
      <c r="D94" s="3"/>
      <c r="E94" s="12"/>
      <c r="F94" s="57"/>
      <c r="G94" s="7"/>
      <c r="H94" s="12"/>
      <c r="I94" s="12"/>
      <c r="J94" s="12"/>
      <c r="K94" s="12"/>
      <c r="L94" s="12"/>
      <c r="M94" s="23"/>
      <c r="N94" s="7"/>
      <c r="O94" s="12"/>
      <c r="P94" s="12"/>
      <c r="Q94" s="12"/>
      <c r="R94" s="12"/>
      <c r="S94" s="12"/>
    </row>
    <row r="95" spans="1:26">
      <c r="A95" s="2"/>
      <c r="B95" s="2"/>
      <c r="C95" s="3"/>
      <c r="D95" s="3"/>
      <c r="E95" s="12"/>
      <c r="F95" s="57" t="s">
        <v>60</v>
      </c>
      <c r="G95" s="7"/>
      <c r="H95" s="12"/>
      <c r="I95" s="12"/>
      <c r="J95" s="12"/>
      <c r="K95" s="12"/>
      <c r="L95" s="12"/>
      <c r="M95" s="23"/>
      <c r="N95" s="7"/>
      <c r="O95" s="12"/>
      <c r="P95" s="12"/>
      <c r="Q95" s="12"/>
      <c r="R95" s="12"/>
      <c r="S95" s="12"/>
    </row>
    <row r="96" spans="1:26">
      <c r="A96" s="2"/>
      <c r="B96" s="2"/>
      <c r="C96" s="3"/>
      <c r="D96" s="3"/>
      <c r="E96" s="12"/>
      <c r="F96" s="57" t="s">
        <v>61</v>
      </c>
      <c r="G96" s="7"/>
      <c r="H96" s="12"/>
      <c r="I96" s="12"/>
      <c r="J96" s="12"/>
      <c r="K96" s="12"/>
      <c r="L96" s="12"/>
      <c r="M96" s="23"/>
      <c r="N96" s="7"/>
      <c r="O96" s="12"/>
      <c r="P96" s="12"/>
      <c r="Q96" s="12"/>
      <c r="R96" s="12"/>
      <c r="S96" s="12"/>
    </row>
    <row r="97" spans="1:19">
      <c r="A97" s="2"/>
      <c r="B97" s="2"/>
      <c r="C97" s="3"/>
      <c r="D97" s="3"/>
      <c r="E97" s="12"/>
      <c r="F97" s="23"/>
      <c r="G97" s="7"/>
      <c r="H97" s="12"/>
      <c r="I97" s="12"/>
      <c r="J97" s="12"/>
      <c r="K97" s="12"/>
      <c r="L97" s="12"/>
      <c r="M97" s="23"/>
      <c r="N97" s="7"/>
      <c r="O97" s="12"/>
      <c r="P97" s="12"/>
      <c r="Q97" s="12"/>
      <c r="R97" s="12"/>
      <c r="S97" s="12"/>
    </row>
    <row r="98" spans="1:19">
      <c r="A98" s="2"/>
      <c r="B98" s="2"/>
      <c r="C98" s="3"/>
      <c r="D98" s="3"/>
      <c r="E98" s="12"/>
      <c r="F98" s="58" t="s">
        <v>6</v>
      </c>
      <c r="G98" s="59"/>
      <c r="H98" s="20" t="s">
        <v>62</v>
      </c>
      <c r="I98" s="20" t="s">
        <v>3</v>
      </c>
      <c r="J98" s="20"/>
      <c r="K98" s="60" t="s">
        <v>63</v>
      </c>
      <c r="L98" s="45"/>
      <c r="M98" s="60" t="s">
        <v>64</v>
      </c>
      <c r="N98" s="60" t="s">
        <v>65</v>
      </c>
      <c r="O98" s="12"/>
      <c r="P98" s="12"/>
      <c r="Q98" s="12"/>
      <c r="R98" s="12"/>
      <c r="S98" s="12"/>
    </row>
    <row r="99" spans="1:19">
      <c r="A99" s="2"/>
      <c r="B99" s="2"/>
      <c r="C99" s="3"/>
      <c r="D99" s="3"/>
      <c r="E99" s="12"/>
      <c r="F99" s="61" t="s">
        <v>66</v>
      </c>
      <c r="G99" s="49"/>
      <c r="H99" s="51" t="s">
        <v>51</v>
      </c>
      <c r="I99" s="62">
        <v>42064</v>
      </c>
      <c r="K99" s="63">
        <v>99.761665053242993</v>
      </c>
      <c r="M99" s="63">
        <v>99.8</v>
      </c>
      <c r="N99" s="63">
        <v>-3.8334946757004218E-2</v>
      </c>
      <c r="O99" s="12"/>
      <c r="P99" s="12"/>
      <c r="Q99" s="12"/>
      <c r="R99" s="12"/>
      <c r="S99" s="12"/>
    </row>
    <row r="100" spans="1:19">
      <c r="A100" s="2"/>
      <c r="B100" s="2"/>
      <c r="C100" s="3"/>
      <c r="D100" s="3"/>
      <c r="E100" s="12"/>
      <c r="F100" s="61" t="s">
        <v>66</v>
      </c>
      <c r="G100" s="49"/>
      <c r="H100" s="51" t="s">
        <v>51</v>
      </c>
      <c r="I100" s="62">
        <v>42095</v>
      </c>
      <c r="K100" s="63">
        <v>99.953146176185882</v>
      </c>
      <c r="M100" s="63">
        <v>100</v>
      </c>
      <c r="N100" s="63">
        <v>-4.6853823814117845E-2</v>
      </c>
      <c r="O100" s="12"/>
      <c r="P100" s="12"/>
      <c r="Q100" s="12"/>
      <c r="R100" s="12"/>
      <c r="S100" s="12"/>
    </row>
    <row r="101" spans="1:19">
      <c r="A101" s="2"/>
      <c r="B101" s="2"/>
      <c r="C101" s="3"/>
      <c r="D101" s="3"/>
      <c r="E101" s="12"/>
      <c r="F101" s="61" t="s">
        <v>66</v>
      </c>
      <c r="G101" s="49"/>
      <c r="H101" s="51" t="s">
        <v>51</v>
      </c>
      <c r="I101" s="62">
        <v>42125</v>
      </c>
      <c r="K101" s="63">
        <v>100.33610842207165</v>
      </c>
      <c r="M101" s="63">
        <v>100.3</v>
      </c>
      <c r="N101" s="63">
        <v>3.6108422071649215E-2</v>
      </c>
      <c r="O101" s="12"/>
      <c r="P101" s="12"/>
      <c r="Q101" s="12"/>
      <c r="R101" s="12"/>
      <c r="S101" s="12"/>
    </row>
    <row r="102" spans="1:19">
      <c r="A102" s="2"/>
      <c r="B102" s="2"/>
      <c r="C102" s="3"/>
      <c r="D102" s="3"/>
      <c r="E102" s="12"/>
      <c r="F102" s="61" t="s">
        <v>66</v>
      </c>
      <c r="G102" s="49"/>
      <c r="H102" s="51" t="s">
        <v>48</v>
      </c>
      <c r="I102" s="62">
        <v>42767</v>
      </c>
      <c r="K102" s="63">
        <v>131.81805</v>
      </c>
      <c r="M102" s="63">
        <v>131.82815814722545</v>
      </c>
      <c r="N102" s="63">
        <v>-1.0108147225452058E-2</v>
      </c>
      <c r="O102" s="12"/>
      <c r="P102" s="12"/>
      <c r="Q102" s="12"/>
      <c r="R102" s="12"/>
      <c r="S102" s="12"/>
    </row>
    <row r="103" spans="1:19">
      <c r="A103" s="2"/>
      <c r="B103" s="2"/>
      <c r="C103" s="3"/>
      <c r="D103" s="3"/>
      <c r="E103" s="12"/>
      <c r="F103" s="61" t="s">
        <v>66</v>
      </c>
      <c r="G103" s="49"/>
      <c r="H103" s="51" t="s">
        <v>48</v>
      </c>
      <c r="I103" s="62">
        <v>42795</v>
      </c>
      <c r="K103" s="63">
        <v>131.81805</v>
      </c>
      <c r="M103" s="63">
        <v>131.82815814722545</v>
      </c>
      <c r="N103" s="63">
        <v>-1.0108147225452058E-2</v>
      </c>
      <c r="O103" s="12"/>
      <c r="P103" s="12"/>
      <c r="Q103" s="12"/>
      <c r="R103" s="12"/>
      <c r="S103" s="12"/>
    </row>
    <row r="104" spans="1:19">
      <c r="A104" s="2"/>
      <c r="B104" s="2"/>
      <c r="C104" s="3"/>
      <c r="D104" s="3"/>
      <c r="E104" s="12"/>
      <c r="F104" s="61" t="s">
        <v>67</v>
      </c>
      <c r="G104" s="49"/>
      <c r="H104" s="51" t="s">
        <v>48</v>
      </c>
      <c r="I104" s="62">
        <v>42005</v>
      </c>
      <c r="K104" s="63">
        <v>127.67664000000001</v>
      </c>
      <c r="M104" s="63">
        <v>127.7</v>
      </c>
      <c r="N104" s="63">
        <v>-2.3359999999996717E-2</v>
      </c>
      <c r="O104" s="12"/>
      <c r="P104" s="12"/>
      <c r="Q104" s="12"/>
      <c r="R104" s="12"/>
      <c r="S104" s="12"/>
    </row>
    <row r="105" spans="1:19">
      <c r="A105" s="2"/>
      <c r="B105" s="2"/>
      <c r="C105" s="3"/>
      <c r="D105" s="3"/>
      <c r="E105" s="12"/>
      <c r="F105" s="61" t="s">
        <v>67</v>
      </c>
      <c r="G105" s="49"/>
      <c r="H105" s="51" t="s">
        <v>48</v>
      </c>
      <c r="I105" s="62">
        <v>42036</v>
      </c>
      <c r="K105" s="51">
        <v>127.67664000000001</v>
      </c>
      <c r="M105" s="63">
        <v>127.7</v>
      </c>
      <c r="N105" s="51">
        <v>-2.3359999999996717E-2</v>
      </c>
      <c r="O105" s="12"/>
      <c r="P105" s="12"/>
      <c r="Q105" s="12"/>
      <c r="R105" s="12"/>
      <c r="S105" s="12"/>
    </row>
    <row r="106" spans="1:19">
      <c r="A106" s="2"/>
      <c r="B106" s="2"/>
      <c r="C106" s="3"/>
      <c r="D106" s="3"/>
      <c r="E106" s="12"/>
      <c r="F106" s="61" t="s">
        <v>67</v>
      </c>
      <c r="G106" s="49"/>
      <c r="H106" s="51" t="s">
        <v>48</v>
      </c>
      <c r="I106" s="62">
        <v>42064</v>
      </c>
      <c r="K106" s="51">
        <v>127.67664000000001</v>
      </c>
      <c r="M106" s="63">
        <v>127.7</v>
      </c>
      <c r="N106" s="51">
        <v>-2.3359999999996717E-2</v>
      </c>
      <c r="O106" s="12"/>
      <c r="P106" s="12"/>
      <c r="Q106" s="12"/>
      <c r="R106" s="12"/>
      <c r="S106" s="12"/>
    </row>
    <row r="107" spans="1:19">
      <c r="A107" s="2"/>
      <c r="B107" s="2"/>
      <c r="C107" s="3"/>
      <c r="D107" s="3"/>
      <c r="E107" s="12"/>
      <c r="F107" s="61" t="s">
        <v>67</v>
      </c>
      <c r="G107" s="49"/>
      <c r="H107" s="51" t="s">
        <v>48</v>
      </c>
      <c r="I107" s="62">
        <v>42767</v>
      </c>
      <c r="K107" s="63">
        <v>131.82967519181585</v>
      </c>
      <c r="M107" s="63">
        <v>131.82815814722545</v>
      </c>
      <c r="N107" s="63">
        <v>1.5170445904004737E-3</v>
      </c>
      <c r="O107" s="12"/>
      <c r="P107" s="12"/>
      <c r="Q107" s="12"/>
      <c r="R107" s="12"/>
      <c r="S107" s="12"/>
    </row>
    <row r="108" spans="1:19">
      <c r="A108" s="2"/>
      <c r="B108" s="2"/>
      <c r="C108" s="3"/>
      <c r="D108" s="3"/>
      <c r="E108" s="12"/>
      <c r="F108" s="61" t="s">
        <v>67</v>
      </c>
      <c r="G108" s="49"/>
      <c r="H108" s="51" t="s">
        <v>48</v>
      </c>
      <c r="I108" s="62">
        <v>42795</v>
      </c>
      <c r="K108" s="63">
        <v>131.82967519181585</v>
      </c>
      <c r="M108" s="63">
        <v>131.82815814722545</v>
      </c>
      <c r="N108" s="63">
        <v>1.5170445904004737E-3</v>
      </c>
      <c r="O108" s="12"/>
      <c r="P108" s="12"/>
      <c r="Q108" s="12"/>
      <c r="R108" s="12"/>
      <c r="S108" s="12"/>
    </row>
    <row r="109" spans="1:19">
      <c r="A109" s="2"/>
      <c r="B109" s="2"/>
      <c r="C109" s="3"/>
      <c r="D109" s="3"/>
      <c r="E109" s="12"/>
      <c r="F109" s="61"/>
      <c r="G109" s="49"/>
      <c r="H109" s="51"/>
      <c r="I109" s="62"/>
      <c r="K109" s="63"/>
      <c r="M109" s="63"/>
      <c r="N109" s="63"/>
      <c r="O109" s="12"/>
      <c r="P109" s="12"/>
      <c r="Q109" s="12"/>
      <c r="R109" s="12"/>
      <c r="S109" s="12"/>
    </row>
    <row r="110" spans="1:19">
      <c r="A110" s="2"/>
      <c r="B110" s="2"/>
      <c r="C110" s="3"/>
      <c r="D110" s="3"/>
      <c r="E110" s="12"/>
      <c r="F110" s="61"/>
      <c r="G110" s="49"/>
      <c r="H110" s="51"/>
      <c r="I110" s="62"/>
      <c r="K110" s="63"/>
      <c r="M110" s="63"/>
      <c r="N110" s="63"/>
      <c r="O110" s="12"/>
      <c r="P110" s="12"/>
      <c r="Q110" s="12"/>
      <c r="R110" s="12"/>
      <c r="S110" s="12"/>
    </row>
    <row r="111" spans="1:19">
      <c r="A111" s="2"/>
      <c r="B111" s="2"/>
      <c r="C111" s="3"/>
      <c r="D111" s="3"/>
      <c r="E111" s="12"/>
      <c r="F111" s="61"/>
      <c r="G111" s="49"/>
      <c r="H111" s="51"/>
      <c r="I111" s="62"/>
      <c r="K111" s="63"/>
      <c r="M111" s="63"/>
      <c r="N111" s="63"/>
      <c r="O111" s="12"/>
      <c r="P111" s="12"/>
      <c r="Q111" s="12"/>
      <c r="R111" s="12"/>
      <c r="S111" s="12"/>
    </row>
    <row r="112" spans="1:19">
      <c r="A112" s="2"/>
      <c r="B112" s="2"/>
      <c r="C112" s="3"/>
      <c r="D112" s="3"/>
      <c r="E112" s="12"/>
      <c r="F112" s="61"/>
      <c r="G112" s="49"/>
      <c r="H112" s="51"/>
      <c r="I112" s="62"/>
      <c r="K112" s="63"/>
      <c r="M112" s="63"/>
      <c r="N112" s="63"/>
      <c r="O112" s="12"/>
      <c r="P112" s="12"/>
      <c r="Q112" s="12"/>
      <c r="R112" s="12"/>
      <c r="S112" s="12"/>
    </row>
    <row r="113" spans="1:19">
      <c r="A113" s="2"/>
      <c r="B113" s="2"/>
      <c r="C113" s="3"/>
      <c r="D113" s="3"/>
      <c r="E113" s="12"/>
      <c r="F113" s="61"/>
      <c r="G113" s="49"/>
      <c r="H113" s="51"/>
      <c r="I113" s="62"/>
      <c r="K113" s="63"/>
      <c r="M113" s="63"/>
      <c r="N113" s="63"/>
      <c r="O113" s="12"/>
      <c r="P113" s="12"/>
      <c r="Q113" s="12"/>
      <c r="R113" s="12"/>
      <c r="S113" s="12"/>
    </row>
    <row r="114" spans="1:19">
      <c r="A114" s="2"/>
      <c r="B114" s="2"/>
      <c r="C114" s="3"/>
      <c r="D114" s="3"/>
      <c r="E114" s="12"/>
      <c r="F114" s="61"/>
      <c r="G114" s="49"/>
      <c r="H114" s="51"/>
      <c r="I114" s="62"/>
      <c r="K114" s="63"/>
      <c r="M114" s="63"/>
      <c r="N114" s="63"/>
      <c r="O114" s="12"/>
      <c r="P114" s="12"/>
      <c r="Q114" s="12"/>
      <c r="R114" s="12"/>
      <c r="S114" s="12"/>
    </row>
    <row r="115" spans="1:19">
      <c r="A115" s="2"/>
      <c r="B115" s="2"/>
      <c r="C115" s="3"/>
      <c r="D115" s="3"/>
      <c r="E115" s="12"/>
      <c r="F115" s="61"/>
      <c r="G115" s="49"/>
      <c r="H115" s="51"/>
      <c r="I115" s="62"/>
      <c r="K115" s="63"/>
      <c r="M115" s="63"/>
      <c r="N115" s="63"/>
      <c r="O115" s="12"/>
      <c r="P115" s="12"/>
      <c r="Q115" s="12"/>
      <c r="R115" s="12"/>
      <c r="S115" s="12"/>
    </row>
    <row r="116" spans="1:19">
      <c r="A116" s="2"/>
      <c r="B116" s="2"/>
      <c r="C116" s="3"/>
      <c r="D116" s="3"/>
      <c r="E116" s="12"/>
      <c r="F116" s="61"/>
      <c r="G116" s="49"/>
      <c r="H116" s="51"/>
      <c r="I116" s="62"/>
      <c r="K116" s="63"/>
      <c r="M116" s="63"/>
      <c r="N116" s="63"/>
      <c r="O116" s="12"/>
      <c r="P116" s="12"/>
      <c r="Q116" s="12"/>
      <c r="R116" s="12"/>
      <c r="S116" s="12"/>
    </row>
    <row r="117" spans="1:19">
      <c r="A117" s="2"/>
      <c r="B117" s="2"/>
      <c r="C117" s="3"/>
      <c r="D117" s="3"/>
      <c r="E117" s="12"/>
      <c r="F117" s="61"/>
      <c r="G117" s="49"/>
      <c r="H117" s="51"/>
      <c r="I117" s="62"/>
      <c r="K117" s="63"/>
      <c r="M117" s="63"/>
      <c r="N117" s="63"/>
      <c r="O117" s="12"/>
      <c r="P117" s="12"/>
      <c r="Q117" s="12"/>
      <c r="R117" s="12"/>
      <c r="S117" s="12"/>
    </row>
    <row r="118" spans="1:19">
      <c r="A118" s="2"/>
      <c r="B118" s="2"/>
      <c r="C118" s="3"/>
      <c r="D118" s="3"/>
      <c r="E118" s="12"/>
      <c r="F118" s="64"/>
      <c r="G118" s="65"/>
      <c r="H118" s="53"/>
      <c r="I118" s="66"/>
      <c r="J118" s="67"/>
      <c r="K118" s="68"/>
      <c r="L118" s="67"/>
      <c r="M118" s="68"/>
      <c r="N118" s="68"/>
      <c r="O118" s="12"/>
      <c r="P118" s="12"/>
      <c r="Q118" s="12"/>
      <c r="R118" s="12"/>
      <c r="S118" s="12"/>
    </row>
    <row r="119" spans="1:19" ht="11.5" customHeight="1">
      <c r="A119" s="2"/>
      <c r="B119" s="2"/>
      <c r="C119" s="3"/>
      <c r="D119" s="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1:19" ht="11.5" customHeight="1">
      <c r="A120" s="2"/>
      <c r="B120" s="2"/>
      <c r="C120" s="3"/>
      <c r="D120" s="3"/>
      <c r="E120" s="12"/>
      <c r="F120" s="69"/>
      <c r="G120" s="12"/>
      <c r="H120" s="12"/>
      <c r="I120" s="12"/>
      <c r="J120" s="12"/>
      <c r="K120" s="12"/>
      <c r="L120" s="12"/>
      <c r="M120" s="69"/>
      <c r="N120" s="12"/>
      <c r="O120" s="12"/>
      <c r="P120" s="12"/>
      <c r="Q120" s="12"/>
      <c r="R120" s="12"/>
      <c r="S120" s="12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3" fitToHeight="0" orientation="portrait" verticalDpi="4" r:id="rId1"/>
  <headerFooter>
    <oddHeader>&amp;C&amp;F&amp;R&amp;D</oddHeader>
    <oddFooter xml:space="preserve">&amp;C&amp;8Side &amp;P af &amp;N
  &amp;R&amp;A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e2b4057291915cb00f51ec01449a376d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0ae37902eb01b653fbce01301517ae28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customXml/itemProps2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373909-7060-476B-B04C-C4E45DB999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6</vt:i4>
      </vt:variant>
    </vt:vector>
  </HeadingPairs>
  <TitlesOfParts>
    <vt:vector size="9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Clara Roslev</cp:lastModifiedBy>
  <cp:lastPrinted>2025-09-17T11:30:50Z</cp:lastPrinted>
  <dcterms:created xsi:type="dcterms:W3CDTF">2024-09-24T07:20:07Z</dcterms:created>
  <dcterms:modified xsi:type="dcterms:W3CDTF">2025-10-27T06:45:13Z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