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rafik.local\DFS01\Special\CognosPlanning\Cognos Budget\Movia_Busdrift\Text Files\Budget 2025 2. beh\Bane\"/>
    </mc:Choice>
  </mc:AlternateContent>
  <xr:revisionPtr revIDLastSave="0" documentId="13_ncr:1_{74C49287-8D11-4761-B70D-FC3A69CEDD4D}" xr6:coauthVersionLast="47" xr6:coauthVersionMax="47" xr10:uidLastSave="{00000000-0000-0000-0000-000000000000}"/>
  <bookViews>
    <workbookView xWindow="28680" yWindow="-120" windowWidth="29040" windowHeight="17520" xr2:uid="{84FD7050-B67F-4A97-AF7C-D5D414522E4E}"/>
  </bookViews>
  <sheets>
    <sheet name="Bane Samlet" sheetId="14" r:id="rId1"/>
    <sheet name="Midttrafik " sheetId="10" r:id="rId2"/>
    <sheet name="NT (Bane) - køreplantimer" sheetId="16" r:id="rId3"/>
    <sheet name="FynBus" sheetId="19" r:id="rId4"/>
    <sheet name="Movia (Bane)" sheetId="15" r:id="rId5"/>
    <sheet name="Sydtrafi (Bane) - køreplantime" sheetId="18" r:id="rId6"/>
    <sheet name="BAT" sheetId="17" r:id="rId7"/>
    <sheet name="PL fra KL" sheetId="20" r:id="rId8"/>
  </sheets>
  <definedNames>
    <definedName name="ID" localSheetId="0" hidden="1">"839378ec-ae77-49b5-9f9b-11251bc91f29"</definedName>
    <definedName name="ID" localSheetId="6" hidden="1">"61d8d622-174b-4a42-ad74-7849abd1e77e"</definedName>
    <definedName name="ID" localSheetId="3" hidden="1">"5797eff3-69a3-42f5-aa5d-d88b35047faa"</definedName>
    <definedName name="ID" localSheetId="1" hidden="1">"11dc530d-3a46-41f3-95f1-85dfa2d23c29"</definedName>
    <definedName name="ID" localSheetId="4" hidden="1">"311b30cb-6cc2-4c1e-b5e6-6f65cccf84e4"</definedName>
    <definedName name="ID" localSheetId="2" hidden="1">"f35ae097-74ef-4211-8ca8-64d75cf58729"</definedName>
    <definedName name="ID" localSheetId="7" hidden="1">"2a3c5ebf-918c-4ed2-bb8b-9b3e3db376eb"</definedName>
    <definedName name="ID" localSheetId="5" hidden="1">"224d2624-3306-4ee9-b184-bf94ffe10917"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6" i="18" l="1"/>
  <c r="BR6" i="18"/>
  <c r="BQ6" i="18"/>
  <c r="BP6" i="18"/>
  <c r="BO6" i="18"/>
  <c r="BN6" i="18"/>
  <c r="BM6" i="18"/>
  <c r="BL6" i="18"/>
  <c r="BK6" i="18"/>
  <c r="BJ6" i="18"/>
  <c r="BI6" i="18"/>
  <c r="BH6" i="18"/>
  <c r="AX6" i="18"/>
  <c r="AW6" i="18"/>
  <c r="AV6" i="18"/>
  <c r="AU6" i="18"/>
  <c r="AT6" i="18"/>
  <c r="AL6" i="18"/>
  <c r="BG6" i="18" s="1"/>
  <c r="AK6" i="18"/>
  <c r="BF6" i="18" s="1"/>
  <c r="AC6" i="18"/>
  <c r="AB6" i="18"/>
  <c r="AA6" i="18"/>
  <c r="Z6" i="18"/>
  <c r="Y6" i="18"/>
  <c r="X6" i="18"/>
  <c r="W6" i="18"/>
  <c r="O6" i="18"/>
  <c r="N6" i="18"/>
  <c r="M6" i="18"/>
  <c r="L6" i="18"/>
  <c r="K6" i="18"/>
  <c r="J6" i="18"/>
  <c r="I6" i="18"/>
  <c r="BD6" i="18" l="1"/>
  <c r="BE6" i="18"/>
  <c r="AR6" i="18"/>
  <c r="AS6" i="18"/>
  <c r="AZ6" i="18" s="1"/>
  <c r="BB6" i="18" l="1"/>
  <c r="BA6" i="18"/>
  <c r="AY6" i="18"/>
  <c r="BC6" i="18"/>
  <c r="BS7" i="16" l="1"/>
  <c r="BR7" i="16"/>
  <c r="BQ7" i="16"/>
  <c r="BP7" i="16"/>
  <c r="BO7" i="16"/>
  <c r="BN7" i="16"/>
  <c r="BM7" i="16"/>
  <c r="BS6" i="16"/>
  <c r="BR6" i="16"/>
  <c r="BQ6" i="16"/>
  <c r="BP6" i="16"/>
  <c r="BO6" i="16"/>
  <c r="BN6" i="16"/>
  <c r="BM6" i="16"/>
  <c r="BL30" i="14" l="1"/>
  <c r="BK30" i="14"/>
  <c r="BJ30" i="14"/>
  <c r="BI30" i="14"/>
  <c r="BH30" i="14"/>
  <c r="BG30" i="14"/>
  <c r="BF30" i="14"/>
  <c r="BE30" i="14"/>
  <c r="BD30" i="14"/>
  <c r="BC30" i="14"/>
  <c r="BB30" i="14"/>
  <c r="BA30" i="14"/>
  <c r="AZ30" i="14"/>
  <c r="AY30" i="14"/>
  <c r="BE12" i="14"/>
  <c r="BD12" i="14"/>
  <c r="BC12" i="14"/>
  <c r="BB12" i="14"/>
  <c r="BA12" i="14"/>
  <c r="AZ12" i="14"/>
  <c r="AY12" i="14"/>
  <c r="BL12" i="14"/>
  <c r="BK12" i="14"/>
  <c r="BJ12" i="14"/>
  <c r="BI12" i="14"/>
  <c r="BH12" i="14"/>
  <c r="BG12" i="14"/>
  <c r="BF12" i="14"/>
  <c r="CA11" i="14"/>
  <c r="CA29" i="14" s="1"/>
  <c r="CG10" i="14"/>
  <c r="CG28" i="14" s="1"/>
  <c r="CF10" i="14"/>
  <c r="CF28" i="14" s="1"/>
  <c r="CG9" i="14"/>
  <c r="CF9" i="14"/>
  <c r="CE9" i="14"/>
  <c r="CD9" i="14"/>
  <c r="CC9" i="14"/>
  <c r="CB9" i="14"/>
  <c r="CB27" i="14" s="1"/>
  <c r="CA9" i="14"/>
  <c r="CG8" i="14"/>
  <c r="CF8" i="14"/>
  <c r="CE8" i="14"/>
  <c r="CE26" i="14" s="1"/>
  <c r="CD8" i="14"/>
  <c r="CC8" i="14"/>
  <c r="CB8" i="14"/>
  <c r="CB26" i="14" s="1"/>
  <c r="CA8" i="14"/>
  <c r="CA26" i="14" s="1"/>
  <c r="CC26" i="14"/>
  <c r="CD26" i="14"/>
  <c r="CC27" i="14"/>
  <c r="CD27" i="14"/>
  <c r="CB7" i="14"/>
  <c r="CC7" i="14"/>
  <c r="CD7" i="14"/>
  <c r="CE7" i="14"/>
  <c r="CE25" i="14" s="1"/>
  <c r="CF7" i="14"/>
  <c r="CF25" i="14" s="1"/>
  <c r="CG7" i="14"/>
  <c r="CA7" i="14"/>
  <c r="CG27" i="14"/>
  <c r="CF27" i="14"/>
  <c r="CE27" i="14"/>
  <c r="CA27" i="14"/>
  <c r="CG26" i="14"/>
  <c r="CF26" i="14"/>
  <c r="CG25" i="14"/>
  <c r="CD25" i="14"/>
  <c r="CC25" i="14"/>
  <c r="CB25" i="14"/>
  <c r="CA25" i="14"/>
  <c r="BS7" i="18"/>
  <c r="BR7" i="18"/>
  <c r="BQ7" i="18"/>
  <c r="BP7" i="18"/>
  <c r="BO7" i="18"/>
  <c r="BN7" i="18"/>
  <c r="BM7" i="18"/>
  <c r="CN7" i="18"/>
  <c r="CG11" i="14" s="1"/>
  <c r="CG29" i="14" s="1"/>
  <c r="CM7" i="18"/>
  <c r="CF11" i="14" s="1"/>
  <c r="CF29" i="14" s="1"/>
  <c r="CL7" i="18"/>
  <c r="CE11" i="14" s="1"/>
  <c r="CE29" i="14" s="1"/>
  <c r="CK7" i="18"/>
  <c r="CD11" i="14" s="1"/>
  <c r="CD29" i="14" s="1"/>
  <c r="CJ7" i="18"/>
  <c r="CC11" i="14" s="1"/>
  <c r="CC29" i="14" s="1"/>
  <c r="CI7" i="18"/>
  <c r="CB11" i="14" s="1"/>
  <c r="CB29" i="14" s="1"/>
  <c r="CH7" i="18"/>
  <c r="CM7" i="19"/>
  <c r="CL7" i="19"/>
  <c r="CK7" i="19"/>
  <c r="CJ7" i="19"/>
  <c r="CI7" i="19"/>
  <c r="CH7" i="19"/>
  <c r="CG7" i="19"/>
  <c r="AX7" i="19"/>
  <c r="AW7" i="19"/>
  <c r="AV7" i="19"/>
  <c r="AU7" i="19"/>
  <c r="AT7" i="19"/>
  <c r="AS7" i="19"/>
  <c r="AR7" i="19"/>
  <c r="BC7" i="19" s="1"/>
  <c r="AX6" i="19"/>
  <c r="AW6" i="19"/>
  <c r="AV6" i="19"/>
  <c r="AU6" i="19"/>
  <c r="AT6" i="19"/>
  <c r="BA6" i="19" s="1"/>
  <c r="AS6" i="19"/>
  <c r="AZ6" i="19" s="1"/>
  <c r="AR6" i="19"/>
  <c r="BB6" i="19" s="1"/>
  <c r="BA7" i="19"/>
  <c r="AZ7" i="19"/>
  <c r="AY7" i="19"/>
  <c r="BD6" i="19"/>
  <c r="BE6" i="19"/>
  <c r="AY6" i="19"/>
  <c r="BL7" i="19"/>
  <c r="BK7" i="19"/>
  <c r="BJ7" i="19"/>
  <c r="BI7" i="19"/>
  <c r="BH7" i="19"/>
  <c r="BG7" i="19"/>
  <c r="BF7" i="19"/>
  <c r="BL6" i="19"/>
  <c r="BK6" i="19"/>
  <c r="BJ6" i="19"/>
  <c r="BI6" i="19"/>
  <c r="BH6" i="19"/>
  <c r="BG6" i="19"/>
  <c r="BF6" i="19"/>
  <c r="BY7" i="16"/>
  <c r="CM8" i="16"/>
  <c r="CL8" i="16"/>
  <c r="CK8" i="16"/>
  <c r="CE10" i="14" s="1"/>
  <c r="CJ8" i="16"/>
  <c r="CD10" i="14" s="1"/>
  <c r="CI8" i="16"/>
  <c r="CC10" i="14" s="1"/>
  <c r="CH8" i="16"/>
  <c r="CB10" i="14" s="1"/>
  <c r="CG8" i="16"/>
  <c r="CA10" i="14" s="1"/>
  <c r="BG8" i="16"/>
  <c r="BH8" i="16"/>
  <c r="BI8" i="16"/>
  <c r="BJ8" i="16"/>
  <c r="BK8" i="16"/>
  <c r="BL8" i="16"/>
  <c r="BF8" i="16"/>
  <c r="BL7" i="16"/>
  <c r="BK7" i="16"/>
  <c r="BJ7" i="16"/>
  <c r="BI7" i="16"/>
  <c r="BH7" i="16"/>
  <c r="BG7" i="16"/>
  <c r="BF7" i="16"/>
  <c r="BL6" i="16"/>
  <c r="BK6" i="16"/>
  <c r="BJ6" i="16"/>
  <c r="BI6" i="16"/>
  <c r="BH6" i="16"/>
  <c r="BG6" i="16"/>
  <c r="BF6" i="16"/>
  <c r="CI8" i="10"/>
  <c r="CJ8" i="10"/>
  <c r="CK8" i="10"/>
  <c r="CL8" i="10"/>
  <c r="CM8" i="10"/>
  <c r="CN8" i="10"/>
  <c r="CH8" i="10"/>
  <c r="BM6" i="10"/>
  <c r="BS7" i="10"/>
  <c r="BR7" i="10"/>
  <c r="BQ7" i="10"/>
  <c r="BP7" i="10"/>
  <c r="BO7" i="10"/>
  <c r="BN7" i="10"/>
  <c r="BM7" i="10"/>
  <c r="BS6" i="10"/>
  <c r="BR6" i="10"/>
  <c r="BQ6" i="10"/>
  <c r="BP6" i="10"/>
  <c r="BO6" i="10"/>
  <c r="BN6" i="10"/>
  <c r="BL8" i="10"/>
  <c r="BK8" i="10"/>
  <c r="BJ8" i="10"/>
  <c r="BI8" i="10"/>
  <c r="BH8" i="10"/>
  <c r="BG8" i="10"/>
  <c r="BF8" i="10"/>
  <c r="BL7" i="10"/>
  <c r="BK7" i="10"/>
  <c r="BJ7" i="10"/>
  <c r="BI7" i="10"/>
  <c r="BH7" i="10"/>
  <c r="BG7" i="10"/>
  <c r="BF7" i="10"/>
  <c r="BL6" i="10"/>
  <c r="BK6" i="10"/>
  <c r="BJ6" i="10"/>
  <c r="BI6" i="10"/>
  <c r="BH6" i="10"/>
  <c r="BG6" i="10"/>
  <c r="BF6" i="10"/>
  <c r="BS6" i="14"/>
  <c r="BR6" i="14"/>
  <c r="BQ6" i="14"/>
  <c r="BP6" i="14"/>
  <c r="BO6" i="14"/>
  <c r="BN6" i="14"/>
  <c r="BM6" i="14"/>
  <c r="BN24" i="14"/>
  <c r="BO24" i="14"/>
  <c r="BP24" i="14"/>
  <c r="BQ24" i="14"/>
  <c r="BR24" i="14"/>
  <c r="BS24" i="14"/>
  <c r="BM24" i="14"/>
  <c r="BG25" i="14"/>
  <c r="BH25" i="14"/>
  <c r="BF25" i="14"/>
  <c r="BM7" i="15"/>
  <c r="BN7" i="15"/>
  <c r="BO7" i="15"/>
  <c r="BP7" i="15"/>
  <c r="BQ7" i="15"/>
  <c r="BR7" i="15"/>
  <c r="BS7" i="15"/>
  <c r="BN6" i="15"/>
  <c r="BO6" i="15"/>
  <c r="BP6" i="15"/>
  <c r="BQ6" i="15"/>
  <c r="BR6" i="15"/>
  <c r="BS6" i="15"/>
  <c r="BM6" i="15"/>
  <c r="BF7" i="15"/>
  <c r="BG7" i="15"/>
  <c r="BH7" i="15"/>
  <c r="BI7" i="15"/>
  <c r="BJ7" i="15"/>
  <c r="BK7" i="15"/>
  <c r="BL7" i="15"/>
  <c r="BG6" i="15"/>
  <c r="BH6" i="15"/>
  <c r="BI6" i="15"/>
  <c r="BJ6" i="15"/>
  <c r="BK6" i="15"/>
  <c r="BL6" i="15"/>
  <c r="BF6" i="15"/>
  <c r="CA12" i="14" l="1"/>
  <c r="CA28" i="14"/>
  <c r="CB28" i="14"/>
  <c r="CB30" i="14" s="1"/>
  <c r="CB12" i="14"/>
  <c r="CC28" i="14"/>
  <c r="CC12" i="14"/>
  <c r="CD28" i="14"/>
  <c r="CD30" i="14" s="1"/>
  <c r="CD12" i="14"/>
  <c r="CE28" i="14"/>
  <c r="CE30" i="14" s="1"/>
  <c r="CE12" i="14"/>
  <c r="CF12" i="14"/>
  <c r="CG12" i="14"/>
  <c r="CC30" i="14"/>
  <c r="CF30" i="14"/>
  <c r="CG30" i="14"/>
  <c r="CA30" i="14"/>
  <c r="BB7" i="19"/>
  <c r="BE7" i="19"/>
  <c r="BD7" i="19"/>
  <c r="BC6" i="19"/>
  <c r="AS24" i="14"/>
  <c r="AT24" i="14"/>
  <c r="AU24" i="14"/>
  <c r="AV24" i="14"/>
  <c r="AW24" i="14"/>
  <c r="AX24" i="14"/>
  <c r="AR24" i="14"/>
  <c r="W31" i="14"/>
  <c r="BU7" i="14" l="1"/>
  <c r="BN7" i="14" s="1"/>
  <c r="BV7" i="14"/>
  <c r="BO7" i="14" s="1"/>
  <c r="BW7" i="14"/>
  <c r="BX7" i="14"/>
  <c r="BY7" i="14"/>
  <c r="BZ7" i="14"/>
  <c r="BT7" i="14"/>
  <c r="BM7" i="14" s="1"/>
  <c r="BG24" i="14"/>
  <c r="BH24" i="14"/>
  <c r="BI24" i="14"/>
  <c r="BJ24" i="14"/>
  <c r="BK24" i="14"/>
  <c r="BL24" i="14"/>
  <c r="BF24" i="14"/>
  <c r="AZ24" i="14"/>
  <c r="BA24" i="14"/>
  <c r="BB24" i="14"/>
  <c r="BC24" i="14"/>
  <c r="BD24" i="14"/>
  <c r="BE24" i="14"/>
  <c r="AY24" i="14"/>
  <c r="X24" i="14"/>
  <c r="Y24" i="14"/>
  <c r="Z24" i="14"/>
  <c r="AA24" i="14"/>
  <c r="AB24" i="14"/>
  <c r="AC24" i="14"/>
  <c r="W24" i="14"/>
  <c r="J24" i="14"/>
  <c r="K24" i="14"/>
  <c r="L24" i="14"/>
  <c r="M24" i="14"/>
  <c r="N24" i="14"/>
  <c r="O24" i="14"/>
  <c r="I24" i="14"/>
  <c r="AL25" i="14"/>
  <c r="AM25" i="14"/>
  <c r="AK25" i="14"/>
  <c r="AF25" i="14"/>
  <c r="AE25" i="14"/>
  <c r="AD25" i="14"/>
  <c r="M34" i="20" l="1"/>
  <c r="M35" i="20" s="1"/>
  <c r="M36" i="20" s="1"/>
  <c r="M37" i="20" s="1"/>
  <c r="M38" i="20" s="1"/>
  <c r="M39" i="20" s="1"/>
  <c r="BU25" i="14" l="1"/>
  <c r="BN25" i="14" s="1"/>
  <c r="BV25" i="14"/>
  <c r="BO25" i="14" s="1"/>
  <c r="BW25" i="14"/>
  <c r="BX25" i="14"/>
  <c r="BY25" i="14"/>
  <c r="BZ25" i="14"/>
  <c r="BT25" i="14"/>
  <c r="BM25" i="14" s="1"/>
  <c r="BP6" i="19"/>
  <c r="BS6" i="19"/>
  <c r="BR6" i="19"/>
  <c r="BQ6" i="19"/>
  <c r="BE7" i="14" l="1"/>
  <c r="BD7" i="14"/>
  <c r="BC7" i="14"/>
  <c r="BB7" i="14"/>
  <c r="AX7" i="14"/>
  <c r="AW7" i="14"/>
  <c r="AV7" i="14"/>
  <c r="AU7" i="14"/>
  <c r="AQ7" i="14"/>
  <c r="AP7" i="14"/>
  <c r="AO7" i="14"/>
  <c r="AN7" i="14"/>
  <c r="Q7" i="14"/>
  <c r="Q25" i="14" s="1"/>
  <c r="R7" i="14"/>
  <c r="R25" i="14" s="1"/>
  <c r="P7" i="14"/>
  <c r="P25" i="14" s="1"/>
  <c r="W25" i="14" s="1"/>
  <c r="C7" i="14"/>
  <c r="C25" i="14" s="1"/>
  <c r="D7" i="14"/>
  <c r="D25" i="14" s="1"/>
  <c r="B7" i="14"/>
  <c r="B25" i="14" s="1"/>
  <c r="Z7" i="19"/>
  <c r="Z7" i="14" s="1"/>
  <c r="E7" i="19"/>
  <c r="E7" i="14" s="1"/>
  <c r="AO25" i="14" l="1"/>
  <c r="AQ25" i="14"/>
  <c r="AN25" i="14"/>
  <c r="AP25" i="14"/>
  <c r="K25" i="14"/>
  <c r="AT25" i="14"/>
  <c r="BA25" i="14" s="1"/>
  <c r="X25" i="14"/>
  <c r="I25" i="14"/>
  <c r="AR25" i="14"/>
  <c r="AY25" i="14" s="1"/>
  <c r="AS25" i="14"/>
  <c r="AZ25" i="14" s="1"/>
  <c r="J25" i="14"/>
  <c r="Y25" i="14"/>
  <c r="L7" i="14"/>
  <c r="E25" i="14"/>
  <c r="L25" i="14" s="1"/>
  <c r="L7" i="19"/>
  <c r="Z6" i="19"/>
  <c r="L6" i="19"/>
  <c r="T7" i="19"/>
  <c r="T7" i="14" s="1"/>
  <c r="T25" i="14" s="1"/>
  <c r="AA25" i="14" s="1"/>
  <c r="U7" i="19"/>
  <c r="U7" i="14" s="1"/>
  <c r="U25" i="14" s="1"/>
  <c r="AB25" i="14" s="1"/>
  <c r="V7" i="19"/>
  <c r="V7" i="14" s="1"/>
  <c r="V25" i="14" s="1"/>
  <c r="AC25" i="14" s="1"/>
  <c r="AA6" i="19"/>
  <c r="AC7" i="19"/>
  <c r="AC7" i="14" s="1"/>
  <c r="AB6" i="19"/>
  <c r="AB7" i="19"/>
  <c r="AB7" i="14" s="1"/>
  <c r="AC6" i="19"/>
  <c r="AA7" i="19"/>
  <c r="AA7" i="14" s="1"/>
  <c r="AV7" i="15"/>
  <c r="AV6" i="15"/>
  <c r="AU25" i="14" l="1"/>
  <c r="BB25" i="14" s="1"/>
  <c r="AX7" i="15"/>
  <c r="AW7" i="15"/>
  <c r="AX6" i="15"/>
  <c r="AW6" i="15"/>
  <c r="AA7" i="16"/>
  <c r="AX6" i="16"/>
  <c r="AV9" i="14"/>
  <c r="CG7" i="18"/>
  <c r="BZ11" i="14" s="1"/>
  <c r="BZ29" i="14" s="1"/>
  <c r="BX7" i="18"/>
  <c r="BY7" i="18"/>
  <c r="BZ7" i="18"/>
  <c r="BR7" i="19"/>
  <c r="AH7" i="19"/>
  <c r="AI7" i="19"/>
  <c r="AJ7" i="19"/>
  <c r="AJ7" i="14" s="1"/>
  <c r="M6" i="19"/>
  <c r="N6" i="19"/>
  <c r="O6" i="19"/>
  <c r="F7" i="19"/>
  <c r="G7" i="19"/>
  <c r="H7" i="19"/>
  <c r="BY8" i="10"/>
  <c r="CE8" i="10"/>
  <c r="BX8" i="14" s="1"/>
  <c r="BX26" i="14" s="1"/>
  <c r="AV6" i="10"/>
  <c r="AW6" i="10"/>
  <c r="AX6" i="10"/>
  <c r="AV7" i="10"/>
  <c r="AW7" i="10"/>
  <c r="AX7" i="10"/>
  <c r="AO8" i="10"/>
  <c r="AO8" i="14" s="1"/>
  <c r="AH8" i="10"/>
  <c r="AH8" i="14" s="1"/>
  <c r="AH26" i="14" s="1"/>
  <c r="AA6" i="10"/>
  <c r="AB6" i="10"/>
  <c r="AC6" i="10"/>
  <c r="AA7" i="10"/>
  <c r="AB7" i="10"/>
  <c r="AC7" i="10"/>
  <c r="U8" i="10"/>
  <c r="U8" i="14" s="1"/>
  <c r="U26" i="14" s="1"/>
  <c r="M6" i="10"/>
  <c r="N6" i="10"/>
  <c r="O6" i="10"/>
  <c r="M7" i="10"/>
  <c r="N7" i="10"/>
  <c r="O7" i="10"/>
  <c r="F8" i="10"/>
  <c r="F8" i="14" s="1"/>
  <c r="F26" i="14" s="1"/>
  <c r="CL8" i="15"/>
  <c r="CE8" i="15"/>
  <c r="BX9" i="14" s="1"/>
  <c r="BX27" i="14" s="1"/>
  <c r="AO8" i="15"/>
  <c r="AO9" i="14" s="1"/>
  <c r="AV8" i="15"/>
  <c r="AI8" i="15"/>
  <c r="AB6" i="15"/>
  <c r="AC6" i="15"/>
  <c r="AB7" i="15"/>
  <c r="AC7" i="15"/>
  <c r="G8" i="15"/>
  <c r="G9" i="14" s="1"/>
  <c r="G27" i="14" s="1"/>
  <c r="U8" i="15"/>
  <c r="U9" i="14" s="1"/>
  <c r="U27" i="14" s="1"/>
  <c r="O6" i="15"/>
  <c r="N6" i="15"/>
  <c r="N7" i="15"/>
  <c r="O7" i="15"/>
  <c r="AJ25" i="14" l="1"/>
  <c r="BS7" i="14"/>
  <c r="AO26" i="14"/>
  <c r="BQ8" i="14"/>
  <c r="AI9" i="14"/>
  <c r="AI27" i="14" s="1"/>
  <c r="AO27" i="14"/>
  <c r="H7" i="14"/>
  <c r="O7" i="19"/>
  <c r="BL7" i="14"/>
  <c r="G7" i="14"/>
  <c r="N7" i="19"/>
  <c r="F7" i="14"/>
  <c r="M7" i="19"/>
  <c r="BK7" i="14"/>
  <c r="AI7" i="14"/>
  <c r="BJ7" i="14"/>
  <c r="AH7" i="14"/>
  <c r="CE8" i="16"/>
  <c r="BY10" i="14" s="1"/>
  <c r="BY28" i="14" s="1"/>
  <c r="BJ8" i="14"/>
  <c r="AV8" i="10"/>
  <c r="AV8" i="14" s="1"/>
  <c r="O7" i="16"/>
  <c r="O6" i="16"/>
  <c r="N6" i="16"/>
  <c r="AX7" i="16"/>
  <c r="AC7" i="16"/>
  <c r="AW7" i="16"/>
  <c r="F8" i="16"/>
  <c r="H8" i="16"/>
  <c r="G8" i="16"/>
  <c r="N7" i="16"/>
  <c r="AC6" i="16"/>
  <c r="AW6" i="16"/>
  <c r="V8" i="16"/>
  <c r="CD8" i="16"/>
  <c r="BX10" i="14" s="1"/>
  <c r="BX28" i="14" s="1"/>
  <c r="BX30" i="14" s="1"/>
  <c r="H7" i="18"/>
  <c r="H11" i="14" s="1"/>
  <c r="H29" i="14" s="1"/>
  <c r="G7" i="18"/>
  <c r="G11" i="14" s="1"/>
  <c r="G29" i="14" s="1"/>
  <c r="CF8" i="16"/>
  <c r="BZ10" i="14" s="1"/>
  <c r="BZ28" i="14" s="1"/>
  <c r="AO8" i="16"/>
  <c r="AO10" i="14" s="1"/>
  <c r="AO12" i="14"/>
  <c r="AH8" i="16"/>
  <c r="T8" i="16"/>
  <c r="AA6" i="16"/>
  <c r="AV7" i="16"/>
  <c r="M7" i="16"/>
  <c r="AV6" i="16"/>
  <c r="M6" i="16"/>
  <c r="AI7" i="18"/>
  <c r="BK7" i="18" s="1"/>
  <c r="CF7" i="18"/>
  <c r="BY11" i="14" s="1"/>
  <c r="BY29" i="14" s="1"/>
  <c r="AQ7" i="18"/>
  <c r="AQ11" i="14" s="1"/>
  <c r="AP7" i="18"/>
  <c r="AP11" i="14" s="1"/>
  <c r="V7" i="18"/>
  <c r="V11" i="14" s="1"/>
  <c r="V29" i="14" s="1"/>
  <c r="U7" i="18"/>
  <c r="U11" i="14" s="1"/>
  <c r="U29" i="14" s="1"/>
  <c r="F7" i="18"/>
  <c r="F11" i="14" s="1"/>
  <c r="F29" i="14" s="1"/>
  <c r="BS8" i="10"/>
  <c r="BR8" i="10"/>
  <c r="BQ8" i="10"/>
  <c r="BS8" i="15"/>
  <c r="BR8" i="15"/>
  <c r="BQ8" i="15"/>
  <c r="AS7" i="15"/>
  <c r="CG8" i="10"/>
  <c r="BZ8" i="14" s="1"/>
  <c r="BZ26" i="14" s="1"/>
  <c r="CF8" i="10"/>
  <c r="BY8" i="14" s="1"/>
  <c r="BY26" i="14" s="1"/>
  <c r="CD8" i="10"/>
  <c r="CC8" i="10"/>
  <c r="CB8" i="10"/>
  <c r="CA8" i="10"/>
  <c r="BZ8" i="10"/>
  <c r="BX8" i="10"/>
  <c r="BW8" i="10"/>
  <c r="BV8" i="10"/>
  <c r="BU8" i="10"/>
  <c r="BT8" i="10"/>
  <c r="AQ8" i="10"/>
  <c r="AQ8" i="14" s="1"/>
  <c r="AP8" i="10"/>
  <c r="AP8" i="14" s="1"/>
  <c r="AN8" i="10"/>
  <c r="AM8" i="10"/>
  <c r="AL8" i="10"/>
  <c r="AK8" i="10"/>
  <c r="AJ8" i="10"/>
  <c r="AI8" i="10"/>
  <c r="AG8" i="10"/>
  <c r="AF8" i="10"/>
  <c r="AE8" i="10"/>
  <c r="AD8" i="10"/>
  <c r="V8" i="10"/>
  <c r="V8" i="14" s="1"/>
  <c r="V26" i="14" s="1"/>
  <c r="T8" i="10"/>
  <c r="T8" i="14" s="1"/>
  <c r="T26" i="14" s="1"/>
  <c r="S8" i="10"/>
  <c r="R8" i="10"/>
  <c r="Q8" i="10"/>
  <c r="P8" i="10"/>
  <c r="H8" i="10"/>
  <c r="H8" i="14" s="1"/>
  <c r="H26" i="14" s="1"/>
  <c r="G8" i="10"/>
  <c r="G8" i="14" s="1"/>
  <c r="G26" i="14" s="1"/>
  <c r="B8" i="10"/>
  <c r="M8" i="10" s="1"/>
  <c r="AU7" i="10"/>
  <c r="AT7" i="10"/>
  <c r="AS7" i="10"/>
  <c r="AR7" i="10"/>
  <c r="Z7" i="10"/>
  <c r="Y7" i="10"/>
  <c r="X7" i="10"/>
  <c r="W7" i="10"/>
  <c r="L7" i="10"/>
  <c r="K7" i="10"/>
  <c r="J7" i="10"/>
  <c r="I7" i="10"/>
  <c r="AR6" i="10"/>
  <c r="BD6" i="10" s="1"/>
  <c r="Z6" i="10"/>
  <c r="Y6" i="10"/>
  <c r="X6" i="10"/>
  <c r="W6" i="10"/>
  <c r="I6" i="10"/>
  <c r="E6" i="10"/>
  <c r="E8" i="10" s="1"/>
  <c r="D6" i="10"/>
  <c r="D8" i="10" s="1"/>
  <c r="C6" i="10"/>
  <c r="C8" i="10" s="1"/>
  <c r="AP29" i="14" l="1"/>
  <c r="AQ29" i="14"/>
  <c r="AX29" i="14" s="1"/>
  <c r="AH25" i="14"/>
  <c r="BQ7" i="14"/>
  <c r="AI25" i="14"/>
  <c r="BR7" i="14"/>
  <c r="BL25" i="14"/>
  <c r="BS25" i="14"/>
  <c r="BR8" i="16"/>
  <c r="AO28" i="14"/>
  <c r="AO30" i="14" s="1"/>
  <c r="AV26" i="14"/>
  <c r="BQ26" i="14"/>
  <c r="AP26" i="14"/>
  <c r="AQ26" i="14"/>
  <c r="AX26" i="14" s="1"/>
  <c r="BJ26" i="14"/>
  <c r="AW26" i="14"/>
  <c r="O7" i="14"/>
  <c r="H25" i="14"/>
  <c r="AW29" i="14"/>
  <c r="M7" i="14"/>
  <c r="F25" i="14"/>
  <c r="N7" i="14"/>
  <c r="G25" i="14"/>
  <c r="BX12" i="14"/>
  <c r="BS8" i="16"/>
  <c r="BL8" i="14"/>
  <c r="AJ8" i="14"/>
  <c r="AJ26" i="14" s="1"/>
  <c r="BL26" i="14" s="1"/>
  <c r="BK8" i="14"/>
  <c r="AI8" i="14"/>
  <c r="AI26" i="14" s="1"/>
  <c r="BK26" i="14" s="1"/>
  <c r="G10" i="14"/>
  <c r="V10" i="14"/>
  <c r="V28" i="14" s="1"/>
  <c r="BQ8" i="16"/>
  <c r="BJ10" i="14"/>
  <c r="AH10" i="14"/>
  <c r="AH28" i="14" s="1"/>
  <c r="BJ28" i="14" s="1"/>
  <c r="T10" i="14"/>
  <c r="T28" i="14" s="1"/>
  <c r="AW7" i="18"/>
  <c r="AW11" i="14" s="1"/>
  <c r="BK11" i="14"/>
  <c r="AX7" i="18"/>
  <c r="AX11" i="14" s="1"/>
  <c r="AI11" i="14"/>
  <c r="AI29" i="14" s="1"/>
  <c r="BK29" i="14" s="1"/>
  <c r="BC7" i="10"/>
  <c r="BD7" i="10"/>
  <c r="BE7" i="10"/>
  <c r="AW8" i="10"/>
  <c r="AX8" i="10"/>
  <c r="BC6" i="10"/>
  <c r="BE6" i="10"/>
  <c r="AA8" i="10"/>
  <c r="AA8" i="14" s="1"/>
  <c r="BM8" i="10"/>
  <c r="N8" i="10"/>
  <c r="O8" i="10"/>
  <c r="J8" i="10"/>
  <c r="K8" i="10"/>
  <c r="X8" i="10"/>
  <c r="Y8" i="10"/>
  <c r="BN8" i="10"/>
  <c r="BA7" i="10"/>
  <c r="BO8" i="10"/>
  <c r="AC8" i="10"/>
  <c r="AC8" i="14" s="1"/>
  <c r="AS6" i="10"/>
  <c r="AZ6" i="10" s="1"/>
  <c r="J6" i="10"/>
  <c r="AT6" i="10"/>
  <c r="BA6" i="10" s="1"/>
  <c r="AR8" i="10"/>
  <c r="K6" i="10"/>
  <c r="BP8" i="10"/>
  <c r="AS8" i="10"/>
  <c r="AT8" i="10"/>
  <c r="AZ7" i="10"/>
  <c r="AB8" i="10"/>
  <c r="AB8" i="14" s="1"/>
  <c r="AU8" i="10"/>
  <c r="L8" i="10"/>
  <c r="I8" i="10"/>
  <c r="AY6" i="10"/>
  <c r="AY7" i="10"/>
  <c r="W8" i="10"/>
  <c r="BB7" i="10"/>
  <c r="Z8" i="10"/>
  <c r="L6" i="10"/>
  <c r="AU6" i="10"/>
  <c r="BB6" i="10" s="1"/>
  <c r="BR11" i="14" l="1"/>
  <c r="BR29" i="14"/>
  <c r="BK25" i="14"/>
  <c r="BR25" i="14"/>
  <c r="BJ25" i="14"/>
  <c r="BQ25" i="14"/>
  <c r="BQ10" i="14"/>
  <c r="BQ28" i="14"/>
  <c r="BS8" i="14"/>
  <c r="BS26" i="14"/>
  <c r="BR8" i="14"/>
  <c r="BR26" i="14"/>
  <c r="O25" i="14"/>
  <c r="AX25" i="14"/>
  <c r="BE25" i="14" s="1"/>
  <c r="G12" i="14"/>
  <c r="G28" i="14"/>
  <c r="G30" i="14" s="1"/>
  <c r="N25" i="14"/>
  <c r="AW25" i="14"/>
  <c r="BD25" i="14" s="1"/>
  <c r="AV25" i="14"/>
  <c r="BC25" i="14" s="1"/>
  <c r="M25" i="14"/>
  <c r="BD8" i="10"/>
  <c r="AW8" i="14"/>
  <c r="BE8" i="10"/>
  <c r="AX8" i="14"/>
  <c r="AY8" i="10"/>
  <c r="BC8" i="10"/>
  <c r="BB8" i="10"/>
  <c r="BA8" i="10"/>
  <c r="AZ8" i="10"/>
  <c r="BY7" i="19"/>
  <c r="BX7" i="19"/>
  <c r="BW7" i="19"/>
  <c r="BV7" i="19"/>
  <c r="BU7" i="19"/>
  <c r="BT7" i="19"/>
  <c r="BS7" i="19"/>
  <c r="BQ7" i="19"/>
  <c r="BP7" i="19"/>
  <c r="AG7" i="19"/>
  <c r="AG7" i="14" s="1"/>
  <c r="S7" i="19"/>
  <c r="S7" i="14" s="1"/>
  <c r="S25" i="14" s="1"/>
  <c r="Z25" i="14" s="1"/>
  <c r="CE7" i="18"/>
  <c r="BX11" i="14" s="1"/>
  <c r="BX29" i="14" s="1"/>
  <c r="CD7" i="18"/>
  <c r="BW11" i="14" s="1"/>
  <c r="BW29" i="14" s="1"/>
  <c r="CC7" i="18"/>
  <c r="BV11" i="14" s="1"/>
  <c r="BV29" i="14" s="1"/>
  <c r="CB7" i="18"/>
  <c r="BU11" i="14" s="1"/>
  <c r="BU29" i="14" s="1"/>
  <c r="CA7" i="18"/>
  <c r="BT11" i="14" s="1"/>
  <c r="BT29" i="14" s="1"/>
  <c r="BW7" i="18"/>
  <c r="BV7" i="18"/>
  <c r="BU7" i="18"/>
  <c r="BT7" i="18"/>
  <c r="AO7" i="18"/>
  <c r="AO11" i="14" s="1"/>
  <c r="AN7" i="18"/>
  <c r="AN11" i="14" s="1"/>
  <c r="AM7" i="18"/>
  <c r="AM11" i="14" s="1"/>
  <c r="AJ7" i="18"/>
  <c r="BL7" i="18" s="1"/>
  <c r="AH7" i="18"/>
  <c r="BJ7" i="18" s="1"/>
  <c r="AG7" i="18"/>
  <c r="BI7" i="18" s="1"/>
  <c r="AF7" i="18"/>
  <c r="BH7" i="18" s="1"/>
  <c r="AE7" i="18"/>
  <c r="AD7" i="18"/>
  <c r="S7" i="18"/>
  <c r="R7" i="18"/>
  <c r="Q7" i="18"/>
  <c r="P7" i="18"/>
  <c r="E7" i="18"/>
  <c r="E11" i="14" s="1"/>
  <c r="E29" i="14" s="1"/>
  <c r="D7" i="18"/>
  <c r="D11" i="14" s="1"/>
  <c r="D29" i="14" s="1"/>
  <c r="C7" i="18"/>
  <c r="C11" i="14" s="1"/>
  <c r="C29" i="14" s="1"/>
  <c r="B7" i="18"/>
  <c r="T7" i="18"/>
  <c r="AD11" i="14" l="1"/>
  <c r="AD29" i="14" s="1"/>
  <c r="AE11" i="14"/>
  <c r="AE29" i="14" s="1"/>
  <c r="AL7" i="18"/>
  <c r="AS7" i="18" s="1"/>
  <c r="AS11" i="14" s="1"/>
  <c r="S11" i="14"/>
  <c r="S29" i="14" s="1"/>
  <c r="Z7" i="18"/>
  <c r="Z11" i="14" s="1"/>
  <c r="R11" i="14"/>
  <c r="R29" i="14" s="1"/>
  <c r="Y29" i="14" s="1"/>
  <c r="Y7" i="18"/>
  <c r="Y11" i="14" s="1"/>
  <c r="AM29" i="14"/>
  <c r="BO29" i="14" s="1"/>
  <c r="BO11" i="14"/>
  <c r="AN29" i="14"/>
  <c r="AU29" i="14" s="1"/>
  <c r="AO29" i="14"/>
  <c r="P11" i="14"/>
  <c r="P29" i="14" s="1"/>
  <c r="W7" i="18"/>
  <c r="W11" i="14" s="1"/>
  <c r="AC7" i="18"/>
  <c r="AC11" i="14" s="1"/>
  <c r="AB7" i="18"/>
  <c r="AB11" i="14" s="1"/>
  <c r="Q11" i="14"/>
  <c r="Q29" i="14" s="1"/>
  <c r="X29" i="14" s="1"/>
  <c r="X7" i="18"/>
  <c r="X11" i="14" s="1"/>
  <c r="AG25" i="14"/>
  <c r="BP7" i="14"/>
  <c r="X6" i="19"/>
  <c r="Y6" i="19"/>
  <c r="W6" i="19"/>
  <c r="W7" i="19"/>
  <c r="BL11" i="14"/>
  <c r="AJ11" i="14"/>
  <c r="BJ11" i="14"/>
  <c r="AH11" i="14"/>
  <c r="AH29" i="14" s="1"/>
  <c r="T11" i="14"/>
  <c r="T29" i="14" s="1"/>
  <c r="AA7" i="18"/>
  <c r="AA11" i="14" s="1"/>
  <c r="AV7" i="18"/>
  <c r="I7" i="18"/>
  <c r="I11" i="14" s="1"/>
  <c r="O7" i="18"/>
  <c r="O11" i="14" s="1"/>
  <c r="N7" i="18"/>
  <c r="N11" i="14" s="1"/>
  <c r="AT7" i="18"/>
  <c r="AT11" i="14" s="1"/>
  <c r="AU7" i="18"/>
  <c r="AU11" i="14" s="1"/>
  <c r="BH11" i="14"/>
  <c r="BI11" i="14"/>
  <c r="J7" i="18"/>
  <c r="J11" i="14" s="1"/>
  <c r="AF11" i="14"/>
  <c r="AF29" i="14" s="1"/>
  <c r="AL11" i="14"/>
  <c r="K7" i="18"/>
  <c r="K11" i="14" s="1"/>
  <c r="L7" i="18"/>
  <c r="L11" i="14" s="1"/>
  <c r="AG11" i="14"/>
  <c r="AG29" i="14" s="1"/>
  <c r="B11" i="14"/>
  <c r="B29" i="14" s="1"/>
  <c r="K29" i="14" s="1"/>
  <c r="Y7" i="19"/>
  <c r="BI7" i="14"/>
  <c r="X7" i="19"/>
  <c r="AK7" i="18"/>
  <c r="BF7" i="18" s="1"/>
  <c r="BF11" i="14" s="1"/>
  <c r="BG7" i="18" l="1"/>
  <c r="BG11" i="14" s="1"/>
  <c r="Z29" i="14"/>
  <c r="BI29" i="14"/>
  <c r="AB29" i="14"/>
  <c r="AC29" i="14"/>
  <c r="AA29" i="14"/>
  <c r="W29" i="14"/>
  <c r="BQ11" i="14"/>
  <c r="BP11" i="14"/>
  <c r="AV29" i="14"/>
  <c r="BQ29" i="14"/>
  <c r="BP29" i="14"/>
  <c r="AL29" i="14"/>
  <c r="BN11" i="14"/>
  <c r="BH29" i="14"/>
  <c r="BJ29" i="14"/>
  <c r="AJ29" i="14"/>
  <c r="BS11" i="14"/>
  <c r="AT29" i="14"/>
  <c r="BI25" i="14"/>
  <c r="BP25" i="14"/>
  <c r="I29" i="14"/>
  <c r="M29" i="14"/>
  <c r="O29" i="14"/>
  <c r="N29" i="14"/>
  <c r="L29" i="14"/>
  <c r="J29" i="14"/>
  <c r="AV11" i="14"/>
  <c r="AR7" i="18"/>
  <c r="AK11" i="14"/>
  <c r="M7" i="18"/>
  <c r="M11" i="14" s="1"/>
  <c r="AK29" i="14" l="1"/>
  <c r="BM11" i="14"/>
  <c r="BB7" i="18"/>
  <c r="BB11" i="14" s="1"/>
  <c r="BE7" i="18"/>
  <c r="BE11" i="14" s="1"/>
  <c r="BD7" i="18"/>
  <c r="BD11" i="14" s="1"/>
  <c r="BL29" i="14"/>
  <c r="BS29" i="14"/>
  <c r="BC7" i="18"/>
  <c r="BC11" i="14" s="1"/>
  <c r="AS29" i="14"/>
  <c r="BN29" i="14"/>
  <c r="BG29" i="14"/>
  <c r="BA7" i="18"/>
  <c r="BA11" i="14" s="1"/>
  <c r="AY7" i="18"/>
  <c r="AY11" i="14" s="1"/>
  <c r="AR11" i="14"/>
  <c r="AZ7" i="18"/>
  <c r="AZ11" i="14" s="1"/>
  <c r="AR29" i="14" l="1"/>
  <c r="BM29" i="14"/>
  <c r="BF29" i="14"/>
  <c r="CC8" i="16"/>
  <c r="BW10" i="14" s="1"/>
  <c r="BW28" i="14" s="1"/>
  <c r="CB8" i="16"/>
  <c r="BV10" i="14" s="1"/>
  <c r="BV28" i="14" s="1"/>
  <c r="CA8" i="16"/>
  <c r="BU10" i="14" s="1"/>
  <c r="BU28" i="14" s="1"/>
  <c r="BZ8" i="16"/>
  <c r="BT10" i="14" s="1"/>
  <c r="BT28" i="14" s="1"/>
  <c r="BX8" i="16"/>
  <c r="BW8" i="16"/>
  <c r="BV8" i="16"/>
  <c r="BU8" i="16"/>
  <c r="BT8" i="16"/>
  <c r="AQ8" i="16"/>
  <c r="AP8" i="16"/>
  <c r="AN8" i="16"/>
  <c r="AM8" i="16"/>
  <c r="AL8" i="16"/>
  <c r="AK8" i="16"/>
  <c r="AJ8" i="16"/>
  <c r="AI8" i="16"/>
  <c r="AG8" i="16"/>
  <c r="AF8" i="16"/>
  <c r="AE8" i="16"/>
  <c r="AD8" i="16"/>
  <c r="U8" i="16"/>
  <c r="U10" i="14" s="1"/>
  <c r="S8" i="16"/>
  <c r="R8" i="16"/>
  <c r="Q8" i="16"/>
  <c r="P8" i="16"/>
  <c r="E8" i="16"/>
  <c r="D8" i="16"/>
  <c r="D10" i="14" s="1"/>
  <c r="D28" i="14" s="1"/>
  <c r="C8" i="16"/>
  <c r="C10" i="14" s="1"/>
  <c r="C28" i="14" s="1"/>
  <c r="B8" i="16"/>
  <c r="BY8" i="16"/>
  <c r="AU7" i="16"/>
  <c r="AT7" i="16"/>
  <c r="AS7" i="16"/>
  <c r="AR7" i="16"/>
  <c r="AB7" i="16"/>
  <c r="Z7" i="16"/>
  <c r="Y7" i="16"/>
  <c r="X7" i="16"/>
  <c r="W7" i="16"/>
  <c r="L7" i="16"/>
  <c r="K7" i="16"/>
  <c r="J7" i="16"/>
  <c r="I7" i="16"/>
  <c r="AU6" i="16"/>
  <c r="AT6" i="16"/>
  <c r="AS6" i="16"/>
  <c r="AR6" i="16"/>
  <c r="AB6" i="16"/>
  <c r="Z6" i="16"/>
  <c r="Y6" i="16"/>
  <c r="X6" i="16"/>
  <c r="W6" i="16"/>
  <c r="L6" i="16"/>
  <c r="K6" i="16"/>
  <c r="J6" i="16"/>
  <c r="I6" i="16"/>
  <c r="BB29" i="14" l="1"/>
  <c r="AY29" i="14"/>
  <c r="BE29" i="14"/>
  <c r="BD29" i="14"/>
  <c r="BC29" i="14"/>
  <c r="BA29" i="14"/>
  <c r="AZ29" i="14"/>
  <c r="BB6" i="16"/>
  <c r="B10" i="14"/>
  <c r="B28" i="14" s="1"/>
  <c r="N8" i="16"/>
  <c r="N10" i="14" s="1"/>
  <c r="AY6" i="16"/>
  <c r="BE6" i="16"/>
  <c r="BC6" i="16"/>
  <c r="BD6" i="16"/>
  <c r="AA8" i="16"/>
  <c r="AA10" i="14" s="1"/>
  <c r="AC8" i="16"/>
  <c r="AC10" i="14" s="1"/>
  <c r="AY7" i="16"/>
  <c r="BD7" i="16"/>
  <c r="BE7" i="16"/>
  <c r="BC7" i="16"/>
  <c r="I28" i="14"/>
  <c r="N28" i="14"/>
  <c r="J28" i="14"/>
  <c r="K28" i="14"/>
  <c r="U12" i="14"/>
  <c r="U28" i="14"/>
  <c r="AW8" i="16"/>
  <c r="AP10" i="14"/>
  <c r="AQ10" i="14"/>
  <c r="AI10" i="14"/>
  <c r="BK10" i="14"/>
  <c r="AJ10" i="14"/>
  <c r="AJ28" i="14" s="1"/>
  <c r="BL10" i="14"/>
  <c r="F10" i="14"/>
  <c r="F28" i="14" s="1"/>
  <c r="M8" i="16"/>
  <c r="M10" i="14" s="1"/>
  <c r="AV8" i="16"/>
  <c r="AZ7" i="16"/>
  <c r="BA7" i="16"/>
  <c r="BB7" i="16"/>
  <c r="AZ6" i="16"/>
  <c r="BA6" i="16"/>
  <c r="I8" i="16"/>
  <c r="I10" i="14" s="1"/>
  <c r="AB8" i="16"/>
  <c r="AB10" i="14" s="1"/>
  <c r="BF10" i="14"/>
  <c r="AD10" i="14"/>
  <c r="AD28" i="14" s="1"/>
  <c r="AR8" i="16"/>
  <c r="AK10" i="14"/>
  <c r="L8" i="16"/>
  <c r="L10" i="14" s="1"/>
  <c r="E10" i="14"/>
  <c r="E28" i="14" s="1"/>
  <c r="L28" i="14" s="1"/>
  <c r="BG10" i="14"/>
  <c r="AE10" i="14"/>
  <c r="AE28" i="14" s="1"/>
  <c r="AS8" i="16"/>
  <c r="AS10" i="14" s="1"/>
  <c r="AL10" i="14"/>
  <c r="BH10" i="14"/>
  <c r="AF10" i="14"/>
  <c r="AF28" i="14" s="1"/>
  <c r="AT8" i="16"/>
  <c r="AM10" i="14"/>
  <c r="BI10" i="14"/>
  <c r="AG10" i="14"/>
  <c r="AG28" i="14" s="1"/>
  <c r="AU8" i="16"/>
  <c r="AN10" i="14"/>
  <c r="BM8" i="16"/>
  <c r="J8" i="16"/>
  <c r="J10" i="14" s="1"/>
  <c r="BN8" i="16"/>
  <c r="K8" i="16"/>
  <c r="K10" i="14" s="1"/>
  <c r="BO8" i="16"/>
  <c r="W8" i="16"/>
  <c r="W10" i="14" s="1"/>
  <c r="P10" i="14"/>
  <c r="P28" i="14" s="1"/>
  <c r="BP8" i="16"/>
  <c r="X8" i="16"/>
  <c r="X10" i="14" s="1"/>
  <c r="Q10" i="14"/>
  <c r="Q28" i="14" s="1"/>
  <c r="X28" i="14" s="1"/>
  <c r="Y8" i="16"/>
  <c r="Y10" i="14" s="1"/>
  <c r="R10" i="14"/>
  <c r="R28" i="14" s="1"/>
  <c r="Y28" i="14" s="1"/>
  <c r="Z8" i="16"/>
  <c r="Z10" i="14" s="1"/>
  <c r="S10" i="14"/>
  <c r="S28" i="14" s="1"/>
  <c r="Z28" i="14" s="1"/>
  <c r="AQ28" i="14" l="1"/>
  <c r="BS28" i="14" s="1"/>
  <c r="BS10" i="14"/>
  <c r="BH28" i="14"/>
  <c r="AL28" i="14"/>
  <c r="BG28" i="14" s="1"/>
  <c r="BN10" i="14"/>
  <c r="AP28" i="14"/>
  <c r="BR10" i="14"/>
  <c r="AN28" i="14"/>
  <c r="BP10" i="14"/>
  <c r="BI28" i="14"/>
  <c r="AK28" i="14"/>
  <c r="BM10" i="14"/>
  <c r="AM28" i="14"/>
  <c r="BO10" i="14"/>
  <c r="BL28" i="14"/>
  <c r="M28" i="14"/>
  <c r="AV28" i="14"/>
  <c r="AB28" i="14"/>
  <c r="U30" i="14"/>
  <c r="W28" i="14"/>
  <c r="AC28" i="14"/>
  <c r="AA28" i="14"/>
  <c r="AI12" i="14"/>
  <c r="AI28" i="14"/>
  <c r="H10" i="14"/>
  <c r="H28" i="14" s="1"/>
  <c r="O28" i="14" s="1"/>
  <c r="O8" i="16"/>
  <c r="O10" i="14" s="1"/>
  <c r="AX8" i="16"/>
  <c r="BE8" i="16" s="1"/>
  <c r="BE10" i="14" s="1"/>
  <c r="BD8" i="16"/>
  <c r="BD10" i="14" s="1"/>
  <c r="AW10" i="14"/>
  <c r="BC8" i="16"/>
  <c r="BC10" i="14" s="1"/>
  <c r="AV10" i="14"/>
  <c r="BA8" i="16"/>
  <c r="BA10" i="14" s="1"/>
  <c r="AT10" i="14"/>
  <c r="AY8" i="16"/>
  <c r="AY10" i="14" s="1"/>
  <c r="AR10" i="14"/>
  <c r="AZ8" i="16"/>
  <c r="AZ10" i="14" s="1"/>
  <c r="BB8" i="16"/>
  <c r="BB10" i="14" s="1"/>
  <c r="AU10" i="14"/>
  <c r="CN8" i="15"/>
  <c r="CM8" i="15"/>
  <c r="CK8" i="15"/>
  <c r="CJ8" i="15"/>
  <c r="CI8" i="15"/>
  <c r="CH8" i="15"/>
  <c r="CG8" i="15"/>
  <c r="BZ9" i="14" s="1"/>
  <c r="CF8" i="15"/>
  <c r="BY9" i="14" s="1"/>
  <c r="CD8" i="15"/>
  <c r="BW9" i="14" s="1"/>
  <c r="BW27" i="14" s="1"/>
  <c r="CC8" i="15"/>
  <c r="BV9" i="14" s="1"/>
  <c r="BV27" i="14" s="1"/>
  <c r="CB8" i="15"/>
  <c r="BU9" i="14" s="1"/>
  <c r="BU27" i="14" s="1"/>
  <c r="CA8" i="15"/>
  <c r="BT9" i="14" s="1"/>
  <c r="BT27" i="14" s="1"/>
  <c r="BZ8" i="15"/>
  <c r="BY8" i="15"/>
  <c r="BW8" i="15"/>
  <c r="BV8" i="15"/>
  <c r="BU8" i="15"/>
  <c r="BT8" i="15"/>
  <c r="AQ8" i="15"/>
  <c r="AQ9" i="14" s="1"/>
  <c r="AP8" i="15"/>
  <c r="AN8" i="15"/>
  <c r="AN9" i="14" s="1"/>
  <c r="AM8" i="15"/>
  <c r="AM9" i="14" s="1"/>
  <c r="AL8" i="15"/>
  <c r="AL9" i="14" s="1"/>
  <c r="AK8" i="15"/>
  <c r="AK9" i="14" s="1"/>
  <c r="AJ8" i="15"/>
  <c r="AH8" i="15"/>
  <c r="BJ8" i="15" s="1"/>
  <c r="AG8" i="15"/>
  <c r="AF8" i="15"/>
  <c r="AE8" i="15"/>
  <c r="BG8" i="15" s="1"/>
  <c r="AD8" i="15"/>
  <c r="V8" i="15"/>
  <c r="V9" i="14" s="1"/>
  <c r="T8" i="15"/>
  <c r="T9" i="14" s="1"/>
  <c r="S8" i="15"/>
  <c r="S9" i="14" s="1"/>
  <c r="S27" i="14" s="1"/>
  <c r="R8" i="15"/>
  <c r="Q8" i="15"/>
  <c r="P8" i="15"/>
  <c r="AB8" i="15" s="1"/>
  <c r="AB9" i="14" s="1"/>
  <c r="H8" i="15"/>
  <c r="H9" i="14" s="1"/>
  <c r="H27" i="14" s="1"/>
  <c r="F8" i="15"/>
  <c r="F9" i="14" s="1"/>
  <c r="E8" i="15"/>
  <c r="E9" i="14" s="1"/>
  <c r="E27" i="14" s="1"/>
  <c r="D8" i="15"/>
  <c r="C8" i="15"/>
  <c r="B8" i="15"/>
  <c r="N8" i="15" s="1"/>
  <c r="N9" i="14" s="1"/>
  <c r="AU7" i="15"/>
  <c r="AT7" i="15"/>
  <c r="AR7" i="15"/>
  <c r="AA7" i="15"/>
  <c r="Z7" i="15"/>
  <c r="Y7" i="15"/>
  <c r="X7" i="15"/>
  <c r="W7" i="15"/>
  <c r="M7" i="15"/>
  <c r="L7" i="15"/>
  <c r="K7" i="15"/>
  <c r="J7" i="15"/>
  <c r="I7" i="15"/>
  <c r="AU6" i="15"/>
  <c r="AT6" i="15"/>
  <c r="AS6" i="15"/>
  <c r="AS8" i="15" s="1"/>
  <c r="AS9" i="14" s="1"/>
  <c r="AR6" i="15"/>
  <c r="AA6" i="15"/>
  <c r="Z6" i="15"/>
  <c r="Y6" i="15"/>
  <c r="X6" i="15"/>
  <c r="W6" i="15"/>
  <c r="M6" i="15"/>
  <c r="L6" i="15"/>
  <c r="K6" i="15"/>
  <c r="J6" i="15"/>
  <c r="I6" i="15"/>
  <c r="AU28" i="14" l="1"/>
  <c r="BP28" i="14"/>
  <c r="AW28" i="14"/>
  <c r="BR28" i="14"/>
  <c r="AR28" i="14"/>
  <c r="AY28" i="14" s="1"/>
  <c r="BM28" i="14"/>
  <c r="AT28" i="14"/>
  <c r="BA28" i="14" s="1"/>
  <c r="BO28" i="14"/>
  <c r="BK28" i="14"/>
  <c r="AS28" i="14"/>
  <c r="AZ28" i="14" s="1"/>
  <c r="BN28" i="14"/>
  <c r="BF28" i="14"/>
  <c r="AM27" i="14"/>
  <c r="AN27" i="14"/>
  <c r="AP9" i="14"/>
  <c r="BR9" i="14" s="1"/>
  <c r="BR12" i="14" s="1"/>
  <c r="BK8" i="15"/>
  <c r="BK9" i="14" s="1"/>
  <c r="BS9" i="14"/>
  <c r="BS12" i="14" s="1"/>
  <c r="AD9" i="14"/>
  <c r="AD27" i="14" s="1"/>
  <c r="BF27" i="14" s="1"/>
  <c r="BF8" i="15"/>
  <c r="BF9" i="14" s="1"/>
  <c r="BH8" i="15"/>
  <c r="BH9" i="14" s="1"/>
  <c r="AG9" i="14"/>
  <c r="AG27" i="14" s="1"/>
  <c r="BI27" i="14" s="1"/>
  <c r="BI8" i="15"/>
  <c r="BI9" i="14" s="1"/>
  <c r="BL8" i="15"/>
  <c r="AK27" i="14"/>
  <c r="AL27" i="14"/>
  <c r="AX28" i="14"/>
  <c r="AI30" i="14"/>
  <c r="F12" i="14"/>
  <c r="AV12" i="14" s="1"/>
  <c r="F27" i="14"/>
  <c r="H30" i="14"/>
  <c r="T12" i="14"/>
  <c r="T27" i="14"/>
  <c r="V12" i="14"/>
  <c r="V27" i="14"/>
  <c r="AU27" i="14"/>
  <c r="AQ12" i="14"/>
  <c r="AQ27" i="14"/>
  <c r="BY12" i="14"/>
  <c r="BY27" i="14"/>
  <c r="BZ12" i="14"/>
  <c r="BZ27" i="14"/>
  <c r="BZ30" i="14" s="1"/>
  <c r="AP12" i="14"/>
  <c r="AW12" i="14" s="1"/>
  <c r="I8" i="15"/>
  <c r="I9" i="14" s="1"/>
  <c r="H12" i="14"/>
  <c r="AX10" i="14"/>
  <c r="BL9" i="14"/>
  <c r="AJ9" i="14"/>
  <c r="BJ9" i="14"/>
  <c r="AH9" i="14"/>
  <c r="BQ9" i="14" s="1"/>
  <c r="BQ12" i="14" s="1"/>
  <c r="AY6" i="15"/>
  <c r="BC6" i="15"/>
  <c r="BD6" i="15"/>
  <c r="AZ7" i="15"/>
  <c r="BC7" i="15"/>
  <c r="AX8" i="15"/>
  <c r="AX9" i="14" s="1"/>
  <c r="L8" i="15"/>
  <c r="L9" i="14" s="1"/>
  <c r="BG9" i="14"/>
  <c r="AE9" i="14"/>
  <c r="AE27" i="14" s="1"/>
  <c r="BG27" i="14" s="1"/>
  <c r="BA7" i="15"/>
  <c r="AC8" i="15"/>
  <c r="AC9" i="14" s="1"/>
  <c r="P9" i="14"/>
  <c r="P27" i="14" s="1"/>
  <c r="Z27" i="14" s="1"/>
  <c r="BD7" i="15"/>
  <c r="X8" i="15"/>
  <c r="X9" i="14" s="1"/>
  <c r="Q9" i="14"/>
  <c r="Q27" i="14" s="1"/>
  <c r="BM8" i="15"/>
  <c r="O8" i="15"/>
  <c r="O9" i="14" s="1"/>
  <c r="B9" i="14"/>
  <c r="B27" i="14" s="1"/>
  <c r="O27" i="14" s="1"/>
  <c r="AA8" i="15"/>
  <c r="AA9" i="14" s="1"/>
  <c r="AF9" i="14"/>
  <c r="AF27" i="14" s="1"/>
  <c r="BH27" i="14" s="1"/>
  <c r="BE7" i="15"/>
  <c r="Y8" i="15"/>
  <c r="Y9" i="14" s="1"/>
  <c r="R9" i="14"/>
  <c r="R27" i="14" s="1"/>
  <c r="BO8" i="15"/>
  <c r="K8" i="15"/>
  <c r="K9" i="14" s="1"/>
  <c r="D9" i="14"/>
  <c r="D27" i="14" s="1"/>
  <c r="W8" i="15"/>
  <c r="W9" i="14" s="1"/>
  <c r="BB7" i="15"/>
  <c r="AR8" i="15"/>
  <c r="AY7" i="15"/>
  <c r="AT8" i="15"/>
  <c r="AT9" i="14" s="1"/>
  <c r="BN8" i="15"/>
  <c r="J8" i="15"/>
  <c r="J9" i="14" s="1"/>
  <c r="C9" i="14"/>
  <c r="C27" i="14" s="1"/>
  <c r="BB6" i="15"/>
  <c r="AW8" i="15"/>
  <c r="AW9" i="14" s="1"/>
  <c r="BP8" i="15"/>
  <c r="Z8" i="15"/>
  <c r="Z9" i="14" s="1"/>
  <c r="M8" i="15"/>
  <c r="M9" i="14" s="1"/>
  <c r="BA6" i="15"/>
  <c r="AZ6" i="15"/>
  <c r="AU8" i="15"/>
  <c r="BE6" i="15"/>
  <c r="BC28" i="14" l="1"/>
  <c r="AX12" i="14"/>
  <c r="BB28" i="14"/>
  <c r="BD28" i="14"/>
  <c r="BE28" i="14"/>
  <c r="AQ30" i="14"/>
  <c r="AX30" i="14" s="1"/>
  <c r="BN9" i="14"/>
  <c r="BN27" i="14"/>
  <c r="BP9" i="14"/>
  <c r="BM9" i="14"/>
  <c r="BP27" i="14"/>
  <c r="BM27" i="14"/>
  <c r="BO9" i="14"/>
  <c r="AP27" i="14"/>
  <c r="BO27" i="14"/>
  <c r="X27" i="14"/>
  <c r="L27" i="14"/>
  <c r="J27" i="14"/>
  <c r="I27" i="14"/>
  <c r="N27" i="14"/>
  <c r="AS27" i="14"/>
  <c r="AA27" i="14"/>
  <c r="T30" i="14"/>
  <c r="AV27" i="14"/>
  <c r="F30" i="14"/>
  <c r="M27" i="14"/>
  <c r="K27" i="14"/>
  <c r="AX27" i="14"/>
  <c r="AT27" i="14"/>
  <c r="Y27" i="14"/>
  <c r="W27" i="14"/>
  <c r="AB27" i="14"/>
  <c r="AC27" i="14"/>
  <c r="V30" i="14"/>
  <c r="BY30" i="14"/>
  <c r="AR27" i="14"/>
  <c r="AY27" i="14" s="1"/>
  <c r="AH12" i="14"/>
  <c r="AH27" i="14"/>
  <c r="AJ12" i="14"/>
  <c r="AJ27" i="14"/>
  <c r="BL27" i="14" s="1"/>
  <c r="AY8" i="15"/>
  <c r="AY9" i="14" s="1"/>
  <c r="BC8" i="15"/>
  <c r="BC9" i="14" s="1"/>
  <c r="BD8" i="15"/>
  <c r="BD9" i="14" s="1"/>
  <c r="AR9" i="14"/>
  <c r="BB8" i="15"/>
  <c r="BB9" i="14" s="1"/>
  <c r="AU9" i="14"/>
  <c r="BE8" i="15"/>
  <c r="BE9" i="14" s="1"/>
  <c r="AZ8" i="15"/>
  <c r="AZ9" i="14" s="1"/>
  <c r="BA8" i="15"/>
  <c r="BA9" i="14" s="1"/>
  <c r="AD8" i="14"/>
  <c r="AE8" i="14"/>
  <c r="AF8" i="14"/>
  <c r="BT8" i="14"/>
  <c r="BU8" i="14"/>
  <c r="BV8" i="14"/>
  <c r="BR27" i="14" l="1"/>
  <c r="BR30" i="14" s="1"/>
  <c r="BK27" i="14"/>
  <c r="BA27" i="14"/>
  <c r="AW27" i="14"/>
  <c r="BD27" i="14" s="1"/>
  <c r="BJ27" i="14"/>
  <c r="BQ27" i="14"/>
  <c r="AP30" i="14"/>
  <c r="AW30" i="14" s="1"/>
  <c r="BS27" i="14"/>
  <c r="BS30" i="14" s="1"/>
  <c r="BC27" i="14"/>
  <c r="BE27" i="14"/>
  <c r="AJ30" i="14"/>
  <c r="AH30" i="14"/>
  <c r="AV30" i="14"/>
  <c r="AZ27" i="14"/>
  <c r="BB27" i="14"/>
  <c r="BQ30" i="14"/>
  <c r="BU12" i="14"/>
  <c r="BU26" i="14"/>
  <c r="BU30" i="14" s="1"/>
  <c r="BT12" i="14"/>
  <c r="BT26" i="14"/>
  <c r="BT30" i="14" s="1"/>
  <c r="AF12" i="14"/>
  <c r="AF26" i="14"/>
  <c r="AE12" i="14"/>
  <c r="AE26" i="14"/>
  <c r="AD12" i="14"/>
  <c r="AD26" i="14"/>
  <c r="BV12" i="14"/>
  <c r="BV26" i="14"/>
  <c r="BV30" i="14" s="1"/>
  <c r="B8" i="14"/>
  <c r="B26" i="14" s="1"/>
  <c r="E8" i="14"/>
  <c r="D8" i="14"/>
  <c r="D26" i="14" s="1"/>
  <c r="BH8" i="14"/>
  <c r="BI8" i="14"/>
  <c r="BG8" i="14"/>
  <c r="BW8" i="14"/>
  <c r="R8" i="14"/>
  <c r="S8" i="14"/>
  <c r="AM8" i="14"/>
  <c r="BO8" i="14" s="1"/>
  <c r="BO12" i="14" s="1"/>
  <c r="AL8" i="14"/>
  <c r="BN8" i="14" s="1"/>
  <c r="BN12" i="14" s="1"/>
  <c r="Y8" i="14"/>
  <c r="BF8" i="14"/>
  <c r="AK8" i="14"/>
  <c r="BM8" i="14" s="1"/>
  <c r="BM12" i="14" s="1"/>
  <c r="AN8" i="14"/>
  <c r="Q8" i="14"/>
  <c r="Z8" i="14"/>
  <c r="X8" i="14"/>
  <c r="AG8" i="14"/>
  <c r="C8" i="14"/>
  <c r="P8" i="14"/>
  <c r="W8" i="14"/>
  <c r="BP8" i="14" l="1"/>
  <c r="BP12" i="14" s="1"/>
  <c r="P12" i="14"/>
  <c r="AB12" i="14" s="1"/>
  <c r="P26" i="14"/>
  <c r="AD30" i="14"/>
  <c r="R12" i="14"/>
  <c r="R26" i="14"/>
  <c r="AF30" i="14"/>
  <c r="Q12" i="14"/>
  <c r="X12" i="14" s="1"/>
  <c r="Q26" i="14"/>
  <c r="K26" i="14"/>
  <c r="D30" i="14"/>
  <c r="E12" i="14"/>
  <c r="E26" i="14"/>
  <c r="AE30" i="14"/>
  <c r="S12" i="14"/>
  <c r="S26" i="14"/>
  <c r="C12" i="14"/>
  <c r="C26" i="14"/>
  <c r="I26" i="14"/>
  <c r="M26" i="14"/>
  <c r="O26" i="14"/>
  <c r="N26" i="14"/>
  <c r="B30" i="14"/>
  <c r="AN12" i="14"/>
  <c r="AN26" i="14"/>
  <c r="AK12" i="14"/>
  <c r="AK26" i="14"/>
  <c r="AL12" i="14"/>
  <c r="AL26" i="14"/>
  <c r="AG12" i="14"/>
  <c r="AG26" i="14"/>
  <c r="BI26" i="14" s="1"/>
  <c r="AM12" i="14"/>
  <c r="AM26" i="14"/>
  <c r="BH26" i="14" s="1"/>
  <c r="BW12" i="14"/>
  <c r="BW26" i="14"/>
  <c r="BW30" i="14" s="1"/>
  <c r="AC12" i="14"/>
  <c r="M8" i="14"/>
  <c r="N8" i="14"/>
  <c r="O8" i="14"/>
  <c r="K8" i="14"/>
  <c r="D12" i="14"/>
  <c r="I8" i="14"/>
  <c r="B12" i="14"/>
  <c r="L8" i="14"/>
  <c r="J8" i="14"/>
  <c r="AU8" i="14"/>
  <c r="AR8" i="14"/>
  <c r="AS8" i="14"/>
  <c r="AT8" i="14"/>
  <c r="AA12" i="14" l="1"/>
  <c r="AL30" i="14"/>
  <c r="BN26" i="14"/>
  <c r="BN30" i="14" s="1"/>
  <c r="AK30" i="14"/>
  <c r="AR30" i="14" s="1"/>
  <c r="BM26" i="14"/>
  <c r="BM30" i="14" s="1"/>
  <c r="AN30" i="14"/>
  <c r="BP26" i="14"/>
  <c r="BP30" i="14" s="1"/>
  <c r="AM30" i="14"/>
  <c r="AT30" i="14" s="1"/>
  <c r="BO26" i="14"/>
  <c r="BO30" i="14" s="1"/>
  <c r="BG26" i="14"/>
  <c r="BF26" i="14"/>
  <c r="AU12" i="14"/>
  <c r="AS26" i="14"/>
  <c r="J26" i="14"/>
  <c r="C30" i="14"/>
  <c r="J30" i="14" s="1"/>
  <c r="W26" i="14"/>
  <c r="AB26" i="14"/>
  <c r="AA26" i="14"/>
  <c r="AC26" i="14"/>
  <c r="P30" i="14"/>
  <c r="X26" i="14"/>
  <c r="Q30" i="14"/>
  <c r="Z26" i="14"/>
  <c r="S30" i="14"/>
  <c r="Y26" i="14"/>
  <c r="R30" i="14"/>
  <c r="N30" i="14"/>
  <c r="O30" i="14"/>
  <c r="M30" i="14"/>
  <c r="I30" i="14"/>
  <c r="AG30" i="14"/>
  <c r="AU26" i="14"/>
  <c r="BB26" i="14" s="1"/>
  <c r="L26" i="14"/>
  <c r="E30" i="14"/>
  <c r="L30" i="14" s="1"/>
  <c r="K30" i="14"/>
  <c r="AS12" i="14"/>
  <c r="AR26" i="14"/>
  <c r="AT26" i="14"/>
  <c r="BA26" i="14" s="1"/>
  <c r="AY8" i="14"/>
  <c r="BC8" i="14"/>
  <c r="BE8" i="14"/>
  <c r="BD8" i="14"/>
  <c r="I12" i="14"/>
  <c r="M12" i="14"/>
  <c r="N12" i="14"/>
  <c r="O12" i="14"/>
  <c r="AT12" i="14"/>
  <c r="K12" i="14"/>
  <c r="AR12" i="14"/>
  <c r="AZ8" i="14"/>
  <c r="BA8" i="14"/>
  <c r="BB8" i="14"/>
  <c r="X30" i="14" l="1"/>
  <c r="AU30" i="14"/>
  <c r="AA30" i="14"/>
  <c r="W30" i="14"/>
  <c r="AB30" i="14"/>
  <c r="AC30" i="14"/>
  <c r="AY26" i="14"/>
  <c r="BC26" i="14"/>
  <c r="BE26" i="14"/>
  <c r="BD26" i="14"/>
  <c r="Y30" i="14"/>
  <c r="AS30" i="14"/>
  <c r="Z30" i="14"/>
  <c r="AZ26" i="14"/>
  <c r="Y12" i="14"/>
  <c r="W12" i="14"/>
  <c r="Z12" i="14" l="1"/>
  <c r="L12" i="14" l="1"/>
  <c r="J12" i="14"/>
</calcChain>
</file>

<file path=xl/sharedStrings.xml><?xml version="1.0" encoding="utf-8"?>
<sst xmlns="http://schemas.openxmlformats.org/spreadsheetml/2006/main" count="871" uniqueCount="137">
  <si>
    <t>NT</t>
  </si>
  <si>
    <t>Køreplantimer</t>
  </si>
  <si>
    <t>Antal passagerer</t>
  </si>
  <si>
    <t>Passagerindtægter mDKK)</t>
  </si>
  <si>
    <t>Operatørudgifter (mDKK)</t>
  </si>
  <si>
    <t>Tilskudsbehov (mDKK)</t>
  </si>
  <si>
    <t>Reduktioner i serviceniveau (mDKK)</t>
  </si>
  <si>
    <t>Statskompensation (mDKK)</t>
  </si>
  <si>
    <t>Passagertal indeks ift. 2019</t>
  </si>
  <si>
    <t>Operatørudgift pr. køreplantime</t>
  </si>
  <si>
    <t>Kommune / Region</t>
  </si>
  <si>
    <t>R 2019</t>
  </si>
  <si>
    <t>R 2020</t>
  </si>
  <si>
    <t>R 2021</t>
  </si>
  <si>
    <t>R 2022</t>
  </si>
  <si>
    <t>B 2024</t>
  </si>
  <si>
    <t>Total</t>
  </si>
  <si>
    <t>Se note 1)</t>
  </si>
  <si>
    <t>Noter:</t>
  </si>
  <si>
    <t>MIDTTRAFIK</t>
  </si>
  <si>
    <t>MOVIA</t>
  </si>
  <si>
    <t>Passagerindtægter (mDKK)</t>
  </si>
  <si>
    <t>Total for Midttrafik</t>
  </si>
  <si>
    <t>BAT</t>
  </si>
  <si>
    <t>Midttrafik</t>
  </si>
  <si>
    <t>Sydtrafik</t>
  </si>
  <si>
    <t>Movia</t>
  </si>
  <si>
    <t>Fynbus</t>
  </si>
  <si>
    <t>Operatørudgift pr. køreplantime - indeks (2019=100)</t>
  </si>
  <si>
    <t>Køreplantimer - indeks (2019=100)</t>
  </si>
  <si>
    <t>Bane</t>
  </si>
  <si>
    <t>Midtjyske Jernbaner</t>
  </si>
  <si>
    <t>Aarhus Letbane</t>
  </si>
  <si>
    <t xml:space="preserve"> </t>
  </si>
  <si>
    <t>Togkilometer (I tusinder 1000)</t>
  </si>
  <si>
    <t>FR 2023</t>
  </si>
  <si>
    <t>R 2023</t>
  </si>
  <si>
    <t>Lokalbaner</t>
  </si>
  <si>
    <t>Regionaltog</t>
  </si>
  <si>
    <t>Note 1: I budget og forecast estimeres ikke med antal passagerer.</t>
  </si>
  <si>
    <t>Fra: Gitte Elton Nielsen &lt;Gitte.Elton.Nielsen@brk.dk&gt;</t>
  </si>
  <si>
    <r>
      <t>Sendt:</t>
    </r>
    <r>
      <rPr>
        <sz val="11"/>
        <color theme="1"/>
        <rFont val="Calibri"/>
        <family val="2"/>
      </rPr>
      <t xml:space="preserve"> 4. marts 2024 07:09</t>
    </r>
  </si>
  <si>
    <t>Til: Lone Litvak &lt;lli@Midttrafik.dk&gt;</t>
  </si>
  <si>
    <t>Cc: Kiki Sode Pihl Nyboe &lt;kn@BAT.dk&gt;</t>
  </si>
  <si>
    <r>
      <t>Emne:</t>
    </r>
    <r>
      <rPr>
        <sz val="11"/>
        <color theme="1"/>
        <rFont val="Calibri"/>
        <family val="2"/>
      </rPr>
      <t xml:space="preserve"> SV: Bestilling: Økonomiske nøgletal for banerne til Danske Regioner </t>
    </r>
  </si>
  <si>
    <t>Hej Lone</t>
  </si>
  <si>
    <t>Der kommer ikke noget fra BAT vedr. baner.</t>
  </si>
  <si>
    <t>Venligst</t>
  </si>
  <si>
    <t>Gitte</t>
  </si>
  <si>
    <t>Region Syddanmark</t>
  </si>
  <si>
    <t>Sydtrafik budgetterer ikke passagertal</t>
  </si>
  <si>
    <t>Ny nettokontrakt indgået fra december 2020. Derfor ingen indtægter fra 2021 og frem</t>
  </si>
  <si>
    <t xml:space="preserve">Ny kontrakt indgået </t>
  </si>
  <si>
    <t>FYNBUS</t>
  </si>
  <si>
    <t>Busudgifter</t>
  </si>
  <si>
    <t>Ejerbidrag inkl. kompensation</t>
  </si>
  <si>
    <t>Kun vedr. busdrift</t>
  </si>
  <si>
    <t>Passagerindtægter (mio)</t>
  </si>
  <si>
    <t>Note 1</t>
  </si>
  <si>
    <t>Odense letbane</t>
  </si>
  <si>
    <t>Operatørudgift pr time indekseret</t>
  </si>
  <si>
    <t>Odense</t>
  </si>
  <si>
    <t>Odense Letbane overtog 40-gruppen juni 2022. Er ikke korrigeret</t>
  </si>
  <si>
    <t>Sydtrafik overgik til nye kontrakter 2021, hvor de kun har nettobeløb. Dvs. deres tal er ikke sammenlignelige med de andre trafikselskaber, hvor vi indberetter operatørudgfiten. Sydtrafik holdes derfor ude af totallinjen</t>
  </si>
  <si>
    <t>FC 2024</t>
  </si>
  <si>
    <t>B2025</t>
  </si>
  <si>
    <t>B 2025</t>
  </si>
  <si>
    <t xml:space="preserve">*Vi er stadig ikke helt afklaring omkring budget 2025, men 7,1 mio. er det tal vi har fastlagt ind til videre </t>
  </si>
  <si>
    <t xml:space="preserve">*er timer inkl. klarøring og afslutning </t>
  </si>
  <si>
    <t xml:space="preserve">*Vi har taget kontrolafgifter med under passagerindtægter </t>
  </si>
  <si>
    <t xml:space="preserve">*Ejerbidrag = indtægter - entrepenørudgifter / operatør udgifter. Det svarer til det reelle derifttilskud, som OK yder til driften. Det er tidligere aftalt med trafikstyrelsen. </t>
  </si>
  <si>
    <t xml:space="preserve">*Vi har fået 1,25 mio. kr. udbetalt fra Fynbus i form af noget ekstraoridinært tilskud til trestilselskaber. Ved ikke om det skal med her, det var ikke forventet. </t>
  </si>
  <si>
    <t>https://www.trm.dk/nyheder/2022/yderligere-140-millioner-kroner-i-ekstraordinaert-tilskud-til-trafikselskaberne</t>
  </si>
  <si>
    <t>Region Hovedstad</t>
  </si>
  <si>
    <t>Region Sjælland</t>
  </si>
  <si>
    <t>Kommuner</t>
  </si>
  <si>
    <t>Regioner / amter</t>
  </si>
  <si>
    <t>(ny pl)</t>
  </si>
  <si>
    <t>inkl. overførsler</t>
  </si>
  <si>
    <t>ekskl. overførsler</t>
  </si>
  <si>
    <t>service ekskl. overførsler</t>
  </si>
  <si>
    <t>anlæg</t>
  </si>
  <si>
    <t>inkl. medicin</t>
  </si>
  <si>
    <t>ekskl. medicin</t>
  </si>
  <si>
    <t>sundhed ekskl. medicin</t>
  </si>
  <si>
    <t>regional udvikling</t>
  </si>
  <si>
    <t>regional anlæg</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</si>
  <si>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</si>
  <si>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</si>
  <si>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</si>
  <si>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</si>
  <si>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</si>
  <si>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</si>
  <si>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</si>
  <si>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</si>
  <si>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</si>
  <si>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</si>
  <si>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</si>
  <si>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</si>
  <si>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</si>
  <si>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</si>
  <si>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</si>
  <si>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</si>
  <si>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</si>
  <si>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</si>
  <si>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 xml:space="preserve">2006-2007 </t>
  </si>
  <si>
    <t>2007-2008</t>
  </si>
  <si>
    <t xml:space="preserve">2008-2009 </t>
  </si>
  <si>
    <t xml:space="preserve">2009-2010 </t>
  </si>
  <si>
    <t>2010-2011</t>
  </si>
  <si>
    <t>2011-2012</t>
  </si>
  <si>
    <t>2012-2013</t>
  </si>
  <si>
    <t>2013-2014</t>
  </si>
  <si>
    <t>2014-2015</t>
  </si>
  <si>
    <t>2015-2016</t>
  </si>
  <si>
    <t>2016-2017</t>
  </si>
  <si>
    <t>2017-2018</t>
  </si>
  <si>
    <t>Akkumuleret PL</t>
  </si>
  <si>
    <t>2018-2019</t>
  </si>
  <si>
    <t>2019-2020</t>
  </si>
  <si>
    <t>2020-2021</t>
  </si>
  <si>
    <t>2021-2022</t>
  </si>
  <si>
    <t>2022-2023</t>
  </si>
  <si>
    <t>2023-2024*</t>
  </si>
  <si>
    <t>2023-2024**</t>
  </si>
  <si>
    <t>2024-2025*</t>
  </si>
  <si>
    <t>2024-2025**</t>
  </si>
  <si>
    <t>Note: I trafikselskabernes indeksregulering af operatørbetalingerne har brændstof (diesel, el, gas mv.) højere vægt end i den generelle PL for kommuner og regioner - I fx 2022 hvor priserne på brændstof steg meget, er trafikselskabernes indeks derfor steget mere end PL. Modsat i 2020, hvor brændstofpriserne var lave, steg PL mere end trafikselskabernes indeks</t>
  </si>
  <si>
    <t>* Skøn fra kommende skrivelse G.1-3, Budgetvejledning 2025</t>
  </si>
  <si>
    <t>** Skøn fra ØA25</t>
  </si>
  <si>
    <t>Det er kun fra 1997 og frem, der er opgørelser af pl ekskl. overførsler og medicin, før er det inkl. disse</t>
  </si>
  <si>
    <t>Fra og med 2009-2010 indførtes der nye pl, fx på hhv. service og anlæg</t>
  </si>
  <si>
    <t>Pris og lønstigning fra KL akkumuleret</t>
  </si>
  <si>
    <t>ØKONOMISKE NØGLETAL FOR TRAFIKSELSKABERNE - SAMLET (løbende priser)</t>
  </si>
  <si>
    <t>ØKONOMISKE NØGLETAL FOR TRAFIKSELSKABERNE - SAMLET (Faste 2019-priser)</t>
  </si>
  <si>
    <t>Indtægter delt med operatørudgifter</t>
  </si>
  <si>
    <t>Operatørudgifter minus indtægter minus statskompensation (mDKK)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</si>
</sst>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_-* #,##0_-;\-* #,##0_-;_-* &quot;-&quot;??_-;_-@_-"/>
    <numFmt numFmtId="166" formatCode="#,##0_);\-#,##0_);\-_);@"/>
    <numFmt numFmtId="167" formatCode="#,##0.0_);\-#,##0.0_);\-_);@"/>
    <numFmt numFmtId="168" formatCode="#,##0.00000000000"/>
    <numFmt numFmtId="169" formatCode="0.0"/>
    <numFmt numFmtId="170" formatCode="_-* #,##0.000_-;\-* #,##0.000_-;_-* &quot;-&quot;??_-;_-@_-"/>
    <numFmt numFmtId="171" formatCode="0.000"/>
  </numFmts>
  <fonts count="14" x14ac:knownFonts="1">
    <font>
      <sz val="11"/>
      <color theme="1"/>
      <name val="Arial"/>
      <family val="2"/>
      <scheme val="minor"/>
    </font>
    <font>
      <sz val="12"/>
      <color theme="1"/>
      <name val="Calibri"/>
      <family val="2"/>
    </font>
    <font>
      <b/>
      <sz val="12"/>
      <color theme="1"/>
      <name val="Calibri"/>
      <family val="2"/>
    </font>
    <font>
      <sz val="11"/>
      <color theme="1"/>
      <name val="Arial"/>
      <family val="2"/>
      <scheme val="minor"/>
    </font>
    <font>
      <sz val="12"/>
      <name val="Calibri"/>
      <family val="2"/>
    </font>
    <font>
      <b/>
      <sz val="12"/>
      <name val="Calibri"/>
      <family val="2"/>
    </font>
    <font>
      <sz val="10"/>
      <name val="Arial"/>
      <family val="2"/>
    </font>
    <font>
      <sz val="9"/>
      <color theme="1"/>
      <name val="Akkurat Movia"/>
    </font>
    <font>
      <sz val="11"/>
      <color theme="1"/>
      <name val="Calibri"/>
      <family val="2"/>
    </font>
    <font>
      <b/>
      <sz val="11"/>
      <color theme="1"/>
      <name val="Calibri"/>
      <family val="2"/>
    </font>
    <font>
      <u/>
      <sz val="11"/>
      <color theme="10"/>
      <name val="Arial"/>
      <family val="2"/>
      <scheme val="minor"/>
    </font>
    <font>
      <sz val="12"/>
      <color rgb="FFFF0000"/>
      <name val="Calibri"/>
      <family val="2"/>
    </font>
    <font>
      <b/>
      <sz val="10"/>
      <name val="Arial"/>
      <family val="2"/>
    </font>
    <font>
      <sz val="11"/>
      <color theme="1"/>
      <name val="Aptos"/>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43" fontId="3" fillId="0" borderId="0" applyFont="0" applyFill="0" applyBorder="0" applyAlignment="0" applyProtection="0"/>
    <xf numFmtId="9" fontId="3" fillId="0" borderId="0" applyFont="0" applyFill="0" applyBorder="0" applyAlignment="0" applyProtection="0"/>
    <xf numFmtId="43" fontId="6" fillId="0" borderId="0" applyFont="0" applyFill="0" applyBorder="0" applyAlignment="0" applyProtection="0"/>
    <xf numFmtId="0" fontId="10" fillId="0" borderId="0" applyNumberFormat="0" applyFill="0" applyBorder="0" applyAlignment="0" applyProtection="0"/>
    <xf numFmtId="43" fontId="3" fillId="0" borderId="0" applyFont="0" applyFill="0" applyBorder="0" applyAlignment="0" applyProtection="0"/>
    <xf numFmtId="43" fontId="6" fillId="0" borderId="0" applyFont="0" applyFill="0" applyBorder="0" applyAlignment="0" applyProtection="0"/>
  </cellStyleXfs>
  <cellXfs count="267">
    <xf numFmtId="0" fontId="0" fillId="0" borderId="0" xfId="0"/>
    <xf numFmtId="0" fontId="1" fillId="0" borderId="0" xfId="0" applyFont="1"/>
    <xf numFmtId="0" fontId="2" fillId="0" borderId="0" xfId="0" applyFont="1"/>
    <xf numFmtId="0" fontId="1" fillId="0" borderId="1" xfId="0" applyFont="1" applyBorder="1"/>
    <xf numFmtId="0" fontId="2" fillId="2" borderId="0" xfId="0" applyFont="1" applyFill="1"/>
    <xf numFmtId="0" fontId="2" fillId="0" borderId="1" xfId="0" applyFont="1" applyBorder="1" applyAlignment="1">
      <alignment wrapText="1"/>
    </xf>
    <xf numFmtId="0" fontId="1" fillId="0" borderId="0" xfId="0" applyFont="1" applyAlignment="1">
      <alignment wrapText="1"/>
    </xf>
    <xf numFmtId="0" fontId="2" fillId="0" borderId="7" xfId="0" applyFont="1" applyBorder="1"/>
    <xf numFmtId="0" fontId="2" fillId="0" borderId="3" xfId="0" applyFont="1" applyBorder="1" applyAlignment="1">
      <alignment horizontal="center"/>
    </xf>
    <xf numFmtId="0" fontId="2" fillId="0" borderId="8" xfId="0" applyFont="1" applyBorder="1"/>
    <xf numFmtId="0" fontId="2" fillId="0" borderId="8" xfId="0" applyFont="1" applyBorder="1" applyAlignment="1">
      <alignment horizontal="center"/>
    </xf>
    <xf numFmtId="0" fontId="2" fillId="0" borderId="7" xfId="0" applyFont="1" applyBorder="1" applyAlignment="1">
      <alignment horizontal="center"/>
    </xf>
    <xf numFmtId="3" fontId="2" fillId="0" borderId="3" xfId="0" applyNumberFormat="1" applyFont="1" applyBorder="1" applyAlignment="1">
      <alignment horizontal="center"/>
    </xf>
    <xf numFmtId="3" fontId="2" fillId="0" borderId="8" xfId="0" applyNumberFormat="1" applyFont="1" applyBorder="1"/>
    <xf numFmtId="3" fontId="2" fillId="0" borderId="8" xfId="0" applyNumberFormat="1" applyFont="1" applyBorder="1" applyAlignment="1">
      <alignment horizontal="center"/>
    </xf>
    <xf numFmtId="9" fontId="2" fillId="0" borderId="3" xfId="2" applyFont="1" applyBorder="1" applyAlignment="1">
      <alignment horizontal="center"/>
    </xf>
    <xf numFmtId="9" fontId="2" fillId="0" borderId="8" xfId="2" applyFont="1" applyBorder="1"/>
    <xf numFmtId="9" fontId="2" fillId="0" borderId="8" xfId="2" applyFont="1" applyBorder="1" applyAlignment="1">
      <alignment horizontal="center"/>
    </xf>
    <xf numFmtId="3" fontId="1" fillId="0" borderId="0" xfId="0" applyNumberFormat="1" applyFont="1"/>
    <xf numFmtId="3" fontId="1" fillId="0" borderId="10" xfId="0" applyNumberFormat="1" applyFont="1" applyBorder="1"/>
    <xf numFmtId="165" fontId="1" fillId="0" borderId="0" xfId="1" applyNumberFormat="1" applyFont="1"/>
    <xf numFmtId="164" fontId="1" fillId="0" borderId="0" xfId="0" applyNumberFormat="1" applyFont="1"/>
    <xf numFmtId="164" fontId="1" fillId="0" borderId="1" xfId="0" applyNumberFormat="1" applyFont="1" applyBorder="1"/>
    <xf numFmtId="164" fontId="1" fillId="0" borderId="10" xfId="0" applyNumberFormat="1" applyFont="1" applyBorder="1"/>
    <xf numFmtId="9" fontId="1" fillId="0" borderId="0" xfId="2" applyFont="1" applyBorder="1"/>
    <xf numFmtId="3" fontId="1" fillId="0" borderId="1" xfId="0" applyNumberFormat="1" applyFont="1" applyBorder="1"/>
    <xf numFmtId="165" fontId="1" fillId="0" borderId="1" xfId="1" applyNumberFormat="1" applyFont="1" applyBorder="1"/>
    <xf numFmtId="9" fontId="1" fillId="0" borderId="1" xfId="2" applyFont="1" applyBorder="1"/>
    <xf numFmtId="0" fontId="2" fillId="0" borderId="4" xfId="0" applyFont="1" applyBorder="1"/>
    <xf numFmtId="3" fontId="2" fillId="0" borderId="5" xfId="0" applyNumberFormat="1" applyFont="1" applyBorder="1"/>
    <xf numFmtId="3" fontId="2" fillId="0" borderId="4" xfId="0" applyNumberFormat="1" applyFont="1" applyBorder="1"/>
    <xf numFmtId="164" fontId="2" fillId="0" borderId="5" xfId="0" applyNumberFormat="1" applyFont="1" applyBorder="1"/>
    <xf numFmtId="164" fontId="2" fillId="0" borderId="4" xfId="0" applyNumberFormat="1" applyFont="1" applyBorder="1"/>
    <xf numFmtId="9" fontId="2" fillId="0" borderId="5" xfId="2" applyFont="1" applyBorder="1"/>
    <xf numFmtId="9" fontId="2" fillId="0" borderId="4" xfId="2" applyFont="1" applyBorder="1"/>
    <xf numFmtId="3" fontId="2" fillId="0" borderId="9" xfId="0" applyNumberFormat="1" applyFont="1" applyBorder="1"/>
    <xf numFmtId="164" fontId="2" fillId="0" borderId="0" xfId="0" applyNumberFormat="1" applyFont="1"/>
    <xf numFmtId="3" fontId="1" fillId="0" borderId="1" xfId="0" applyNumberFormat="1" applyFont="1" applyBorder="1" applyAlignment="1">
      <alignment horizontal="center"/>
    </xf>
    <xf numFmtId="4" fontId="1" fillId="0" borderId="0" xfId="0" applyNumberFormat="1" applyFont="1"/>
    <xf numFmtId="0" fontId="1" fillId="2" borderId="0" xfId="0" applyFont="1" applyFill="1"/>
    <xf numFmtId="9" fontId="1" fillId="0" borderId="0" xfId="2" applyFont="1"/>
    <xf numFmtId="3" fontId="1" fillId="0" borderId="0" xfId="2" applyNumberFormat="1" applyFont="1" applyFill="1" applyBorder="1"/>
    <xf numFmtId="167" fontId="4" fillId="0" borderId="0" xfId="2" applyNumberFormat="1" applyFont="1" applyFill="1" applyBorder="1"/>
    <xf numFmtId="167" fontId="4" fillId="0" borderId="0" xfId="0" applyNumberFormat="1" applyFont="1"/>
    <xf numFmtId="167" fontId="4" fillId="0" borderId="1" xfId="0" applyNumberFormat="1" applyFont="1" applyBorder="1"/>
    <xf numFmtId="0" fontId="4" fillId="0" borderId="0" xfId="0" applyFont="1"/>
    <xf numFmtId="0" fontId="5" fillId="0" borderId="0" xfId="0" applyFont="1"/>
    <xf numFmtId="0" fontId="5" fillId="0" borderId="1" xfId="0" applyFont="1" applyBorder="1" applyAlignment="1">
      <alignment wrapText="1"/>
    </xf>
    <xf numFmtId="0" fontId="4" fillId="0" borderId="0" xfId="0" applyFont="1" applyAlignment="1">
      <alignment wrapText="1"/>
    </xf>
    <xf numFmtId="0" fontId="5" fillId="0" borderId="7" xfId="0" applyFont="1" applyBorder="1"/>
    <xf numFmtId="0" fontId="5" fillId="0" borderId="3" xfId="0" applyFont="1" applyBorder="1" applyAlignment="1">
      <alignment horizontal="center"/>
    </xf>
    <xf numFmtId="0" fontId="5" fillId="0" borderId="8" xfId="0" applyFont="1" applyBorder="1"/>
    <xf numFmtId="0" fontId="5" fillId="0" borderId="8" xfId="0" applyFont="1" applyBorder="1" applyAlignment="1">
      <alignment horizontal="center"/>
    </xf>
    <xf numFmtId="0" fontId="5" fillId="0" borderId="7" xfId="0" applyFont="1" applyBorder="1" applyAlignment="1">
      <alignment horizontal="center"/>
    </xf>
    <xf numFmtId="3" fontId="5" fillId="0" borderId="3" xfId="0" applyNumberFormat="1" applyFont="1" applyBorder="1" applyAlignment="1">
      <alignment horizontal="center"/>
    </xf>
    <xf numFmtId="3" fontId="5" fillId="0" borderId="8" xfId="0" applyNumberFormat="1" applyFont="1" applyBorder="1"/>
    <xf numFmtId="3" fontId="5" fillId="0" borderId="8" xfId="0" applyNumberFormat="1" applyFont="1" applyBorder="1" applyAlignment="1">
      <alignment horizontal="center"/>
    </xf>
    <xf numFmtId="0" fontId="4" fillId="0" borderId="1" xfId="0" applyFont="1" applyBorder="1"/>
    <xf numFmtId="166" fontId="4" fillId="0" borderId="0" xfId="0" applyNumberFormat="1" applyFont="1"/>
    <xf numFmtId="166" fontId="4" fillId="0" borderId="10" xfId="0" applyNumberFormat="1" applyFont="1" applyBorder="1"/>
    <xf numFmtId="166" fontId="4" fillId="0" borderId="6" xfId="0" applyNumberFormat="1" applyFont="1" applyBorder="1"/>
    <xf numFmtId="167" fontId="4" fillId="0" borderId="10" xfId="0" applyNumberFormat="1" applyFont="1" applyBorder="1"/>
    <xf numFmtId="167" fontId="4" fillId="0" borderId="6" xfId="0" applyNumberFormat="1" applyFont="1" applyBorder="1"/>
    <xf numFmtId="9" fontId="4" fillId="0" borderId="0" xfId="2" applyFont="1" applyFill="1" applyBorder="1"/>
    <xf numFmtId="9" fontId="4" fillId="0" borderId="6" xfId="2" applyFont="1" applyFill="1" applyBorder="1"/>
    <xf numFmtId="166" fontId="4" fillId="0" borderId="0" xfId="2" applyNumberFormat="1" applyFont="1" applyFill="1" applyBorder="1"/>
    <xf numFmtId="166" fontId="4" fillId="0" borderId="1" xfId="0" applyNumberFormat="1" applyFont="1" applyBorder="1"/>
    <xf numFmtId="164" fontId="4" fillId="0" borderId="0" xfId="0" applyNumberFormat="1" applyFont="1"/>
    <xf numFmtId="9" fontId="4" fillId="0" borderId="1" xfId="2" applyFont="1" applyFill="1" applyBorder="1"/>
    <xf numFmtId="0" fontId="5" fillId="0" borderId="4" xfId="0" applyFont="1" applyBorder="1"/>
    <xf numFmtId="166" fontId="5" fillId="0" borderId="5" xfId="0" applyNumberFormat="1" applyFont="1" applyBorder="1"/>
    <xf numFmtId="166" fontId="5" fillId="0" borderId="4" xfId="0" applyNumberFormat="1" applyFont="1" applyBorder="1"/>
    <xf numFmtId="166" fontId="5" fillId="0" borderId="9" xfId="0" applyNumberFormat="1" applyFont="1" applyBorder="1"/>
    <xf numFmtId="167" fontId="5" fillId="0" borderId="5" xfId="0" applyNumberFormat="1" applyFont="1" applyBorder="1"/>
    <xf numFmtId="167" fontId="5" fillId="0" borderId="4" xfId="0" applyNumberFormat="1" applyFont="1" applyBorder="1"/>
    <xf numFmtId="0" fontId="4" fillId="0" borderId="0" xfId="0" applyFont="1" applyAlignment="1">
      <alignment horizontal="center"/>
    </xf>
    <xf numFmtId="166" fontId="1" fillId="0" borderId="0" xfId="0" applyNumberFormat="1" applyFont="1"/>
    <xf numFmtId="166" fontId="1" fillId="0" borderId="1" xfId="0" applyNumberFormat="1" applyFont="1" applyBorder="1"/>
    <xf numFmtId="166" fontId="2" fillId="0" borderId="5" xfId="0" applyNumberFormat="1" applyFont="1" applyBorder="1"/>
    <xf numFmtId="166" fontId="2" fillId="0" borderId="4" xfId="0" applyNumberFormat="1" applyFont="1" applyBorder="1"/>
    <xf numFmtId="0" fontId="5" fillId="3" borderId="3" xfId="0" applyFont="1" applyFill="1" applyBorder="1" applyAlignment="1">
      <alignment horizontal="center"/>
    </xf>
    <xf numFmtId="0" fontId="5" fillId="3" borderId="8" xfId="0" applyFont="1" applyFill="1" applyBorder="1" applyAlignment="1">
      <alignment horizontal="center"/>
    </xf>
    <xf numFmtId="0" fontId="5" fillId="3" borderId="7" xfId="0" applyFont="1" applyFill="1" applyBorder="1" applyAlignment="1">
      <alignment horizontal="center"/>
    </xf>
    <xf numFmtId="3" fontId="5" fillId="3" borderId="3" xfId="0" applyNumberFormat="1" applyFont="1" applyFill="1" applyBorder="1" applyAlignment="1">
      <alignment horizontal="center"/>
    </xf>
    <xf numFmtId="3" fontId="5" fillId="3" borderId="8" xfId="0" applyNumberFormat="1" applyFont="1" applyFill="1" applyBorder="1" applyAlignment="1">
      <alignment horizontal="center"/>
    </xf>
    <xf numFmtId="0" fontId="2" fillId="3" borderId="3" xfId="0" applyFont="1" applyFill="1" applyBorder="1" applyAlignment="1">
      <alignment horizontal="center"/>
    </xf>
    <xf numFmtId="0" fontId="2" fillId="3" borderId="8" xfId="0" applyFont="1" applyFill="1" applyBorder="1"/>
    <xf numFmtId="0" fontId="2" fillId="3" borderId="8" xfId="0" applyFont="1" applyFill="1" applyBorder="1" applyAlignment="1">
      <alignment horizontal="center"/>
    </xf>
    <xf numFmtId="0" fontId="2" fillId="3" borderId="7" xfId="0" applyFont="1" applyFill="1" applyBorder="1" applyAlignment="1">
      <alignment horizontal="center"/>
    </xf>
    <xf numFmtId="164" fontId="2" fillId="3" borderId="3" xfId="0" applyNumberFormat="1" applyFont="1" applyFill="1" applyBorder="1" applyAlignment="1">
      <alignment horizontal="center"/>
    </xf>
    <xf numFmtId="164" fontId="2" fillId="3" borderId="8" xfId="0" applyNumberFormat="1" applyFont="1" applyFill="1" applyBorder="1"/>
    <xf numFmtId="164" fontId="2" fillId="3" borderId="8" xfId="0" applyNumberFormat="1" applyFont="1" applyFill="1" applyBorder="1" applyAlignment="1">
      <alignment horizontal="center"/>
    </xf>
    <xf numFmtId="164" fontId="2" fillId="3" borderId="7" xfId="0" applyNumberFormat="1" applyFont="1" applyFill="1" applyBorder="1" applyAlignment="1">
      <alignment horizontal="center"/>
    </xf>
    <xf numFmtId="3" fontId="2" fillId="3" borderId="3" xfId="0" applyNumberFormat="1" applyFont="1" applyFill="1" applyBorder="1" applyAlignment="1">
      <alignment horizontal="center"/>
    </xf>
    <xf numFmtId="3" fontId="2" fillId="3" borderId="8" xfId="0" applyNumberFormat="1" applyFont="1" applyFill="1" applyBorder="1"/>
    <xf numFmtId="3" fontId="2" fillId="3" borderId="8" xfId="0" applyNumberFormat="1" applyFont="1" applyFill="1" applyBorder="1" applyAlignment="1">
      <alignment horizontal="center"/>
    </xf>
    <xf numFmtId="3" fontId="2" fillId="3" borderId="7" xfId="0" applyNumberFormat="1" applyFont="1" applyFill="1" applyBorder="1" applyAlignment="1">
      <alignment horizontal="center"/>
    </xf>
    <xf numFmtId="0" fontId="5" fillId="3" borderId="8" xfId="0" applyFont="1" applyFill="1" applyBorder="1"/>
    <xf numFmtId="3" fontId="5" fillId="3" borderId="8" xfId="0" applyNumberFormat="1" applyFont="1" applyFill="1" applyBorder="1"/>
    <xf numFmtId="0" fontId="2" fillId="3" borderId="0" xfId="0" applyFont="1" applyFill="1" applyAlignment="1">
      <alignment horizontal="center"/>
    </xf>
    <xf numFmtId="166" fontId="4" fillId="0" borderId="2" xfId="2" applyNumberFormat="1" applyFont="1" applyFill="1" applyBorder="1"/>
    <xf numFmtId="166" fontId="4" fillId="0" borderId="2" xfId="0" applyNumberFormat="1" applyFont="1" applyBorder="1"/>
    <xf numFmtId="166" fontId="1" fillId="0" borderId="2" xfId="0" applyNumberFormat="1" applyFont="1" applyBorder="1"/>
    <xf numFmtId="166" fontId="2" fillId="0" borderId="9" xfId="0" applyNumberFormat="1" applyFont="1" applyBorder="1"/>
    <xf numFmtId="0" fontId="2" fillId="0" borderId="1" xfId="0" applyFont="1" applyBorder="1"/>
    <xf numFmtId="0" fontId="2" fillId="3" borderId="2" xfId="0" applyFont="1" applyFill="1" applyBorder="1" applyAlignment="1">
      <alignment horizontal="center"/>
    </xf>
    <xf numFmtId="0" fontId="2" fillId="3" borderId="0" xfId="0" applyFont="1" applyFill="1"/>
    <xf numFmtId="0" fontId="2" fillId="3" borderId="1" xfId="0" applyFont="1" applyFill="1" applyBorder="1" applyAlignment="1">
      <alignment horizontal="center"/>
    </xf>
    <xf numFmtId="0" fontId="2" fillId="0" borderId="0" xfId="0" applyFont="1" applyAlignment="1">
      <alignment horizontal="center"/>
    </xf>
    <xf numFmtId="165" fontId="1" fillId="0" borderId="0" xfId="0" applyNumberFormat="1" applyFont="1"/>
    <xf numFmtId="168" fontId="7" fillId="0" borderId="0" xfId="3" applyNumberFormat="1" applyFont="1" applyFill="1" applyBorder="1"/>
    <xf numFmtId="164" fontId="1" fillId="0" borderId="0" xfId="2" applyNumberFormat="1" applyFont="1" applyFill="1" applyBorder="1"/>
    <xf numFmtId="0" fontId="9" fillId="0" borderId="0" xfId="0" applyFont="1" applyAlignment="1">
      <alignment vertical="center"/>
    </xf>
    <xf numFmtId="0" fontId="10" fillId="0" borderId="0" xfId="4" applyAlignment="1">
      <alignment vertical="center"/>
    </xf>
    <xf numFmtId="0" fontId="8" fillId="0" borderId="0" xfId="0" applyFont="1" applyAlignment="1">
      <alignment vertical="center"/>
    </xf>
    <xf numFmtId="9" fontId="4" fillId="0" borderId="0" xfId="2" applyFont="1"/>
    <xf numFmtId="9" fontId="4" fillId="0" borderId="0" xfId="2" applyFont="1" applyBorder="1"/>
    <xf numFmtId="164" fontId="2" fillId="0" borderId="8" xfId="0" applyNumberFormat="1" applyFont="1" applyBorder="1"/>
    <xf numFmtId="164" fontId="2" fillId="0" borderId="8" xfId="0" applyNumberFormat="1" applyFont="1" applyBorder="1" applyAlignment="1">
      <alignment horizontal="center"/>
    </xf>
    <xf numFmtId="165" fontId="1" fillId="0" borderId="2" xfId="1" applyNumberFormat="1" applyFont="1" applyBorder="1"/>
    <xf numFmtId="164" fontId="1" fillId="0" borderId="2" xfId="0" applyNumberFormat="1" applyFont="1" applyBorder="1"/>
    <xf numFmtId="9" fontId="1" fillId="0" borderId="2" xfId="2" applyFont="1" applyBorder="1"/>
    <xf numFmtId="0" fontId="1" fillId="0" borderId="0" xfId="0" applyFont="1" applyAlignment="1">
      <alignment vertical="center" wrapText="1"/>
    </xf>
    <xf numFmtId="3" fontId="1" fillId="0" borderId="0" xfId="2" applyNumberFormat="1" applyFont="1" applyFill="1" applyBorder="1" applyAlignment="1">
      <alignment vertical="center"/>
    </xf>
    <xf numFmtId="165" fontId="4" fillId="0" borderId="0" xfId="1" applyNumberFormat="1" applyFont="1"/>
    <xf numFmtId="0" fontId="4" fillId="2" borderId="0" xfId="0" applyFont="1" applyFill="1"/>
    <xf numFmtId="166" fontId="4" fillId="2" borderId="0" xfId="0" applyNumberFormat="1" applyFont="1" applyFill="1"/>
    <xf numFmtId="1" fontId="4" fillId="0" borderId="0" xfId="0" applyNumberFormat="1" applyFont="1"/>
    <xf numFmtId="166" fontId="5" fillId="2" borderId="5" xfId="0" applyNumberFormat="1" applyFont="1" applyFill="1" applyBorder="1"/>
    <xf numFmtId="166" fontId="5" fillId="2" borderId="4" xfId="0" applyNumberFormat="1" applyFont="1" applyFill="1" applyBorder="1"/>
    <xf numFmtId="3" fontId="1" fillId="0" borderId="6" xfId="0" applyNumberFormat="1" applyFont="1" applyBorder="1"/>
    <xf numFmtId="164" fontId="1" fillId="0" borderId="6" xfId="0" applyNumberFormat="1" applyFont="1" applyBorder="1"/>
    <xf numFmtId="3" fontId="1" fillId="0" borderId="6" xfId="2" applyNumberFormat="1" applyFont="1" applyFill="1" applyBorder="1"/>
    <xf numFmtId="3" fontId="1" fillId="0" borderId="1" xfId="2" applyNumberFormat="1" applyFont="1" applyFill="1" applyBorder="1"/>
    <xf numFmtId="9" fontId="1" fillId="0" borderId="6" xfId="2" applyFont="1" applyBorder="1"/>
    <xf numFmtId="166" fontId="4" fillId="0" borderId="7" xfId="0" applyNumberFormat="1" applyFont="1" applyBorder="1"/>
    <xf numFmtId="166" fontId="1" fillId="0" borderId="6" xfId="0" applyNumberFormat="1" applyFont="1" applyBorder="1"/>
    <xf numFmtId="164" fontId="1" fillId="0" borderId="6" xfId="2" applyNumberFormat="1" applyFont="1" applyFill="1" applyBorder="1"/>
    <xf numFmtId="166" fontId="4" fillId="2" borderId="1" xfId="0" applyNumberFormat="1" applyFont="1" applyFill="1" applyBorder="1"/>
    <xf numFmtId="167" fontId="4" fillId="0" borderId="10" xfId="2" applyNumberFormat="1" applyFont="1" applyFill="1" applyBorder="1"/>
    <xf numFmtId="166" fontId="4" fillId="0" borderId="8" xfId="0" applyNumberFormat="1" applyFont="1" applyBorder="1"/>
    <xf numFmtId="9" fontId="4" fillId="0" borderId="1" xfId="2" applyFont="1" applyBorder="1"/>
    <xf numFmtId="0" fontId="11" fillId="0" borderId="0" xfId="0" applyFont="1"/>
    <xf numFmtId="0" fontId="1" fillId="0" borderId="2" xfId="0" applyFont="1" applyBorder="1"/>
    <xf numFmtId="165" fontId="1" fillId="0" borderId="0" xfId="1" applyNumberFormat="1" applyFont="1" applyBorder="1"/>
    <xf numFmtId="3" fontId="1" fillId="0" borderId="2" xfId="0" applyNumberFormat="1" applyFont="1" applyBorder="1"/>
    <xf numFmtId="166" fontId="4" fillId="0" borderId="1" xfId="2" applyNumberFormat="1" applyFont="1" applyFill="1" applyBorder="1"/>
    <xf numFmtId="3" fontId="2" fillId="2" borderId="0" xfId="0" applyNumberFormat="1" applyFont="1" applyFill="1"/>
    <xf numFmtId="164" fontId="2" fillId="2" borderId="0" xfId="0" applyNumberFormat="1" applyFont="1" applyFill="1"/>
    <xf numFmtId="0" fontId="10" fillId="0" borderId="0" xfId="4"/>
    <xf numFmtId="0" fontId="12" fillId="0" borderId="0" xfId="0" applyFont="1"/>
    <xf numFmtId="0" fontId="6" fillId="0" borderId="0" xfId="0" applyFont="1"/>
    <xf numFmtId="169" fontId="0" fillId="0" borderId="0" xfId="0" applyNumberFormat="1" applyAlignment="1">
      <alignment horizontal="center"/>
    </xf>
    <xf numFmtId="169" fontId="0" fillId="4" borderId="0" xfId="0" applyNumberFormat="1" applyFill="1" applyAlignment="1">
      <alignment horizontal="center"/>
    </xf>
    <xf numFmtId="0" fontId="0" fillId="0" borderId="0" xfId="0" applyAlignment="1">
      <alignment horizontal="center"/>
    </xf>
    <xf numFmtId="0" fontId="0" fillId="4" borderId="0" xfId="0" applyFill="1" applyAlignment="1">
      <alignment horizontal="center"/>
    </xf>
    <xf numFmtId="0" fontId="0" fillId="4" borderId="0" xfId="0" applyFill="1"/>
    <xf numFmtId="170" fontId="0" fillId="0" borderId="0" xfId="1" applyNumberFormat="1" applyFont="1"/>
    <xf numFmtId="169" fontId="6" fillId="0" borderId="0" xfId="0" applyNumberFormat="1" applyFont="1" applyAlignment="1">
      <alignment horizontal="center"/>
    </xf>
    <xf numFmtId="0" fontId="13" fillId="0" borderId="0" xfId="0" applyFont="1" applyAlignment="1">
      <alignment vertical="center"/>
    </xf>
    <xf numFmtId="0" fontId="5" fillId="3" borderId="0" xfId="0" applyFont="1" applyFill="1"/>
    <xf numFmtId="0" fontId="4" fillId="3" borderId="0" xfId="0" applyFont="1" applyFill="1"/>
    <xf numFmtId="0" fontId="5" fillId="3" borderId="1" xfId="0" applyFont="1" applyFill="1" applyBorder="1" applyAlignment="1">
      <alignment wrapText="1"/>
    </xf>
    <xf numFmtId="0" fontId="4" fillId="3" borderId="1" xfId="0" applyFont="1" applyFill="1" applyBorder="1"/>
    <xf numFmtId="166" fontId="4" fillId="3" borderId="0" xfId="0" applyNumberFormat="1" applyFont="1" applyFill="1"/>
    <xf numFmtId="166" fontId="4" fillId="3" borderId="10" xfId="0" applyNumberFormat="1" applyFont="1" applyFill="1" applyBorder="1"/>
    <xf numFmtId="166" fontId="4" fillId="3" borderId="6" xfId="0" applyNumberFormat="1" applyFont="1" applyFill="1" applyBorder="1"/>
    <xf numFmtId="166" fontId="4" fillId="3" borderId="0" xfId="2" applyNumberFormat="1" applyFont="1" applyFill="1" applyBorder="1"/>
    <xf numFmtId="167" fontId="4" fillId="3" borderId="0" xfId="0" applyNumberFormat="1" applyFont="1" applyFill="1"/>
    <xf numFmtId="167" fontId="4" fillId="3" borderId="10" xfId="0" applyNumberFormat="1" applyFont="1" applyFill="1" applyBorder="1"/>
    <xf numFmtId="167" fontId="4" fillId="3" borderId="6" xfId="0" applyNumberFormat="1" applyFont="1" applyFill="1" applyBorder="1"/>
    <xf numFmtId="9" fontId="4" fillId="3" borderId="0" xfId="2" applyFont="1" applyFill="1" applyBorder="1"/>
    <xf numFmtId="167" fontId="4" fillId="3" borderId="0" xfId="2" applyNumberFormat="1" applyFont="1" applyFill="1" applyBorder="1"/>
    <xf numFmtId="167" fontId="4" fillId="3" borderId="10" xfId="2" applyNumberFormat="1" applyFont="1" applyFill="1" applyBorder="1"/>
    <xf numFmtId="166" fontId="4" fillId="3" borderId="1" xfId="0" applyNumberFormat="1" applyFont="1" applyFill="1" applyBorder="1"/>
    <xf numFmtId="166" fontId="4" fillId="3" borderId="1" xfId="2" applyNumberFormat="1" applyFont="1" applyFill="1" applyBorder="1"/>
    <xf numFmtId="167" fontId="4" fillId="3" borderId="1" xfId="0" applyNumberFormat="1" applyFont="1" applyFill="1" applyBorder="1"/>
    <xf numFmtId="0" fontId="5" fillId="3" borderId="4" xfId="0" applyFont="1" applyFill="1" applyBorder="1"/>
    <xf numFmtId="166" fontId="5" fillId="3" borderId="5" xfId="0" applyNumberFormat="1" applyFont="1" applyFill="1" applyBorder="1"/>
    <xf numFmtId="166" fontId="5" fillId="3" borderId="4" xfId="0" applyNumberFormat="1" applyFont="1" applyFill="1" applyBorder="1"/>
    <xf numFmtId="167" fontId="5" fillId="3" borderId="5" xfId="0" applyNumberFormat="1" applyFont="1" applyFill="1" applyBorder="1"/>
    <xf numFmtId="167" fontId="5" fillId="3" borderId="4" xfId="0" applyNumberFormat="1" applyFont="1" applyFill="1" applyBorder="1"/>
    <xf numFmtId="171" fontId="4" fillId="0" borderId="0" xfId="0" applyNumberFormat="1" applyFont="1"/>
    <xf numFmtId="166" fontId="4" fillId="3" borderId="7" xfId="0" applyNumberFormat="1" applyFont="1" applyFill="1" applyBorder="1"/>
    <xf numFmtId="3" fontId="1" fillId="3" borderId="0" xfId="2" applyNumberFormat="1" applyFont="1" applyFill="1" applyBorder="1"/>
    <xf numFmtId="3" fontId="1" fillId="3" borderId="0" xfId="0" applyNumberFormat="1" applyFont="1" applyFill="1"/>
    <xf numFmtId="166" fontId="4" fillId="3" borderId="6" xfId="2" applyNumberFormat="1" applyFont="1" applyFill="1" applyBorder="1"/>
    <xf numFmtId="3" fontId="1" fillId="3" borderId="6" xfId="2" applyNumberFormat="1" applyFont="1" applyFill="1" applyBorder="1"/>
    <xf numFmtId="3" fontId="1" fillId="3" borderId="1" xfId="2" applyNumberFormat="1" applyFont="1" applyFill="1" applyBorder="1"/>
    <xf numFmtId="3" fontId="1" fillId="3" borderId="6" xfId="0" applyNumberFormat="1" applyFont="1" applyFill="1" applyBorder="1"/>
    <xf numFmtId="3" fontId="1" fillId="3" borderId="1" xfId="0" applyNumberFormat="1" applyFont="1" applyFill="1" applyBorder="1"/>
    <xf numFmtId="9" fontId="1" fillId="0" borderId="11" xfId="2" applyFont="1" applyBorder="1"/>
    <xf numFmtId="9" fontId="1" fillId="0" borderId="10" xfId="2" applyFont="1" applyBorder="1"/>
    <xf numFmtId="167" fontId="4" fillId="5" borderId="2" xfId="0" applyNumberFormat="1" applyFont="1" applyFill="1" applyBorder="1"/>
    <xf numFmtId="167" fontId="4" fillId="5" borderId="0" xfId="0" applyNumberFormat="1" applyFont="1" applyFill="1"/>
    <xf numFmtId="167" fontId="4" fillId="5" borderId="1" xfId="0" applyNumberFormat="1" applyFont="1" applyFill="1" applyBorder="1"/>
    <xf numFmtId="167" fontId="5" fillId="0" borderId="9" xfId="0" applyNumberFormat="1" applyFont="1" applyBorder="1"/>
    <xf numFmtId="9" fontId="4" fillId="3" borderId="10" xfId="2" applyFont="1" applyFill="1" applyBorder="1"/>
    <xf numFmtId="167" fontId="4" fillId="3" borderId="2" xfId="0" applyNumberFormat="1" applyFont="1" applyFill="1" applyBorder="1"/>
    <xf numFmtId="167" fontId="5" fillId="3" borderId="9" xfId="0" applyNumberFormat="1" applyFont="1" applyFill="1" applyBorder="1"/>
    <xf numFmtId="0" fontId="2" fillId="0" borderId="6" xfId="0" applyFont="1" applyBorder="1"/>
    <xf numFmtId="164" fontId="2" fillId="2" borderId="12" xfId="0" applyNumberFormat="1" applyFont="1" applyFill="1" applyBorder="1"/>
    <xf numFmtId="167" fontId="4" fillId="0" borderId="1" xfId="2" applyNumberFormat="1" applyFont="1" applyFill="1" applyBorder="1"/>
    <xf numFmtId="3" fontId="2" fillId="3" borderId="5" xfId="0" applyNumberFormat="1" applyFont="1" applyFill="1" applyBorder="1"/>
    <xf numFmtId="3" fontId="2" fillId="3" borderId="4" xfId="0" applyNumberFormat="1" applyFont="1" applyFill="1" applyBorder="1"/>
    <xf numFmtId="9" fontId="2" fillId="3" borderId="5" xfId="2" applyFont="1" applyFill="1" applyBorder="1"/>
    <xf numFmtId="9" fontId="2" fillId="3" borderId="4" xfId="2" applyFont="1" applyFill="1" applyBorder="1"/>
    <xf numFmtId="0" fontId="2" fillId="0" borderId="2" xfId="0" applyFont="1" applyBorder="1" applyAlignment="1">
      <alignment horizontal="center" wrapText="1"/>
    </xf>
    <xf numFmtId="0" fontId="2" fillId="0" borderId="0" xfId="0" applyFont="1" applyAlignment="1">
      <alignment horizontal="center" wrapText="1"/>
    </xf>
    <xf numFmtId="0" fontId="2" fillId="0" borderId="1" xfId="0" applyFont="1" applyBorder="1" applyAlignment="1">
      <alignment horizontal="center" wrapText="1"/>
    </xf>
    <xf numFmtId="0" fontId="5" fillId="3" borderId="0" xfId="0" applyFont="1" applyFill="1" applyAlignment="1">
      <alignment horizontal="center" wrapText="1"/>
    </xf>
    <xf numFmtId="0" fontId="5" fillId="3" borderId="1" xfId="0" applyFont="1" applyFill="1" applyBorder="1" applyAlignment="1">
      <alignment horizontal="center" wrapText="1"/>
    </xf>
    <xf numFmtId="3" fontId="5" fillId="3" borderId="2" xfId="0" applyNumberFormat="1" applyFont="1" applyFill="1" applyBorder="1" applyAlignment="1">
      <alignment horizontal="center" wrapText="1"/>
    </xf>
    <xf numFmtId="3" fontId="5" fillId="3" borderId="0" xfId="0" applyNumberFormat="1" applyFont="1" applyFill="1" applyAlignment="1">
      <alignment horizontal="center" wrapText="1"/>
    </xf>
    <xf numFmtId="3" fontId="5" fillId="3" borderId="1" xfId="0" applyNumberFormat="1" applyFont="1" applyFill="1" applyBorder="1" applyAlignment="1">
      <alignment horizontal="center" wrapText="1"/>
    </xf>
    <xf numFmtId="0" fontId="4" fillId="2" borderId="0" xfId="0" applyFont="1" applyFill="1" applyAlignment="1">
      <alignment horizontal="left" vertical="top" wrapText="1"/>
    </xf>
    <xf numFmtId="0" fontId="5" fillId="3" borderId="2" xfId="0" applyFont="1" applyFill="1" applyBorder="1" applyAlignment="1">
      <alignment horizontal="center" wrapText="1"/>
    </xf>
    <xf numFmtId="164" fontId="2" fillId="0" borderId="2" xfId="0" applyNumberFormat="1" applyFont="1" applyBorder="1" applyAlignment="1">
      <alignment horizontal="center"/>
    </xf>
    <xf numFmtId="164" fontId="2" fillId="0" borderId="0" xfId="0" applyNumberFormat="1" applyFont="1" applyAlignment="1">
      <alignment horizontal="center"/>
    </xf>
    <xf numFmtId="164" fontId="2" fillId="0" borderId="1" xfId="0" applyNumberFormat="1" applyFont="1" applyBorder="1" applyAlignment="1">
      <alignment horizontal="center"/>
    </xf>
    <xf numFmtId="0" fontId="5" fillId="0" borderId="0" xfId="0" applyFont="1" applyAlignment="1">
      <alignment horizontal="center" wrapText="1"/>
    </xf>
    <xf numFmtId="0" fontId="5" fillId="0" borderId="1" xfId="0" applyFont="1" applyBorder="1" applyAlignment="1">
      <alignment horizontal="center" wrapText="1"/>
    </xf>
    <xf numFmtId="3" fontId="5" fillId="0" borderId="2" xfId="0" applyNumberFormat="1" applyFont="1" applyBorder="1" applyAlignment="1">
      <alignment horizontal="center" wrapText="1"/>
    </xf>
    <xf numFmtId="3" fontId="5" fillId="0" borderId="0" xfId="0" applyNumberFormat="1" applyFont="1" applyAlignment="1">
      <alignment horizontal="center" wrapText="1"/>
    </xf>
    <xf numFmtId="3" fontId="5" fillId="0" borderId="1" xfId="0" applyNumberFormat="1" applyFont="1" applyBorder="1" applyAlignment="1">
      <alignment horizontal="center" wrapText="1"/>
    </xf>
    <xf numFmtId="9" fontId="2" fillId="0" borderId="2" xfId="2" applyFont="1" applyBorder="1" applyAlignment="1">
      <alignment horizontal="center" wrapText="1"/>
    </xf>
    <xf numFmtId="9" fontId="2" fillId="0" borderId="0" xfId="2" applyFont="1" applyBorder="1" applyAlignment="1">
      <alignment horizontal="center" wrapText="1"/>
    </xf>
    <xf numFmtId="9" fontId="2" fillId="0" borderId="1" xfId="2" applyFont="1" applyBorder="1" applyAlignment="1">
      <alignment horizontal="center" wrapText="1"/>
    </xf>
    <xf numFmtId="0" fontId="5"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64" fontId="2" fillId="3" borderId="2" xfId="0" applyNumberFormat="1" applyFont="1" applyFill="1" applyBorder="1" applyAlignment="1">
      <alignment horizontal="center" vertical="center" wrapText="1"/>
    </xf>
    <xf numFmtId="164" fontId="2" fillId="3" borderId="0" xfId="0" applyNumberFormat="1" applyFont="1" applyFill="1" applyAlignment="1">
      <alignment horizontal="center" vertical="center" wrapText="1"/>
    </xf>
    <xf numFmtId="164" fontId="2" fillId="3" borderId="1"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0" xfId="0" applyNumberFormat="1" applyFont="1" applyFill="1" applyAlignment="1">
      <alignment horizontal="center" vertical="center" wrapText="1"/>
    </xf>
    <xf numFmtId="3"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 xfId="0" applyFont="1" applyFill="1" applyBorder="1" applyAlignment="1">
      <alignment horizontal="center" vertical="center" wrapText="1"/>
    </xf>
    <xf numFmtId="3" fontId="5" fillId="0" borderId="2" xfId="0" applyNumberFormat="1" applyFont="1" applyBorder="1" applyAlignment="1">
      <alignment horizontal="center" vertical="center" wrapText="1"/>
    </xf>
    <xf numFmtId="3" fontId="5" fillId="0" borderId="0" xfId="0" applyNumberFormat="1" applyFont="1" applyAlignment="1">
      <alignment horizontal="center" vertical="center" wrapText="1"/>
    </xf>
    <xf numFmtId="3" fontId="5" fillId="0" borderId="1"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0" xfId="0" applyNumberFormat="1" applyFont="1" applyAlignment="1">
      <alignment horizontal="center" vertical="center" wrapText="1"/>
    </xf>
    <xf numFmtId="3" fontId="2" fillId="0" borderId="1"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0" xfId="0" applyNumberFormat="1" applyFont="1" applyAlignment="1">
      <alignment horizontal="center" vertical="center" wrapText="1"/>
    </xf>
    <xf numFmtId="164" fontId="2" fillId="0" borderId="1" xfId="0" applyNumberFormat="1" applyFont="1" applyBorder="1" applyAlignment="1">
      <alignment horizontal="center" vertical="center" wrapText="1"/>
    </xf>
    <xf numFmtId="0" fontId="11" fillId="0" borderId="0" xfId="0" applyFont="1" applyAlignment="1">
      <alignment horizontal="left" vertical="top" wrapText="1"/>
    </xf>
    <xf numFmtId="164" fontId="2" fillId="3" borderId="2" xfId="0" applyNumberFormat="1" applyFont="1" applyFill="1" applyBorder="1" applyAlignment="1">
      <alignment horizontal="center" wrapText="1"/>
    </xf>
    <xf numFmtId="164" fontId="2" fillId="3" borderId="0" xfId="0" applyNumberFormat="1" applyFont="1" applyFill="1" applyAlignment="1">
      <alignment horizontal="center" wrapText="1"/>
    </xf>
    <xf numFmtId="164" fontId="2" fillId="3" borderId="1" xfId="0" applyNumberFormat="1" applyFont="1" applyFill="1" applyBorder="1" applyAlignment="1">
      <alignment horizontal="center" wrapText="1"/>
    </xf>
    <xf numFmtId="3" fontId="2" fillId="3" borderId="2" xfId="0" applyNumberFormat="1" applyFont="1" applyFill="1" applyBorder="1" applyAlignment="1">
      <alignment horizontal="center" wrapText="1"/>
    </xf>
    <xf numFmtId="3" fontId="2" fillId="3" borderId="0" xfId="0" applyNumberFormat="1" applyFont="1" applyFill="1" applyAlignment="1">
      <alignment horizontal="center" wrapText="1"/>
    </xf>
    <xf numFmtId="3" fontId="2" fillId="3" borderId="1" xfId="0" applyNumberFormat="1" applyFont="1" applyFill="1" applyBorder="1" applyAlignment="1">
      <alignment horizontal="center" wrapText="1"/>
    </xf>
    <xf numFmtId="0" fontId="2" fillId="3" borderId="2" xfId="0" applyFont="1" applyFill="1" applyBorder="1" applyAlignment="1">
      <alignment horizontal="center" wrapText="1"/>
    </xf>
    <xf numFmtId="0" fontId="2" fillId="3" borderId="0" xfId="0" applyFont="1" applyFill="1" applyAlignment="1">
      <alignment horizontal="center" wrapText="1"/>
    </xf>
    <xf numFmtId="0" fontId="2" fillId="3" borderId="1" xfId="0" applyFont="1" applyFill="1" applyBorder="1" applyAlignment="1">
      <alignment horizontal="center" wrapText="1"/>
    </xf>
    <xf numFmtId="3" fontId="2" fillId="0" borderId="2" xfId="0" applyNumberFormat="1" applyFont="1" applyBorder="1" applyAlignment="1">
      <alignment horizontal="center" wrapText="1"/>
    </xf>
    <xf numFmtId="3" fontId="2" fillId="0" borderId="0" xfId="0" applyNumberFormat="1" applyFont="1" applyAlignment="1">
      <alignment horizontal="center" wrapText="1"/>
    </xf>
    <xf numFmtId="3" fontId="2" fillId="0" borderId="1" xfId="0" applyNumberFormat="1" applyFont="1" applyBorder="1" applyAlignment="1">
      <alignment horizontal="center" wrapText="1"/>
    </xf>
    <xf numFmtId="164" fontId="2" fillId="0" borderId="0" xfId="0" applyNumberFormat="1" applyFont="1" applyAlignment="1">
      <alignment horizontal="center" wrapText="1"/>
    </xf>
    <xf numFmtId="164" fontId="2" fillId="0" borderId="1" xfId="0" applyNumberFormat="1" applyFont="1" applyBorder="1" applyAlignment="1">
      <alignment horizontal="center" wrapText="1"/>
    </xf>
    <xf numFmtId="2" fontId="1" fillId="0" borderId="11" xfId="2" applyNumberFormat="1" applyFont="1" applyBorder="1"/>
    <xf numFmtId="2" fontId="1" fillId="0" borderId="10" xfId="2" applyNumberFormat="1" applyFont="1" applyBorder="1"/>
  </cellXfs>
  <cellStyles count="7">
    <cellStyle name="Komma" xfId="1" builtinId="3"/>
    <cellStyle name="Komma 2" xfId="5" xr:uid="{2C6D001E-5973-4323-B1B4-E8CF6A11FD7F}"/>
    <cellStyle name="Komma 64" xfId="3" xr:uid="{99CB4BE3-0288-4635-9F38-76C8EE6C071F}"/>
    <cellStyle name="Komma 64 2" xfId="6" xr:uid="{00DC0816-184A-48FA-BC9B-926B978F621C}"/>
    <cellStyle name="Link" xfId="4" builtinId="8"/>
    <cellStyle name="Normal" xfId="0" builtinId="0"/>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Indtægter delt med operatørudgifter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'Bane Samlet'!$BF$5</c:f>
              <c:strCache>
                <c:ptCount val="1"/>
                <c:pt idx="0">
                  <c:v>R 2019</c:v>
                </c:pt>
              </c:strCache>
            </c:strRef>
          </c:tx>
          <c:spPr>
            <a:solidFill>
              <a:schemeClr val="accent1"/>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Samlet'!$BF$6:$BF$11</c:f>
              <c:numCache>
                <c:formatCode>#,##0_);\-#,##0_);\-_);@</c:formatCode>
                <c:ptCount val="6"/>
                <c:pt idx="2" formatCode="0%">
                  <c:v>0.24761555392516504</c:v>
                </c:pt>
                <c:pt idx="3" formatCode="0%">
                  <c:v>0.35938641964235246</c:v>
                </c:pt>
                <c:pt idx="4" formatCode="0%">
                  <c:v>0.47476470943050708</c:v>
                </c:pt>
                <c:pt idx="5" formatCode="0%">
                  <c:v>0.16666666666666666</c:v>
                </c:pt>
              </c:numCache>
            </c:numRef>
          </c:val>
          <c:extLst>
            <c:ext xmlns:c16="http://schemas.microsoft.com/office/drawing/2014/chart" uri="{C3380CC4-5D6E-409C-BE32-E72D297353CC}">
              <c16:uniqueId val="{00000000-018B-4C80-995B-BA25A6CF1D57}"/>
            </c:ext>
          </c:extLst>
        </c:ser>
        <c:ser>
          <c:idx val="1"/>
          <c:order val="1"/>
          <c:tx>
            <c:strRef>
              <c:f>'Bane Samlet'!$BG$5</c:f>
              <c:strCache>
                <c:ptCount val="1"/>
                <c:pt idx="0">
                  <c:v>R 2020</c:v>
                </c:pt>
              </c:strCache>
            </c:strRef>
          </c:tx>
          <c:spPr>
            <a:solidFill>
              <a:schemeClr val="accent2"/>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Samlet'!$BG$6:$BG$11</c:f>
              <c:numCache>
                <c:formatCode>#,##0_);\-#,##0_);\-_);@</c:formatCode>
                <c:ptCount val="6"/>
                <c:pt idx="2" formatCode="0%">
                  <c:v>0.27626459143968873</c:v>
                </c:pt>
                <c:pt idx="3" formatCode="0%">
                  <c:v>0.2723712791691893</c:v>
                </c:pt>
                <c:pt idx="4" formatCode="0%">
                  <c:v>0.27277389337459318</c:v>
                </c:pt>
                <c:pt idx="5" formatCode="0%">
                  <c:v>0.10344827586206895</c:v>
                </c:pt>
              </c:numCache>
            </c:numRef>
          </c:val>
          <c:extLst>
            <c:ext xmlns:c16="http://schemas.microsoft.com/office/drawing/2014/chart" uri="{C3380CC4-5D6E-409C-BE32-E72D297353CC}">
              <c16:uniqueId val="{00000001-018B-4C80-995B-BA25A6CF1D57}"/>
            </c:ext>
          </c:extLst>
        </c:ser>
        <c:ser>
          <c:idx val="2"/>
          <c:order val="2"/>
          <c:tx>
            <c:strRef>
              <c:f>'Bane Samlet'!$BH$5</c:f>
              <c:strCache>
                <c:ptCount val="1"/>
                <c:pt idx="0">
                  <c:v>R 2021</c:v>
                </c:pt>
              </c:strCache>
            </c:strRef>
          </c:tx>
          <c:spPr>
            <a:solidFill>
              <a:schemeClr val="accent3"/>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Samlet'!$BH$6:$BH$11</c:f>
              <c:numCache>
                <c:formatCode>#,##0_);\-#,##0_);\-_);@</c:formatCode>
                <c:ptCount val="6"/>
                <c:pt idx="2" formatCode="0%">
                  <c:v>0.28948175406317078</c:v>
                </c:pt>
                <c:pt idx="3" formatCode="0%">
                  <c:v>0.30469855819503594</c:v>
                </c:pt>
                <c:pt idx="4" formatCode="0%">
                  <c:v>0.32374341294943354</c:v>
                </c:pt>
                <c:pt idx="5" formatCode="0%">
                  <c:v>0</c:v>
                </c:pt>
              </c:numCache>
            </c:numRef>
          </c:val>
          <c:extLst>
            <c:ext xmlns:c16="http://schemas.microsoft.com/office/drawing/2014/chart" uri="{C3380CC4-5D6E-409C-BE32-E72D297353CC}">
              <c16:uniqueId val="{00000002-018B-4C80-995B-BA25A6CF1D57}"/>
            </c:ext>
          </c:extLst>
        </c:ser>
        <c:ser>
          <c:idx val="3"/>
          <c:order val="3"/>
          <c:tx>
            <c:strRef>
              <c:f>'Bane Samlet'!$BI$5</c:f>
              <c:strCache>
                <c:ptCount val="1"/>
                <c:pt idx="0">
                  <c:v>R 2022</c:v>
                </c:pt>
              </c:strCache>
            </c:strRef>
          </c:tx>
          <c:spPr>
            <a:solidFill>
              <a:schemeClr val="accent4"/>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Samlet'!$BI$6:$BI$11</c:f>
              <c:numCache>
                <c:formatCode>0%</c:formatCode>
                <c:ptCount val="6"/>
                <c:pt idx="1">
                  <c:v>0</c:v>
                </c:pt>
                <c:pt idx="2">
                  <c:v>0.29067695961995255</c:v>
                </c:pt>
                <c:pt idx="3">
                  <c:v>0.33260193218158984</c:v>
                </c:pt>
                <c:pt idx="4">
                  <c:v>0.39935525501618274</c:v>
                </c:pt>
                <c:pt idx="5">
                  <c:v>0</c:v>
                </c:pt>
              </c:numCache>
            </c:numRef>
          </c:val>
          <c:extLst>
            <c:ext xmlns:c16="http://schemas.microsoft.com/office/drawing/2014/chart" uri="{C3380CC4-5D6E-409C-BE32-E72D297353CC}">
              <c16:uniqueId val="{00000003-018B-4C80-995B-BA25A6CF1D57}"/>
            </c:ext>
          </c:extLst>
        </c:ser>
        <c:ser>
          <c:idx val="4"/>
          <c:order val="4"/>
          <c:tx>
            <c:strRef>
              <c:f>'Bane Samlet'!$BJ$5</c:f>
              <c:strCache>
                <c:ptCount val="1"/>
                <c:pt idx="0">
                  <c:v>R 2023</c:v>
                </c:pt>
              </c:strCache>
            </c:strRef>
          </c:tx>
          <c:spPr>
            <a:solidFill>
              <a:schemeClr val="accent5"/>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Samlet'!$BJ$6:$BJ$11</c:f>
              <c:numCache>
                <c:formatCode>0%</c:formatCode>
                <c:ptCount val="6"/>
                <c:pt idx="1">
                  <c:v>0</c:v>
                </c:pt>
                <c:pt idx="2">
                  <c:v>0.27978142076502732</c:v>
                </c:pt>
                <c:pt idx="3">
                  <c:v>0.35370350088004043</c:v>
                </c:pt>
                <c:pt idx="4">
                  <c:v>0.41945835633075979</c:v>
                </c:pt>
                <c:pt idx="5">
                  <c:v>0</c:v>
                </c:pt>
              </c:numCache>
            </c:numRef>
          </c:val>
          <c:extLst>
            <c:ext xmlns:c16="http://schemas.microsoft.com/office/drawing/2014/chart" uri="{C3380CC4-5D6E-409C-BE32-E72D297353CC}">
              <c16:uniqueId val="{00000004-018B-4C80-995B-BA25A6CF1D57}"/>
            </c:ext>
          </c:extLst>
        </c:ser>
        <c:ser>
          <c:idx val="5"/>
          <c:order val="5"/>
          <c:tx>
            <c:strRef>
              <c:f>'Bane Samlet'!$BK$5</c:f>
              <c:strCache>
                <c:ptCount val="1"/>
                <c:pt idx="0">
                  <c:v>FC 2024</c:v>
                </c:pt>
              </c:strCache>
            </c:strRef>
          </c:tx>
          <c:spPr>
            <a:solidFill>
              <a:schemeClr val="accent6"/>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Samlet'!$BK$6:$BK$11</c:f>
              <c:numCache>
                <c:formatCode>0%</c:formatCode>
                <c:ptCount val="6"/>
                <c:pt idx="1">
                  <c:v>0</c:v>
                </c:pt>
                <c:pt idx="2">
                  <c:v>0.27775049115913553</c:v>
                </c:pt>
                <c:pt idx="3">
                  <c:v>0.36296052701899317</c:v>
                </c:pt>
                <c:pt idx="4">
                  <c:v>0.34969916441300114</c:v>
                </c:pt>
                <c:pt idx="5">
                  <c:v>0</c:v>
                </c:pt>
              </c:numCache>
            </c:numRef>
          </c:val>
          <c:extLst>
            <c:ext xmlns:c16="http://schemas.microsoft.com/office/drawing/2014/chart" uri="{C3380CC4-5D6E-409C-BE32-E72D297353CC}">
              <c16:uniqueId val="{00000002-15A4-4499-B987-A9DD785BCFF8}"/>
            </c:ext>
          </c:extLst>
        </c:ser>
        <c:ser>
          <c:idx val="6"/>
          <c:order val="6"/>
          <c:tx>
            <c:strRef>
              <c:f>'Bane Samlet'!$BL$5</c:f>
              <c:strCache>
                <c:ptCount val="1"/>
                <c:pt idx="0">
                  <c:v>B2025</c:v>
                </c:pt>
              </c:strCache>
            </c:strRef>
          </c:tx>
          <c:spPr>
            <a:solidFill>
              <a:schemeClr val="accent1">
                <a:lumMod val="60000"/>
              </a:schemeClr>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Samlet'!$BL$6:$BL$11</c:f>
              <c:numCache>
                <c:formatCode>0%</c:formatCode>
                <c:ptCount val="6"/>
                <c:pt idx="1">
                  <c:v>0</c:v>
                </c:pt>
                <c:pt idx="2">
                  <c:v>0.28184603313967604</c:v>
                </c:pt>
                <c:pt idx="3">
                  <c:v>0.39910745143976867</c:v>
                </c:pt>
                <c:pt idx="4">
                  <c:v>0.41125254518748344</c:v>
                </c:pt>
                <c:pt idx="5">
                  <c:v>0</c:v>
                </c:pt>
              </c:numCache>
            </c:numRef>
          </c:val>
          <c:extLst>
            <c:ext xmlns:c16="http://schemas.microsoft.com/office/drawing/2014/chart" uri="{C3380CC4-5D6E-409C-BE32-E72D297353CC}">
              <c16:uniqueId val="{00000003-15A4-4499-B987-A9DD785BCFF8}"/>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 val="autoZero"/>
        <c:auto val="1"/>
        <c:lblAlgn val="ctr"/>
        <c:lblOffset val="100"/>
        <c:noMultiLvlLbl val="0"/>
      </c:catAx>
      <c:valAx>
        <c:axId val="2228944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Operatørudgift pr. køreplantime - 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'Bane Samlet'!$AY$5</c:f>
              <c:strCache>
                <c:ptCount val="1"/>
                <c:pt idx="0">
                  <c:v>R 2019</c:v>
                </c:pt>
              </c:strCache>
            </c:strRef>
          </c:tx>
          <c:spPr>
            <a:solidFill>
              <a:schemeClr val="accent1"/>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Samlet'!$AY$6:$AY$11</c:f>
              <c:numCache>
                <c:formatCode>#,##0_);\-#,##0_);\-_);@</c:formatCode>
                <c:ptCount val="6"/>
                <c:pt idx="2">
                  <c:v>100</c:v>
                </c:pt>
                <c:pt idx="3">
                  <c:v>100</c:v>
                </c:pt>
                <c:pt idx="4">
                  <c:v>100</c:v>
                </c:pt>
                <c:pt idx="5">
                  <c:v>100</c:v>
                </c:pt>
              </c:numCache>
            </c:numRef>
          </c:val>
          <c:extLst>
            <c:ext xmlns:c16="http://schemas.microsoft.com/office/drawing/2014/chart" uri="{C3380CC4-5D6E-409C-BE32-E72D297353CC}">
              <c16:uniqueId val="{00000000-F47E-4405-A881-26D636E528E7}"/>
            </c:ext>
          </c:extLst>
        </c:ser>
        <c:ser>
          <c:idx val="1"/>
          <c:order val="1"/>
          <c:tx>
            <c:strRef>
              <c:f>'Bane Samlet'!$AZ$5</c:f>
              <c:strCache>
                <c:ptCount val="1"/>
                <c:pt idx="0">
                  <c:v>R 2020</c:v>
                </c:pt>
              </c:strCache>
            </c:strRef>
          </c:tx>
          <c:spPr>
            <a:solidFill>
              <a:schemeClr val="accent2"/>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Samlet'!$AZ$6:$AZ$11</c:f>
              <c:numCache>
                <c:formatCode>#,##0_);\-#,##0_);\-_);@</c:formatCode>
                <c:ptCount val="6"/>
                <c:pt idx="2">
                  <c:v>92.07798207639317</c:v>
                </c:pt>
                <c:pt idx="3">
                  <c:v>102.47040348069143</c:v>
                </c:pt>
                <c:pt idx="4">
                  <c:v>104.48076972098066</c:v>
                </c:pt>
                <c:pt idx="5">
                  <c:v>98.330435790449712</c:v>
                </c:pt>
              </c:numCache>
            </c:numRef>
          </c:val>
          <c:extLst>
            <c:ext xmlns:c16="http://schemas.microsoft.com/office/drawing/2014/chart" uri="{C3380CC4-5D6E-409C-BE32-E72D297353CC}">
              <c16:uniqueId val="{00000001-F47E-4405-A881-26D636E528E7}"/>
            </c:ext>
          </c:extLst>
        </c:ser>
        <c:ser>
          <c:idx val="2"/>
          <c:order val="2"/>
          <c:tx>
            <c:strRef>
              <c:f>'Bane Samlet'!$BA$5</c:f>
              <c:strCache>
                <c:ptCount val="1"/>
                <c:pt idx="0">
                  <c:v>R 2021</c:v>
                </c:pt>
              </c:strCache>
            </c:strRef>
          </c:tx>
          <c:spPr>
            <a:solidFill>
              <a:schemeClr val="accent3"/>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Samlet'!$BA$6:$BA$11</c:f>
              <c:numCache>
                <c:formatCode>#,##0_);\-#,##0_);\-_);@</c:formatCode>
                <c:ptCount val="6"/>
                <c:pt idx="2">
                  <c:v>95.533922206543764</c:v>
                </c:pt>
                <c:pt idx="3">
                  <c:v>102.13939241136009</c:v>
                </c:pt>
                <c:pt idx="4">
                  <c:v>111.17040886520533</c:v>
                </c:pt>
                <c:pt idx="5">
                  <c:v>30.000199289947332</c:v>
                </c:pt>
              </c:numCache>
            </c:numRef>
          </c:val>
          <c:extLst>
            <c:ext xmlns:c16="http://schemas.microsoft.com/office/drawing/2014/chart" uri="{C3380CC4-5D6E-409C-BE32-E72D297353CC}">
              <c16:uniqueId val="{00000002-F47E-4405-A881-26D636E528E7}"/>
            </c:ext>
          </c:extLst>
        </c:ser>
        <c:ser>
          <c:idx val="3"/>
          <c:order val="3"/>
          <c:tx>
            <c:strRef>
              <c:f>'Bane Samlet'!$BB$5</c:f>
              <c:strCache>
                <c:ptCount val="1"/>
                <c:pt idx="0">
                  <c:v>R 2022</c:v>
                </c:pt>
              </c:strCache>
            </c:strRef>
          </c:tx>
          <c:spPr>
            <a:solidFill>
              <a:schemeClr val="accent4"/>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Samlet'!$BB$6:$BB$11</c:f>
              <c:numCache>
                <c:formatCode>#,##0_);\-#,##0_);\-_);@</c:formatCode>
                <c:ptCount val="6"/>
                <c:pt idx="1">
                  <c:v>0</c:v>
                </c:pt>
                <c:pt idx="2">
                  <c:v>96.968957826544667</c:v>
                </c:pt>
                <c:pt idx="3">
                  <c:v>108.70519227068228</c:v>
                </c:pt>
                <c:pt idx="4">
                  <c:v>117.95217481060911</c:v>
                </c:pt>
                <c:pt idx="5">
                  <c:v>27.79202766377869</c:v>
                </c:pt>
              </c:numCache>
            </c:numRef>
          </c:val>
          <c:extLst>
            <c:ext xmlns:c16="http://schemas.microsoft.com/office/drawing/2014/chart" uri="{C3380CC4-5D6E-409C-BE32-E72D297353CC}">
              <c16:uniqueId val="{00000003-F47E-4405-A881-26D636E528E7}"/>
            </c:ext>
          </c:extLst>
        </c:ser>
        <c:ser>
          <c:idx val="4"/>
          <c:order val="4"/>
          <c:tx>
            <c:strRef>
              <c:f>'Bane Samlet'!$BC$5</c:f>
              <c:strCache>
                <c:ptCount val="1"/>
                <c:pt idx="0">
                  <c:v>R 2023</c:v>
                </c:pt>
              </c:strCache>
            </c:strRef>
          </c:tx>
          <c:spPr>
            <a:solidFill>
              <a:schemeClr val="accent5"/>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Samlet'!$BC$6:$BC$11</c:f>
              <c:numCache>
                <c:formatCode>#,##0_);\-#,##0_);\-_);@</c:formatCode>
                <c:ptCount val="6"/>
                <c:pt idx="1">
                  <c:v>0</c:v>
                </c:pt>
                <c:pt idx="2">
                  <c:v>95.523911749134271</c:v>
                </c:pt>
                <c:pt idx="3">
                  <c:v>114.89281201660432</c:v>
                </c:pt>
                <c:pt idx="4">
                  <c:v>116.90379461975884</c:v>
                </c:pt>
                <c:pt idx="5">
                  <c:v>30.400069276065118</c:v>
                </c:pt>
              </c:numCache>
            </c:numRef>
          </c:val>
          <c:extLst>
            <c:ext xmlns:c16="http://schemas.microsoft.com/office/drawing/2014/chart" uri="{C3380CC4-5D6E-409C-BE32-E72D297353CC}">
              <c16:uniqueId val="{00000004-F47E-4405-A881-26D636E528E7}"/>
            </c:ext>
          </c:extLst>
        </c:ser>
        <c:ser>
          <c:idx val="5"/>
          <c:order val="5"/>
          <c:tx>
            <c:strRef>
              <c:f>'Bane Samlet'!$BD$5</c:f>
              <c:strCache>
                <c:ptCount val="1"/>
                <c:pt idx="0">
                  <c:v>FC 2024</c:v>
                </c:pt>
              </c:strCache>
            </c:strRef>
          </c:tx>
          <c:spPr>
            <a:solidFill>
              <a:schemeClr val="accent6"/>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Samlet'!$BD$6:$BD$11</c:f>
              <c:numCache>
                <c:formatCode>#,##0_);\-#,##0_);\-_);@</c:formatCode>
                <c:ptCount val="6"/>
                <c:pt idx="1">
                  <c:v>0</c:v>
                </c:pt>
                <c:pt idx="2">
                  <c:v>105.47060021689344</c:v>
                </c:pt>
                <c:pt idx="3">
                  <c:v>116.07907761854983</c:v>
                </c:pt>
                <c:pt idx="4">
                  <c:v>142.90912156308153</c:v>
                </c:pt>
                <c:pt idx="5">
                  <c:v>29.896502961735727</c:v>
                </c:pt>
              </c:numCache>
            </c:numRef>
          </c:val>
          <c:extLst>
            <c:ext xmlns:c16="http://schemas.microsoft.com/office/drawing/2014/chart" uri="{C3380CC4-5D6E-409C-BE32-E72D297353CC}">
              <c16:uniqueId val="{00000005-F47E-4405-A881-26D636E528E7}"/>
            </c:ext>
          </c:extLst>
        </c:ser>
        <c:ser>
          <c:idx val="6"/>
          <c:order val="6"/>
          <c:tx>
            <c:strRef>
              <c:f>'Bane Samlet'!$BE$5</c:f>
              <c:strCache>
                <c:ptCount val="1"/>
                <c:pt idx="0">
                  <c:v>B2025</c:v>
                </c:pt>
              </c:strCache>
            </c:strRef>
          </c:tx>
          <c:spPr>
            <a:solidFill>
              <a:schemeClr val="accent1">
                <a:lumMod val="60000"/>
              </a:schemeClr>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Samlet'!$BE$6:$BE$11</c:f>
              <c:numCache>
                <c:formatCode>#,##0_);\-#,##0_);\-_);@</c:formatCode>
                <c:ptCount val="6"/>
                <c:pt idx="1">
                  <c:v>0</c:v>
                </c:pt>
                <c:pt idx="2">
                  <c:v>111.72443924455141</c:v>
                </c:pt>
                <c:pt idx="3">
                  <c:v>116.924476303139</c:v>
                </c:pt>
                <c:pt idx="4">
                  <c:v>131.35994549877927</c:v>
                </c:pt>
                <c:pt idx="5">
                  <c:v>30.003291349713734</c:v>
                </c:pt>
              </c:numCache>
            </c:numRef>
          </c:val>
          <c:extLst>
            <c:ext xmlns:c16="http://schemas.microsoft.com/office/drawing/2014/chart" uri="{C3380CC4-5D6E-409C-BE32-E72D297353CC}">
              <c16:uniqueId val="{00000000-1416-4FF3-8C4A-86B1862B4B4B}"/>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At val="100"/>
        <c:auto val="1"/>
        <c:lblAlgn val="ctr"/>
        <c:lblOffset val="100"/>
        <c:noMultiLvlLbl val="0"/>
      </c:catAx>
      <c:valAx>
        <c:axId val="222894479"/>
        <c:scaling>
          <c:orientation val="minMax"/>
          <c:max val="130"/>
          <c:min val="20"/>
        </c:scaling>
        <c:delete val="0"/>
        <c:axPos val="l"/>
        <c:majorGridlines>
          <c:spPr>
            <a:ln w="9525" cap="flat" cmpd="sng" algn="ctr">
              <a:solidFill>
                <a:schemeClr val="tx1">
                  <a:lumMod val="15000"/>
                  <a:lumOff val="85000"/>
                </a:schemeClr>
              </a:solidFill>
              <a:round/>
            </a:ln>
            <a:effectLst/>
          </c:spPr>
        </c:majorGridlines>
        <c:numFmt formatCode="#,##0_);\-#,##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Passagerindeks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'Bane Samlet'!$W$5</c:f>
              <c:strCache>
                <c:ptCount val="1"/>
                <c:pt idx="0">
                  <c:v>R 2019</c:v>
                </c:pt>
              </c:strCache>
            </c:strRef>
          </c:tx>
          <c:spPr>
            <a:solidFill>
              <a:schemeClr val="accent1"/>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Samlet'!$W$8:$W$11</c:f>
              <c:numCache>
                <c:formatCode>#,##0_);\-#,##0_);\-_);@</c:formatCode>
                <c:ptCount val="4"/>
                <c:pt idx="0">
                  <c:v>100</c:v>
                </c:pt>
                <c:pt idx="1">
                  <c:v>100</c:v>
                </c:pt>
                <c:pt idx="2">
                  <c:v>100</c:v>
                </c:pt>
                <c:pt idx="3">
                  <c:v>100</c:v>
                </c:pt>
              </c:numCache>
            </c:numRef>
          </c:val>
          <c:extLst>
            <c:ext xmlns:c16="http://schemas.microsoft.com/office/drawing/2014/chart" uri="{C3380CC4-5D6E-409C-BE32-E72D297353CC}">
              <c16:uniqueId val="{00000000-01A4-42D8-B947-C4E4BE95B790}"/>
            </c:ext>
          </c:extLst>
        </c:ser>
        <c:ser>
          <c:idx val="1"/>
          <c:order val="1"/>
          <c:tx>
            <c:strRef>
              <c:f>'Bane Samlet'!$X$5</c:f>
              <c:strCache>
                <c:ptCount val="1"/>
                <c:pt idx="0">
                  <c:v>R 2020</c:v>
                </c:pt>
              </c:strCache>
            </c:strRef>
          </c:tx>
          <c:spPr>
            <a:solidFill>
              <a:schemeClr val="accent2"/>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Samlet'!$X$8:$X$11</c:f>
              <c:numCache>
                <c:formatCode>#,##0_);\-#,##0_);\-_);@</c:formatCode>
                <c:ptCount val="4"/>
                <c:pt idx="0">
                  <c:v>75.173681723958168</c:v>
                </c:pt>
                <c:pt idx="1">
                  <c:v>78.84828692284988</c:v>
                </c:pt>
                <c:pt idx="2">
                  <c:v>62.886156586067543</c:v>
                </c:pt>
                <c:pt idx="3">
                  <c:v>72.684308725383303</c:v>
                </c:pt>
              </c:numCache>
            </c:numRef>
          </c:val>
          <c:extLst>
            <c:ext xmlns:c16="http://schemas.microsoft.com/office/drawing/2014/chart" uri="{C3380CC4-5D6E-409C-BE32-E72D297353CC}">
              <c16:uniqueId val="{00000001-01A4-42D8-B947-C4E4BE95B790}"/>
            </c:ext>
          </c:extLst>
        </c:ser>
        <c:ser>
          <c:idx val="2"/>
          <c:order val="2"/>
          <c:tx>
            <c:strRef>
              <c:f>'Bane Samlet'!$Y$5</c:f>
              <c:strCache>
                <c:ptCount val="1"/>
                <c:pt idx="0">
                  <c:v>R 2021</c:v>
                </c:pt>
              </c:strCache>
            </c:strRef>
          </c:tx>
          <c:spPr>
            <a:solidFill>
              <a:schemeClr val="accent3"/>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Samlet'!$Y$8:$Y$11</c:f>
              <c:numCache>
                <c:formatCode>#,##0_);\-#,##0_);\-_);@</c:formatCode>
                <c:ptCount val="4"/>
                <c:pt idx="0">
                  <c:v>86.617359044761017</c:v>
                </c:pt>
                <c:pt idx="1">
                  <c:v>81.380436002089908</c:v>
                </c:pt>
                <c:pt idx="2">
                  <c:v>72.619485923693404</c:v>
                </c:pt>
                <c:pt idx="3">
                  <c:v>59.824096418519147</c:v>
                </c:pt>
              </c:numCache>
            </c:numRef>
          </c:val>
          <c:extLst>
            <c:ext xmlns:c16="http://schemas.microsoft.com/office/drawing/2014/chart" uri="{C3380CC4-5D6E-409C-BE32-E72D297353CC}">
              <c16:uniqueId val="{00000002-01A4-42D8-B947-C4E4BE95B790}"/>
            </c:ext>
          </c:extLst>
        </c:ser>
        <c:ser>
          <c:idx val="3"/>
          <c:order val="3"/>
          <c:tx>
            <c:strRef>
              <c:f>'Bane Samlet'!$Z$5</c:f>
              <c:strCache>
                <c:ptCount val="1"/>
                <c:pt idx="0">
                  <c:v>R 2022</c:v>
                </c:pt>
              </c:strCache>
            </c:strRef>
          </c:tx>
          <c:spPr>
            <a:solidFill>
              <a:schemeClr val="accent4"/>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Samlet'!$Z$7:$Z$11</c:f>
              <c:numCache>
                <c:formatCode>#,##0_);\-#,##0_);\-_);@</c:formatCode>
                <c:ptCount val="5"/>
                <c:pt idx="0">
                  <c:v>100</c:v>
                </c:pt>
                <c:pt idx="1">
                  <c:v>118.38779446699819</c:v>
                </c:pt>
                <c:pt idx="2">
                  <c:v>99.449027644196775</c:v>
                </c:pt>
                <c:pt idx="3">
                  <c:v>99.921941000525152</c:v>
                </c:pt>
                <c:pt idx="4">
                  <c:v>82.324792095287194</c:v>
                </c:pt>
              </c:numCache>
            </c:numRef>
          </c:val>
          <c:extLst>
            <c:ext xmlns:c16="http://schemas.microsoft.com/office/drawing/2014/chart" uri="{C3380CC4-5D6E-409C-BE32-E72D297353CC}">
              <c16:uniqueId val="{00000003-01A4-42D8-B947-C4E4BE95B790}"/>
            </c:ext>
          </c:extLst>
        </c:ser>
        <c:ser>
          <c:idx val="4"/>
          <c:order val="4"/>
          <c:tx>
            <c:strRef>
              <c:f>'Bane Samlet'!$AA$5</c:f>
              <c:strCache>
                <c:ptCount val="1"/>
                <c:pt idx="0">
                  <c:v>R 2023</c:v>
                </c:pt>
              </c:strCache>
            </c:strRef>
          </c:tx>
          <c:spPr>
            <a:solidFill>
              <a:schemeClr val="accent5"/>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Samlet'!$AA$7:$AA$11</c:f>
              <c:numCache>
                <c:formatCode>#,##0_);\-#,##0_);\-_);@</c:formatCode>
                <c:ptCount val="5"/>
                <c:pt idx="0">
                  <c:v>177.2117144600366</c:v>
                </c:pt>
                <c:pt idx="1">
                  <c:v>123.65245141980827</c:v>
                </c:pt>
                <c:pt idx="2">
                  <c:v>102.89926953178599</c:v>
                </c:pt>
                <c:pt idx="3">
                  <c:v>105.43205727561249</c:v>
                </c:pt>
                <c:pt idx="4">
                  <c:v>84.920920939186445</c:v>
                </c:pt>
              </c:numCache>
            </c:numRef>
          </c:val>
          <c:extLst>
            <c:ext xmlns:c16="http://schemas.microsoft.com/office/drawing/2014/chart" uri="{C3380CC4-5D6E-409C-BE32-E72D297353CC}">
              <c16:uniqueId val="{00000004-01A4-42D8-B947-C4E4BE95B790}"/>
            </c:ext>
          </c:extLst>
        </c:ser>
        <c:ser>
          <c:idx val="5"/>
          <c:order val="5"/>
          <c:tx>
            <c:strRef>
              <c:f>'Bane Samlet'!$U$5</c:f>
              <c:strCache>
                <c:ptCount val="1"/>
                <c:pt idx="0">
                  <c:v>FC 2024</c:v>
                </c:pt>
              </c:strCache>
            </c:strRef>
          </c:tx>
          <c:spPr>
            <a:solidFill>
              <a:schemeClr val="accent6"/>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Samlet'!$U$7:$U$11</c:f>
              <c:numCache>
                <c:formatCode>#,##0_);\-#,##0_);\-_);@</c:formatCode>
                <c:ptCount val="5"/>
                <c:pt idx="0">
                  <c:v>6937000</c:v>
                </c:pt>
                <c:pt idx="1">
                  <c:v>6798000</c:v>
                </c:pt>
                <c:pt idx="2">
                  <c:v>9850000</c:v>
                </c:pt>
                <c:pt idx="3">
                  <c:v>0</c:v>
                </c:pt>
                <c:pt idx="4">
                  <c:v>174500</c:v>
                </c:pt>
              </c:numCache>
            </c:numRef>
          </c:val>
          <c:extLst>
            <c:ext xmlns:c16="http://schemas.microsoft.com/office/drawing/2014/chart" uri="{C3380CC4-5D6E-409C-BE32-E72D297353CC}">
              <c16:uniqueId val="{00000008-8825-479B-B366-32E5D0AE5856}"/>
            </c:ext>
          </c:extLst>
        </c:ser>
        <c:ser>
          <c:idx val="6"/>
          <c:order val="6"/>
          <c:tx>
            <c:strRef>
              <c:f>'Bane Samlet'!$AC$5</c:f>
              <c:strCache>
                <c:ptCount val="1"/>
                <c:pt idx="0">
                  <c:v>B2025</c:v>
                </c:pt>
              </c:strCache>
            </c:strRef>
          </c:tx>
          <c:spPr>
            <a:solidFill>
              <a:schemeClr val="accent1">
                <a:lumMod val="60000"/>
              </a:schemeClr>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Samlet'!$AC$7:$AC$11</c:f>
              <c:numCache>
                <c:formatCode>#,##0_);\-#,##0_);\-_);@</c:formatCode>
                <c:ptCount val="5"/>
                <c:pt idx="0">
                  <c:v>216.59548505186089</c:v>
                </c:pt>
                <c:pt idx="1">
                  <c:v>136.20445976438512</c:v>
                </c:pt>
                <c:pt idx="2">
                  <c:v>109.16271233596613</c:v>
                </c:pt>
                <c:pt idx="3">
                  <c:v>0</c:v>
                </c:pt>
                <c:pt idx="4">
                  <c:v>79.603669523883383</c:v>
                </c:pt>
              </c:numCache>
            </c:numRef>
          </c:val>
          <c:extLst>
            <c:ext xmlns:c16="http://schemas.microsoft.com/office/drawing/2014/chart" uri="{C3380CC4-5D6E-409C-BE32-E72D297353CC}">
              <c16:uniqueId val="{00000009-8825-479B-B366-32E5D0AE5856}"/>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At val="100"/>
        <c:auto val="1"/>
        <c:lblAlgn val="ctr"/>
        <c:lblOffset val="100"/>
        <c:noMultiLvlLbl val="0"/>
      </c:catAx>
      <c:valAx>
        <c:axId val="222894479"/>
        <c:scaling>
          <c:orientation val="minMax"/>
          <c:max val="135"/>
          <c:min val="60"/>
        </c:scaling>
        <c:delete val="0"/>
        <c:axPos val="l"/>
        <c:majorGridlines>
          <c:spPr>
            <a:ln w="9525" cap="flat" cmpd="sng" algn="ctr">
              <a:solidFill>
                <a:schemeClr val="tx1">
                  <a:lumMod val="15000"/>
                  <a:lumOff val="85000"/>
                </a:schemeClr>
              </a:solidFill>
              <a:round/>
            </a:ln>
            <a:effectLst/>
          </c:spPr>
        </c:majorGridlines>
        <c:numFmt formatCode="#,##0_);\-#,##0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Køreplantimer - 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'Bane Samlet'!$I$5</c:f>
              <c:strCache>
                <c:ptCount val="1"/>
                <c:pt idx="0">
                  <c:v>R 2019</c:v>
                </c:pt>
              </c:strCache>
            </c:strRef>
          </c:tx>
          <c:spPr>
            <a:solidFill>
              <a:schemeClr val="accent1"/>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Samlet'!$I$6:$I$11</c:f>
              <c:numCache>
                <c:formatCode>#,##0_);\-#,##0_);\-_);@</c:formatCode>
                <c:ptCount val="6"/>
                <c:pt idx="2">
                  <c:v>100</c:v>
                </c:pt>
                <c:pt idx="3">
                  <c:v>100</c:v>
                </c:pt>
                <c:pt idx="4">
                  <c:v>100</c:v>
                </c:pt>
                <c:pt idx="5">
                  <c:v>100</c:v>
                </c:pt>
              </c:numCache>
            </c:numRef>
          </c:val>
          <c:extLst>
            <c:ext xmlns:c16="http://schemas.microsoft.com/office/drawing/2014/chart" uri="{C3380CC4-5D6E-409C-BE32-E72D297353CC}">
              <c16:uniqueId val="{00000000-65D1-493B-BBBF-8E028718D0B1}"/>
            </c:ext>
          </c:extLst>
        </c:ser>
        <c:ser>
          <c:idx val="1"/>
          <c:order val="1"/>
          <c:tx>
            <c:strRef>
              <c:f>'Bane Samlet'!$J$5</c:f>
              <c:strCache>
                <c:ptCount val="1"/>
                <c:pt idx="0">
                  <c:v>R 2020</c:v>
                </c:pt>
              </c:strCache>
            </c:strRef>
          </c:tx>
          <c:spPr>
            <a:solidFill>
              <a:schemeClr val="accent2"/>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Samlet'!$J$6:$J$11</c:f>
              <c:numCache>
                <c:formatCode>#,##0_);\-#,##0_);\-_);@</c:formatCode>
                <c:ptCount val="6"/>
                <c:pt idx="2">
                  <c:v>112.62742734348386</c:v>
                </c:pt>
                <c:pt idx="3">
                  <c:v>99.838622561224625</c:v>
                </c:pt>
                <c:pt idx="4">
                  <c:v>97.360019481709173</c:v>
                </c:pt>
                <c:pt idx="5">
                  <c:v>98.307981541616812</c:v>
                </c:pt>
              </c:numCache>
            </c:numRef>
          </c:val>
          <c:extLst>
            <c:ext xmlns:c16="http://schemas.microsoft.com/office/drawing/2014/chart" uri="{C3380CC4-5D6E-409C-BE32-E72D297353CC}">
              <c16:uniqueId val="{00000001-65D1-493B-BBBF-8E028718D0B1}"/>
            </c:ext>
          </c:extLst>
        </c:ser>
        <c:ser>
          <c:idx val="2"/>
          <c:order val="2"/>
          <c:tx>
            <c:strRef>
              <c:f>'Bane Samlet'!$K$5</c:f>
              <c:strCache>
                <c:ptCount val="1"/>
                <c:pt idx="0">
                  <c:v>R 2021</c:v>
                </c:pt>
              </c:strCache>
            </c:strRef>
          </c:tx>
          <c:spPr>
            <a:solidFill>
              <a:schemeClr val="accent3"/>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Samlet'!$K$6:$K$11</c:f>
              <c:numCache>
                <c:formatCode>#,##0_);\-#,##0_);\-_);@</c:formatCode>
                <c:ptCount val="6"/>
                <c:pt idx="2">
                  <c:v>125.21816609449934</c:v>
                </c:pt>
                <c:pt idx="3">
                  <c:v>104.17539422202901</c:v>
                </c:pt>
                <c:pt idx="4">
                  <c:v>97.579833260099107</c:v>
                </c:pt>
                <c:pt idx="5">
                  <c:v>98.1474961545035</c:v>
                </c:pt>
              </c:numCache>
            </c:numRef>
          </c:val>
          <c:extLst>
            <c:ext xmlns:c16="http://schemas.microsoft.com/office/drawing/2014/chart" uri="{C3380CC4-5D6E-409C-BE32-E72D297353CC}">
              <c16:uniqueId val="{00000002-65D1-493B-BBBF-8E028718D0B1}"/>
            </c:ext>
          </c:extLst>
        </c:ser>
        <c:ser>
          <c:idx val="3"/>
          <c:order val="3"/>
          <c:tx>
            <c:strRef>
              <c:f>'Bane Samlet'!$L$5</c:f>
              <c:strCache>
                <c:ptCount val="1"/>
                <c:pt idx="0">
                  <c:v>R 2022</c:v>
                </c:pt>
              </c:strCache>
            </c:strRef>
          </c:tx>
          <c:spPr>
            <a:solidFill>
              <a:schemeClr val="accent4"/>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Samlet'!$L$6:$L$11</c:f>
              <c:numCache>
                <c:formatCode>#,##0_);\-#,##0_);\-_);@</c:formatCode>
                <c:ptCount val="6"/>
                <c:pt idx="1">
                  <c:v>100</c:v>
                </c:pt>
                <c:pt idx="2">
                  <c:v>127.41293010823134</c:v>
                </c:pt>
                <c:pt idx="3">
                  <c:v>103.28287818308763</c:v>
                </c:pt>
                <c:pt idx="4">
                  <c:v>100.54509668213068</c:v>
                </c:pt>
                <c:pt idx="5">
                  <c:v>99.948726713382328</c:v>
                </c:pt>
              </c:numCache>
            </c:numRef>
          </c:val>
          <c:extLst>
            <c:ext xmlns:c16="http://schemas.microsoft.com/office/drawing/2014/chart" uri="{C3380CC4-5D6E-409C-BE32-E72D297353CC}">
              <c16:uniqueId val="{00000003-65D1-493B-BBBF-8E028718D0B1}"/>
            </c:ext>
          </c:extLst>
        </c:ser>
        <c:ser>
          <c:idx val="4"/>
          <c:order val="4"/>
          <c:tx>
            <c:strRef>
              <c:f>'Bane Samlet'!$M$5</c:f>
              <c:strCache>
                <c:ptCount val="1"/>
                <c:pt idx="0">
                  <c:v>R 2023</c:v>
                </c:pt>
              </c:strCache>
            </c:strRef>
          </c:tx>
          <c:spPr>
            <a:solidFill>
              <a:schemeClr val="accent5"/>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Samlet'!$M$6:$M$11</c:f>
              <c:numCache>
                <c:formatCode>#,##0_);\-#,##0_);\-_);@</c:formatCode>
                <c:ptCount val="6"/>
                <c:pt idx="1">
                  <c:v>161.63066698314742</c:v>
                </c:pt>
                <c:pt idx="2">
                  <c:v>140.55397590782428</c:v>
                </c:pt>
                <c:pt idx="3">
                  <c:v>102.05706833181836</c:v>
                </c:pt>
                <c:pt idx="4">
                  <c:v>100.54509668213068</c:v>
                </c:pt>
                <c:pt idx="5">
                  <c:v>98.683985643479744</c:v>
                </c:pt>
              </c:numCache>
            </c:numRef>
          </c:val>
          <c:extLst>
            <c:ext xmlns:c16="http://schemas.microsoft.com/office/drawing/2014/chart" uri="{C3380CC4-5D6E-409C-BE32-E72D297353CC}">
              <c16:uniqueId val="{00000004-65D1-493B-BBBF-8E028718D0B1}"/>
            </c:ext>
          </c:extLst>
        </c:ser>
        <c:ser>
          <c:idx val="5"/>
          <c:order val="5"/>
          <c:tx>
            <c:strRef>
              <c:f>'Bane Samlet'!$N$5</c:f>
              <c:strCache>
                <c:ptCount val="1"/>
                <c:pt idx="0">
                  <c:v>FC 2024</c:v>
                </c:pt>
              </c:strCache>
            </c:strRef>
          </c:tx>
          <c:spPr>
            <a:solidFill>
              <a:schemeClr val="accent6"/>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Samlet'!$N$6:$N$11</c:f>
              <c:numCache>
                <c:formatCode>#,##0_);\-#,##0_);\-_);@</c:formatCode>
                <c:ptCount val="6"/>
                <c:pt idx="1">
                  <c:v>170.46793258960361</c:v>
                </c:pt>
                <c:pt idx="2">
                  <c:v>141.62844938284547</c:v>
                </c:pt>
                <c:pt idx="3">
                  <c:v>104.62790973402363</c:v>
                </c:pt>
                <c:pt idx="4">
                  <c:v>89.338809489465262</c:v>
                </c:pt>
                <c:pt idx="5">
                  <c:v>98.487921755029774</c:v>
                </c:pt>
              </c:numCache>
            </c:numRef>
          </c:val>
          <c:extLst>
            <c:ext xmlns:c16="http://schemas.microsoft.com/office/drawing/2014/chart" uri="{C3380CC4-5D6E-409C-BE32-E72D297353CC}">
              <c16:uniqueId val="{00000005-65D1-493B-BBBF-8E028718D0B1}"/>
            </c:ext>
          </c:extLst>
        </c:ser>
        <c:ser>
          <c:idx val="6"/>
          <c:order val="6"/>
          <c:tx>
            <c:strRef>
              <c:f>'Bane Samlet'!$O$5</c:f>
              <c:strCache>
                <c:ptCount val="1"/>
                <c:pt idx="0">
                  <c:v>B2025</c:v>
                </c:pt>
              </c:strCache>
            </c:strRef>
          </c:tx>
          <c:spPr>
            <a:solidFill>
              <a:schemeClr val="accent1">
                <a:lumMod val="60000"/>
              </a:schemeClr>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Samlet'!$O$6:$O$11</c:f>
              <c:numCache>
                <c:formatCode>#,##0_);\-#,##0_);\-_);@</c:formatCode>
                <c:ptCount val="6"/>
                <c:pt idx="1">
                  <c:v>173.4630904343698</c:v>
                </c:pt>
                <c:pt idx="2">
                  <c:v>140.61165124872247</c:v>
                </c:pt>
                <c:pt idx="3">
                  <c:v>107.48593710890673</c:v>
                </c:pt>
                <c:pt idx="4">
                  <c:v>97.685665407867916</c:v>
                </c:pt>
                <c:pt idx="5">
                  <c:v>101.84067874222436</c:v>
                </c:pt>
              </c:numCache>
            </c:numRef>
          </c:val>
          <c:extLst>
            <c:ext xmlns:c16="http://schemas.microsoft.com/office/drawing/2014/chart" uri="{C3380CC4-5D6E-409C-BE32-E72D297353CC}">
              <c16:uniqueId val="{00000000-4EB5-4053-851B-E7D19EF93C2A}"/>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At val="100"/>
        <c:auto val="1"/>
        <c:lblAlgn val="ctr"/>
        <c:lblOffset val="100"/>
        <c:noMultiLvlLbl val="0"/>
      </c:catAx>
      <c:valAx>
        <c:axId val="222894479"/>
        <c:scaling>
          <c:orientation val="minMax"/>
          <c:max val="135"/>
          <c:min val="80"/>
        </c:scaling>
        <c:delete val="0"/>
        <c:axPos val="l"/>
        <c:majorGridlines>
          <c:spPr>
            <a:ln w="9525" cap="flat" cmpd="sng" algn="ctr">
              <a:solidFill>
                <a:schemeClr val="tx1">
                  <a:lumMod val="15000"/>
                  <a:lumOff val="85000"/>
                </a:schemeClr>
              </a:solidFill>
              <a:round/>
            </a:ln>
            <a:effectLst/>
          </c:spPr>
        </c:majorGridlines>
        <c:numFmt formatCode="#,##0_);\-#,##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Passagerindeks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'Bane Samlet'!$W$5</c:f>
              <c:strCache>
                <c:ptCount val="1"/>
                <c:pt idx="0">
                  <c:v>R 2019</c:v>
                </c:pt>
              </c:strCache>
            </c:strRef>
          </c:tx>
          <c:spPr>
            <a:solidFill>
              <a:schemeClr val="accent1"/>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Samlet'!$W$7:$W$11</c:f>
              <c:numCache>
                <c:formatCode>#,##0_);\-#,##0_);\-_);@</c:formatCode>
                <c:ptCount val="5"/>
                <c:pt idx="1">
                  <c:v>100</c:v>
                </c:pt>
                <c:pt idx="2">
                  <c:v>100</c:v>
                </c:pt>
                <c:pt idx="3">
                  <c:v>100</c:v>
                </c:pt>
                <c:pt idx="4">
                  <c:v>100</c:v>
                </c:pt>
              </c:numCache>
            </c:numRef>
          </c:val>
          <c:extLst>
            <c:ext xmlns:c16="http://schemas.microsoft.com/office/drawing/2014/chart" uri="{C3380CC4-5D6E-409C-BE32-E72D297353CC}">
              <c16:uniqueId val="{00000000-811B-4FB9-AC78-3A5F5F74EDB4}"/>
            </c:ext>
          </c:extLst>
        </c:ser>
        <c:ser>
          <c:idx val="1"/>
          <c:order val="1"/>
          <c:tx>
            <c:strRef>
              <c:f>'Bane Samlet'!$X$5</c:f>
              <c:strCache>
                <c:ptCount val="1"/>
                <c:pt idx="0">
                  <c:v>R 2020</c:v>
                </c:pt>
              </c:strCache>
            </c:strRef>
          </c:tx>
          <c:spPr>
            <a:solidFill>
              <a:schemeClr val="accent2"/>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Samlet'!$X$7:$X$11</c:f>
              <c:numCache>
                <c:formatCode>#,##0_);\-#,##0_);\-_);@</c:formatCode>
                <c:ptCount val="5"/>
                <c:pt idx="1">
                  <c:v>75.173681723958168</c:v>
                </c:pt>
                <c:pt idx="2">
                  <c:v>78.84828692284988</c:v>
                </c:pt>
                <c:pt idx="3">
                  <c:v>62.886156586067543</c:v>
                </c:pt>
                <c:pt idx="4">
                  <c:v>72.684308725383303</c:v>
                </c:pt>
              </c:numCache>
            </c:numRef>
          </c:val>
          <c:extLst>
            <c:ext xmlns:c16="http://schemas.microsoft.com/office/drawing/2014/chart" uri="{C3380CC4-5D6E-409C-BE32-E72D297353CC}">
              <c16:uniqueId val="{00000001-811B-4FB9-AC78-3A5F5F74EDB4}"/>
            </c:ext>
          </c:extLst>
        </c:ser>
        <c:ser>
          <c:idx val="2"/>
          <c:order val="2"/>
          <c:tx>
            <c:strRef>
              <c:f>'Bane Samlet'!$Y$5</c:f>
              <c:strCache>
                <c:ptCount val="1"/>
                <c:pt idx="0">
                  <c:v>R 2021</c:v>
                </c:pt>
              </c:strCache>
            </c:strRef>
          </c:tx>
          <c:spPr>
            <a:solidFill>
              <a:schemeClr val="accent3"/>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Samlet'!$Y$7:$Y$11</c:f>
              <c:numCache>
                <c:formatCode>#,##0_);\-#,##0_);\-_);@</c:formatCode>
                <c:ptCount val="5"/>
                <c:pt idx="1">
                  <c:v>86.617359044761017</c:v>
                </c:pt>
                <c:pt idx="2">
                  <c:v>81.380436002089908</c:v>
                </c:pt>
                <c:pt idx="3">
                  <c:v>72.619485923693404</c:v>
                </c:pt>
                <c:pt idx="4">
                  <c:v>59.824096418519147</c:v>
                </c:pt>
              </c:numCache>
            </c:numRef>
          </c:val>
          <c:extLst>
            <c:ext xmlns:c16="http://schemas.microsoft.com/office/drawing/2014/chart" uri="{C3380CC4-5D6E-409C-BE32-E72D297353CC}">
              <c16:uniqueId val="{00000002-811B-4FB9-AC78-3A5F5F74EDB4}"/>
            </c:ext>
          </c:extLst>
        </c:ser>
        <c:ser>
          <c:idx val="3"/>
          <c:order val="3"/>
          <c:tx>
            <c:strRef>
              <c:f>'Bane Samlet'!$Z$5</c:f>
              <c:strCache>
                <c:ptCount val="1"/>
                <c:pt idx="0">
                  <c:v>R 2022</c:v>
                </c:pt>
              </c:strCache>
            </c:strRef>
          </c:tx>
          <c:spPr>
            <a:solidFill>
              <a:schemeClr val="accent4"/>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Samlet'!$Z$7:$Z$11</c:f>
              <c:numCache>
                <c:formatCode>#,##0_);\-#,##0_);\-_);@</c:formatCode>
                <c:ptCount val="5"/>
                <c:pt idx="0">
                  <c:v>100</c:v>
                </c:pt>
                <c:pt idx="1">
                  <c:v>118.38779446699819</c:v>
                </c:pt>
                <c:pt idx="2">
                  <c:v>99.449027644196775</c:v>
                </c:pt>
                <c:pt idx="3">
                  <c:v>99.921941000525152</c:v>
                </c:pt>
                <c:pt idx="4">
                  <c:v>82.324792095287194</c:v>
                </c:pt>
              </c:numCache>
            </c:numRef>
          </c:val>
          <c:extLst>
            <c:ext xmlns:c16="http://schemas.microsoft.com/office/drawing/2014/chart" uri="{C3380CC4-5D6E-409C-BE32-E72D297353CC}">
              <c16:uniqueId val="{00000003-811B-4FB9-AC78-3A5F5F74EDB4}"/>
            </c:ext>
          </c:extLst>
        </c:ser>
        <c:ser>
          <c:idx val="4"/>
          <c:order val="4"/>
          <c:tx>
            <c:strRef>
              <c:f>'Bane Samlet'!$AA$5</c:f>
              <c:strCache>
                <c:ptCount val="1"/>
                <c:pt idx="0">
                  <c:v>R 2023</c:v>
                </c:pt>
              </c:strCache>
            </c:strRef>
          </c:tx>
          <c:spPr>
            <a:solidFill>
              <a:schemeClr val="accent5"/>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Samlet'!$AA$7:$AA$11</c:f>
              <c:numCache>
                <c:formatCode>#,##0_);\-#,##0_);\-_);@</c:formatCode>
                <c:ptCount val="5"/>
                <c:pt idx="0">
                  <c:v>177.2117144600366</c:v>
                </c:pt>
                <c:pt idx="1">
                  <c:v>123.65245141980827</c:v>
                </c:pt>
                <c:pt idx="2">
                  <c:v>102.89926953178599</c:v>
                </c:pt>
                <c:pt idx="3">
                  <c:v>105.43205727561249</c:v>
                </c:pt>
                <c:pt idx="4">
                  <c:v>84.920920939186445</c:v>
                </c:pt>
              </c:numCache>
            </c:numRef>
          </c:val>
          <c:extLst>
            <c:ext xmlns:c16="http://schemas.microsoft.com/office/drawing/2014/chart" uri="{C3380CC4-5D6E-409C-BE32-E72D297353CC}">
              <c16:uniqueId val="{0000001C-658F-4866-AB2D-3DB1A80B2BFA}"/>
            </c:ext>
          </c:extLst>
        </c:ser>
        <c:ser>
          <c:idx val="5"/>
          <c:order val="5"/>
          <c:tx>
            <c:strRef>
              <c:f>'Bane Samlet'!$AB$5</c:f>
              <c:strCache>
                <c:ptCount val="1"/>
                <c:pt idx="0">
                  <c:v>FC 2024</c:v>
                </c:pt>
              </c:strCache>
            </c:strRef>
          </c:tx>
          <c:spPr>
            <a:solidFill>
              <a:schemeClr val="accent6"/>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Samlet'!$AB$7:$AB$11</c:f>
              <c:numCache>
                <c:formatCode>#,##0_);\-#,##0_);\-_);@</c:formatCode>
                <c:ptCount val="5"/>
                <c:pt idx="0">
                  <c:v>211.6229408175717</c:v>
                </c:pt>
                <c:pt idx="1">
                  <c:v>123.65245141980827</c:v>
                </c:pt>
                <c:pt idx="2">
                  <c:v>103.57018520346915</c:v>
                </c:pt>
                <c:pt idx="3">
                  <c:v>0</c:v>
                </c:pt>
                <c:pt idx="4">
                  <c:v>79.603669523883383</c:v>
                </c:pt>
              </c:numCache>
            </c:numRef>
          </c:val>
          <c:extLst>
            <c:ext xmlns:c16="http://schemas.microsoft.com/office/drawing/2014/chart" uri="{C3380CC4-5D6E-409C-BE32-E72D297353CC}">
              <c16:uniqueId val="{0000001D-658F-4866-AB2D-3DB1A80B2BFA}"/>
            </c:ext>
          </c:extLst>
        </c:ser>
        <c:ser>
          <c:idx val="6"/>
          <c:order val="6"/>
          <c:tx>
            <c:strRef>
              <c:f>'Bane Samlet'!$AC$5</c:f>
              <c:strCache>
                <c:ptCount val="1"/>
                <c:pt idx="0">
                  <c:v>B2025</c:v>
                </c:pt>
              </c:strCache>
            </c:strRef>
          </c:tx>
          <c:spPr>
            <a:solidFill>
              <a:schemeClr val="accent1">
                <a:lumMod val="60000"/>
              </a:schemeClr>
            </a:solidFill>
            <a:ln>
              <a:noFill/>
            </a:ln>
            <a:effectLst/>
          </c:spPr>
          <c:invertIfNegative val="0"/>
          <c:cat>
            <c:strRef>
              <c:f>'Bane Samlet'!$A$7:$A$11</c:f>
              <c:strCache>
                <c:ptCount val="5"/>
                <c:pt idx="0">
                  <c:v>Fynbus</c:v>
                </c:pt>
                <c:pt idx="1">
                  <c:v>Midttrafik</c:v>
                </c:pt>
                <c:pt idx="2">
                  <c:v>Movia</c:v>
                </c:pt>
                <c:pt idx="3">
                  <c:v>NT</c:v>
                </c:pt>
                <c:pt idx="4">
                  <c:v>Sydtrafik</c:v>
                </c:pt>
              </c:strCache>
            </c:strRef>
          </c:cat>
          <c:val>
            <c:numRef>
              <c:f>'Bane Samlet'!$AC$7:$AC$11</c:f>
              <c:numCache>
                <c:formatCode>#,##0_);\-#,##0_);\-_);@</c:formatCode>
                <c:ptCount val="5"/>
                <c:pt idx="0">
                  <c:v>216.59548505186089</c:v>
                </c:pt>
                <c:pt idx="1">
                  <c:v>136.20445976438512</c:v>
                </c:pt>
                <c:pt idx="2">
                  <c:v>109.16271233596613</c:v>
                </c:pt>
                <c:pt idx="3">
                  <c:v>0</c:v>
                </c:pt>
                <c:pt idx="4">
                  <c:v>79.603669523883383</c:v>
                </c:pt>
              </c:numCache>
            </c:numRef>
          </c:val>
          <c:extLst>
            <c:ext xmlns:c16="http://schemas.microsoft.com/office/drawing/2014/chart" uri="{C3380CC4-5D6E-409C-BE32-E72D297353CC}">
              <c16:uniqueId val="{0000001E-658F-4866-AB2D-3DB1A80B2BFA}"/>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 val="autoZero"/>
        <c:auto val="1"/>
        <c:lblAlgn val="ctr"/>
        <c:lblOffset val="100"/>
        <c:noMultiLvlLbl val="0"/>
      </c:catAx>
      <c:valAx>
        <c:axId val="222894479"/>
        <c:scaling>
          <c:orientation val="minMax"/>
        </c:scaling>
        <c:delete val="0"/>
        <c:axPos val="l"/>
        <c:majorGridlines>
          <c:spPr>
            <a:ln w="9525" cap="flat" cmpd="sng" algn="ctr">
              <a:solidFill>
                <a:schemeClr val="tx1">
                  <a:lumMod val="15000"/>
                  <a:lumOff val="85000"/>
                </a:schemeClr>
              </a:solidFill>
              <a:round/>
            </a:ln>
            <a:effectLst/>
          </c:spPr>
        </c:majorGridlines>
        <c:numFmt formatCode="#,##0_);\-#,##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Køreplantimer - 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'Bane Samlet'!$I$5</c:f>
              <c:strCache>
                <c:ptCount val="1"/>
                <c:pt idx="0">
                  <c:v>R 2019</c:v>
                </c:pt>
              </c:strCache>
            </c:strRef>
          </c:tx>
          <c:spPr>
            <a:solidFill>
              <a:schemeClr val="accent1"/>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Samlet'!$I$6:$I$11</c:f>
              <c:numCache>
                <c:formatCode>#,##0_);\-#,##0_);\-_);@</c:formatCode>
                <c:ptCount val="6"/>
                <c:pt idx="2">
                  <c:v>100</c:v>
                </c:pt>
                <c:pt idx="3">
                  <c:v>100</c:v>
                </c:pt>
                <c:pt idx="4">
                  <c:v>100</c:v>
                </c:pt>
                <c:pt idx="5">
                  <c:v>100</c:v>
                </c:pt>
              </c:numCache>
            </c:numRef>
          </c:val>
          <c:extLst>
            <c:ext xmlns:c16="http://schemas.microsoft.com/office/drawing/2014/chart" uri="{C3380CC4-5D6E-409C-BE32-E72D297353CC}">
              <c16:uniqueId val="{00000000-D829-4D1A-BCA3-F03817DF87F8}"/>
            </c:ext>
          </c:extLst>
        </c:ser>
        <c:ser>
          <c:idx val="1"/>
          <c:order val="1"/>
          <c:tx>
            <c:strRef>
              <c:f>'Bane Samlet'!$J$5</c:f>
              <c:strCache>
                <c:ptCount val="1"/>
                <c:pt idx="0">
                  <c:v>R 2020</c:v>
                </c:pt>
              </c:strCache>
            </c:strRef>
          </c:tx>
          <c:spPr>
            <a:solidFill>
              <a:schemeClr val="accent2"/>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Samlet'!$J$6:$J$11</c:f>
              <c:numCache>
                <c:formatCode>#,##0_);\-#,##0_);\-_);@</c:formatCode>
                <c:ptCount val="6"/>
                <c:pt idx="2">
                  <c:v>112.62742734348386</c:v>
                </c:pt>
                <c:pt idx="3">
                  <c:v>99.838622561224625</c:v>
                </c:pt>
                <c:pt idx="4">
                  <c:v>97.360019481709173</c:v>
                </c:pt>
                <c:pt idx="5">
                  <c:v>98.307981541616812</c:v>
                </c:pt>
              </c:numCache>
            </c:numRef>
          </c:val>
          <c:extLst>
            <c:ext xmlns:c16="http://schemas.microsoft.com/office/drawing/2014/chart" uri="{C3380CC4-5D6E-409C-BE32-E72D297353CC}">
              <c16:uniqueId val="{00000001-D829-4D1A-BCA3-F03817DF87F8}"/>
            </c:ext>
          </c:extLst>
        </c:ser>
        <c:ser>
          <c:idx val="2"/>
          <c:order val="2"/>
          <c:tx>
            <c:strRef>
              <c:f>'Bane Samlet'!$K$5</c:f>
              <c:strCache>
                <c:ptCount val="1"/>
                <c:pt idx="0">
                  <c:v>R 2021</c:v>
                </c:pt>
              </c:strCache>
            </c:strRef>
          </c:tx>
          <c:spPr>
            <a:solidFill>
              <a:schemeClr val="accent3"/>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Samlet'!$K$6:$K$11</c:f>
              <c:numCache>
                <c:formatCode>#,##0_);\-#,##0_);\-_);@</c:formatCode>
                <c:ptCount val="6"/>
                <c:pt idx="2">
                  <c:v>125.21816609449934</c:v>
                </c:pt>
                <c:pt idx="3">
                  <c:v>104.17539422202901</c:v>
                </c:pt>
                <c:pt idx="4">
                  <c:v>97.579833260099107</c:v>
                </c:pt>
                <c:pt idx="5">
                  <c:v>98.1474961545035</c:v>
                </c:pt>
              </c:numCache>
            </c:numRef>
          </c:val>
          <c:extLst>
            <c:ext xmlns:c16="http://schemas.microsoft.com/office/drawing/2014/chart" uri="{C3380CC4-5D6E-409C-BE32-E72D297353CC}">
              <c16:uniqueId val="{00000002-D829-4D1A-BCA3-F03817DF87F8}"/>
            </c:ext>
          </c:extLst>
        </c:ser>
        <c:ser>
          <c:idx val="3"/>
          <c:order val="3"/>
          <c:tx>
            <c:strRef>
              <c:f>'Bane Samlet'!$L$5</c:f>
              <c:strCache>
                <c:ptCount val="1"/>
                <c:pt idx="0">
                  <c:v>R 2022</c:v>
                </c:pt>
              </c:strCache>
            </c:strRef>
          </c:tx>
          <c:spPr>
            <a:solidFill>
              <a:schemeClr val="accent4"/>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Samlet'!$L$6:$L$11</c:f>
              <c:numCache>
                <c:formatCode>#,##0_);\-#,##0_);\-_);@</c:formatCode>
                <c:ptCount val="6"/>
                <c:pt idx="1">
                  <c:v>100</c:v>
                </c:pt>
                <c:pt idx="2">
                  <c:v>127.41293010823134</c:v>
                </c:pt>
                <c:pt idx="3">
                  <c:v>103.28287818308763</c:v>
                </c:pt>
                <c:pt idx="4">
                  <c:v>100.54509668213068</c:v>
                </c:pt>
                <c:pt idx="5">
                  <c:v>99.948726713382328</c:v>
                </c:pt>
              </c:numCache>
            </c:numRef>
          </c:val>
          <c:extLst>
            <c:ext xmlns:c16="http://schemas.microsoft.com/office/drawing/2014/chart" uri="{C3380CC4-5D6E-409C-BE32-E72D297353CC}">
              <c16:uniqueId val="{00000003-D829-4D1A-BCA3-F03817DF87F8}"/>
            </c:ext>
          </c:extLst>
        </c:ser>
        <c:ser>
          <c:idx val="4"/>
          <c:order val="4"/>
          <c:tx>
            <c:strRef>
              <c:f>'Bane Samlet'!$M$5</c:f>
              <c:strCache>
                <c:ptCount val="1"/>
                <c:pt idx="0">
                  <c:v>R 2023</c:v>
                </c:pt>
              </c:strCache>
            </c:strRef>
          </c:tx>
          <c:spPr>
            <a:solidFill>
              <a:schemeClr val="accent5"/>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Samlet'!$M$6:$M$11</c:f>
              <c:numCache>
                <c:formatCode>#,##0_);\-#,##0_);\-_);@</c:formatCode>
                <c:ptCount val="6"/>
                <c:pt idx="1">
                  <c:v>161.63066698314742</c:v>
                </c:pt>
                <c:pt idx="2">
                  <c:v>140.55397590782428</c:v>
                </c:pt>
                <c:pt idx="3">
                  <c:v>102.05706833181836</c:v>
                </c:pt>
                <c:pt idx="4">
                  <c:v>100.54509668213068</c:v>
                </c:pt>
                <c:pt idx="5">
                  <c:v>98.683985643479744</c:v>
                </c:pt>
              </c:numCache>
            </c:numRef>
          </c:val>
          <c:extLst>
            <c:ext xmlns:c16="http://schemas.microsoft.com/office/drawing/2014/chart" uri="{C3380CC4-5D6E-409C-BE32-E72D297353CC}">
              <c16:uniqueId val="{00000004-D829-4D1A-BCA3-F03817DF87F8}"/>
            </c:ext>
          </c:extLst>
        </c:ser>
        <c:ser>
          <c:idx val="5"/>
          <c:order val="5"/>
          <c:tx>
            <c:strRef>
              <c:f>'Bane Samlet'!$N$5</c:f>
              <c:strCache>
                <c:ptCount val="1"/>
                <c:pt idx="0">
                  <c:v>FC 2024</c:v>
                </c:pt>
              </c:strCache>
            </c:strRef>
          </c:tx>
          <c:spPr>
            <a:solidFill>
              <a:schemeClr val="accent6"/>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Samlet'!$N$6:$N$11</c:f>
              <c:numCache>
                <c:formatCode>#,##0_);\-#,##0_);\-_);@</c:formatCode>
                <c:ptCount val="6"/>
                <c:pt idx="1">
                  <c:v>170.46793258960361</c:v>
                </c:pt>
                <c:pt idx="2">
                  <c:v>141.62844938284547</c:v>
                </c:pt>
                <c:pt idx="3">
                  <c:v>104.62790973402363</c:v>
                </c:pt>
                <c:pt idx="4">
                  <c:v>89.338809489465262</c:v>
                </c:pt>
                <c:pt idx="5">
                  <c:v>98.487921755029774</c:v>
                </c:pt>
              </c:numCache>
            </c:numRef>
          </c:val>
          <c:extLst>
            <c:ext xmlns:c16="http://schemas.microsoft.com/office/drawing/2014/chart" uri="{C3380CC4-5D6E-409C-BE32-E72D297353CC}">
              <c16:uniqueId val="{00000005-D829-4D1A-BCA3-F03817DF87F8}"/>
            </c:ext>
          </c:extLst>
        </c:ser>
        <c:ser>
          <c:idx val="6"/>
          <c:order val="6"/>
          <c:tx>
            <c:strRef>
              <c:f>'Bane Samlet'!$O$5</c:f>
              <c:strCache>
                <c:ptCount val="1"/>
                <c:pt idx="0">
                  <c:v>B2025</c:v>
                </c:pt>
              </c:strCache>
            </c:strRef>
          </c:tx>
          <c:spPr>
            <a:solidFill>
              <a:schemeClr val="accent1">
                <a:lumMod val="60000"/>
              </a:schemeClr>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Samlet'!$O$6:$O$11</c:f>
              <c:numCache>
                <c:formatCode>#,##0_);\-#,##0_);\-_);@</c:formatCode>
                <c:ptCount val="6"/>
                <c:pt idx="1">
                  <c:v>173.4630904343698</c:v>
                </c:pt>
                <c:pt idx="2">
                  <c:v>140.61165124872247</c:v>
                </c:pt>
                <c:pt idx="3">
                  <c:v>107.48593710890673</c:v>
                </c:pt>
                <c:pt idx="4">
                  <c:v>97.685665407867916</c:v>
                </c:pt>
                <c:pt idx="5">
                  <c:v>101.84067874222436</c:v>
                </c:pt>
              </c:numCache>
            </c:numRef>
          </c:val>
          <c:extLst>
            <c:ext xmlns:c16="http://schemas.microsoft.com/office/drawing/2014/chart" uri="{C3380CC4-5D6E-409C-BE32-E72D297353CC}">
              <c16:uniqueId val="{00000000-FB0A-4CC6-83D9-F997124612E0}"/>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 val="autoZero"/>
        <c:auto val="1"/>
        <c:lblAlgn val="ctr"/>
        <c:lblOffset val="100"/>
        <c:noMultiLvlLbl val="0"/>
      </c:catAx>
      <c:valAx>
        <c:axId val="222894479"/>
        <c:scaling>
          <c:orientation val="minMax"/>
          <c:max val="220"/>
          <c:min val="80"/>
        </c:scaling>
        <c:delete val="0"/>
        <c:axPos val="l"/>
        <c:majorGridlines>
          <c:spPr>
            <a:ln w="0" cap="flat" cmpd="sng" algn="ctr">
              <a:solidFill>
                <a:schemeClr val="tx1">
                  <a:lumMod val="15000"/>
                  <a:lumOff val="85000"/>
                </a:schemeClr>
              </a:solidFill>
              <a:round/>
            </a:ln>
            <a:effectLst/>
          </c:spPr>
        </c:majorGridlines>
        <c:numFmt formatCode="#,##0_);\-#,##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solidFill>
            <a:schemeClr val="accent1"/>
          </a:solid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Operatørudgift pr. køreplantime - 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'Bane Samlet'!$AY$5</c:f>
              <c:strCache>
                <c:ptCount val="1"/>
                <c:pt idx="0">
                  <c:v>R 2019</c:v>
                </c:pt>
              </c:strCache>
            </c:strRef>
          </c:tx>
          <c:spPr>
            <a:solidFill>
              <a:schemeClr val="accent1"/>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Samlet'!$AY$6:$AY$11</c:f>
              <c:numCache>
                <c:formatCode>#,##0_);\-#,##0_);\-_);@</c:formatCode>
                <c:ptCount val="6"/>
                <c:pt idx="2">
                  <c:v>100</c:v>
                </c:pt>
                <c:pt idx="3">
                  <c:v>100</c:v>
                </c:pt>
                <c:pt idx="4">
                  <c:v>100</c:v>
                </c:pt>
                <c:pt idx="5">
                  <c:v>100</c:v>
                </c:pt>
              </c:numCache>
            </c:numRef>
          </c:val>
          <c:extLst>
            <c:ext xmlns:c16="http://schemas.microsoft.com/office/drawing/2014/chart" uri="{C3380CC4-5D6E-409C-BE32-E72D297353CC}">
              <c16:uniqueId val="{00000000-BAC0-4CAD-9C13-2381C959362E}"/>
            </c:ext>
          </c:extLst>
        </c:ser>
        <c:ser>
          <c:idx val="1"/>
          <c:order val="1"/>
          <c:tx>
            <c:strRef>
              <c:f>'Bane Samlet'!$AZ$5</c:f>
              <c:strCache>
                <c:ptCount val="1"/>
                <c:pt idx="0">
                  <c:v>R 2020</c:v>
                </c:pt>
              </c:strCache>
            </c:strRef>
          </c:tx>
          <c:spPr>
            <a:solidFill>
              <a:schemeClr val="accent2"/>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Samlet'!$AZ$6:$AZ$11</c:f>
              <c:numCache>
                <c:formatCode>#,##0_);\-#,##0_);\-_);@</c:formatCode>
                <c:ptCount val="6"/>
                <c:pt idx="2">
                  <c:v>92.07798207639317</c:v>
                </c:pt>
                <c:pt idx="3">
                  <c:v>102.47040348069143</c:v>
                </c:pt>
                <c:pt idx="4">
                  <c:v>104.48076972098066</c:v>
                </c:pt>
                <c:pt idx="5">
                  <c:v>98.330435790449712</c:v>
                </c:pt>
              </c:numCache>
            </c:numRef>
          </c:val>
          <c:extLst>
            <c:ext xmlns:c16="http://schemas.microsoft.com/office/drawing/2014/chart" uri="{C3380CC4-5D6E-409C-BE32-E72D297353CC}">
              <c16:uniqueId val="{00000001-BAC0-4CAD-9C13-2381C959362E}"/>
            </c:ext>
          </c:extLst>
        </c:ser>
        <c:ser>
          <c:idx val="2"/>
          <c:order val="2"/>
          <c:tx>
            <c:strRef>
              <c:f>'Bane Samlet'!$BA$5</c:f>
              <c:strCache>
                <c:ptCount val="1"/>
                <c:pt idx="0">
                  <c:v>R 2021</c:v>
                </c:pt>
              </c:strCache>
            </c:strRef>
          </c:tx>
          <c:spPr>
            <a:solidFill>
              <a:schemeClr val="accent3"/>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Samlet'!$BA$6:$BA$11</c:f>
              <c:numCache>
                <c:formatCode>#,##0_);\-#,##0_);\-_);@</c:formatCode>
                <c:ptCount val="6"/>
                <c:pt idx="2">
                  <c:v>95.533922206543764</c:v>
                </c:pt>
                <c:pt idx="3">
                  <c:v>102.13939241136009</c:v>
                </c:pt>
                <c:pt idx="4">
                  <c:v>111.17040886520533</c:v>
                </c:pt>
                <c:pt idx="5">
                  <c:v>30.000199289947332</c:v>
                </c:pt>
              </c:numCache>
            </c:numRef>
          </c:val>
          <c:extLst>
            <c:ext xmlns:c16="http://schemas.microsoft.com/office/drawing/2014/chart" uri="{C3380CC4-5D6E-409C-BE32-E72D297353CC}">
              <c16:uniqueId val="{00000002-BAC0-4CAD-9C13-2381C959362E}"/>
            </c:ext>
          </c:extLst>
        </c:ser>
        <c:ser>
          <c:idx val="3"/>
          <c:order val="3"/>
          <c:tx>
            <c:strRef>
              <c:f>'Bane Samlet'!$BB$5</c:f>
              <c:strCache>
                <c:ptCount val="1"/>
                <c:pt idx="0">
                  <c:v>R 2022</c:v>
                </c:pt>
              </c:strCache>
            </c:strRef>
          </c:tx>
          <c:spPr>
            <a:solidFill>
              <a:schemeClr val="accent4"/>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Samlet'!$BB$6:$BB$11</c:f>
              <c:numCache>
                <c:formatCode>#,##0_);\-#,##0_);\-_);@</c:formatCode>
                <c:ptCount val="6"/>
                <c:pt idx="1">
                  <c:v>0</c:v>
                </c:pt>
                <c:pt idx="2">
                  <c:v>96.968957826544667</c:v>
                </c:pt>
                <c:pt idx="3">
                  <c:v>108.70519227068228</c:v>
                </c:pt>
                <c:pt idx="4">
                  <c:v>117.95217481060911</c:v>
                </c:pt>
                <c:pt idx="5">
                  <c:v>27.79202766377869</c:v>
                </c:pt>
              </c:numCache>
            </c:numRef>
          </c:val>
          <c:extLst>
            <c:ext xmlns:c16="http://schemas.microsoft.com/office/drawing/2014/chart" uri="{C3380CC4-5D6E-409C-BE32-E72D297353CC}">
              <c16:uniqueId val="{00000003-BAC0-4CAD-9C13-2381C959362E}"/>
            </c:ext>
          </c:extLst>
        </c:ser>
        <c:ser>
          <c:idx val="4"/>
          <c:order val="4"/>
          <c:tx>
            <c:strRef>
              <c:f>'Bane Samlet'!$BC$5</c:f>
              <c:strCache>
                <c:ptCount val="1"/>
                <c:pt idx="0">
                  <c:v>R 2023</c:v>
                </c:pt>
              </c:strCache>
            </c:strRef>
          </c:tx>
          <c:spPr>
            <a:solidFill>
              <a:schemeClr val="accent5"/>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Samlet'!$BC$6:$BC$11</c:f>
              <c:numCache>
                <c:formatCode>#,##0_);\-#,##0_);\-_);@</c:formatCode>
                <c:ptCount val="6"/>
                <c:pt idx="1">
                  <c:v>0</c:v>
                </c:pt>
                <c:pt idx="2">
                  <c:v>95.523911749134271</c:v>
                </c:pt>
                <c:pt idx="3">
                  <c:v>114.89281201660432</c:v>
                </c:pt>
                <c:pt idx="4">
                  <c:v>116.90379461975884</c:v>
                </c:pt>
                <c:pt idx="5">
                  <c:v>30.400069276065118</c:v>
                </c:pt>
              </c:numCache>
            </c:numRef>
          </c:val>
          <c:extLst>
            <c:ext xmlns:c16="http://schemas.microsoft.com/office/drawing/2014/chart" uri="{C3380CC4-5D6E-409C-BE32-E72D297353CC}">
              <c16:uniqueId val="{00000004-BAC0-4CAD-9C13-2381C959362E}"/>
            </c:ext>
          </c:extLst>
        </c:ser>
        <c:ser>
          <c:idx val="5"/>
          <c:order val="5"/>
          <c:tx>
            <c:strRef>
              <c:f>'Bane Samlet'!$BD$5</c:f>
              <c:strCache>
                <c:ptCount val="1"/>
                <c:pt idx="0">
                  <c:v>FC 2024</c:v>
                </c:pt>
              </c:strCache>
            </c:strRef>
          </c:tx>
          <c:spPr>
            <a:solidFill>
              <a:schemeClr val="accent6"/>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Samlet'!$BD$6:$BD$11</c:f>
              <c:numCache>
                <c:formatCode>#,##0_);\-#,##0_);\-_);@</c:formatCode>
                <c:ptCount val="6"/>
                <c:pt idx="1">
                  <c:v>0</c:v>
                </c:pt>
                <c:pt idx="2">
                  <c:v>105.47060021689344</c:v>
                </c:pt>
                <c:pt idx="3">
                  <c:v>116.07907761854983</c:v>
                </c:pt>
                <c:pt idx="4">
                  <c:v>142.90912156308153</c:v>
                </c:pt>
                <c:pt idx="5">
                  <c:v>29.896502961735727</c:v>
                </c:pt>
              </c:numCache>
            </c:numRef>
          </c:val>
          <c:extLst>
            <c:ext xmlns:c16="http://schemas.microsoft.com/office/drawing/2014/chart" uri="{C3380CC4-5D6E-409C-BE32-E72D297353CC}">
              <c16:uniqueId val="{00000005-BAC0-4CAD-9C13-2381C959362E}"/>
            </c:ext>
          </c:extLst>
        </c:ser>
        <c:ser>
          <c:idx val="6"/>
          <c:order val="6"/>
          <c:tx>
            <c:strRef>
              <c:f>'Bane Samlet'!$BE$5</c:f>
              <c:strCache>
                <c:ptCount val="1"/>
                <c:pt idx="0">
                  <c:v>B2025</c:v>
                </c:pt>
              </c:strCache>
            </c:strRef>
          </c:tx>
          <c:spPr>
            <a:solidFill>
              <a:schemeClr val="accent1">
                <a:lumMod val="60000"/>
              </a:schemeClr>
            </a:solidFill>
            <a:ln>
              <a:noFill/>
            </a:ln>
            <a:effectLst/>
          </c:spPr>
          <c:invertIfNegative val="0"/>
          <c:cat>
            <c:strRef>
              <c:f>'Bane Samlet'!$A$6:$A$11</c:f>
              <c:strCache>
                <c:ptCount val="6"/>
                <c:pt idx="0">
                  <c:v>BAT</c:v>
                </c:pt>
                <c:pt idx="1">
                  <c:v>Fynbus</c:v>
                </c:pt>
                <c:pt idx="2">
                  <c:v>Midttrafik</c:v>
                </c:pt>
                <c:pt idx="3">
                  <c:v>Movia</c:v>
                </c:pt>
                <c:pt idx="4">
                  <c:v>NT</c:v>
                </c:pt>
                <c:pt idx="5">
                  <c:v>Sydtrafik</c:v>
                </c:pt>
              </c:strCache>
            </c:strRef>
          </c:cat>
          <c:val>
            <c:numRef>
              <c:f>'Bane Samlet'!$BE$6:$BE$11</c:f>
              <c:numCache>
                <c:formatCode>#,##0_);\-#,##0_);\-_);@</c:formatCode>
                <c:ptCount val="6"/>
                <c:pt idx="1">
                  <c:v>0</c:v>
                </c:pt>
                <c:pt idx="2">
                  <c:v>111.72443924455141</c:v>
                </c:pt>
                <c:pt idx="3">
                  <c:v>116.924476303139</c:v>
                </c:pt>
                <c:pt idx="4">
                  <c:v>131.35994549877927</c:v>
                </c:pt>
                <c:pt idx="5">
                  <c:v>30.003291349713734</c:v>
                </c:pt>
              </c:numCache>
            </c:numRef>
          </c:val>
          <c:extLst>
            <c:ext xmlns:c16="http://schemas.microsoft.com/office/drawing/2014/chart" uri="{C3380CC4-5D6E-409C-BE32-E72D297353CC}">
              <c16:uniqueId val="{00000000-8C76-40FC-BCE9-756B28C20FB8}"/>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 val="autoZero"/>
        <c:auto val="1"/>
        <c:lblAlgn val="ctr"/>
        <c:lblOffset val="100"/>
        <c:noMultiLvlLbl val="0"/>
      </c:catAx>
      <c:valAx>
        <c:axId val="222894479"/>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0_);\-#,##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701364</xdr:colOff>
      <xdr:row>33</xdr:row>
      <xdr:rowOff>165923</xdr:rowOff>
    </xdr:from>
    <xdr:to>
      <xdr:col>11</xdr:col>
      <xdr:colOff>279564</xdr:colOff>
      <xdr:row>51</xdr:row>
      <xdr:rowOff>144742</xdr:rowOff>
    </xdr:to>
    <xdr:graphicFrame macro="">
      <xdr:nvGraphicFramePr>
        <xdr:cNvPr id="2" name="Diagram 1">
          <a:extLst>
            <a:ext uri="{FF2B5EF4-FFF2-40B4-BE49-F238E27FC236}">
              <a16:creationId xmlns:a16="http://schemas.microsoft.com/office/drawing/2014/main" id="{2093E91D-1608-42F7-9E80-A5E4E149E1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493546</xdr:colOff>
      <xdr:row>88</xdr:row>
      <xdr:rowOff>166730</xdr:rowOff>
    </xdr:from>
    <xdr:to>
      <xdr:col>11</xdr:col>
      <xdr:colOff>26923</xdr:colOff>
      <xdr:row>106</xdr:row>
      <xdr:rowOff>136024</xdr:rowOff>
    </xdr:to>
    <xdr:graphicFrame macro="">
      <xdr:nvGraphicFramePr>
        <xdr:cNvPr id="5" name="Diagram 4">
          <a:extLst>
            <a:ext uri="{FF2B5EF4-FFF2-40B4-BE49-F238E27FC236}">
              <a16:creationId xmlns:a16="http://schemas.microsoft.com/office/drawing/2014/main" id="{11BE6DA6-11C3-4E0D-8901-11B36531E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562819</xdr:colOff>
      <xdr:row>52</xdr:row>
      <xdr:rowOff>12856</xdr:rowOff>
    </xdr:from>
    <xdr:to>
      <xdr:col>11</xdr:col>
      <xdr:colOff>141019</xdr:colOff>
      <xdr:row>69</xdr:row>
      <xdr:rowOff>166537</xdr:rowOff>
    </xdr:to>
    <xdr:graphicFrame macro="">
      <xdr:nvGraphicFramePr>
        <xdr:cNvPr id="6" name="Diagram 5">
          <a:extLst>
            <a:ext uri="{FF2B5EF4-FFF2-40B4-BE49-F238E27FC236}">
              <a16:creationId xmlns:a16="http://schemas.microsoft.com/office/drawing/2014/main" id="{564CF91D-D159-446C-A42D-2BAFB651E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476228</xdr:colOff>
      <xdr:row>70</xdr:row>
      <xdr:rowOff>77541</xdr:rowOff>
    </xdr:from>
    <xdr:to>
      <xdr:col>11</xdr:col>
      <xdr:colOff>54428</xdr:colOff>
      <xdr:row>88</xdr:row>
      <xdr:rowOff>40723</xdr:rowOff>
    </xdr:to>
    <xdr:graphicFrame macro="">
      <xdr:nvGraphicFramePr>
        <xdr:cNvPr id="7" name="Diagram 6">
          <a:extLst>
            <a:ext uri="{FF2B5EF4-FFF2-40B4-BE49-F238E27FC236}">
              <a16:creationId xmlns:a16="http://schemas.microsoft.com/office/drawing/2014/main" id="{D750080D-B037-407A-B5BC-0E594AAD91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11</xdr:col>
      <xdr:colOff>217852</xdr:colOff>
      <xdr:row>52</xdr:row>
      <xdr:rowOff>91655</xdr:rowOff>
    </xdr:from>
    <xdr:to>
      <xdr:col>20</xdr:col>
      <xdr:colOff>2609</xdr:colOff>
      <xdr:row>70</xdr:row>
      <xdr:rowOff>54836</xdr:rowOff>
    </xdr:to>
    <xdr:graphicFrame macro="">
      <xdr:nvGraphicFramePr>
        <xdr:cNvPr id="3" name="Diagram 2">
          <a:extLst>
            <a:ext uri="{FF2B5EF4-FFF2-40B4-BE49-F238E27FC236}">
              <a16:creationId xmlns:a16="http://schemas.microsoft.com/office/drawing/2014/main" id="{D8589471-E8DE-485D-A4CC-AB872C4159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11</xdr:col>
      <xdr:colOff>200533</xdr:colOff>
      <xdr:row>70</xdr:row>
      <xdr:rowOff>112177</xdr:rowOff>
    </xdr:from>
    <xdr:to>
      <xdr:col>19</xdr:col>
      <xdr:colOff>947315</xdr:colOff>
      <xdr:row>88</xdr:row>
      <xdr:rowOff>75359</xdr:rowOff>
    </xdr:to>
    <xdr:graphicFrame macro="">
      <xdr:nvGraphicFramePr>
        <xdr:cNvPr id="8" name="Diagram 7">
          <a:extLst>
            <a:ext uri="{FF2B5EF4-FFF2-40B4-BE49-F238E27FC236}">
              <a16:creationId xmlns:a16="http://schemas.microsoft.com/office/drawing/2014/main" id="{2A533574-28D1-4328-9D1F-784AA4591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148579</xdr:colOff>
      <xdr:row>88</xdr:row>
      <xdr:rowOff>166730</xdr:rowOff>
    </xdr:from>
    <xdr:to>
      <xdr:col>19</xdr:col>
      <xdr:colOff>881042</xdr:colOff>
      <xdr:row>106</xdr:row>
      <xdr:rowOff>147230</xdr:rowOff>
    </xdr:to>
    <xdr:graphicFrame macro="">
      <xdr:nvGraphicFramePr>
        <xdr:cNvPr id="9" name="Diagram 8">
          <a:extLst>
            <a:ext uri="{FF2B5EF4-FFF2-40B4-BE49-F238E27FC236}">
              <a16:creationId xmlns:a16="http://schemas.microsoft.com/office/drawing/2014/main" id="{EC183BF4-6943-4BEC-A96F-155CD302A5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tema">
  <a:themeElements>
    <a:clrScheme name="Movia">
      <a:dk1>
        <a:sysClr val="windowText" lastClr="000000"/>
      </a:dk1>
      <a:lt1>
        <a:sysClr val="window" lastClr="FFFFFF"/>
      </a:lt1>
      <a:dk2>
        <a:srgbClr val="899BBC"/>
      </a:dk2>
      <a:lt2>
        <a:srgbClr val="FFE0A8"/>
      </a:lt2>
      <a:accent1>
        <a:srgbClr val="FFB612"/>
      </a:accent1>
      <a:accent2>
        <a:srgbClr val="BFC3C6"/>
      </a:accent2>
      <a:accent3>
        <a:srgbClr val="00214D"/>
      </a:accent3>
      <a:accent4>
        <a:srgbClr val="BCB295"/>
      </a:accent4>
      <a:accent5>
        <a:srgbClr val="54B948"/>
      </a:accent5>
      <a:accent6>
        <a:srgbClr val="00A5CC"/>
      </a:accent6>
      <a:hlink>
        <a:srgbClr val="00214D"/>
      </a:hlink>
      <a:folHlink>
        <a:srgbClr val="899BBC"/>
      </a:folHlink>
    </a:clrScheme>
    <a:fontScheme name="Movia 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m.dk/nyheder/2022/yderligere-140-millioner-kroner-i-ekstraordinaert-tilskud-til-trafikselskabern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mailto:kn@BAT.dk" TargetMode="External"/><Relationship Id="rId2" Type="http://schemas.openxmlformats.org/officeDocument/2006/relationships/hyperlink" Target="mailto:lli@Midttrafik.dk" TargetMode="External"/><Relationship Id="rId1" Type="http://schemas.openxmlformats.org/officeDocument/2006/relationships/hyperlink" Target="mailto:Gitte.Elton.Nielsen@brk.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A9C21-1AD6-4D40-A78F-CC8A1B838E07}">
  <dimension ref="A2:CZ36"/>
  <sheetViews>
    <sheetView tabSelected="1" zoomScaleNormal="100" workbookViewId="0">
      <pane xSplit="1" ySplit="5" topLeftCell="B63" activePane="bottomRight" state="frozen"/>
      <selection pane="topRight" activeCell="B1" sqref="B1"/>
      <selection pane="bottomLeft" activeCell="A6" sqref="A6"/>
      <selection pane="bottomRight" activeCell="BD18" sqref="BD18"/>
    </sheetView>
  </sheetViews>
  <sheetFormatPr defaultColWidth="9" defaultRowHeight="15.75" x14ac:dyDescent="0.25"/>
  <cols>
    <col min="1" max="1" width="19.25" style="45" customWidth="1"/>
    <col min="2" max="8" width="10.625" style="45" customWidth="1"/>
    <col min="9" max="15" width="8.625" style="45" customWidth="1"/>
    <col min="16" max="22" width="12.625" style="45" customWidth="1"/>
    <col min="23" max="23" width="7.625" style="45" customWidth="1"/>
    <col min="24" max="78" width="8.625" style="45" customWidth="1"/>
    <col min="79" max="85" width="7.625" style="45" customWidth="1"/>
    <col min="86" max="88" width="6.75" style="45" bestFit="1" customWidth="1"/>
    <col min="89" max="89" width="7.75" style="45" bestFit="1" customWidth="1"/>
    <col min="90" max="94" width="6.75" style="45" bestFit="1" customWidth="1"/>
    <col min="95" max="95" width="7.75" style="45" bestFit="1" customWidth="1"/>
    <col min="96" max="100" width="6.75" style="45" bestFit="1" customWidth="1"/>
    <col min="101" max="101" width="7.75" style="45" bestFit="1" customWidth="1"/>
    <col min="102" max="102" width="6.75" style="45" bestFit="1" customWidth="1"/>
    <col min="103" max="104" width="2.25" style="45" bestFit="1" customWidth="1"/>
    <col min="105" max="16384" width="9" style="45"/>
  </cols>
  <sheetData>
    <row r="2" spans="1:104" x14ac:dyDescent="0.25">
      <c r="A2" s="2" t="s">
        <v>133</v>
      </c>
      <c r="B2" s="46"/>
      <c r="C2" s="46"/>
      <c r="D2" s="46"/>
    </row>
    <row r="3" spans="1:104" x14ac:dyDescent="0.25">
      <c r="A3" s="2"/>
      <c r="B3" s="46"/>
      <c r="C3" s="46"/>
      <c r="D3" s="46"/>
    </row>
    <row r="4" spans="1:104" s="48" customFormat="1" ht="40.9" customHeight="1" x14ac:dyDescent="0.25">
      <c r="A4" s="47"/>
      <c r="B4" s="228" t="s">
        <v>1</v>
      </c>
      <c r="C4" s="220"/>
      <c r="D4" s="220"/>
      <c r="E4" s="220"/>
      <c r="F4" s="220"/>
      <c r="G4" s="220"/>
      <c r="H4" s="221"/>
      <c r="I4" s="222" t="s">
        <v>29</v>
      </c>
      <c r="J4" s="223"/>
      <c r="K4" s="223"/>
      <c r="L4" s="223"/>
      <c r="M4" s="223"/>
      <c r="N4" s="223"/>
      <c r="O4" s="224"/>
      <c r="P4" s="228" t="s">
        <v>2</v>
      </c>
      <c r="Q4" s="220"/>
      <c r="R4" s="220"/>
      <c r="S4" s="220"/>
      <c r="T4" s="220"/>
      <c r="U4" s="220"/>
      <c r="V4" s="221"/>
      <c r="W4" s="222" t="s">
        <v>8</v>
      </c>
      <c r="X4" s="223"/>
      <c r="Y4" s="223"/>
      <c r="Z4" s="223"/>
      <c r="AA4" s="223"/>
      <c r="AB4" s="223"/>
      <c r="AC4" s="224"/>
      <c r="AD4" s="228" t="s">
        <v>21</v>
      </c>
      <c r="AE4" s="220"/>
      <c r="AF4" s="220"/>
      <c r="AG4" s="220"/>
      <c r="AH4" s="220"/>
      <c r="AI4" s="220"/>
      <c r="AJ4" s="221"/>
      <c r="AK4" s="216" t="s">
        <v>4</v>
      </c>
      <c r="AL4" s="210"/>
      <c r="AM4" s="210"/>
      <c r="AN4" s="210"/>
      <c r="AO4" s="210"/>
      <c r="AP4" s="210"/>
      <c r="AQ4" s="211"/>
      <c r="AR4" s="212" t="s">
        <v>9</v>
      </c>
      <c r="AS4" s="213"/>
      <c r="AT4" s="213"/>
      <c r="AU4" s="213"/>
      <c r="AV4" s="213"/>
      <c r="AW4" s="213"/>
      <c r="AX4" s="214"/>
      <c r="AY4" s="222" t="s">
        <v>28</v>
      </c>
      <c r="AZ4" s="223"/>
      <c r="BA4" s="223"/>
      <c r="BB4" s="223"/>
      <c r="BC4" s="223"/>
      <c r="BD4" s="223"/>
      <c r="BE4" s="223"/>
      <c r="BF4" s="225" t="s">
        <v>135</v>
      </c>
      <c r="BG4" s="226"/>
      <c r="BH4" s="226"/>
      <c r="BI4" s="226"/>
      <c r="BJ4" s="226"/>
      <c r="BK4" s="226"/>
      <c r="BL4" s="227"/>
      <c r="BM4" s="217" t="s">
        <v>136</v>
      </c>
      <c r="BN4" s="218"/>
      <c r="BO4" s="218"/>
      <c r="BP4" s="218"/>
      <c r="BQ4" s="218"/>
      <c r="BR4" s="218"/>
      <c r="BS4" s="219" t="s">
        <v>6</v>
      </c>
      <c r="BT4" s="220" t="s">
        <v>7</v>
      </c>
      <c r="BU4" s="220"/>
      <c r="BV4" s="220"/>
      <c r="BW4" s="220"/>
      <c r="BX4" s="220"/>
      <c r="BY4" s="220"/>
      <c r="BZ4" s="221"/>
      <c r="CA4" s="207" t="s">
        <v>34</v>
      </c>
      <c r="CB4" s="208"/>
      <c r="CC4" s="208"/>
      <c r="CD4" s="208"/>
      <c r="CE4" s="208"/>
      <c r="CF4" s="208"/>
      <c r="CG4" s="209"/>
    </row>
    <row r="5" spans="1:104" s="75" customFormat="1" x14ac:dyDescent="0.25">
      <c r="A5" s="53"/>
      <c r="B5" s="50" t="s">
        <v>11</v>
      </c>
      <c r="C5" s="52" t="s">
        <v>12</v>
      </c>
      <c r="D5" s="52" t="s">
        <v>13</v>
      </c>
      <c r="E5" s="52" t="s">
        <v>14</v>
      </c>
      <c r="F5" s="10" t="s">
        <v>36</v>
      </c>
      <c r="G5" s="10" t="s">
        <v>64</v>
      </c>
      <c r="H5" s="11" t="s">
        <v>65</v>
      </c>
      <c r="I5" s="54" t="s">
        <v>11</v>
      </c>
      <c r="J5" s="56" t="s">
        <v>12</v>
      </c>
      <c r="K5" s="56" t="s">
        <v>13</v>
      </c>
      <c r="L5" s="56" t="s">
        <v>14</v>
      </c>
      <c r="M5" s="10" t="s">
        <v>36</v>
      </c>
      <c r="N5" s="10" t="s">
        <v>64</v>
      </c>
      <c r="O5" s="11" t="s">
        <v>65</v>
      </c>
      <c r="P5" s="50" t="s">
        <v>11</v>
      </c>
      <c r="Q5" s="52" t="s">
        <v>12</v>
      </c>
      <c r="R5" s="52" t="s">
        <v>13</v>
      </c>
      <c r="S5" s="52" t="s">
        <v>14</v>
      </c>
      <c r="T5" s="10" t="s">
        <v>36</v>
      </c>
      <c r="U5" s="10" t="s">
        <v>64</v>
      </c>
      <c r="V5" s="11" t="s">
        <v>65</v>
      </c>
      <c r="W5" s="54" t="s">
        <v>11</v>
      </c>
      <c r="X5" s="56" t="s">
        <v>12</v>
      </c>
      <c r="Y5" s="56" t="s">
        <v>13</v>
      </c>
      <c r="Z5" s="56" t="s">
        <v>14</v>
      </c>
      <c r="AA5" s="10" t="s">
        <v>36</v>
      </c>
      <c r="AB5" s="10" t="s">
        <v>64</v>
      </c>
      <c r="AC5" s="11" t="s">
        <v>65</v>
      </c>
      <c r="AD5" s="50" t="s">
        <v>11</v>
      </c>
      <c r="AE5" s="52" t="s">
        <v>12</v>
      </c>
      <c r="AF5" s="52" t="s">
        <v>13</v>
      </c>
      <c r="AG5" s="52" t="s">
        <v>14</v>
      </c>
      <c r="AH5" s="10" t="s">
        <v>36</v>
      </c>
      <c r="AI5" s="10" t="s">
        <v>64</v>
      </c>
      <c r="AJ5" s="11" t="s">
        <v>65</v>
      </c>
      <c r="AK5" s="80" t="s">
        <v>11</v>
      </c>
      <c r="AL5" s="81" t="s">
        <v>12</v>
      </c>
      <c r="AM5" s="81" t="s">
        <v>13</v>
      </c>
      <c r="AN5" s="81" t="s">
        <v>14</v>
      </c>
      <c r="AO5" s="81" t="s">
        <v>36</v>
      </c>
      <c r="AP5" s="81" t="s">
        <v>64</v>
      </c>
      <c r="AQ5" s="81" t="s">
        <v>65</v>
      </c>
      <c r="AR5" s="83" t="s">
        <v>11</v>
      </c>
      <c r="AS5" s="84" t="s">
        <v>12</v>
      </c>
      <c r="AT5" s="84" t="s">
        <v>13</v>
      </c>
      <c r="AU5" s="84" t="s">
        <v>14</v>
      </c>
      <c r="AV5" s="81" t="s">
        <v>36</v>
      </c>
      <c r="AW5" s="81" t="s">
        <v>64</v>
      </c>
      <c r="AX5" s="81" t="s">
        <v>65</v>
      </c>
      <c r="AY5" s="54" t="s">
        <v>11</v>
      </c>
      <c r="AZ5" s="56" t="s">
        <v>12</v>
      </c>
      <c r="BA5" s="56" t="s">
        <v>13</v>
      </c>
      <c r="BB5" s="56" t="s">
        <v>14</v>
      </c>
      <c r="BC5" s="10" t="s">
        <v>36</v>
      </c>
      <c r="BD5" s="10" t="s">
        <v>64</v>
      </c>
      <c r="BE5" s="11" t="s">
        <v>65</v>
      </c>
      <c r="BF5" s="50" t="s">
        <v>11</v>
      </c>
      <c r="BG5" s="52" t="s">
        <v>12</v>
      </c>
      <c r="BH5" s="52" t="s">
        <v>13</v>
      </c>
      <c r="BI5" s="52" t="s">
        <v>14</v>
      </c>
      <c r="BJ5" s="10" t="s">
        <v>36</v>
      </c>
      <c r="BK5" s="10" t="s">
        <v>64</v>
      </c>
      <c r="BL5" s="11" t="s">
        <v>65</v>
      </c>
      <c r="BM5" s="50" t="s">
        <v>11</v>
      </c>
      <c r="BN5" s="52" t="s">
        <v>12</v>
      </c>
      <c r="BO5" s="52" t="s">
        <v>13</v>
      </c>
      <c r="BP5" s="52" t="s">
        <v>14</v>
      </c>
      <c r="BQ5" s="10" t="s">
        <v>36</v>
      </c>
      <c r="BR5" s="10" t="s">
        <v>64</v>
      </c>
      <c r="BS5" s="11" t="s">
        <v>65</v>
      </c>
      <c r="BT5" s="52" t="s">
        <v>11</v>
      </c>
      <c r="BU5" s="52" t="s">
        <v>12</v>
      </c>
      <c r="BV5" s="52" t="s">
        <v>13</v>
      </c>
      <c r="BW5" s="52" t="s">
        <v>14</v>
      </c>
      <c r="BX5" s="10" t="s">
        <v>36</v>
      </c>
      <c r="BY5" s="10" t="s">
        <v>64</v>
      </c>
      <c r="BZ5" s="11" t="s">
        <v>65</v>
      </c>
      <c r="CA5" s="8" t="s">
        <v>11</v>
      </c>
      <c r="CB5" s="9" t="s">
        <v>12</v>
      </c>
      <c r="CC5" s="9" t="s">
        <v>13</v>
      </c>
      <c r="CD5" s="10" t="s">
        <v>14</v>
      </c>
      <c r="CE5" s="10" t="s">
        <v>36</v>
      </c>
      <c r="CF5" s="10" t="s">
        <v>64</v>
      </c>
      <c r="CG5" s="11" t="s">
        <v>65</v>
      </c>
    </row>
    <row r="6" spans="1:104" x14ac:dyDescent="0.25">
      <c r="A6" s="57" t="s">
        <v>23</v>
      </c>
      <c r="B6" s="58"/>
      <c r="C6" s="58"/>
      <c r="D6" s="58"/>
      <c r="E6" s="59"/>
      <c r="F6" s="59"/>
      <c r="G6" s="59"/>
      <c r="H6" s="60"/>
      <c r="I6" s="65"/>
      <c r="J6" s="65"/>
      <c r="K6" s="65"/>
      <c r="L6" s="58"/>
      <c r="M6" s="58"/>
      <c r="N6" s="58"/>
      <c r="O6" s="60"/>
      <c r="P6" s="58"/>
      <c r="Q6" s="58"/>
      <c r="R6" s="58"/>
      <c r="S6" s="59"/>
      <c r="T6" s="59"/>
      <c r="U6" s="59"/>
      <c r="V6" s="60"/>
      <c r="W6" s="65"/>
      <c r="X6" s="65"/>
      <c r="Y6" s="65"/>
      <c r="Z6" s="58"/>
      <c r="AA6" s="58"/>
      <c r="AB6" s="58"/>
      <c r="AC6" s="60"/>
      <c r="AD6" s="43"/>
      <c r="AE6" s="43"/>
      <c r="AF6" s="43"/>
      <c r="AG6" s="61"/>
      <c r="AH6" s="61"/>
      <c r="AI6" s="61"/>
      <c r="AJ6" s="62"/>
      <c r="AK6" s="43"/>
      <c r="AL6" s="43"/>
      <c r="AM6" s="43"/>
      <c r="AN6" s="43"/>
      <c r="AO6" s="43"/>
      <c r="AP6" s="43"/>
      <c r="AQ6" s="62"/>
      <c r="AR6" s="65"/>
      <c r="AS6" s="65"/>
      <c r="AT6" s="65"/>
      <c r="AU6" s="58"/>
      <c r="AV6" s="58"/>
      <c r="AW6" s="58"/>
      <c r="AX6" s="60"/>
      <c r="AY6" s="65"/>
      <c r="AZ6" s="65"/>
      <c r="BA6" s="65"/>
      <c r="BB6" s="58"/>
      <c r="BC6" s="58"/>
      <c r="BD6" s="58"/>
      <c r="BE6" s="60"/>
      <c r="BF6" s="63"/>
      <c r="BG6" s="63"/>
      <c r="BH6" s="63"/>
      <c r="BI6" s="63"/>
      <c r="BJ6" s="63"/>
      <c r="BK6" s="63"/>
      <c r="BL6" s="64"/>
      <c r="BM6" s="193">
        <f>+AK6-AD6-BT6</f>
        <v>0</v>
      </c>
      <c r="BN6" s="194">
        <f t="shared" ref="BN6:BN11" si="0">+AL6-AE6-BU6</f>
        <v>0</v>
      </c>
      <c r="BO6" s="194">
        <f t="shared" ref="BO6:BO11" si="1">+AM6-AF6-BV6</f>
        <v>0</v>
      </c>
      <c r="BP6" s="194">
        <f t="shared" ref="BP6:BP11" si="2">+AN6-AG6-BW6</f>
        <v>0</v>
      </c>
      <c r="BQ6" s="194">
        <f t="shared" ref="BQ6:BQ11" si="3">+AO6-AH6-BX6</f>
        <v>0</v>
      </c>
      <c r="BR6" s="194">
        <f t="shared" ref="BR6:BR11" si="4">+AP6-AI6-BY6</f>
        <v>0</v>
      </c>
      <c r="BS6" s="195">
        <f t="shared" ref="BS6:BS11" si="5">+AQ6-AJ6-BZ6</f>
        <v>0</v>
      </c>
      <c r="BT6" s="139"/>
      <c r="BU6" s="42"/>
      <c r="BV6" s="42"/>
      <c r="BW6" s="43"/>
      <c r="BX6" s="43"/>
      <c r="BY6" s="43"/>
      <c r="BZ6" s="62"/>
      <c r="CA6" s="21"/>
      <c r="CB6" s="21"/>
      <c r="CC6" s="21"/>
      <c r="CD6" s="21"/>
      <c r="CE6" s="21"/>
      <c r="CF6" s="21"/>
      <c r="CG6" s="131"/>
      <c r="CY6" s="58"/>
      <c r="CZ6" s="58"/>
    </row>
    <row r="7" spans="1:104" x14ac:dyDescent="0.25">
      <c r="A7" s="57" t="s">
        <v>27</v>
      </c>
      <c r="B7" s="58">
        <f>+FynBus!B7</f>
        <v>0</v>
      </c>
      <c r="C7" s="58">
        <f>+FynBus!C7</f>
        <v>0</v>
      </c>
      <c r="D7" s="58">
        <f>+FynBus!D7</f>
        <v>0</v>
      </c>
      <c r="E7" s="58">
        <f>+FynBus!E7</f>
        <v>42130</v>
      </c>
      <c r="F7" s="58">
        <f>+FynBus!F7</f>
        <v>68095</v>
      </c>
      <c r="G7" s="58">
        <f>+FynBus!G7</f>
        <v>71818.14</v>
      </c>
      <c r="H7" s="66">
        <f>+FynBus!H7</f>
        <v>73080</v>
      </c>
      <c r="I7" s="65"/>
      <c r="J7" s="65"/>
      <c r="K7" s="65"/>
      <c r="L7" s="65">
        <f>+E7/$E7*100</f>
        <v>100</v>
      </c>
      <c r="M7" s="65">
        <f t="shared" ref="M7:O7" si="6">+F7/$E7*100</f>
        <v>161.63066698314742</v>
      </c>
      <c r="N7" s="65">
        <f t="shared" si="6"/>
        <v>170.46793258960361</v>
      </c>
      <c r="O7" s="146">
        <f t="shared" si="6"/>
        <v>173.4630904343698</v>
      </c>
      <c r="P7" s="58">
        <f>+FynBus!P7</f>
        <v>0</v>
      </c>
      <c r="Q7" s="58">
        <f>+FynBus!Q7</f>
        <v>0</v>
      </c>
      <c r="R7" s="58">
        <f>+FynBus!R7</f>
        <v>0</v>
      </c>
      <c r="S7" s="58">
        <f>+FynBus!S7</f>
        <v>3278000</v>
      </c>
      <c r="T7" s="58">
        <f>+FynBus!T7</f>
        <v>5809000</v>
      </c>
      <c r="U7" s="58">
        <f>+FynBus!U7</f>
        <v>6937000</v>
      </c>
      <c r="V7" s="66">
        <f>+FynBus!V7</f>
        <v>7100000</v>
      </c>
      <c r="W7" s="58"/>
      <c r="X7" s="58"/>
      <c r="Y7" s="58"/>
      <c r="Z7" s="58">
        <f>+FynBus!Z7</f>
        <v>100</v>
      </c>
      <c r="AA7" s="58">
        <f>+FynBus!AA7</f>
        <v>177.2117144600366</v>
      </c>
      <c r="AB7" s="58">
        <f>+FynBus!AB7</f>
        <v>211.6229408175717</v>
      </c>
      <c r="AC7" s="66">
        <f>+FynBus!AC7</f>
        <v>216.59548505186089</v>
      </c>
      <c r="AD7" s="58"/>
      <c r="AE7" s="58"/>
      <c r="AF7" s="58"/>
      <c r="AG7" s="43">
        <f>+FynBus!AG7</f>
        <v>26.5</v>
      </c>
      <c r="AH7" s="43">
        <f>+FynBus!AH7</f>
        <v>51.792261330000002</v>
      </c>
      <c r="AI7" s="43">
        <f>+FynBus!AI7</f>
        <v>56.9</v>
      </c>
      <c r="AJ7" s="44">
        <f>+FynBus!AJ7</f>
        <v>59</v>
      </c>
      <c r="AK7" s="58"/>
      <c r="AL7" s="58"/>
      <c r="AM7" s="58"/>
      <c r="AN7" s="58">
        <f>+FynBus!AN7</f>
        <v>0</v>
      </c>
      <c r="AO7" s="58">
        <f>+FynBus!AO7</f>
        <v>0</v>
      </c>
      <c r="AP7" s="58">
        <f>+FynBus!AP7</f>
        <v>0</v>
      </c>
      <c r="AQ7" s="66">
        <f>+FynBus!AQ7</f>
        <v>0</v>
      </c>
      <c r="AR7" s="58"/>
      <c r="AS7" s="58"/>
      <c r="AT7" s="58"/>
      <c r="AU7" s="58">
        <f>+FynBus!AU7</f>
        <v>0</v>
      </c>
      <c r="AV7" s="58">
        <f>+FynBus!AV7</f>
        <v>0</v>
      </c>
      <c r="AW7" s="58">
        <f>+FynBus!AW7</f>
        <v>0</v>
      </c>
      <c r="AX7" s="66">
        <f>+FynBus!AX7</f>
        <v>0</v>
      </c>
      <c r="AY7" s="58"/>
      <c r="AZ7" s="58"/>
      <c r="BA7" s="58"/>
      <c r="BB7" s="58" t="str">
        <f>+FynBus!BB7</f>
        <v/>
      </c>
      <c r="BC7" s="58" t="str">
        <f>+FynBus!BC7</f>
        <v/>
      </c>
      <c r="BD7" s="58" t="str">
        <f>+FynBus!BD7</f>
        <v/>
      </c>
      <c r="BE7" s="66" t="str">
        <f>+FynBus!BE7</f>
        <v/>
      </c>
      <c r="BF7" s="58"/>
      <c r="BG7" s="58"/>
      <c r="BH7" s="58"/>
      <c r="BI7" s="63" t="str">
        <f>+FynBus!BI7</f>
        <v/>
      </c>
      <c r="BJ7" s="63" t="str">
        <f>+FynBus!BJ7</f>
        <v/>
      </c>
      <c r="BK7" s="63" t="str">
        <f>+FynBus!BK7</f>
        <v/>
      </c>
      <c r="BL7" s="68" t="str">
        <f>+FynBus!BL7</f>
        <v/>
      </c>
      <c r="BM7" s="193">
        <f t="shared" ref="BM7:BM11" si="7">+AK7-AD7-BT7</f>
        <v>0</v>
      </c>
      <c r="BN7" s="194">
        <f t="shared" si="0"/>
        <v>0</v>
      </c>
      <c r="BO7" s="194">
        <f t="shared" si="1"/>
        <v>0</v>
      </c>
      <c r="BP7" s="194">
        <f t="shared" si="2"/>
        <v>-26.5</v>
      </c>
      <c r="BQ7" s="194">
        <f t="shared" si="3"/>
        <v>-51.792261330000002</v>
      </c>
      <c r="BR7" s="194">
        <f t="shared" si="4"/>
        <v>-56.9</v>
      </c>
      <c r="BS7" s="195">
        <f t="shared" si="5"/>
        <v>-59</v>
      </c>
      <c r="BT7" s="42">
        <f>+FynBus!BZ6</f>
        <v>0</v>
      </c>
      <c r="BU7" s="42">
        <f>+FynBus!CA6</f>
        <v>0</v>
      </c>
      <c r="BV7" s="42">
        <f>+FynBus!CB6</f>
        <v>0</v>
      </c>
      <c r="BW7" s="42">
        <f>+FynBus!CC6</f>
        <v>0</v>
      </c>
      <c r="BX7" s="42">
        <f>+FynBus!CD6</f>
        <v>0</v>
      </c>
      <c r="BY7" s="42">
        <f>+FynBus!CE6</f>
        <v>0</v>
      </c>
      <c r="BZ7" s="202">
        <f>+FynBus!CF6</f>
        <v>0</v>
      </c>
      <c r="CA7" s="58">
        <f>+FynBus!CA7</f>
        <v>0</v>
      </c>
      <c r="CB7" s="58">
        <f>+FynBus!CB7</f>
        <v>0</v>
      </c>
      <c r="CC7" s="58">
        <f>+FynBus!CC7</f>
        <v>0</v>
      </c>
      <c r="CD7" s="58">
        <f>+FynBus!CD7</f>
        <v>0</v>
      </c>
      <c r="CE7" s="58">
        <f>+FynBus!CE7</f>
        <v>0</v>
      </c>
      <c r="CF7" s="58">
        <f>+FynBus!CF7</f>
        <v>0</v>
      </c>
      <c r="CG7" s="66">
        <f>+FynBus!CG7</f>
        <v>0</v>
      </c>
      <c r="CY7" s="58"/>
      <c r="CZ7" s="58"/>
    </row>
    <row r="8" spans="1:104" x14ac:dyDescent="0.25">
      <c r="A8" s="57" t="s">
        <v>24</v>
      </c>
      <c r="B8" s="58">
        <f>+'Midttrafik '!B8</f>
        <v>76318</v>
      </c>
      <c r="C8" s="58">
        <f>+'Midttrafik '!C8</f>
        <v>85955</v>
      </c>
      <c r="D8" s="58">
        <f>+'Midttrafik '!D8</f>
        <v>95564</v>
      </c>
      <c r="E8" s="58">
        <f>+'Midttrafik '!E8</f>
        <v>97239</v>
      </c>
      <c r="F8" s="58">
        <f>+'Midttrafik '!F8</f>
        <v>107267.98333333334</v>
      </c>
      <c r="G8" s="58">
        <f>+'Midttrafik '!G8</f>
        <v>108088</v>
      </c>
      <c r="H8" s="66">
        <f>+'Midttrafik '!H8</f>
        <v>107312</v>
      </c>
      <c r="I8" s="65">
        <f>+B8/$B8*100</f>
        <v>100</v>
      </c>
      <c r="J8" s="65">
        <f>+C8/$B8*100</f>
        <v>112.62742734348386</v>
      </c>
      <c r="K8" s="65">
        <f>+D8/$B8*100</f>
        <v>125.21816609449934</v>
      </c>
      <c r="L8" s="58">
        <f>+E8/$B8*100</f>
        <v>127.41293010823134</v>
      </c>
      <c r="M8" s="58">
        <f t="shared" ref="M8:O8" si="8">+F8/$B8*100</f>
        <v>140.55397590782428</v>
      </c>
      <c r="N8" s="58">
        <f t="shared" si="8"/>
        <v>141.62844938284547</v>
      </c>
      <c r="O8" s="66">
        <f t="shared" si="8"/>
        <v>140.61165124872247</v>
      </c>
      <c r="P8" s="58">
        <f>+'Midttrafik '!P8</f>
        <v>4991026</v>
      </c>
      <c r="Q8" s="58">
        <f>+'Midttrafik '!Q8</f>
        <v>3751938</v>
      </c>
      <c r="R8" s="58">
        <f>+'Midttrafik '!R8</f>
        <v>4323094.9104373734</v>
      </c>
      <c r="S8" s="58">
        <f>+'Midttrafik '!S8</f>
        <v>5908765.6026744414</v>
      </c>
      <c r="T8" s="58">
        <f>+'Midttrafik '!T8</f>
        <v>6171526</v>
      </c>
      <c r="U8" s="58">
        <f>+'Midttrafik '!U8</f>
        <v>6798000</v>
      </c>
      <c r="V8" s="66">
        <f>+'Midttrafik '!V8</f>
        <v>6798000</v>
      </c>
      <c r="W8" s="65">
        <f>+'Midttrafik '!W8</f>
        <v>100</v>
      </c>
      <c r="X8" s="65">
        <f>+'Midttrafik '!X8</f>
        <v>75.173681723958168</v>
      </c>
      <c r="Y8" s="65">
        <f>+'Midttrafik '!Y8</f>
        <v>86.617359044761017</v>
      </c>
      <c r="Z8" s="58">
        <f>+'Midttrafik '!Z8</f>
        <v>118.38779446699819</v>
      </c>
      <c r="AA8" s="58">
        <f>+'Midttrafik '!AA8</f>
        <v>123.65245141980827</v>
      </c>
      <c r="AB8" s="58">
        <f>+'Midttrafik '!AB8</f>
        <v>123.65245141980827</v>
      </c>
      <c r="AC8" s="66">
        <f>+'Midttrafik '!AC8</f>
        <v>136.20445976438512</v>
      </c>
      <c r="AD8" s="43">
        <f>+'Midttrafik '!AD8</f>
        <v>67.5</v>
      </c>
      <c r="AE8" s="43">
        <f>+'Midttrafik '!AE8</f>
        <v>78.099999999999994</v>
      </c>
      <c r="AF8" s="43">
        <f>+'Midttrafik '!AF8</f>
        <v>94.4</v>
      </c>
      <c r="AG8" s="43">
        <f>+'Midttrafik '!AG8</f>
        <v>97.9</v>
      </c>
      <c r="AH8" s="43">
        <f>+'Midttrafik '!AH8</f>
        <v>102.4</v>
      </c>
      <c r="AI8" s="43">
        <f>+'Midttrafik '!AI8</f>
        <v>113.1</v>
      </c>
      <c r="AJ8" s="44">
        <f>+'Midttrafik '!AJ8</f>
        <v>120.69999999999999</v>
      </c>
      <c r="AK8" s="58">
        <f>+'Midttrafik '!AK8</f>
        <v>272.60000000000002</v>
      </c>
      <c r="AL8" s="58">
        <f>+'Midttrafik '!AL8</f>
        <v>282.7</v>
      </c>
      <c r="AM8" s="58">
        <f>+'Midttrafik '!AM8</f>
        <v>326.10000000000002</v>
      </c>
      <c r="AN8" s="58">
        <f>+'Midttrafik '!AN8</f>
        <v>336.79999999999995</v>
      </c>
      <c r="AO8" s="58">
        <f>+'Midttrafik '!AO8</f>
        <v>366</v>
      </c>
      <c r="AP8" s="58">
        <f>+'Midttrafik '!AP8</f>
        <v>407.2</v>
      </c>
      <c r="AQ8" s="66">
        <f>+'Midttrafik '!AQ8</f>
        <v>428.24799999999999</v>
      </c>
      <c r="AR8" s="65">
        <f>+'Midttrafik '!AR8</f>
        <v>3571.8965381692392</v>
      </c>
      <c r="AS8" s="65">
        <f>+'Midttrafik '!AS8</f>
        <v>3288.9302542027804</v>
      </c>
      <c r="AT8" s="65">
        <f>+'Midttrafik '!AT8</f>
        <v>3412.3728600728309</v>
      </c>
      <c r="AU8" s="58">
        <f>+'Midttrafik '!AU8</f>
        <v>3463.6308477051384</v>
      </c>
      <c r="AV8" s="58">
        <f>+'Midttrafik '!AV8</f>
        <v>3412.0152968911661</v>
      </c>
      <c r="AW8" s="58">
        <f>+'Midttrafik '!AW8</f>
        <v>3767.3007179335355</v>
      </c>
      <c r="AX8" s="66">
        <f>+'Midttrafik '!AX8</f>
        <v>3990.6813776651261</v>
      </c>
      <c r="AY8" s="65">
        <f>+AR8/$AR8*100</f>
        <v>100</v>
      </c>
      <c r="AZ8" s="65">
        <f>+AS8/$AR8*100</f>
        <v>92.07798207639317</v>
      </c>
      <c r="BA8" s="65">
        <f>+AT8/$AR8*100</f>
        <v>95.533922206543764</v>
      </c>
      <c r="BB8" s="58">
        <f>+AU8/$AR8*100</f>
        <v>96.968957826544667</v>
      </c>
      <c r="BC8" s="58">
        <f t="shared" ref="BC8:BE8" si="9">+AV8/$AR8*100</f>
        <v>95.523911749134271</v>
      </c>
      <c r="BD8" s="58">
        <f t="shared" si="9"/>
        <v>105.47060021689344</v>
      </c>
      <c r="BE8" s="66">
        <f t="shared" si="9"/>
        <v>111.72443924455141</v>
      </c>
      <c r="BF8" s="63">
        <f>+'Midttrafik '!BF8</f>
        <v>0.24761555392516504</v>
      </c>
      <c r="BG8" s="63">
        <f>+'Midttrafik '!BG8</f>
        <v>0.27626459143968873</v>
      </c>
      <c r="BH8" s="63">
        <f>+'Midttrafik '!BH8</f>
        <v>0.28948175406317078</v>
      </c>
      <c r="BI8" s="63">
        <f>+'Midttrafik '!BI8</f>
        <v>0.29067695961995255</v>
      </c>
      <c r="BJ8" s="63">
        <f>+'Midttrafik '!BJ8</f>
        <v>0.27978142076502732</v>
      </c>
      <c r="BK8" s="63">
        <f>+'Midttrafik '!BK8</f>
        <v>0.27775049115913553</v>
      </c>
      <c r="BL8" s="68">
        <f>+'Midttrafik '!BL8</f>
        <v>0.28184603313967604</v>
      </c>
      <c r="BM8" s="193">
        <f t="shared" si="7"/>
        <v>205.10000000000002</v>
      </c>
      <c r="BN8" s="194">
        <f t="shared" si="0"/>
        <v>180.79999999999998</v>
      </c>
      <c r="BO8" s="194">
        <f t="shared" si="1"/>
        <v>212.8</v>
      </c>
      <c r="BP8" s="194">
        <f t="shared" si="2"/>
        <v>231.89999999999995</v>
      </c>
      <c r="BQ8" s="194">
        <f t="shared" si="3"/>
        <v>258.51500000000004</v>
      </c>
      <c r="BR8" s="194">
        <f t="shared" si="4"/>
        <v>294.10000000000002</v>
      </c>
      <c r="BS8" s="195">
        <f t="shared" si="5"/>
        <v>307.548</v>
      </c>
      <c r="BT8" s="42">
        <f>+'Midttrafik '!CA8</f>
        <v>0</v>
      </c>
      <c r="BU8" s="42">
        <f>+'Midttrafik '!CB8</f>
        <v>23.8</v>
      </c>
      <c r="BV8" s="42">
        <f>+'Midttrafik '!CC8</f>
        <v>18.899999999999999</v>
      </c>
      <c r="BW8" s="43">
        <f>+'Midttrafik '!CD8</f>
        <v>7</v>
      </c>
      <c r="BX8" s="43">
        <f>+'Midttrafik '!CE8</f>
        <v>5.085</v>
      </c>
      <c r="BY8" s="43">
        <f>+'Midttrafik '!CF8</f>
        <v>0</v>
      </c>
      <c r="BZ8" s="44">
        <f>+'Midttrafik '!CG8</f>
        <v>0</v>
      </c>
      <c r="CA8" s="42">
        <f>+'Midttrafik '!CH8</f>
        <v>0</v>
      </c>
      <c r="CB8" s="42">
        <f>+'Midttrafik '!CI8</f>
        <v>0</v>
      </c>
      <c r="CC8" s="42">
        <f>+'Midttrafik '!CJ8</f>
        <v>0</v>
      </c>
      <c r="CD8" s="43">
        <f>+'Midttrafik '!CK8</f>
        <v>0</v>
      </c>
      <c r="CE8" s="43">
        <f>+'Midttrafik '!CL8</f>
        <v>0</v>
      </c>
      <c r="CF8" s="43">
        <f>+'Midttrafik '!CM8</f>
        <v>0</v>
      </c>
      <c r="CG8" s="44">
        <f>+'Midttrafik '!CN8</f>
        <v>0</v>
      </c>
      <c r="CY8" s="58"/>
      <c r="CZ8" s="58"/>
    </row>
    <row r="9" spans="1:104" x14ac:dyDescent="0.25">
      <c r="A9" s="57" t="s">
        <v>26</v>
      </c>
      <c r="B9" s="58">
        <f>+'Movia (Bane)'!B8</f>
        <v>151818</v>
      </c>
      <c r="C9" s="58">
        <f>+'Movia (Bane)'!C8</f>
        <v>151573</v>
      </c>
      <c r="D9" s="58">
        <f>+'Movia (Bane)'!D8</f>
        <v>158157</v>
      </c>
      <c r="E9" s="58">
        <f>+'Movia (Bane)'!E8</f>
        <v>156802</v>
      </c>
      <c r="F9" s="58">
        <f>+'Movia (Bane)'!F8</f>
        <v>154941</v>
      </c>
      <c r="G9" s="58">
        <f>+'Movia (Bane)'!G8</f>
        <v>158844</v>
      </c>
      <c r="H9" s="66">
        <f>+'Movia (Bane)'!H8</f>
        <v>163183</v>
      </c>
      <c r="I9" s="58">
        <f>+'Movia (Bane)'!I8</f>
        <v>100</v>
      </c>
      <c r="J9" s="58">
        <f>+'Movia (Bane)'!J8</f>
        <v>99.838622561224625</v>
      </c>
      <c r="K9" s="58">
        <f>+'Movia (Bane)'!K8</f>
        <v>104.17539422202901</v>
      </c>
      <c r="L9" s="58">
        <f>+'Movia (Bane)'!L8</f>
        <v>103.28287818308763</v>
      </c>
      <c r="M9" s="58">
        <f>+'Movia (Bane)'!M8</f>
        <v>102.05706833181836</v>
      </c>
      <c r="N9" s="58">
        <f>+'Movia (Bane)'!N8</f>
        <v>104.62790973402363</v>
      </c>
      <c r="O9" s="66">
        <f>+'Movia (Bane)'!O8</f>
        <v>107.48593710890673</v>
      </c>
      <c r="P9" s="58">
        <f>+'Movia (Bane)'!P8</f>
        <v>9510459</v>
      </c>
      <c r="Q9" s="58">
        <f>+'Movia (Bane)'!Q8</f>
        <v>7498834</v>
      </c>
      <c r="R9" s="58">
        <f>+'Movia (Bane)'!R8</f>
        <v>7739653</v>
      </c>
      <c r="S9" s="58">
        <f>+'Movia (Bane)'!S8</f>
        <v>9458059</v>
      </c>
      <c r="T9" s="58">
        <f>+'Movia (Bane)'!T8</f>
        <v>9786192.8401199989</v>
      </c>
      <c r="U9" s="58">
        <f>+'Movia (Bane)'!U8</f>
        <v>9850000</v>
      </c>
      <c r="V9" s="66">
        <f>+'Movia (Bane)'!V8</f>
        <v>10381875</v>
      </c>
      <c r="W9" s="58">
        <f>+'Movia (Bane)'!W8</f>
        <v>100</v>
      </c>
      <c r="X9" s="58">
        <f>+'Movia (Bane)'!X8</f>
        <v>78.84828692284988</v>
      </c>
      <c r="Y9" s="58">
        <f>+'Movia (Bane)'!Y8</f>
        <v>81.380436002089908</v>
      </c>
      <c r="Z9" s="58">
        <f>+'Movia (Bane)'!Z8</f>
        <v>99.449027644196775</v>
      </c>
      <c r="AA9" s="58">
        <f>+'Movia (Bane)'!AA8</f>
        <v>102.89926953178599</v>
      </c>
      <c r="AB9" s="58">
        <f>+'Movia (Bane)'!AB8</f>
        <v>103.57018520346915</v>
      </c>
      <c r="AC9" s="66">
        <f>+'Movia (Bane)'!AC8</f>
        <v>109.16271233596613</v>
      </c>
      <c r="AD9" s="58">
        <f>+'Movia (Bane)'!AD8</f>
        <v>177.57810888615171</v>
      </c>
      <c r="AE9" s="58">
        <f>+'Movia (Bane)'!AE8</f>
        <v>136.98068454737864</v>
      </c>
      <c r="AF9" s="58">
        <f>+'Movia (Bane)'!AF8</f>
        <v>161.17116028785364</v>
      </c>
      <c r="AG9" s="58">
        <f>+'Movia (Bane)'!AG8</f>
        <v>185.74287695000115</v>
      </c>
      <c r="AH9" s="58">
        <f>+'Movia (Bane)'!AH8</f>
        <v>206.19625691384059</v>
      </c>
      <c r="AI9" s="58">
        <f>+'Movia (Bane)'!AI8</f>
        <v>218.94260619767817</v>
      </c>
      <c r="AJ9" s="66">
        <f>+'Movia (Bane)'!AJ8</f>
        <v>249.52461930925625</v>
      </c>
      <c r="AK9" s="58">
        <f>+'Movia (Bane)'!AK8</f>
        <v>494.11468875999992</v>
      </c>
      <c r="AL9" s="58">
        <f>+'Movia (Bane)'!AL8</f>
        <v>502.9189750299999</v>
      </c>
      <c r="AM9" s="58">
        <f>+'Movia (Bane)'!AM8</f>
        <v>528.95281567000006</v>
      </c>
      <c r="AN9" s="58">
        <f>+'Movia (Bane)'!AN8</f>
        <v>558.45399253000005</v>
      </c>
      <c r="AO9" s="58">
        <f>+'Movia (Bane)'!AO8</f>
        <v>582.96357373000001</v>
      </c>
      <c r="AP9" s="58">
        <f>+'Movia (Bane)'!AP8</f>
        <v>603.21326948652256</v>
      </c>
      <c r="AQ9" s="66">
        <f>+'Movia (Bane)'!AQ8</f>
        <v>625.20661643650942</v>
      </c>
      <c r="AR9" s="58">
        <f>+'Movia (Bane)'!AR8</f>
        <v>6549.0639336840832</v>
      </c>
      <c r="AS9" s="58">
        <f>+'Movia (Bane)'!AS8</f>
        <v>6710.8522370545215</v>
      </c>
      <c r="AT9" s="58">
        <f>+'Movia (Bane)'!AT8</f>
        <v>6689.1741104964422</v>
      </c>
      <c r="AU9" s="58">
        <f>+'Movia (Bane)'!AU8</f>
        <v>7119.1725410411909</v>
      </c>
      <c r="AV9" s="58">
        <f>+'Movia (Bane)'!AV8</f>
        <v>7524.4037141748859</v>
      </c>
      <c r="AW9" s="58">
        <f>+'Movia (Bane)'!AW8</f>
        <v>7602.0930068695998</v>
      </c>
      <c r="AX9" s="66">
        <f>+'Movia (Bane)'!AX8</f>
        <v>7657.4587072178683</v>
      </c>
      <c r="AY9" s="58">
        <f>+'Movia (Bane)'!AY8</f>
        <v>100</v>
      </c>
      <c r="AZ9" s="58">
        <f>+'Movia (Bane)'!AZ8</f>
        <v>102.47040348069143</v>
      </c>
      <c r="BA9" s="58">
        <f>+'Movia (Bane)'!BA8</f>
        <v>102.13939241136009</v>
      </c>
      <c r="BB9" s="58">
        <f>+'Movia (Bane)'!BB8</f>
        <v>108.70519227068228</v>
      </c>
      <c r="BC9" s="58">
        <f>+'Movia (Bane)'!BC8</f>
        <v>114.89281201660432</v>
      </c>
      <c r="BD9" s="58">
        <f>+'Movia (Bane)'!BD8</f>
        <v>116.07907761854983</v>
      </c>
      <c r="BE9" s="66">
        <f>+'Movia (Bane)'!BE8</f>
        <v>116.924476303139</v>
      </c>
      <c r="BF9" s="116">
        <f>+'Movia (Bane)'!BF8</f>
        <v>0.35938641964235246</v>
      </c>
      <c r="BG9" s="116">
        <f>+'Movia (Bane)'!BG8</f>
        <v>0.2723712791691893</v>
      </c>
      <c r="BH9" s="116">
        <f>+'Movia (Bane)'!BH8</f>
        <v>0.30469855819503594</v>
      </c>
      <c r="BI9" s="116">
        <f>+'Movia (Bane)'!BI8</f>
        <v>0.33260193218158984</v>
      </c>
      <c r="BJ9" s="116">
        <f>+'Movia (Bane)'!BJ8</f>
        <v>0.35370350088004043</v>
      </c>
      <c r="BK9" s="116">
        <f>+'Movia (Bane)'!BK8</f>
        <v>0.36296052701899317</v>
      </c>
      <c r="BL9" s="141">
        <f>+'Movia (Bane)'!BL8</f>
        <v>0.39910745143976867</v>
      </c>
      <c r="BM9" s="193">
        <f t="shared" si="7"/>
        <v>316.53657987384821</v>
      </c>
      <c r="BN9" s="194">
        <f t="shared" si="0"/>
        <v>321.58697532262124</v>
      </c>
      <c r="BO9" s="194">
        <f t="shared" si="1"/>
        <v>328.61024419214641</v>
      </c>
      <c r="BP9" s="194">
        <f t="shared" si="2"/>
        <v>365.33922472999893</v>
      </c>
      <c r="BQ9" s="194">
        <f t="shared" si="3"/>
        <v>367.19537147615944</v>
      </c>
      <c r="BR9" s="194">
        <f t="shared" si="4"/>
        <v>384.27066328884439</v>
      </c>
      <c r="BS9" s="195">
        <f t="shared" si="5"/>
        <v>375.68199712725317</v>
      </c>
      <c r="BT9" s="58">
        <f>+'Movia (Bane)'!CA8</f>
        <v>0</v>
      </c>
      <c r="BU9" s="43">
        <f>+'Movia (Bane)'!CB8</f>
        <v>44.351315159999999</v>
      </c>
      <c r="BV9" s="43">
        <f>+'Movia (Bane)'!CC8</f>
        <v>39.171411190000001</v>
      </c>
      <c r="BW9" s="43">
        <f>+'Movia (Bane)'!CD8</f>
        <v>7.3718908499999998</v>
      </c>
      <c r="BX9" s="43">
        <f>+'Movia (Bane)'!CE8</f>
        <v>9.5719453399999992</v>
      </c>
      <c r="BY9" s="43">
        <f>+'Movia (Bane)'!CF8</f>
        <v>0</v>
      </c>
      <c r="BZ9" s="66">
        <f>+'Movia (Bane)'!CG8</f>
        <v>0</v>
      </c>
      <c r="CA9" s="58">
        <f>+'Movia (Bane)'!CH8</f>
        <v>7825.6829999999991</v>
      </c>
      <c r="CB9" s="43">
        <f>+'Movia (Bane)'!CI8</f>
        <v>7629.0009999999902</v>
      </c>
      <c r="CC9" s="43">
        <f>+'Movia (Bane)'!CJ8</f>
        <v>8034.8359999999993</v>
      </c>
      <c r="CD9" s="43">
        <f>+'Movia (Bane)'!CK8</f>
        <v>7998.1710000000003</v>
      </c>
      <c r="CE9" s="43">
        <f>+'Movia (Bane)'!CL8</f>
        <v>7987.37499999999</v>
      </c>
      <c r="CF9" s="43">
        <f>+'Movia (Bane)'!CM8</f>
        <v>8094.3189999999995</v>
      </c>
      <c r="CG9" s="66">
        <f>+'Movia (Bane)'!CN8</f>
        <v>8669.64</v>
      </c>
      <c r="CY9" s="58"/>
      <c r="CZ9" s="58"/>
    </row>
    <row r="10" spans="1:104" x14ac:dyDescent="0.25">
      <c r="A10" s="57" t="s">
        <v>0</v>
      </c>
      <c r="B10" s="58">
        <f>+'NT (Bane) - køreplantimer'!B8</f>
        <v>44992.630000000005</v>
      </c>
      <c r="C10" s="58">
        <f>+'NT (Bane) - køreplantimer'!C8</f>
        <v>43804.833333333328</v>
      </c>
      <c r="D10" s="58">
        <f>+'NT (Bane) - køreplantimer'!D8</f>
        <v>43903.733333333337</v>
      </c>
      <c r="E10" s="58">
        <f>+'NT (Bane) - køreplantimer'!E8</f>
        <v>45237.883333333331</v>
      </c>
      <c r="F10" s="58">
        <f>+'NT (Bane) - køreplantimer'!F8</f>
        <v>45237.883333333339</v>
      </c>
      <c r="G10" s="58">
        <f>+'NT (Bane) - køreplantimer'!G8</f>
        <v>40195.879999999997</v>
      </c>
      <c r="H10" s="66">
        <f>+'NT (Bane) - køreplantimer'!H8</f>
        <v>43951.350000000006</v>
      </c>
      <c r="I10" s="58">
        <f>+'NT (Bane) - køreplantimer'!I8</f>
        <v>100</v>
      </c>
      <c r="J10" s="58">
        <f>+'NT (Bane) - køreplantimer'!J8</f>
        <v>97.360019481709173</v>
      </c>
      <c r="K10" s="58">
        <f>+'NT (Bane) - køreplantimer'!K8</f>
        <v>97.579833260099107</v>
      </c>
      <c r="L10" s="58">
        <f>+'NT (Bane) - køreplantimer'!L8</f>
        <v>100.54509668213068</v>
      </c>
      <c r="M10" s="58">
        <f>+'NT (Bane) - køreplantimer'!M8</f>
        <v>100.54509668213068</v>
      </c>
      <c r="N10" s="58">
        <f>+'NT (Bane) - køreplantimer'!N8</f>
        <v>89.338809489465262</v>
      </c>
      <c r="O10" s="66">
        <f>+'NT (Bane) - køreplantimer'!O8</f>
        <v>97.685665407867916</v>
      </c>
      <c r="P10" s="58">
        <f>+'NT (Bane) - køreplantimer'!P8</f>
        <v>2803008</v>
      </c>
      <c r="Q10" s="58">
        <f>+'NT (Bane) - køreplantimer'!Q8</f>
        <v>1762704</v>
      </c>
      <c r="R10" s="58">
        <f>+'NT (Bane) - køreplantimer'!R8</f>
        <v>2035530</v>
      </c>
      <c r="S10" s="58">
        <f>+'NT (Bane) - køreplantimer'!S8</f>
        <v>2800820</v>
      </c>
      <c r="T10" s="58">
        <f>+'NT (Bane) - køreplantimer'!T8</f>
        <v>2955269</v>
      </c>
      <c r="U10" s="58">
        <f>+'NT (Bane) - køreplantimer'!U8</f>
        <v>0</v>
      </c>
      <c r="V10" s="66">
        <f>+'NT (Bane) - køreplantimer'!V8</f>
        <v>0</v>
      </c>
      <c r="W10" s="58">
        <f>+'NT (Bane) - køreplantimer'!W8</f>
        <v>100</v>
      </c>
      <c r="X10" s="58">
        <f>+'NT (Bane) - køreplantimer'!X8</f>
        <v>62.886156586067543</v>
      </c>
      <c r="Y10" s="58">
        <f>+'NT (Bane) - køreplantimer'!Y8</f>
        <v>72.619485923693404</v>
      </c>
      <c r="Z10" s="58">
        <f>+'NT (Bane) - køreplantimer'!Z8</f>
        <v>99.921941000525152</v>
      </c>
      <c r="AA10" s="58">
        <f>+'NT (Bane) - køreplantimer'!AA8</f>
        <v>105.43205727561249</v>
      </c>
      <c r="AB10" s="58">
        <f>+'NT (Bane) - køreplantimer'!AB8</f>
        <v>0</v>
      </c>
      <c r="AC10" s="66">
        <f>+'NT (Bane) - køreplantimer'!AC8</f>
        <v>0</v>
      </c>
      <c r="AD10" s="58">
        <f>+'NT (Bane) - køreplantimer'!AD8</f>
        <v>78.752383640000005</v>
      </c>
      <c r="AE10" s="58">
        <f>+'NT (Bane) - køreplantimer'!AE8</f>
        <v>46.026197490000001</v>
      </c>
      <c r="AF10" s="58">
        <f>+'NT (Bane) - køreplantimer'!AF8</f>
        <v>58.255306813511538</v>
      </c>
      <c r="AG10" s="58">
        <f>+'NT (Bane) - køreplantimer'!AG8</f>
        <v>78.561819100000008</v>
      </c>
      <c r="AH10" s="58">
        <f>+'NT (Bane) - køreplantimer'!AH8</f>
        <v>81.783112249999988</v>
      </c>
      <c r="AI10" s="58">
        <f>+'NT (Bane) - køreplantimer'!AI8</f>
        <v>74.059364940120545</v>
      </c>
      <c r="AJ10" s="66">
        <f>+'NT (Bane) - køreplantimer'!AJ8</f>
        <v>87.536197237642142</v>
      </c>
      <c r="AK10" s="58">
        <f>+'NT (Bane) - køreplantimer'!AK8</f>
        <v>165.87665863889839</v>
      </c>
      <c r="AL10" s="58">
        <f>+'NT (Bane) - køreplantimer'!AL8</f>
        <v>168.73388036</v>
      </c>
      <c r="AM10" s="58">
        <f>+'NT (Bane) - køreplantimer'!AM8</f>
        <v>179.94283275999999</v>
      </c>
      <c r="AN10" s="58">
        <f>+'NT (Bane) - køreplantimer'!AN8</f>
        <v>196.72163596999997</v>
      </c>
      <c r="AO10" s="58">
        <f>+'NT (Bane) - køreplantimer'!AO8</f>
        <v>194.97313860999998</v>
      </c>
      <c r="AP10" s="58">
        <f>+'NT (Bane) - køreplantimer'!AP8</f>
        <v>211.78021704580075</v>
      </c>
      <c r="AQ10" s="66">
        <f>+'NT (Bane) - køreplantimer'!AQ8</f>
        <v>212.85265772090429</v>
      </c>
      <c r="AR10" s="58">
        <f>+'NT (Bane) - køreplantimer'!AR8</f>
        <v>3686.7517777666785</v>
      </c>
      <c r="AS10" s="58">
        <f>+'NT (Bane) - køreplantimer'!AS8</f>
        <v>3851.9466351125643</v>
      </c>
      <c r="AT10" s="58">
        <f>+'NT (Bane) - køreplantimer'!AT8</f>
        <v>4098.5770251884423</v>
      </c>
      <c r="AU10" s="58">
        <f>+'NT (Bane) - køreplantimer'!AU8</f>
        <v>4348.6039017445919</v>
      </c>
      <c r="AV10" s="58">
        <f>+'NT (Bane) - køreplantimer'!AV8</f>
        <v>4309.9527264206654</v>
      </c>
      <c r="AW10" s="58">
        <f>+'NT (Bane) - køreplantimer'!AW8</f>
        <v>5268.7045798176523</v>
      </c>
      <c r="AX10" s="66">
        <f>+'NT (Bane) - køreplantimer'!AX8</f>
        <v>4842.9151259495848</v>
      </c>
      <c r="AY10" s="58">
        <f>+'NT (Bane) - køreplantimer'!AY8</f>
        <v>100</v>
      </c>
      <c r="AZ10" s="58">
        <f>+'NT (Bane) - køreplantimer'!AZ8</f>
        <v>104.48076972098066</v>
      </c>
      <c r="BA10" s="58">
        <f>+'NT (Bane) - køreplantimer'!BA8</f>
        <v>111.17040886520533</v>
      </c>
      <c r="BB10" s="58">
        <f>+'NT (Bane) - køreplantimer'!BB8</f>
        <v>117.95217481060911</v>
      </c>
      <c r="BC10" s="58">
        <f>+'NT (Bane) - køreplantimer'!BC8</f>
        <v>116.90379461975884</v>
      </c>
      <c r="BD10" s="58">
        <f>+'NT (Bane) - køreplantimer'!BD8</f>
        <v>142.90912156308153</v>
      </c>
      <c r="BE10" s="66">
        <f>+'NT (Bane) - køreplantimer'!BE8</f>
        <v>131.35994549877927</v>
      </c>
      <c r="BF10" s="116">
        <f>+'NT (Bane) - køreplantimer'!BF8</f>
        <v>0.47476470943050708</v>
      </c>
      <c r="BG10" s="116">
        <f>+'NT (Bane) - køreplantimer'!BG8</f>
        <v>0.27277389337459318</v>
      </c>
      <c r="BH10" s="116">
        <f>+'NT (Bane) - køreplantimer'!BH8</f>
        <v>0.32374341294943354</v>
      </c>
      <c r="BI10" s="116">
        <f>+'NT (Bane) - køreplantimer'!BI8</f>
        <v>0.39935525501618274</v>
      </c>
      <c r="BJ10" s="116">
        <f>+'NT (Bane) - køreplantimer'!BJ8</f>
        <v>0.41945835633075979</v>
      </c>
      <c r="BK10" s="116">
        <f>+'NT (Bane) - køreplantimer'!BK8</f>
        <v>0.34969916441300114</v>
      </c>
      <c r="BL10" s="141">
        <f>+'NT (Bane) - køreplantimer'!BL8</f>
        <v>0.41125254518748344</v>
      </c>
      <c r="BM10" s="193">
        <f t="shared" si="7"/>
        <v>87.124274998898386</v>
      </c>
      <c r="BN10" s="194">
        <f t="shared" si="0"/>
        <v>104.9183580044171</v>
      </c>
      <c r="BO10" s="194">
        <f t="shared" si="1"/>
        <v>113.90007904320574</v>
      </c>
      <c r="BP10" s="194">
        <f t="shared" si="2"/>
        <v>115.55981686999996</v>
      </c>
      <c r="BQ10" s="194">
        <f t="shared" si="3"/>
        <v>110.19002635999999</v>
      </c>
      <c r="BR10" s="194">
        <f t="shared" si="4"/>
        <v>137.92085210568018</v>
      </c>
      <c r="BS10" s="195">
        <f t="shared" si="5"/>
        <v>125.31646048326215</v>
      </c>
      <c r="BT10" s="58">
        <f>+'NT (Bane) - køreplantimer'!BZ8</f>
        <v>0</v>
      </c>
      <c r="BU10" s="43">
        <f>+'NT (Bane) - køreplantimer'!CA8</f>
        <v>17.789324865582898</v>
      </c>
      <c r="BV10" s="43">
        <f>+'NT (Bane) - køreplantimer'!CB8</f>
        <v>7.7874469032827163</v>
      </c>
      <c r="BW10" s="43">
        <f>+'NT (Bane) - køreplantimer'!CC8</f>
        <v>2.6</v>
      </c>
      <c r="BX10" s="43">
        <f>+'NT (Bane) - køreplantimer'!CD8</f>
        <v>3</v>
      </c>
      <c r="BY10" s="43">
        <f>+'NT (Bane) - køreplantimer'!CE8</f>
        <v>-0.2</v>
      </c>
      <c r="BZ10" s="66">
        <f>+'NT (Bane) - køreplantimer'!CF8</f>
        <v>0</v>
      </c>
      <c r="CA10" s="58">
        <f>+'NT (Bane) - køreplantimer'!CG8</f>
        <v>2978.6039999999998</v>
      </c>
      <c r="CB10" s="43">
        <f>+'NT (Bane) - køreplantimer'!CH8</f>
        <v>2785.2570000000001</v>
      </c>
      <c r="CC10" s="43">
        <f>+'NT (Bane) - køreplantimer'!CI8</f>
        <v>3050.3469999999998</v>
      </c>
      <c r="CD10" s="43">
        <f>+'NT (Bane) - køreplantimer'!CJ8</f>
        <v>3070.9740000000002</v>
      </c>
      <c r="CE10" s="43">
        <f>+'NT (Bane) - køreplantimer'!CK8</f>
        <v>3112.527</v>
      </c>
      <c r="CF10" s="43">
        <f>+'NT (Bane) - køreplantimer'!CL8</f>
        <v>2751.3690000000001</v>
      </c>
      <c r="CG10" s="66">
        <f>+'NT (Bane) - køreplantimer'!CM8</f>
        <v>3067.9719999999998</v>
      </c>
      <c r="CY10" s="58"/>
      <c r="CZ10" s="58"/>
    </row>
    <row r="11" spans="1:104" x14ac:dyDescent="0.25">
      <c r="A11" s="57" t="s">
        <v>25</v>
      </c>
      <c r="B11" s="126">
        <f>+'Sydtrafi (Bane) - køreplantime'!B7</f>
        <v>5851</v>
      </c>
      <c r="C11" s="126">
        <f>+'Sydtrafi (Bane) - køreplantime'!C7</f>
        <v>5752</v>
      </c>
      <c r="D11" s="126">
        <f>+'Sydtrafi (Bane) - køreplantime'!D7</f>
        <v>5742.61</v>
      </c>
      <c r="E11" s="126">
        <f>+'Sydtrafi (Bane) - køreplantime'!E7</f>
        <v>5848</v>
      </c>
      <c r="F11" s="126">
        <f>+'Sydtrafi (Bane) - køreplantime'!F7</f>
        <v>5774</v>
      </c>
      <c r="G11" s="126">
        <f>+'Sydtrafi (Bane) - køreplantime'!G7</f>
        <v>5762.5283018867922</v>
      </c>
      <c r="H11" s="138">
        <f>+'Sydtrafi (Bane) - køreplantime'!H7</f>
        <v>5958.6981132075471</v>
      </c>
      <c r="I11" s="58">
        <f>+'Sydtrafi (Bane) - køreplantime'!I7</f>
        <v>100</v>
      </c>
      <c r="J11" s="58">
        <f>+'Sydtrafi (Bane) - køreplantime'!J7</f>
        <v>98.307981541616812</v>
      </c>
      <c r="K11" s="58">
        <f>+'Sydtrafi (Bane) - køreplantime'!K7</f>
        <v>98.1474961545035</v>
      </c>
      <c r="L11" s="58">
        <f>+'Sydtrafi (Bane) - køreplantime'!L7</f>
        <v>99.948726713382328</v>
      </c>
      <c r="M11" s="58">
        <f>+'Sydtrafi (Bane) - køreplantime'!M7</f>
        <v>98.683985643479744</v>
      </c>
      <c r="N11" s="58">
        <f>+'Sydtrafi (Bane) - køreplantime'!N7</f>
        <v>98.487921755029774</v>
      </c>
      <c r="O11" s="66">
        <f>+'Sydtrafi (Bane) - køreplantime'!O7</f>
        <v>101.84067874222436</v>
      </c>
      <c r="P11" s="58">
        <f>+'Sydtrafi (Bane) - køreplantime'!P7</f>
        <v>219211</v>
      </c>
      <c r="Q11" s="58">
        <f>+'Sydtrafi (Bane) - køreplantime'!Q7</f>
        <v>159332</v>
      </c>
      <c r="R11" s="58">
        <f>+'Sydtrafi (Bane) - køreplantime'!R7</f>
        <v>131141</v>
      </c>
      <c r="S11" s="58">
        <f>+'Sydtrafi (Bane) - køreplantime'!S7</f>
        <v>180465</v>
      </c>
      <c r="T11" s="58">
        <f>+'Sydtrafi (Bane) - køreplantime'!T7</f>
        <v>186156</v>
      </c>
      <c r="U11" s="58">
        <f>+'Sydtrafi (Bane) - køreplantime'!U7</f>
        <v>174500</v>
      </c>
      <c r="V11" s="66">
        <f>+'Sydtrafi (Bane) - køreplantime'!V7</f>
        <v>174500</v>
      </c>
      <c r="W11" s="58">
        <f>+'Sydtrafi (Bane) - køreplantime'!W7</f>
        <v>100</v>
      </c>
      <c r="X11" s="58">
        <f>+'Sydtrafi (Bane) - køreplantime'!X7</f>
        <v>72.684308725383303</v>
      </c>
      <c r="Y11" s="58">
        <f>+'Sydtrafi (Bane) - køreplantime'!Y7</f>
        <v>59.824096418519147</v>
      </c>
      <c r="Z11" s="58">
        <f>+'Sydtrafi (Bane) - køreplantime'!Z7</f>
        <v>82.324792095287194</v>
      </c>
      <c r="AA11" s="58">
        <f>+'Sydtrafi (Bane) - køreplantime'!AA7</f>
        <v>84.920920939186445</v>
      </c>
      <c r="AB11" s="58">
        <f>+'Sydtrafi (Bane) - køreplantime'!AB7</f>
        <v>79.603669523883383</v>
      </c>
      <c r="AC11" s="66">
        <f>+'Sydtrafi (Bane) - køreplantime'!AC7</f>
        <v>79.603669523883383</v>
      </c>
      <c r="AD11" s="58">
        <f>+'Sydtrafi (Bane) - køreplantime'!AD7</f>
        <v>3</v>
      </c>
      <c r="AE11" s="58">
        <f>+'Sydtrafi (Bane) - køreplantime'!AE7</f>
        <v>1.8</v>
      </c>
      <c r="AF11" s="58">
        <f>+'Sydtrafi (Bane) - køreplantime'!AF7</f>
        <v>0</v>
      </c>
      <c r="AG11" s="58">
        <f>+'Sydtrafi (Bane) - køreplantime'!AG7</f>
        <v>0</v>
      </c>
      <c r="AH11" s="58">
        <f>+'Sydtrafi (Bane) - køreplantime'!AH7</f>
        <v>0</v>
      </c>
      <c r="AI11" s="58">
        <f>+'Sydtrafi (Bane) - køreplantime'!AI7</f>
        <v>0</v>
      </c>
      <c r="AJ11" s="66">
        <f>+'Sydtrafi (Bane) - køreplantime'!AJ7</f>
        <v>0</v>
      </c>
      <c r="AK11" s="126">
        <f>+'Sydtrafi (Bane) - køreplantime'!AK7</f>
        <v>18</v>
      </c>
      <c r="AL11" s="126">
        <f>+'Sydtrafi (Bane) - køreplantime'!AL7</f>
        <v>17.400000000000002</v>
      </c>
      <c r="AM11" s="126">
        <f>+'Sydtrafi (Bane) - køreplantime'!AM7</f>
        <v>5.3</v>
      </c>
      <c r="AN11" s="126">
        <f>+'Sydtrafi (Bane) - køreplantime'!AN7</f>
        <v>5</v>
      </c>
      <c r="AO11" s="126">
        <f>+'Sydtrafi (Bane) - køreplantime'!AO7</f>
        <v>5.4</v>
      </c>
      <c r="AP11" s="126">
        <f>+'Sydtrafi (Bane) - køreplantime'!AP7</f>
        <v>5.3</v>
      </c>
      <c r="AQ11" s="138">
        <f>+'Sydtrafi (Bane) - køreplantime'!AQ7</f>
        <v>5.5</v>
      </c>
      <c r="AR11" s="126">
        <f>+'Sydtrafi (Bane) - køreplantime'!AR7</f>
        <v>3076.3971970603316</v>
      </c>
      <c r="AS11" s="126">
        <f>+'Sydtrafi (Bane) - køreplantime'!AS7</f>
        <v>3025.0347705146041</v>
      </c>
      <c r="AT11" s="126">
        <f>+'Sydtrafi (Bane) - køreplantime'!AT7</f>
        <v>922.92529006845325</v>
      </c>
      <c r="AU11" s="126">
        <f>+'Sydtrafi (Bane) - køreplantime'!AU7</f>
        <v>854.99316005471951</v>
      </c>
      <c r="AV11" s="126">
        <f>+'Sydtrafi (Bane) - køreplantime'!AV7</f>
        <v>935.22687911326636</v>
      </c>
      <c r="AW11" s="126">
        <f>+'Sydtrafi (Bane) - køreplantime'!AW7</f>
        <v>919.73517913389696</v>
      </c>
      <c r="AX11" s="138">
        <f>+'Sydtrafi (Bane) - køreplantime'!AX7</f>
        <v>923.02041410843833</v>
      </c>
      <c r="AY11" s="126">
        <f>+'Sydtrafi (Bane) - køreplantime'!AY7</f>
        <v>100</v>
      </c>
      <c r="AZ11" s="126">
        <f>+'Sydtrafi (Bane) - køreplantime'!AZ7</f>
        <v>98.330435790449712</v>
      </c>
      <c r="BA11" s="126">
        <f>+'Sydtrafi (Bane) - køreplantime'!BA7</f>
        <v>30.000199289947332</v>
      </c>
      <c r="BB11" s="126">
        <f>+'Sydtrafi (Bane) - køreplantime'!BB7</f>
        <v>27.79202766377869</v>
      </c>
      <c r="BC11" s="126">
        <f>+'Sydtrafi (Bane) - køreplantime'!BC7</f>
        <v>30.400069276065118</v>
      </c>
      <c r="BD11" s="126">
        <f>+'Sydtrafi (Bane) - køreplantime'!BD7</f>
        <v>29.896502961735727</v>
      </c>
      <c r="BE11" s="138">
        <f>+'Sydtrafi (Bane) - køreplantime'!BE7</f>
        <v>30.003291349713734</v>
      </c>
      <c r="BF11" s="115">
        <f>+'Sydtrafi (Bane) - køreplantime'!BF7</f>
        <v>0.16666666666666666</v>
      </c>
      <c r="BG11" s="115">
        <f>+'Sydtrafi (Bane) - køreplantime'!BG7</f>
        <v>0.10344827586206895</v>
      </c>
      <c r="BH11" s="115">
        <f>+'Sydtrafi (Bane) - køreplantime'!BH7</f>
        <v>0</v>
      </c>
      <c r="BI11" s="115">
        <f>+'Sydtrafi (Bane) - køreplantime'!BI7</f>
        <v>0</v>
      </c>
      <c r="BJ11" s="115">
        <f>+'Sydtrafi (Bane) - køreplantime'!BJ7</f>
        <v>0</v>
      </c>
      <c r="BK11" s="115">
        <f>+'Sydtrafi (Bane) - køreplantime'!BK7</f>
        <v>0</v>
      </c>
      <c r="BL11" s="141">
        <f>+'Sydtrafi (Bane) - køreplantime'!BL7</f>
        <v>0</v>
      </c>
      <c r="BM11" s="193">
        <f t="shared" si="7"/>
        <v>15</v>
      </c>
      <c r="BN11" s="194">
        <f t="shared" si="0"/>
        <v>14.8</v>
      </c>
      <c r="BO11" s="194">
        <f t="shared" si="1"/>
        <v>5.3</v>
      </c>
      <c r="BP11" s="194">
        <f t="shared" si="2"/>
        <v>5</v>
      </c>
      <c r="BQ11" s="194">
        <f t="shared" si="3"/>
        <v>5.3000000000000007</v>
      </c>
      <c r="BR11" s="194">
        <f t="shared" si="4"/>
        <v>5.3</v>
      </c>
      <c r="BS11" s="195">
        <f t="shared" si="5"/>
        <v>5.5</v>
      </c>
      <c r="BT11" s="140">
        <f>+'Sydtrafi (Bane) - køreplantime'!CA7</f>
        <v>0</v>
      </c>
      <c r="BU11" s="43">
        <f>+'Sydtrafi (Bane) - køreplantime'!CB7</f>
        <v>0.8</v>
      </c>
      <c r="BV11" s="43">
        <f>+'Sydtrafi (Bane) - køreplantime'!CC7</f>
        <v>0</v>
      </c>
      <c r="BW11" s="43">
        <f>+'Sydtrafi (Bane) - køreplantime'!CD7</f>
        <v>0</v>
      </c>
      <c r="BX11" s="43">
        <f>+'Sydtrafi (Bane) - køreplantime'!CE7</f>
        <v>0.1</v>
      </c>
      <c r="BY11" s="43">
        <f>+'Sydtrafi (Bane) - køreplantime'!CF7</f>
        <v>0</v>
      </c>
      <c r="BZ11" s="66">
        <f>+'Sydtrafi (Bane) - køreplantime'!CG7</f>
        <v>0</v>
      </c>
      <c r="CA11" s="140">
        <f>+'Sydtrafi (Bane) - køreplantime'!CH7</f>
        <v>310</v>
      </c>
      <c r="CB11" s="43">
        <f>+'Sydtrafi (Bane) - køreplantime'!CI7</f>
        <v>305</v>
      </c>
      <c r="CC11" s="43">
        <f>+'Sydtrafi (Bane) - køreplantime'!CJ7</f>
        <v>304</v>
      </c>
      <c r="CD11" s="43">
        <f>+'Sydtrafi (Bane) - køreplantime'!CK7</f>
        <v>310</v>
      </c>
      <c r="CE11" s="43">
        <f>+'Sydtrafi (Bane) - køreplantime'!CL7</f>
        <v>306</v>
      </c>
      <c r="CF11" s="43">
        <f>+'Sydtrafi (Bane) - køreplantime'!CM7</f>
        <v>304</v>
      </c>
      <c r="CG11" s="66">
        <f>+'Sydtrafi (Bane) - køreplantime'!CN7</f>
        <v>314</v>
      </c>
      <c r="CY11" s="58"/>
      <c r="CZ11" s="58"/>
    </row>
    <row r="12" spans="1:104" ht="18.75" customHeight="1" thickBot="1" x14ac:dyDescent="0.3">
      <c r="A12" s="69" t="s">
        <v>16</v>
      </c>
      <c r="B12" s="70">
        <f>SUBTOTAL(9,B6:B10)</f>
        <v>273128.63</v>
      </c>
      <c r="C12" s="70">
        <f t="shared" ref="C12:E12" si="10">SUBTOTAL(9,C6:C10)</f>
        <v>281332.83333333331</v>
      </c>
      <c r="D12" s="70">
        <f>SUBTOTAL(9,D6:D10)</f>
        <v>297624.73333333334</v>
      </c>
      <c r="E12" s="70">
        <f t="shared" si="10"/>
        <v>341408.8833333333</v>
      </c>
      <c r="F12" s="70">
        <f t="shared" ref="F12:H12" si="11">SUBTOTAL(9,F6:F10)</f>
        <v>375541.8666666667</v>
      </c>
      <c r="G12" s="70">
        <f t="shared" si="11"/>
        <v>378946.02</v>
      </c>
      <c r="H12" s="71">
        <f t="shared" si="11"/>
        <v>387526.35</v>
      </c>
      <c r="I12" s="70">
        <f>+B12/$B12*100</f>
        <v>100</v>
      </c>
      <c r="J12" s="70">
        <f>+C12/$B12*100</f>
        <v>103.00378738520868</v>
      </c>
      <c r="K12" s="70">
        <f>+D12/$B12*100</f>
        <v>108.96870581942777</v>
      </c>
      <c r="L12" s="70">
        <f>+E12/$B12*100</f>
        <v>124.99930283153886</v>
      </c>
      <c r="M12" s="70">
        <f t="shared" ref="M12:O12" si="12">+F12/$B12*100</f>
        <v>137.49633887398284</v>
      </c>
      <c r="N12" s="70">
        <f t="shared" si="12"/>
        <v>138.74269423897451</v>
      </c>
      <c r="O12" s="71">
        <f t="shared" si="12"/>
        <v>141.88419207462798</v>
      </c>
      <c r="P12" s="70">
        <f>SUBTOTAL(9,P6:P10)</f>
        <v>17304493</v>
      </c>
      <c r="Q12" s="70">
        <f t="shared" ref="Q12:S12" si="13">SUBTOTAL(9,Q6:Q10)</f>
        <v>13013476</v>
      </c>
      <c r="R12" s="70">
        <f t="shared" si="13"/>
        <v>14098277.910437373</v>
      </c>
      <c r="S12" s="70">
        <f t="shared" si="13"/>
        <v>21445644.60267444</v>
      </c>
      <c r="T12" s="70">
        <f t="shared" ref="T12:V12" si="14">SUBTOTAL(9,T6:T10)</f>
        <v>24721987.840119999</v>
      </c>
      <c r="U12" s="70">
        <f t="shared" si="14"/>
        <v>23585000</v>
      </c>
      <c r="V12" s="71">
        <f t="shared" si="14"/>
        <v>24279875</v>
      </c>
      <c r="W12" s="29">
        <f>IFERROR(+P12/$P12*100,"")</f>
        <v>100</v>
      </c>
      <c r="X12" s="29">
        <f>IFERROR(+Q12/$P12*100,"")</f>
        <v>75.202873612072878</v>
      </c>
      <c r="Y12" s="29">
        <f>IFERROR(+R12/$P12*100,"")</f>
        <v>81.471776783274578</v>
      </c>
      <c r="Z12" s="29">
        <f>IFERROR(+S12/$P12*100,"")</f>
        <v>123.93107733739694</v>
      </c>
      <c r="AA12" s="29">
        <f t="shared" ref="AA12:AC12" si="15">IFERROR(+T12/$P12*100,"")</f>
        <v>142.86456032037461</v>
      </c>
      <c r="AB12" s="29">
        <f t="shared" si="15"/>
        <v>136.29408269863785</v>
      </c>
      <c r="AC12" s="30">
        <f t="shared" si="15"/>
        <v>140.30965830666057</v>
      </c>
      <c r="AD12" s="73">
        <f>SUBTOTAL(9,AD6:AD10)</f>
        <v>323.83049252615172</v>
      </c>
      <c r="AE12" s="73">
        <f t="shared" ref="AE12:AG12" si="16">SUBTOTAL(9,AE6:AE10)</f>
        <v>261.10688203737863</v>
      </c>
      <c r="AF12" s="73">
        <f t="shared" si="16"/>
        <v>313.82646710136521</v>
      </c>
      <c r="AG12" s="73">
        <f t="shared" si="16"/>
        <v>388.70469605000119</v>
      </c>
      <c r="AH12" s="73">
        <f t="shared" ref="AH12:AJ12" si="17">SUBTOTAL(9,AH6:AH10)</f>
        <v>442.17163049384061</v>
      </c>
      <c r="AI12" s="73">
        <f t="shared" si="17"/>
        <v>463.00197113779871</v>
      </c>
      <c r="AJ12" s="74">
        <f t="shared" si="17"/>
        <v>516.76081654689835</v>
      </c>
      <c r="AK12" s="73">
        <f>SUBTOTAL(9,AK6:AK10)</f>
        <v>932.59134739889828</v>
      </c>
      <c r="AL12" s="73">
        <f t="shared" ref="AL12:AN12" si="18">SUBTOTAL(9,AL6:AL10)</f>
        <v>954.35285538999983</v>
      </c>
      <c r="AM12" s="73">
        <f t="shared" si="18"/>
        <v>1034.9956484300001</v>
      </c>
      <c r="AN12" s="73">
        <f t="shared" si="18"/>
        <v>1091.9756284999999</v>
      </c>
      <c r="AO12" s="73">
        <f t="shared" ref="AO12:AQ12" si="19">SUBTOTAL(9,AO6:AO10)</f>
        <v>1143.93671234</v>
      </c>
      <c r="AP12" s="73">
        <f t="shared" si="19"/>
        <v>1222.1934865323233</v>
      </c>
      <c r="AQ12" s="74">
        <f t="shared" si="19"/>
        <v>1266.3072741574138</v>
      </c>
      <c r="AR12" s="128">
        <f t="shared" ref="AR12:AX12" si="20">IFERROR(AK12*1000000/B12,"")</f>
        <v>3414.4767152344966</v>
      </c>
      <c r="AS12" s="128">
        <f t="shared" si="20"/>
        <v>3392.2555148735451</v>
      </c>
      <c r="AT12" s="128">
        <f t="shared" si="20"/>
        <v>3477.51894420289</v>
      </c>
      <c r="AU12" s="128">
        <f t="shared" si="20"/>
        <v>3198.4394132880643</v>
      </c>
      <c r="AV12" s="128">
        <f t="shared" si="20"/>
        <v>3046.096358027014</v>
      </c>
      <c r="AW12" s="128">
        <f t="shared" si="20"/>
        <v>3225.2442881767788</v>
      </c>
      <c r="AX12" s="129">
        <f t="shared" si="20"/>
        <v>3267.6675383684587</v>
      </c>
      <c r="AY12" s="29">
        <f t="shared" ref="AY12:BE12" si="21">AR12/$AR12*100</f>
        <v>100</v>
      </c>
      <c r="AZ12" s="29">
        <f t="shared" si="21"/>
        <v>99.349206270413077</v>
      </c>
      <c r="BA12" s="29">
        <f t="shared" si="21"/>
        <v>101.8463218298463</v>
      </c>
      <c r="BB12" s="29">
        <f t="shared" si="21"/>
        <v>93.672901590380434</v>
      </c>
      <c r="BC12" s="29">
        <f t="shared" si="21"/>
        <v>89.211220695579314</v>
      </c>
      <c r="BD12" s="29">
        <f t="shared" si="21"/>
        <v>94.45793769178708</v>
      </c>
      <c r="BE12" s="30">
        <f t="shared" si="21"/>
        <v>95.700390159024536</v>
      </c>
      <c r="BF12" s="33">
        <f>IFERROR(AD12/AK12,"")</f>
        <v>0.34723729040522544</v>
      </c>
      <c r="BG12" s="33">
        <f t="shared" ref="BG12:BL12" si="22">IFERROR(AE12/AL12,"")</f>
        <v>0.27359574664936309</v>
      </c>
      <c r="BH12" s="33">
        <f t="shared" si="22"/>
        <v>0.30321525271861105</v>
      </c>
      <c r="BI12" s="33">
        <f t="shared" si="22"/>
        <v>0.35596462586252786</v>
      </c>
      <c r="BJ12" s="33">
        <f t="shared" si="22"/>
        <v>0.38653504667172417</v>
      </c>
      <c r="BK12" s="33">
        <f t="shared" si="22"/>
        <v>0.37882870121608503</v>
      </c>
      <c r="BL12" s="34">
        <f t="shared" si="22"/>
        <v>0.40808485198882322</v>
      </c>
      <c r="BM12" s="196">
        <f>SUBTOTAL(9,BM6:BM10)</f>
        <v>608.76085487274656</v>
      </c>
      <c r="BN12" s="73">
        <f t="shared" ref="BN12:BW12" si="23">SUBTOTAL(9,BN6:BN10)</f>
        <v>607.30533332703828</v>
      </c>
      <c r="BO12" s="73">
        <f t="shared" si="23"/>
        <v>655.31032323535214</v>
      </c>
      <c r="BP12" s="73">
        <f t="shared" si="23"/>
        <v>686.29904159999887</v>
      </c>
      <c r="BQ12" s="73">
        <f t="shared" ref="BQ12:BS12" si="24">SUBTOTAL(9,BQ6:BQ10)</f>
        <v>684.10813650615955</v>
      </c>
      <c r="BR12" s="73">
        <f t="shared" si="24"/>
        <v>759.39151539452462</v>
      </c>
      <c r="BS12" s="74">
        <f t="shared" si="24"/>
        <v>749.5464576105154</v>
      </c>
      <c r="BT12" s="73">
        <f t="shared" si="23"/>
        <v>0</v>
      </c>
      <c r="BU12" s="73">
        <f t="shared" si="23"/>
        <v>85.940640025582894</v>
      </c>
      <c r="BV12" s="73">
        <f>SUBTOTAL(9,BV6:BV10)</f>
        <v>65.85885809328272</v>
      </c>
      <c r="BW12" s="73">
        <f t="shared" si="23"/>
        <v>16.971890850000001</v>
      </c>
      <c r="BX12" s="73">
        <f t="shared" ref="BX12:CG12" si="25">SUBTOTAL(9,BX6:BX10)</f>
        <v>17.65694534</v>
      </c>
      <c r="BY12" s="73">
        <f t="shared" si="25"/>
        <v>-0.2</v>
      </c>
      <c r="BZ12" s="74">
        <f t="shared" si="25"/>
        <v>0</v>
      </c>
      <c r="CA12" s="70">
        <f t="shared" si="25"/>
        <v>10804.286999999998</v>
      </c>
      <c r="CB12" s="70">
        <f t="shared" si="25"/>
        <v>10414.257999999991</v>
      </c>
      <c r="CC12" s="70">
        <f>SUBTOTAL(9,CC6:CC10)</f>
        <v>11085.182999999999</v>
      </c>
      <c r="CD12" s="70">
        <f t="shared" si="25"/>
        <v>11069.145</v>
      </c>
      <c r="CE12" s="70">
        <f t="shared" si="25"/>
        <v>11099.901999999991</v>
      </c>
      <c r="CF12" s="70">
        <f t="shared" si="25"/>
        <v>10845.688</v>
      </c>
      <c r="CG12" s="71">
        <f t="shared" si="25"/>
        <v>11737.611999999999</v>
      </c>
    </row>
    <row r="13" spans="1:104" ht="16.5" thickTop="1" x14ac:dyDescent="0.25">
      <c r="B13" s="58"/>
    </row>
    <row r="14" spans="1:104" x14ac:dyDescent="0.25">
      <c r="P14" s="215" t="s">
        <v>63</v>
      </c>
      <c r="Q14" s="215"/>
      <c r="R14" s="215"/>
      <c r="S14" s="215"/>
      <c r="V14" s="125" t="s">
        <v>50</v>
      </c>
      <c r="W14" s="125"/>
      <c r="X14" s="125"/>
      <c r="Y14" s="125"/>
      <c r="Z14" s="125"/>
      <c r="AA14" s="125"/>
      <c r="AB14" s="125"/>
      <c r="AC14" s="125"/>
      <c r="AD14" s="125"/>
      <c r="AE14" s="125"/>
      <c r="AF14" s="125" t="s">
        <v>51</v>
      </c>
      <c r="AG14" s="125"/>
      <c r="AH14" s="125"/>
      <c r="AI14" s="125"/>
      <c r="AJ14" s="125"/>
      <c r="AK14" s="125"/>
      <c r="AL14" s="125"/>
      <c r="AM14" s="125"/>
      <c r="AN14" s="125"/>
    </row>
    <row r="15" spans="1:104" x14ac:dyDescent="0.25">
      <c r="P15" s="215"/>
      <c r="Q15" s="215"/>
      <c r="R15" s="215"/>
      <c r="S15" s="215"/>
      <c r="CB15" s="58"/>
      <c r="CC15" s="58"/>
      <c r="CD15" s="58"/>
      <c r="CE15" s="58"/>
      <c r="CF15" s="58"/>
    </row>
    <row r="16" spans="1:104" x14ac:dyDescent="0.25">
      <c r="P16" s="215"/>
      <c r="Q16" s="215"/>
      <c r="R16" s="215"/>
      <c r="S16" s="215"/>
      <c r="CB16" s="58"/>
      <c r="CC16" s="58"/>
      <c r="CD16" s="58"/>
      <c r="CE16" s="58"/>
      <c r="CF16" s="58"/>
    </row>
    <row r="17" spans="1:104" x14ac:dyDescent="0.25">
      <c r="P17" s="215"/>
      <c r="Q17" s="215"/>
      <c r="R17" s="215"/>
      <c r="S17" s="215"/>
      <c r="CB17" s="58"/>
      <c r="CC17" s="58"/>
      <c r="CD17" s="58"/>
      <c r="CE17" s="58"/>
      <c r="CF17" s="58"/>
    </row>
    <row r="18" spans="1:104" x14ac:dyDescent="0.25">
      <c r="P18" s="215"/>
      <c r="Q18" s="215"/>
      <c r="R18" s="215"/>
      <c r="S18" s="215"/>
      <c r="AK18" s="124"/>
      <c r="AL18" s="124"/>
      <c r="AM18" s="124"/>
      <c r="AN18" s="124"/>
      <c r="AO18" s="124"/>
      <c r="AP18" s="124"/>
      <c r="AQ18" s="124"/>
      <c r="CB18" s="58"/>
      <c r="CC18" s="58"/>
      <c r="CD18" s="58"/>
      <c r="CE18" s="58"/>
      <c r="CF18" s="58"/>
    </row>
    <row r="19" spans="1:104" x14ac:dyDescent="0.25">
      <c r="A19" s="159" t="s">
        <v>132</v>
      </c>
      <c r="AD19" s="182">
        <v>1</v>
      </c>
      <c r="AE19" s="182">
        <v>1.0209999999999999</v>
      </c>
      <c r="AF19" s="182">
        <v>1.0383569999999998</v>
      </c>
      <c r="AG19" s="182">
        <v>1.0767762089999997</v>
      </c>
      <c r="AH19" s="182">
        <v>1.1069259428519997</v>
      </c>
      <c r="AI19" s="182">
        <v>1.1567376102803397</v>
      </c>
      <c r="AJ19" s="182">
        <v>1.201850377081273</v>
      </c>
      <c r="AK19" s="182">
        <v>1</v>
      </c>
      <c r="AL19" s="182">
        <v>1.0209999999999999</v>
      </c>
      <c r="AM19" s="182">
        <v>1.0383569999999998</v>
      </c>
      <c r="AN19" s="182">
        <v>1.0767762089999997</v>
      </c>
      <c r="AO19" s="182">
        <v>1.1069259428519997</v>
      </c>
      <c r="AP19" s="182">
        <v>1.1567376102803397</v>
      </c>
      <c r="AQ19" s="182">
        <v>1.201850377081273</v>
      </c>
      <c r="AR19" s="127"/>
      <c r="AS19" s="127"/>
      <c r="AT19" s="127"/>
      <c r="AU19" s="127"/>
      <c r="AV19" s="127"/>
      <c r="AW19" s="127"/>
      <c r="AX19" s="127"/>
      <c r="BT19" s="182">
        <v>1</v>
      </c>
      <c r="BU19" s="182">
        <v>1.0209999999999999</v>
      </c>
      <c r="BV19" s="182">
        <v>1.0383569999999998</v>
      </c>
      <c r="BW19" s="182">
        <v>1.0767762089999997</v>
      </c>
      <c r="BX19" s="182">
        <v>1.1069259428519997</v>
      </c>
      <c r="BY19" s="182">
        <v>1.1567376102803397</v>
      </c>
      <c r="BZ19" s="182">
        <v>1.201850377081273</v>
      </c>
      <c r="CB19" s="58"/>
      <c r="CC19" s="58"/>
      <c r="CD19" s="58"/>
      <c r="CE19" s="58"/>
      <c r="CF19" s="58"/>
    </row>
    <row r="20" spans="1:104" x14ac:dyDescent="0.25">
      <c r="A20" s="106" t="s">
        <v>134</v>
      </c>
      <c r="B20" s="160"/>
      <c r="C20" s="160"/>
      <c r="D20" s="160"/>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row>
    <row r="21" spans="1:104" x14ac:dyDescent="0.25">
      <c r="A21" s="106"/>
      <c r="B21" s="160"/>
      <c r="C21" s="160"/>
      <c r="D21" s="160"/>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row>
    <row r="22" spans="1:104" s="48" customFormat="1" ht="40.9" customHeight="1" x14ac:dyDescent="0.25">
      <c r="A22" s="162"/>
      <c r="B22" s="216" t="s">
        <v>1</v>
      </c>
      <c r="C22" s="210"/>
      <c r="D22" s="210"/>
      <c r="E22" s="210"/>
      <c r="F22" s="210"/>
      <c r="G22" s="210"/>
      <c r="H22" s="211"/>
      <c r="I22" s="212" t="s">
        <v>29</v>
      </c>
      <c r="J22" s="213"/>
      <c r="K22" s="213"/>
      <c r="L22" s="213"/>
      <c r="M22" s="213"/>
      <c r="N22" s="213"/>
      <c r="O22" s="214"/>
      <c r="P22" s="216" t="s">
        <v>2</v>
      </c>
      <c r="Q22" s="210"/>
      <c r="R22" s="210"/>
      <c r="S22" s="210"/>
      <c r="T22" s="210"/>
      <c r="U22" s="210"/>
      <c r="V22" s="211"/>
      <c r="W22" s="212" t="s">
        <v>8</v>
      </c>
      <c r="X22" s="213"/>
      <c r="Y22" s="213"/>
      <c r="Z22" s="213"/>
      <c r="AA22" s="213"/>
      <c r="AB22" s="213"/>
      <c r="AC22" s="214"/>
      <c r="AD22" s="216" t="s">
        <v>21</v>
      </c>
      <c r="AE22" s="210"/>
      <c r="AF22" s="210"/>
      <c r="AG22" s="210"/>
      <c r="AH22" s="210"/>
      <c r="AI22" s="210"/>
      <c r="AJ22" s="211"/>
      <c r="AK22" s="216" t="s">
        <v>4</v>
      </c>
      <c r="AL22" s="210"/>
      <c r="AM22" s="210"/>
      <c r="AN22" s="210"/>
      <c r="AO22" s="210"/>
      <c r="AP22" s="210"/>
      <c r="AQ22" s="211"/>
      <c r="AR22" s="212" t="s">
        <v>9</v>
      </c>
      <c r="AS22" s="213"/>
      <c r="AT22" s="213"/>
      <c r="AU22" s="213"/>
      <c r="AV22" s="213"/>
      <c r="AW22" s="213"/>
      <c r="AX22" s="214"/>
      <c r="AY22" s="212" t="s">
        <v>28</v>
      </c>
      <c r="AZ22" s="213"/>
      <c r="BA22" s="213"/>
      <c r="BB22" s="213"/>
      <c r="BC22" s="213"/>
      <c r="BD22" s="213"/>
      <c r="BE22" s="213"/>
      <c r="BF22" s="212" t="s">
        <v>135</v>
      </c>
      <c r="BG22" s="213"/>
      <c r="BH22" s="213"/>
      <c r="BI22" s="213"/>
      <c r="BJ22" s="213"/>
      <c r="BK22" s="213"/>
      <c r="BL22" s="213"/>
      <c r="BM22" s="212" t="s">
        <v>136</v>
      </c>
      <c r="BN22" s="213"/>
      <c r="BO22" s="213"/>
      <c r="BP22" s="213"/>
      <c r="BQ22" s="213"/>
      <c r="BR22" s="213"/>
      <c r="BS22" s="214" t="s">
        <v>6</v>
      </c>
      <c r="BT22" s="210" t="s">
        <v>7</v>
      </c>
      <c r="BU22" s="210"/>
      <c r="BV22" s="210"/>
      <c r="BW22" s="210"/>
      <c r="BX22" s="210"/>
      <c r="BY22" s="210"/>
      <c r="BZ22" s="211"/>
      <c r="CA22" s="210" t="s">
        <v>34</v>
      </c>
      <c r="CB22" s="210"/>
      <c r="CC22" s="210"/>
      <c r="CD22" s="210"/>
      <c r="CE22" s="210"/>
      <c r="CF22" s="210"/>
      <c r="CG22" s="211"/>
    </row>
    <row r="23" spans="1:104" s="75" customFormat="1" x14ac:dyDescent="0.25">
      <c r="A23" s="82"/>
      <c r="B23" s="80" t="s">
        <v>11</v>
      </c>
      <c r="C23" s="81" t="s">
        <v>12</v>
      </c>
      <c r="D23" s="81" t="s">
        <v>13</v>
      </c>
      <c r="E23" s="81" t="s">
        <v>14</v>
      </c>
      <c r="F23" s="87" t="s">
        <v>36</v>
      </c>
      <c r="G23" s="87" t="s">
        <v>64</v>
      </c>
      <c r="H23" s="88" t="s">
        <v>65</v>
      </c>
      <c r="I23" s="83" t="s">
        <v>11</v>
      </c>
      <c r="J23" s="84" t="s">
        <v>12</v>
      </c>
      <c r="K23" s="84" t="s">
        <v>13</v>
      </c>
      <c r="L23" s="84" t="s">
        <v>14</v>
      </c>
      <c r="M23" s="87" t="s">
        <v>36</v>
      </c>
      <c r="N23" s="87" t="s">
        <v>64</v>
      </c>
      <c r="O23" s="88" t="s">
        <v>65</v>
      </c>
      <c r="P23" s="80" t="s">
        <v>11</v>
      </c>
      <c r="Q23" s="81" t="s">
        <v>12</v>
      </c>
      <c r="R23" s="81" t="s">
        <v>13</v>
      </c>
      <c r="S23" s="81" t="s">
        <v>14</v>
      </c>
      <c r="T23" s="87" t="s">
        <v>36</v>
      </c>
      <c r="U23" s="87" t="s">
        <v>64</v>
      </c>
      <c r="V23" s="88" t="s">
        <v>65</v>
      </c>
      <c r="W23" s="83" t="s">
        <v>11</v>
      </c>
      <c r="X23" s="84" t="s">
        <v>12</v>
      </c>
      <c r="Y23" s="84" t="s">
        <v>13</v>
      </c>
      <c r="Z23" s="84" t="s">
        <v>14</v>
      </c>
      <c r="AA23" s="87" t="s">
        <v>36</v>
      </c>
      <c r="AB23" s="87" t="s">
        <v>64</v>
      </c>
      <c r="AC23" s="88" t="s">
        <v>65</v>
      </c>
      <c r="AD23" s="80" t="s">
        <v>11</v>
      </c>
      <c r="AE23" s="81" t="s">
        <v>12</v>
      </c>
      <c r="AF23" s="81" t="s">
        <v>13</v>
      </c>
      <c r="AG23" s="81" t="s">
        <v>14</v>
      </c>
      <c r="AH23" s="87" t="s">
        <v>36</v>
      </c>
      <c r="AI23" s="87" t="s">
        <v>64</v>
      </c>
      <c r="AJ23" s="88" t="s">
        <v>65</v>
      </c>
      <c r="AK23" s="80" t="s">
        <v>11</v>
      </c>
      <c r="AL23" s="81" t="s">
        <v>12</v>
      </c>
      <c r="AM23" s="81" t="s">
        <v>13</v>
      </c>
      <c r="AN23" s="81" t="s">
        <v>14</v>
      </c>
      <c r="AO23" s="81" t="s">
        <v>36</v>
      </c>
      <c r="AP23" s="81" t="s">
        <v>64</v>
      </c>
      <c r="AQ23" s="81" t="s">
        <v>65</v>
      </c>
      <c r="AR23" s="83" t="s">
        <v>11</v>
      </c>
      <c r="AS23" s="84" t="s">
        <v>12</v>
      </c>
      <c r="AT23" s="84" t="s">
        <v>13</v>
      </c>
      <c r="AU23" s="84" t="s">
        <v>14</v>
      </c>
      <c r="AV23" s="81" t="s">
        <v>36</v>
      </c>
      <c r="AW23" s="81" t="s">
        <v>64</v>
      </c>
      <c r="AX23" s="81" t="s">
        <v>65</v>
      </c>
      <c r="AY23" s="83" t="s">
        <v>11</v>
      </c>
      <c r="AZ23" s="84" t="s">
        <v>12</v>
      </c>
      <c r="BA23" s="84" t="s">
        <v>13</v>
      </c>
      <c r="BB23" s="84" t="s">
        <v>14</v>
      </c>
      <c r="BC23" s="87" t="s">
        <v>36</v>
      </c>
      <c r="BD23" s="87" t="s">
        <v>64</v>
      </c>
      <c r="BE23" s="88" t="s">
        <v>65</v>
      </c>
      <c r="BF23" s="80" t="s">
        <v>11</v>
      </c>
      <c r="BG23" s="81" t="s">
        <v>12</v>
      </c>
      <c r="BH23" s="81" t="s">
        <v>13</v>
      </c>
      <c r="BI23" s="81" t="s">
        <v>14</v>
      </c>
      <c r="BJ23" s="87" t="s">
        <v>36</v>
      </c>
      <c r="BK23" s="87" t="s">
        <v>64</v>
      </c>
      <c r="BL23" s="87" t="s">
        <v>65</v>
      </c>
      <c r="BM23" s="80" t="s">
        <v>11</v>
      </c>
      <c r="BN23" s="81" t="s">
        <v>12</v>
      </c>
      <c r="BO23" s="81" t="s">
        <v>13</v>
      </c>
      <c r="BP23" s="81" t="s">
        <v>14</v>
      </c>
      <c r="BQ23" s="87" t="s">
        <v>36</v>
      </c>
      <c r="BR23" s="87" t="s">
        <v>64</v>
      </c>
      <c r="BS23" s="88" t="s">
        <v>65</v>
      </c>
      <c r="BT23" s="81" t="s">
        <v>11</v>
      </c>
      <c r="BU23" s="81" t="s">
        <v>12</v>
      </c>
      <c r="BV23" s="81" t="s">
        <v>13</v>
      </c>
      <c r="BW23" s="81" t="s">
        <v>14</v>
      </c>
      <c r="BX23" s="87" t="s">
        <v>36</v>
      </c>
      <c r="BY23" s="87" t="s">
        <v>64</v>
      </c>
      <c r="BZ23" s="88" t="s">
        <v>65</v>
      </c>
      <c r="CA23" s="81" t="s">
        <v>11</v>
      </c>
      <c r="CB23" s="81" t="s">
        <v>12</v>
      </c>
      <c r="CC23" s="81" t="s">
        <v>13</v>
      </c>
      <c r="CD23" s="81" t="s">
        <v>14</v>
      </c>
      <c r="CE23" s="87" t="s">
        <v>36</v>
      </c>
      <c r="CF23" s="87" t="s">
        <v>64</v>
      </c>
      <c r="CG23" s="88" t="s">
        <v>65</v>
      </c>
    </row>
    <row r="24" spans="1:104" x14ac:dyDescent="0.25">
      <c r="A24" s="163" t="s">
        <v>23</v>
      </c>
      <c r="B24" s="164"/>
      <c r="C24" s="164"/>
      <c r="D24" s="164"/>
      <c r="E24" s="165"/>
      <c r="F24" s="165"/>
      <c r="G24" s="165"/>
      <c r="H24" s="166"/>
      <c r="I24" s="167" t="str">
        <f>IFERROR(+B24/$B24*100,"")</f>
        <v/>
      </c>
      <c r="J24" s="167" t="str">
        <f t="shared" ref="J24:O24" si="26">IFERROR(+C24/$B24*100,"")</f>
        <v/>
      </c>
      <c r="K24" s="167" t="str">
        <f t="shared" si="26"/>
        <v/>
      </c>
      <c r="L24" s="167" t="str">
        <f t="shared" si="26"/>
        <v/>
      </c>
      <c r="M24" s="167" t="str">
        <f t="shared" si="26"/>
        <v/>
      </c>
      <c r="N24" s="167" t="str">
        <f t="shared" si="26"/>
        <v/>
      </c>
      <c r="O24" s="186" t="str">
        <f t="shared" si="26"/>
        <v/>
      </c>
      <c r="P24" s="164"/>
      <c r="Q24" s="164"/>
      <c r="R24" s="164"/>
      <c r="S24" s="165"/>
      <c r="T24" s="165"/>
      <c r="U24" s="165"/>
      <c r="V24" s="166"/>
      <c r="W24" s="184" t="str">
        <f t="shared" ref="W24:W29" si="27">IFERROR(+P24/$P24*100,"")</f>
        <v/>
      </c>
      <c r="X24" s="184" t="str">
        <f t="shared" ref="X24:X29" si="28">IFERROR(+Q24/$P24*100,"")</f>
        <v/>
      </c>
      <c r="Y24" s="184" t="str">
        <f t="shared" ref="Y24:Y29" si="29">IFERROR(+R24/$P24*100,"")</f>
        <v/>
      </c>
      <c r="Z24" s="184" t="str">
        <f t="shared" ref="Z24:Z29" si="30">IFERROR(+S24/$P24*100,"")</f>
        <v/>
      </c>
      <c r="AA24" s="184" t="str">
        <f t="shared" ref="AA24:AA29" si="31">IFERROR(+T24/$P24*100,"")</f>
        <v/>
      </c>
      <c r="AB24" s="184" t="str">
        <f t="shared" ref="AB24:AB29" si="32">IFERROR(+U24/$P24*100,"")</f>
        <v/>
      </c>
      <c r="AC24" s="187" t="str">
        <f t="shared" ref="AC24:AC29" si="33">IFERROR(+V24/$P24*100,"")</f>
        <v/>
      </c>
      <c r="AD24" s="168"/>
      <c r="AE24" s="168"/>
      <c r="AF24" s="168"/>
      <c r="AG24" s="169"/>
      <c r="AH24" s="169"/>
      <c r="AI24" s="169"/>
      <c r="AJ24" s="170"/>
      <c r="AK24" s="168"/>
      <c r="AL24" s="168"/>
      <c r="AM24" s="168"/>
      <c r="AN24" s="168"/>
      <c r="AO24" s="168"/>
      <c r="AP24" s="168"/>
      <c r="AQ24" s="170"/>
      <c r="AR24" s="185" t="str">
        <f t="shared" ref="AR24:AX30" si="34">IFERROR(AK24*1000000/B24,"")</f>
        <v/>
      </c>
      <c r="AS24" s="185" t="str">
        <f t="shared" si="34"/>
        <v/>
      </c>
      <c r="AT24" s="185" t="str">
        <f t="shared" si="34"/>
        <v/>
      </c>
      <c r="AU24" s="185" t="str">
        <f t="shared" si="34"/>
        <v/>
      </c>
      <c r="AV24" s="185" t="str">
        <f t="shared" si="34"/>
        <v/>
      </c>
      <c r="AW24" s="185" t="str">
        <f t="shared" si="34"/>
        <v/>
      </c>
      <c r="AX24" s="189" t="str">
        <f t="shared" si="34"/>
        <v/>
      </c>
      <c r="AY24" s="167" t="str">
        <f>+IFERROR(+AR24/$AR24*100,"")</f>
        <v/>
      </c>
      <c r="AZ24" s="167" t="str">
        <f t="shared" ref="AZ24:BE29" si="35">+IFERROR(+AS24/$AR24*100,"")</f>
        <v/>
      </c>
      <c r="BA24" s="167" t="str">
        <f t="shared" si="35"/>
        <v/>
      </c>
      <c r="BB24" s="167" t="str">
        <f t="shared" si="35"/>
        <v/>
      </c>
      <c r="BC24" s="167" t="str">
        <f t="shared" si="35"/>
        <v/>
      </c>
      <c r="BD24" s="167" t="str">
        <f t="shared" si="35"/>
        <v/>
      </c>
      <c r="BE24" s="186" t="str">
        <f t="shared" si="35"/>
        <v/>
      </c>
      <c r="BF24" s="171" t="str">
        <f>+IFERROR(AD24/#REF!,"")</f>
        <v/>
      </c>
      <c r="BG24" s="171" t="str">
        <f>+IFERROR(AE24/#REF!,"")</f>
        <v/>
      </c>
      <c r="BH24" s="171" t="str">
        <f>+IFERROR(AF24/#REF!,"")</f>
        <v/>
      </c>
      <c r="BI24" s="171" t="str">
        <f>+IFERROR(AG24/#REF!,"")</f>
        <v/>
      </c>
      <c r="BJ24" s="171" t="str">
        <f>+IFERROR(AH24/#REF!,"")</f>
        <v/>
      </c>
      <c r="BK24" s="171" t="str">
        <f>+IFERROR(AI24/#REF!,"")</f>
        <v/>
      </c>
      <c r="BL24" s="197" t="str">
        <f>+IFERROR(AJ24/#REF!,"")</f>
        <v/>
      </c>
      <c r="BM24" s="198">
        <f>+AK24-AD24-BT24</f>
        <v>0</v>
      </c>
      <c r="BN24" s="168">
        <f t="shared" ref="BN24:BS29" si="36">+AL24-AE24-BU24</f>
        <v>0</v>
      </c>
      <c r="BO24" s="168">
        <f t="shared" si="36"/>
        <v>0</v>
      </c>
      <c r="BP24" s="168">
        <f t="shared" si="36"/>
        <v>0</v>
      </c>
      <c r="BQ24" s="168">
        <f t="shared" si="36"/>
        <v>0</v>
      </c>
      <c r="BR24" s="168">
        <f t="shared" si="36"/>
        <v>0</v>
      </c>
      <c r="BS24" s="176">
        <f t="shared" si="36"/>
        <v>0</v>
      </c>
      <c r="BT24" s="173"/>
      <c r="BU24" s="172"/>
      <c r="BV24" s="172"/>
      <c r="BW24" s="168"/>
      <c r="BX24" s="168"/>
      <c r="BY24" s="168"/>
      <c r="BZ24" s="170"/>
      <c r="CA24" s="173"/>
      <c r="CB24" s="172"/>
      <c r="CC24" s="172"/>
      <c r="CD24" s="168"/>
      <c r="CE24" s="168"/>
      <c r="CF24" s="168"/>
      <c r="CG24" s="170"/>
      <c r="CY24" s="58"/>
      <c r="CZ24" s="58"/>
    </row>
    <row r="25" spans="1:104" x14ac:dyDescent="0.25">
      <c r="A25" s="163" t="s">
        <v>27</v>
      </c>
      <c r="B25" s="164">
        <f>+B7</f>
        <v>0</v>
      </c>
      <c r="C25" s="164">
        <f t="shared" ref="C25:H25" si="37">+C7</f>
        <v>0</v>
      </c>
      <c r="D25" s="164">
        <f t="shared" si="37"/>
        <v>0</v>
      </c>
      <c r="E25" s="164">
        <f t="shared" si="37"/>
        <v>42130</v>
      </c>
      <c r="F25" s="164">
        <f t="shared" si="37"/>
        <v>68095</v>
      </c>
      <c r="G25" s="164">
        <f t="shared" si="37"/>
        <v>71818.14</v>
      </c>
      <c r="H25" s="174">
        <f t="shared" si="37"/>
        <v>73080</v>
      </c>
      <c r="I25" s="167" t="str">
        <f t="shared" ref="I25:I29" si="38">IFERROR(+B25/$B25*100,"")</f>
        <v/>
      </c>
      <c r="J25" s="167" t="str">
        <f t="shared" ref="J25:J29" si="39">IFERROR(+C25/$B25*100,"")</f>
        <v/>
      </c>
      <c r="K25" s="167" t="str">
        <f t="shared" ref="K25:K29" si="40">IFERROR(+D25/$B25*100,"")</f>
        <v/>
      </c>
      <c r="L25" s="167" t="str">
        <f t="shared" ref="L25:L29" si="41">IFERROR(+E25/$B25*100,"")</f>
        <v/>
      </c>
      <c r="M25" s="167" t="str">
        <f t="shared" ref="M25:M29" si="42">IFERROR(+F25/$B25*100,"")</f>
        <v/>
      </c>
      <c r="N25" s="167" t="str">
        <f t="shared" ref="N25:N29" si="43">IFERROR(+G25/$B25*100,"")</f>
        <v/>
      </c>
      <c r="O25" s="175" t="str">
        <f t="shared" ref="O25:O29" si="44">IFERROR(+H25/$B25*100,"")</f>
        <v/>
      </c>
      <c r="P25" s="164">
        <f>+P7</f>
        <v>0</v>
      </c>
      <c r="Q25" s="164">
        <f t="shared" ref="Q25:V25" si="45">+Q7</f>
        <v>0</v>
      </c>
      <c r="R25" s="164">
        <f t="shared" si="45"/>
        <v>0</v>
      </c>
      <c r="S25" s="164">
        <f t="shared" si="45"/>
        <v>3278000</v>
      </c>
      <c r="T25" s="164">
        <f t="shared" si="45"/>
        <v>5809000</v>
      </c>
      <c r="U25" s="164">
        <f t="shared" si="45"/>
        <v>6937000</v>
      </c>
      <c r="V25" s="174">
        <f t="shared" si="45"/>
        <v>7100000</v>
      </c>
      <c r="W25" s="184" t="str">
        <f t="shared" si="27"/>
        <v/>
      </c>
      <c r="X25" s="184" t="str">
        <f t="shared" si="28"/>
        <v/>
      </c>
      <c r="Y25" s="184" t="str">
        <f t="shared" si="29"/>
        <v/>
      </c>
      <c r="Z25" s="184" t="str">
        <f t="shared" si="30"/>
        <v/>
      </c>
      <c r="AA25" s="184" t="str">
        <f t="shared" si="31"/>
        <v/>
      </c>
      <c r="AB25" s="184" t="str">
        <f t="shared" si="32"/>
        <v/>
      </c>
      <c r="AC25" s="188" t="str">
        <f t="shared" si="33"/>
        <v/>
      </c>
      <c r="AD25" s="164">
        <f>+AD7/$AD$19</f>
        <v>0</v>
      </c>
      <c r="AE25" s="164">
        <f>+AE7/$AE$19</f>
        <v>0</v>
      </c>
      <c r="AF25" s="164">
        <f>+AF7/$AF$19</f>
        <v>0</v>
      </c>
      <c r="AG25" s="164">
        <f>+AG7/$AG$19</f>
        <v>24.610499171977903</v>
      </c>
      <c r="AH25" s="164">
        <f>+AH7/$AH$19</f>
        <v>46.789274083284205</v>
      </c>
      <c r="AI25" s="164">
        <f>+AI7/$AI$19</f>
        <v>49.19006652356542</v>
      </c>
      <c r="AJ25" s="174">
        <f>+AJ7/$AJ$19</f>
        <v>49.090969329545942</v>
      </c>
      <c r="AK25" s="164">
        <f>+AK7/AK$19</f>
        <v>0</v>
      </c>
      <c r="AL25" s="164">
        <f t="shared" ref="AL25:AQ25" si="46">+AL7/AL$19</f>
        <v>0</v>
      </c>
      <c r="AM25" s="164">
        <f t="shared" si="46"/>
        <v>0</v>
      </c>
      <c r="AN25" s="164">
        <f t="shared" si="46"/>
        <v>0</v>
      </c>
      <c r="AO25" s="164">
        <f t="shared" si="46"/>
        <v>0</v>
      </c>
      <c r="AP25" s="164">
        <f t="shared" si="46"/>
        <v>0</v>
      </c>
      <c r="AQ25" s="174">
        <f t="shared" si="46"/>
        <v>0</v>
      </c>
      <c r="AR25" s="185" t="str">
        <f t="shared" si="34"/>
        <v/>
      </c>
      <c r="AS25" s="185" t="str">
        <f t="shared" si="34"/>
        <v/>
      </c>
      <c r="AT25" s="185" t="str">
        <f t="shared" si="34"/>
        <v/>
      </c>
      <c r="AU25" s="185">
        <f t="shared" si="34"/>
        <v>0</v>
      </c>
      <c r="AV25" s="185">
        <f t="shared" si="34"/>
        <v>0</v>
      </c>
      <c r="AW25" s="185">
        <f t="shared" si="34"/>
        <v>0</v>
      </c>
      <c r="AX25" s="190">
        <f t="shared" si="34"/>
        <v>0</v>
      </c>
      <c r="AY25" s="167" t="str">
        <f t="shared" ref="AY25:AY29" si="47">+IFERROR(+AR25/$AR25*100,"")</f>
        <v/>
      </c>
      <c r="AZ25" s="167" t="str">
        <f t="shared" si="35"/>
        <v/>
      </c>
      <c r="BA25" s="167" t="str">
        <f t="shared" si="35"/>
        <v/>
      </c>
      <c r="BB25" s="167" t="str">
        <f t="shared" si="35"/>
        <v/>
      </c>
      <c r="BC25" s="167" t="str">
        <f t="shared" si="35"/>
        <v/>
      </c>
      <c r="BD25" s="167" t="str">
        <f t="shared" si="35"/>
        <v/>
      </c>
      <c r="BE25" s="175" t="str">
        <f t="shared" si="35"/>
        <v/>
      </c>
      <c r="BF25" s="171" t="str">
        <f>IFERROR(+AD25/AK25,"")</f>
        <v/>
      </c>
      <c r="BG25" s="171" t="str">
        <f t="shared" ref="BG25:BL25" si="48">IFERROR(+AE25/AL25,"")</f>
        <v/>
      </c>
      <c r="BH25" s="171" t="str">
        <f t="shared" si="48"/>
        <v/>
      </c>
      <c r="BI25" s="171" t="str">
        <f t="shared" si="48"/>
        <v/>
      </c>
      <c r="BJ25" s="171" t="str">
        <f t="shared" si="48"/>
        <v/>
      </c>
      <c r="BK25" s="171" t="str">
        <f t="shared" si="48"/>
        <v/>
      </c>
      <c r="BL25" s="171" t="str">
        <f t="shared" si="48"/>
        <v/>
      </c>
      <c r="BM25" s="198">
        <f t="shared" ref="BM25:BM29" si="49">+AK25-AD25-BT25</f>
        <v>0</v>
      </c>
      <c r="BN25" s="168">
        <f t="shared" si="36"/>
        <v>0</v>
      </c>
      <c r="BO25" s="168">
        <f t="shared" si="36"/>
        <v>0</v>
      </c>
      <c r="BP25" s="168">
        <f t="shared" si="36"/>
        <v>-24.610499171977903</v>
      </c>
      <c r="BQ25" s="168">
        <f t="shared" si="36"/>
        <v>-46.789274083284205</v>
      </c>
      <c r="BR25" s="168">
        <f t="shared" si="36"/>
        <v>-49.19006652356542</v>
      </c>
      <c r="BS25" s="176">
        <f t="shared" si="36"/>
        <v>-49.090969329545942</v>
      </c>
      <c r="BT25" s="168">
        <f>+BT7/BT$19</f>
        <v>0</v>
      </c>
      <c r="BU25" s="168">
        <f t="shared" ref="BU25:BZ25" si="50">+BU7/BU$19</f>
        <v>0</v>
      </c>
      <c r="BV25" s="168">
        <f t="shared" si="50"/>
        <v>0</v>
      </c>
      <c r="BW25" s="168">
        <f t="shared" si="50"/>
        <v>0</v>
      </c>
      <c r="BX25" s="168">
        <f t="shared" si="50"/>
        <v>0</v>
      </c>
      <c r="BY25" s="168">
        <f t="shared" si="50"/>
        <v>0</v>
      </c>
      <c r="BZ25" s="176">
        <f t="shared" si="50"/>
        <v>0</v>
      </c>
      <c r="CA25" s="168">
        <f>+CA7</f>
        <v>0</v>
      </c>
      <c r="CB25" s="168">
        <f t="shared" ref="CB25:CG25" si="51">+CB7</f>
        <v>0</v>
      </c>
      <c r="CC25" s="168">
        <f t="shared" si="51"/>
        <v>0</v>
      </c>
      <c r="CD25" s="168">
        <f t="shared" si="51"/>
        <v>0</v>
      </c>
      <c r="CE25" s="168">
        <f t="shared" si="51"/>
        <v>0</v>
      </c>
      <c r="CF25" s="168">
        <f t="shared" si="51"/>
        <v>0</v>
      </c>
      <c r="CG25" s="176">
        <f t="shared" si="51"/>
        <v>0</v>
      </c>
      <c r="CY25" s="58"/>
      <c r="CZ25" s="58"/>
    </row>
    <row r="26" spans="1:104" x14ac:dyDescent="0.25">
      <c r="A26" s="163" t="s">
        <v>24</v>
      </c>
      <c r="B26" s="164">
        <f t="shared" ref="B26:H26" si="52">+B8</f>
        <v>76318</v>
      </c>
      <c r="C26" s="164">
        <f t="shared" si="52"/>
        <v>85955</v>
      </c>
      <c r="D26" s="164">
        <f t="shared" si="52"/>
        <v>95564</v>
      </c>
      <c r="E26" s="164">
        <f t="shared" si="52"/>
        <v>97239</v>
      </c>
      <c r="F26" s="164">
        <f t="shared" si="52"/>
        <v>107267.98333333334</v>
      </c>
      <c r="G26" s="164">
        <f t="shared" si="52"/>
        <v>108088</v>
      </c>
      <c r="H26" s="174">
        <f t="shared" si="52"/>
        <v>107312</v>
      </c>
      <c r="I26" s="167">
        <f t="shared" si="38"/>
        <v>100</v>
      </c>
      <c r="J26" s="167">
        <f t="shared" si="39"/>
        <v>112.62742734348386</v>
      </c>
      <c r="K26" s="167">
        <f t="shared" si="40"/>
        <v>125.21816609449934</v>
      </c>
      <c r="L26" s="167">
        <f t="shared" si="41"/>
        <v>127.41293010823134</v>
      </c>
      <c r="M26" s="167">
        <f t="shared" si="42"/>
        <v>140.55397590782428</v>
      </c>
      <c r="N26" s="167">
        <f t="shared" si="43"/>
        <v>141.62844938284547</v>
      </c>
      <c r="O26" s="175">
        <f t="shared" si="44"/>
        <v>140.61165124872247</v>
      </c>
      <c r="P26" s="164">
        <f t="shared" ref="P26:V26" si="53">+P8</f>
        <v>4991026</v>
      </c>
      <c r="Q26" s="164">
        <f t="shared" si="53"/>
        <v>3751938</v>
      </c>
      <c r="R26" s="164">
        <f t="shared" si="53"/>
        <v>4323094.9104373734</v>
      </c>
      <c r="S26" s="164">
        <f t="shared" si="53"/>
        <v>5908765.6026744414</v>
      </c>
      <c r="T26" s="164">
        <f t="shared" si="53"/>
        <v>6171526</v>
      </c>
      <c r="U26" s="164">
        <f t="shared" si="53"/>
        <v>6798000</v>
      </c>
      <c r="V26" s="174">
        <f t="shared" si="53"/>
        <v>6798000</v>
      </c>
      <c r="W26" s="184">
        <f t="shared" si="27"/>
        <v>100</v>
      </c>
      <c r="X26" s="184">
        <f t="shared" si="28"/>
        <v>75.173681723958168</v>
      </c>
      <c r="Y26" s="184">
        <f t="shared" si="29"/>
        <v>86.617359044761017</v>
      </c>
      <c r="Z26" s="184">
        <f t="shared" si="30"/>
        <v>118.38779446699819</v>
      </c>
      <c r="AA26" s="184">
        <f t="shared" si="31"/>
        <v>123.65245141980827</v>
      </c>
      <c r="AB26" s="184">
        <f t="shared" si="32"/>
        <v>136.20445976438512</v>
      </c>
      <c r="AC26" s="188">
        <f t="shared" si="33"/>
        <v>136.20445976438512</v>
      </c>
      <c r="AD26" s="164">
        <f t="shared" ref="AD26:AD29" si="54">+AD8/$AD$19</f>
        <v>67.5</v>
      </c>
      <c r="AE26" s="164">
        <f t="shared" ref="AE26:AE29" si="55">+AE8/$AE$19</f>
        <v>76.493633692458374</v>
      </c>
      <c r="AF26" s="164">
        <f t="shared" ref="AF26:AF29" si="56">+AF8/$AF$19</f>
        <v>90.912855597833911</v>
      </c>
      <c r="AG26" s="164">
        <f t="shared" ref="AG26:AG29" si="57">+AG8/$AG$19</f>
        <v>90.919542224024042</v>
      </c>
      <c r="AH26" s="164">
        <f t="shared" ref="AH26:AH29" si="58">+AH8/$AH$19</f>
        <v>92.508447074757271</v>
      </c>
      <c r="AI26" s="164">
        <f t="shared" ref="AI26:AI29" si="59">+AI8/$AI$19</f>
        <v>97.774982843853223</v>
      </c>
      <c r="AJ26" s="174">
        <f t="shared" ref="AJ26:AJ29" si="60">+AJ8/$AJ$19</f>
        <v>100.42847454366432</v>
      </c>
      <c r="AK26" s="164">
        <f t="shared" ref="AK26:AQ26" si="61">+AK8/AK$19</f>
        <v>272.60000000000002</v>
      </c>
      <c r="AL26" s="164">
        <f t="shared" si="61"/>
        <v>276.88540646425076</v>
      </c>
      <c r="AM26" s="164">
        <f t="shared" si="61"/>
        <v>314.05383697514446</v>
      </c>
      <c r="AN26" s="164">
        <f t="shared" si="61"/>
        <v>312.78551400460969</v>
      </c>
      <c r="AO26" s="164">
        <f t="shared" si="61"/>
        <v>330.64542606798005</v>
      </c>
      <c r="AP26" s="164">
        <f t="shared" si="61"/>
        <v>352.02451824948747</v>
      </c>
      <c r="AQ26" s="174">
        <f t="shared" si="61"/>
        <v>356.32388870236258</v>
      </c>
      <c r="AR26" s="185">
        <f t="shared" si="34"/>
        <v>3571.8965381692392</v>
      </c>
      <c r="AS26" s="185">
        <f t="shared" si="34"/>
        <v>3221.2833048019397</v>
      </c>
      <c r="AT26" s="185">
        <f t="shared" si="34"/>
        <v>3286.3195029000926</v>
      </c>
      <c r="AU26" s="185">
        <f t="shared" si="34"/>
        <v>3216.6673248862053</v>
      </c>
      <c r="AV26" s="185">
        <f t="shared" si="34"/>
        <v>3082.4241846749865</v>
      </c>
      <c r="AW26" s="185">
        <f t="shared" si="34"/>
        <v>3256.8325646647868</v>
      </c>
      <c r="AX26" s="190">
        <f t="shared" si="34"/>
        <v>3320.4477477109976</v>
      </c>
      <c r="AY26" s="167">
        <f t="shared" si="47"/>
        <v>100</v>
      </c>
      <c r="AZ26" s="167">
        <f t="shared" si="35"/>
        <v>90.184115647789596</v>
      </c>
      <c r="BA26" s="167">
        <f t="shared" si="35"/>
        <v>92.004890617142067</v>
      </c>
      <c r="BB26" s="167">
        <f t="shared" si="35"/>
        <v>90.054885143310869</v>
      </c>
      <c r="BC26" s="167">
        <f t="shared" si="35"/>
        <v>86.29656967205635</v>
      </c>
      <c r="BD26" s="167">
        <f t="shared" si="35"/>
        <v>91.179364515806014</v>
      </c>
      <c r="BE26" s="175">
        <f t="shared" si="35"/>
        <v>92.960356276525275</v>
      </c>
      <c r="BF26" s="171">
        <f t="shared" ref="BF26:BF29" si="62">IFERROR(+AD26/AK26,"")</f>
        <v>0.24761555392516504</v>
      </c>
      <c r="BG26" s="171">
        <f t="shared" ref="BG26:BG29" si="63">IFERROR(+AE26/AL26,"")</f>
        <v>0.27626459143968868</v>
      </c>
      <c r="BH26" s="171">
        <f t="shared" ref="BH26:BH29" si="64">IFERROR(+AF26/AM26,"")</f>
        <v>0.28948175406317084</v>
      </c>
      <c r="BI26" s="171">
        <f t="shared" ref="BI26:BI29" si="65">IFERROR(+AG26/AN26,"")</f>
        <v>0.29067695961995255</v>
      </c>
      <c r="BJ26" s="171">
        <f t="shared" ref="BJ26:BJ29" si="66">IFERROR(+AH26/AO26,"")</f>
        <v>0.27978142076502738</v>
      </c>
      <c r="BK26" s="171">
        <f t="shared" ref="BK26:BK29" si="67">IFERROR(+AI26/AP26,"")</f>
        <v>0.27775049115913558</v>
      </c>
      <c r="BL26" s="171">
        <f t="shared" ref="BL26:BL29" si="68">IFERROR(+AJ26/AQ26,"")</f>
        <v>0.28184603313967604</v>
      </c>
      <c r="BM26" s="198">
        <f t="shared" si="49"/>
        <v>205.10000000000002</v>
      </c>
      <c r="BN26" s="168">
        <f t="shared" si="36"/>
        <v>177.08129285014692</v>
      </c>
      <c r="BO26" s="168">
        <f t="shared" si="36"/>
        <v>204.93914905952388</v>
      </c>
      <c r="BP26" s="168">
        <f t="shared" si="36"/>
        <v>215.36508520685564</v>
      </c>
      <c r="BQ26" s="168">
        <f t="shared" si="36"/>
        <v>233.54317573760616</v>
      </c>
      <c r="BR26" s="168">
        <f t="shared" si="36"/>
        <v>254.24953540563425</v>
      </c>
      <c r="BS26" s="176">
        <f t="shared" si="36"/>
        <v>255.89541415869826</v>
      </c>
      <c r="BT26" s="168">
        <f t="shared" ref="BT26:BZ26" si="69">+BT8/BT$19</f>
        <v>0</v>
      </c>
      <c r="BU26" s="168">
        <f t="shared" si="69"/>
        <v>23.310479921645449</v>
      </c>
      <c r="BV26" s="168">
        <f t="shared" si="69"/>
        <v>18.201832317786661</v>
      </c>
      <c r="BW26" s="168">
        <f t="shared" si="69"/>
        <v>6.5008865737300123</v>
      </c>
      <c r="BX26" s="168">
        <f t="shared" si="69"/>
        <v>4.5938032556166082</v>
      </c>
      <c r="BY26" s="168">
        <f t="shared" si="69"/>
        <v>0</v>
      </c>
      <c r="BZ26" s="176">
        <f t="shared" si="69"/>
        <v>0</v>
      </c>
      <c r="CA26" s="168">
        <f t="shared" ref="CA26:CG26" si="70">+CA8</f>
        <v>0</v>
      </c>
      <c r="CB26" s="168">
        <f t="shared" si="70"/>
        <v>0</v>
      </c>
      <c r="CC26" s="168">
        <f t="shared" si="70"/>
        <v>0</v>
      </c>
      <c r="CD26" s="168">
        <f t="shared" si="70"/>
        <v>0</v>
      </c>
      <c r="CE26" s="168">
        <f t="shared" si="70"/>
        <v>0</v>
      </c>
      <c r="CF26" s="168">
        <f t="shared" si="70"/>
        <v>0</v>
      </c>
      <c r="CG26" s="176">
        <f t="shared" si="70"/>
        <v>0</v>
      </c>
      <c r="CY26" s="58"/>
      <c r="CZ26" s="58"/>
    </row>
    <row r="27" spans="1:104" x14ac:dyDescent="0.25">
      <c r="A27" s="163" t="s">
        <v>26</v>
      </c>
      <c r="B27" s="164">
        <f t="shared" ref="B27:H27" si="71">+B9</f>
        <v>151818</v>
      </c>
      <c r="C27" s="164">
        <f t="shared" si="71"/>
        <v>151573</v>
      </c>
      <c r="D27" s="164">
        <f t="shared" si="71"/>
        <v>158157</v>
      </c>
      <c r="E27" s="164">
        <f t="shared" si="71"/>
        <v>156802</v>
      </c>
      <c r="F27" s="164">
        <f t="shared" si="71"/>
        <v>154941</v>
      </c>
      <c r="G27" s="164">
        <f t="shared" si="71"/>
        <v>158844</v>
      </c>
      <c r="H27" s="174">
        <f t="shared" si="71"/>
        <v>163183</v>
      </c>
      <c r="I27" s="167">
        <f t="shared" si="38"/>
        <v>100</v>
      </c>
      <c r="J27" s="167">
        <f t="shared" si="39"/>
        <v>99.838622561224625</v>
      </c>
      <c r="K27" s="167">
        <f t="shared" si="40"/>
        <v>104.17539422202901</v>
      </c>
      <c r="L27" s="167">
        <f t="shared" si="41"/>
        <v>103.28287818308763</v>
      </c>
      <c r="M27" s="167">
        <f t="shared" si="42"/>
        <v>102.05706833181836</v>
      </c>
      <c r="N27" s="167">
        <f t="shared" si="43"/>
        <v>104.62790973402363</v>
      </c>
      <c r="O27" s="175">
        <f t="shared" si="44"/>
        <v>107.48593710890673</v>
      </c>
      <c r="P27" s="164">
        <f t="shared" ref="P27:V27" si="72">+P9</f>
        <v>9510459</v>
      </c>
      <c r="Q27" s="164">
        <f t="shared" si="72"/>
        <v>7498834</v>
      </c>
      <c r="R27" s="164">
        <f t="shared" si="72"/>
        <v>7739653</v>
      </c>
      <c r="S27" s="164">
        <f t="shared" si="72"/>
        <v>9458059</v>
      </c>
      <c r="T27" s="164">
        <f t="shared" si="72"/>
        <v>9786192.8401199989</v>
      </c>
      <c r="U27" s="164">
        <f t="shared" si="72"/>
        <v>9850000</v>
      </c>
      <c r="V27" s="174">
        <f t="shared" si="72"/>
        <v>10381875</v>
      </c>
      <c r="W27" s="184">
        <f t="shared" si="27"/>
        <v>100</v>
      </c>
      <c r="X27" s="184">
        <f t="shared" si="28"/>
        <v>78.84828692284988</v>
      </c>
      <c r="Y27" s="184">
        <f t="shared" si="29"/>
        <v>81.380436002089908</v>
      </c>
      <c r="Z27" s="184">
        <f t="shared" si="30"/>
        <v>99.449027644196775</v>
      </c>
      <c r="AA27" s="184">
        <f t="shared" si="31"/>
        <v>102.89926953178599</v>
      </c>
      <c r="AB27" s="184">
        <f t="shared" si="32"/>
        <v>103.57018520346915</v>
      </c>
      <c r="AC27" s="188">
        <f t="shared" si="33"/>
        <v>109.16271233596613</v>
      </c>
      <c r="AD27" s="164">
        <f t="shared" si="54"/>
        <v>177.57810888615171</v>
      </c>
      <c r="AE27" s="164">
        <f t="shared" si="55"/>
        <v>134.16325616785372</v>
      </c>
      <c r="AF27" s="164">
        <f t="shared" si="56"/>
        <v>155.21748328162056</v>
      </c>
      <c r="AG27" s="164">
        <f t="shared" si="57"/>
        <v>172.49905356146405</v>
      </c>
      <c r="AH27" s="164">
        <f t="shared" si="58"/>
        <v>186.27827655983469</v>
      </c>
      <c r="AI27" s="164">
        <f t="shared" si="59"/>
        <v>189.2759466380769</v>
      </c>
      <c r="AJ27" s="174">
        <f t="shared" si="60"/>
        <v>207.61704124537843</v>
      </c>
      <c r="AK27" s="164">
        <f t="shared" ref="AK27:AQ27" si="73">+AK9/AK$19</f>
        <v>494.11468875999992</v>
      </c>
      <c r="AL27" s="164">
        <f t="shared" si="73"/>
        <v>492.57490208618998</v>
      </c>
      <c r="AM27" s="164">
        <f t="shared" si="73"/>
        <v>509.41325157917765</v>
      </c>
      <c r="AN27" s="164">
        <f t="shared" si="73"/>
        <v>518.63515172631401</v>
      </c>
      <c r="AO27" s="164">
        <f t="shared" si="73"/>
        <v>526.65092682532281</v>
      </c>
      <c r="AP27" s="164">
        <f t="shared" si="73"/>
        <v>521.47804664216937</v>
      </c>
      <c r="AQ27" s="174">
        <f t="shared" si="73"/>
        <v>520.20337003582847</v>
      </c>
      <c r="AR27" s="185">
        <f t="shared" si="34"/>
        <v>3254.6515483012549</v>
      </c>
      <c r="AS27" s="185">
        <f t="shared" si="34"/>
        <v>3249.7535978451965</v>
      </c>
      <c r="AT27" s="185">
        <f t="shared" si="34"/>
        <v>3220.9339553682585</v>
      </c>
      <c r="AU27" s="185">
        <f t="shared" si="34"/>
        <v>3307.5799525918928</v>
      </c>
      <c r="AV27" s="185">
        <f t="shared" si="34"/>
        <v>3399.0417437948818</v>
      </c>
      <c r="AW27" s="185">
        <f t="shared" si="34"/>
        <v>3282.9571569726863</v>
      </c>
      <c r="AX27" s="190">
        <f t="shared" si="34"/>
        <v>3187.8527177207702</v>
      </c>
      <c r="AY27" s="167">
        <f t="shared" si="47"/>
        <v>100</v>
      </c>
      <c r="AZ27" s="167">
        <f t="shared" si="35"/>
        <v>99.849509221390704</v>
      </c>
      <c r="BA27" s="167">
        <f t="shared" si="35"/>
        <v>98.964018346277498</v>
      </c>
      <c r="BB27" s="167">
        <f t="shared" si="35"/>
        <v>101.6262387387757</v>
      </c>
      <c r="BC27" s="167">
        <f t="shared" si="35"/>
        <v>104.4364256311552</v>
      </c>
      <c r="BD27" s="167">
        <f t="shared" si="35"/>
        <v>100.86969705516418</v>
      </c>
      <c r="BE27" s="175">
        <f t="shared" si="35"/>
        <v>97.947588871215714</v>
      </c>
      <c r="BF27" s="171">
        <f t="shared" si="62"/>
        <v>0.35938641964235246</v>
      </c>
      <c r="BG27" s="171">
        <f t="shared" si="63"/>
        <v>0.27237127916918924</v>
      </c>
      <c r="BH27" s="171">
        <f t="shared" si="64"/>
        <v>0.30469855819503594</v>
      </c>
      <c r="BI27" s="171">
        <f t="shared" si="65"/>
        <v>0.33260193218158984</v>
      </c>
      <c r="BJ27" s="171">
        <f t="shared" si="66"/>
        <v>0.35370350088004049</v>
      </c>
      <c r="BK27" s="171">
        <f t="shared" si="67"/>
        <v>0.36296052701899317</v>
      </c>
      <c r="BL27" s="171">
        <f t="shared" si="68"/>
        <v>0.39910745143976867</v>
      </c>
      <c r="BM27" s="198">
        <f t="shared" si="49"/>
        <v>316.53657987384821</v>
      </c>
      <c r="BN27" s="168">
        <f t="shared" si="36"/>
        <v>314.9725517361619</v>
      </c>
      <c r="BO27" s="168">
        <f t="shared" si="36"/>
        <v>316.47135252340621</v>
      </c>
      <c r="BP27" s="168">
        <f t="shared" si="36"/>
        <v>339.28983727202592</v>
      </c>
      <c r="BQ27" s="168">
        <f t="shared" si="36"/>
        <v>331.72532801072384</v>
      </c>
      <c r="BR27" s="168">
        <f t="shared" si="36"/>
        <v>332.20210000409247</v>
      </c>
      <c r="BS27" s="176">
        <f t="shared" si="36"/>
        <v>312.58632879045001</v>
      </c>
      <c r="BT27" s="168">
        <f t="shared" ref="BT27:BZ27" si="74">+BT9/BT$19</f>
        <v>0</v>
      </c>
      <c r="BU27" s="168">
        <f t="shared" si="74"/>
        <v>43.439094182174344</v>
      </c>
      <c r="BV27" s="168">
        <f t="shared" si="74"/>
        <v>37.724415774150906</v>
      </c>
      <c r="BW27" s="168">
        <f t="shared" si="74"/>
        <v>6.8462608928240183</v>
      </c>
      <c r="BX27" s="168">
        <f t="shared" si="74"/>
        <v>8.6473222547642514</v>
      </c>
      <c r="BY27" s="168">
        <f t="shared" si="74"/>
        <v>0</v>
      </c>
      <c r="BZ27" s="176">
        <f t="shared" si="74"/>
        <v>0</v>
      </c>
      <c r="CA27" s="168">
        <f t="shared" ref="CA27:CG27" si="75">+CA9</f>
        <v>7825.6829999999991</v>
      </c>
      <c r="CB27" s="168">
        <f t="shared" si="75"/>
        <v>7629.0009999999902</v>
      </c>
      <c r="CC27" s="168">
        <f t="shared" si="75"/>
        <v>8034.8359999999993</v>
      </c>
      <c r="CD27" s="168">
        <f t="shared" si="75"/>
        <v>7998.1710000000003</v>
      </c>
      <c r="CE27" s="168">
        <f t="shared" si="75"/>
        <v>7987.37499999999</v>
      </c>
      <c r="CF27" s="168">
        <f t="shared" si="75"/>
        <v>8094.3189999999995</v>
      </c>
      <c r="CG27" s="176">
        <f t="shared" si="75"/>
        <v>8669.64</v>
      </c>
      <c r="CY27" s="58"/>
      <c r="CZ27" s="58"/>
    </row>
    <row r="28" spans="1:104" x14ac:dyDescent="0.25">
      <c r="A28" s="163" t="s">
        <v>0</v>
      </c>
      <c r="B28" s="164">
        <f t="shared" ref="B28:H28" si="76">+B10</f>
        <v>44992.630000000005</v>
      </c>
      <c r="C28" s="164">
        <f t="shared" si="76"/>
        <v>43804.833333333328</v>
      </c>
      <c r="D28" s="164">
        <f t="shared" si="76"/>
        <v>43903.733333333337</v>
      </c>
      <c r="E28" s="164">
        <f t="shared" si="76"/>
        <v>45237.883333333331</v>
      </c>
      <c r="F28" s="164">
        <f t="shared" si="76"/>
        <v>45237.883333333339</v>
      </c>
      <c r="G28" s="164">
        <f t="shared" si="76"/>
        <v>40195.879999999997</v>
      </c>
      <c r="H28" s="174">
        <f t="shared" si="76"/>
        <v>43951.350000000006</v>
      </c>
      <c r="I28" s="167">
        <f t="shared" si="38"/>
        <v>100</v>
      </c>
      <c r="J28" s="167">
        <f t="shared" si="39"/>
        <v>97.360019481709173</v>
      </c>
      <c r="K28" s="167">
        <f t="shared" si="40"/>
        <v>97.579833260099107</v>
      </c>
      <c r="L28" s="167">
        <f t="shared" si="41"/>
        <v>100.54509668213068</v>
      </c>
      <c r="M28" s="167">
        <f t="shared" si="42"/>
        <v>100.54509668213068</v>
      </c>
      <c r="N28" s="167">
        <f t="shared" si="43"/>
        <v>89.338809489465262</v>
      </c>
      <c r="O28" s="175">
        <f t="shared" si="44"/>
        <v>97.685665407867916</v>
      </c>
      <c r="P28" s="164">
        <f t="shared" ref="P28:V28" si="77">+P10</f>
        <v>2803008</v>
      </c>
      <c r="Q28" s="164">
        <f t="shared" si="77"/>
        <v>1762704</v>
      </c>
      <c r="R28" s="164">
        <f t="shared" si="77"/>
        <v>2035530</v>
      </c>
      <c r="S28" s="164">
        <f t="shared" si="77"/>
        <v>2800820</v>
      </c>
      <c r="T28" s="164">
        <f t="shared" si="77"/>
        <v>2955269</v>
      </c>
      <c r="U28" s="164">
        <f t="shared" si="77"/>
        <v>0</v>
      </c>
      <c r="V28" s="174">
        <f t="shared" si="77"/>
        <v>0</v>
      </c>
      <c r="W28" s="184">
        <f t="shared" si="27"/>
        <v>100</v>
      </c>
      <c r="X28" s="184">
        <f t="shared" si="28"/>
        <v>62.886156586067543</v>
      </c>
      <c r="Y28" s="184">
        <f t="shared" si="29"/>
        <v>72.619485923693404</v>
      </c>
      <c r="Z28" s="184">
        <f t="shared" si="30"/>
        <v>99.921941000525152</v>
      </c>
      <c r="AA28" s="184">
        <f t="shared" si="31"/>
        <v>105.43205727561249</v>
      </c>
      <c r="AB28" s="184">
        <f t="shared" si="32"/>
        <v>0</v>
      </c>
      <c r="AC28" s="188">
        <f t="shared" si="33"/>
        <v>0</v>
      </c>
      <c r="AD28" s="164">
        <f t="shared" si="54"/>
        <v>78.752383640000005</v>
      </c>
      <c r="AE28" s="164">
        <f t="shared" si="55"/>
        <v>45.079527414299712</v>
      </c>
      <c r="AF28" s="164">
        <f t="shared" si="56"/>
        <v>56.103350594748775</v>
      </c>
      <c r="AG28" s="164">
        <f t="shared" si="57"/>
        <v>72.960210713570874</v>
      </c>
      <c r="AH28" s="164">
        <f t="shared" si="58"/>
        <v>73.883092882695863</v>
      </c>
      <c r="AI28" s="164">
        <f t="shared" si="59"/>
        <v>64.024342497320532</v>
      </c>
      <c r="AJ28" s="174">
        <f>+AJ10/$AJ$19</f>
        <v>72.834521590138564</v>
      </c>
      <c r="AK28" s="164">
        <f t="shared" ref="AK28:AQ28" si="78">+AK10/AK$19</f>
        <v>165.87665863889839</v>
      </c>
      <c r="AL28" s="164">
        <f t="shared" si="78"/>
        <v>165.26335000979432</v>
      </c>
      <c r="AM28" s="164">
        <f t="shared" si="78"/>
        <v>173.2957285018544</v>
      </c>
      <c r="AN28" s="164">
        <f t="shared" si="78"/>
        <v>182.69500600565371</v>
      </c>
      <c r="AO28" s="164">
        <f t="shared" si="78"/>
        <v>176.13928002053217</v>
      </c>
      <c r="AP28" s="164">
        <f t="shared" si="78"/>
        <v>183.08405913634556</v>
      </c>
      <c r="AQ28" s="174">
        <f t="shared" si="78"/>
        <v>177.10412359134327</v>
      </c>
      <c r="AR28" s="185">
        <f t="shared" si="34"/>
        <v>3686.7517777666785</v>
      </c>
      <c r="AS28" s="185">
        <f t="shared" si="34"/>
        <v>3772.7195250857631</v>
      </c>
      <c r="AT28" s="185">
        <f t="shared" si="34"/>
        <v>3947.1752250800473</v>
      </c>
      <c r="AU28" s="185">
        <f t="shared" si="34"/>
        <v>4038.5401027601952</v>
      </c>
      <c r="AV28" s="185">
        <f t="shared" si="34"/>
        <v>3893.6233758475764</v>
      </c>
      <c r="AW28" s="185">
        <f t="shared" si="34"/>
        <v>4554.7966392661529</v>
      </c>
      <c r="AX28" s="190">
        <f t="shared" si="34"/>
        <v>4029.5491171794092</v>
      </c>
      <c r="AY28" s="167">
        <f t="shared" si="47"/>
        <v>100</v>
      </c>
      <c r="AZ28" s="167">
        <f t="shared" si="35"/>
        <v>102.3318018814698</v>
      </c>
      <c r="BA28" s="167">
        <f t="shared" si="35"/>
        <v>107.06376406689158</v>
      </c>
      <c r="BB28" s="167">
        <f t="shared" si="35"/>
        <v>109.54195850979202</v>
      </c>
      <c r="BC28" s="167">
        <f t="shared" si="35"/>
        <v>105.61121579511963</v>
      </c>
      <c r="BD28" s="167">
        <f t="shared" si="35"/>
        <v>123.5449770916042</v>
      </c>
      <c r="BE28" s="175">
        <f t="shared" si="35"/>
        <v>109.2980856883288</v>
      </c>
      <c r="BF28" s="171">
        <f t="shared" si="62"/>
        <v>0.47476470943050708</v>
      </c>
      <c r="BG28" s="171">
        <f t="shared" si="63"/>
        <v>0.27277389337459318</v>
      </c>
      <c r="BH28" s="171">
        <f t="shared" si="64"/>
        <v>0.3237434129494336</v>
      </c>
      <c r="BI28" s="171">
        <f t="shared" si="65"/>
        <v>0.39935525501618274</v>
      </c>
      <c r="BJ28" s="171">
        <f t="shared" si="66"/>
        <v>0.41945835633075979</v>
      </c>
      <c r="BK28" s="171">
        <f t="shared" si="67"/>
        <v>0.34969916441300114</v>
      </c>
      <c r="BL28" s="171">
        <f t="shared" si="68"/>
        <v>0.41125254518748355</v>
      </c>
      <c r="BM28" s="198">
        <f t="shared" si="49"/>
        <v>87.124274998898386</v>
      </c>
      <c r="BN28" s="168">
        <f t="shared" si="36"/>
        <v>102.76038981823417</v>
      </c>
      <c r="BO28" s="168">
        <f t="shared" si="36"/>
        <v>109.69259998555964</v>
      </c>
      <c r="BP28" s="168">
        <f t="shared" si="36"/>
        <v>107.32018027898312</v>
      </c>
      <c r="BQ28" s="168">
        <f t="shared" si="36"/>
        <v>99.545978727443028</v>
      </c>
      <c r="BR28" s="168">
        <f t="shared" si="36"/>
        <v>119.23261669710435</v>
      </c>
      <c r="BS28" s="176">
        <f t="shared" si="36"/>
        <v>104.2696020012047</v>
      </c>
      <c r="BT28" s="168">
        <f t="shared" ref="BT28:BZ28" si="79">+BT10/BT$19</f>
        <v>0</v>
      </c>
      <c r="BU28" s="168">
        <f t="shared" si="79"/>
        <v>17.42343277726043</v>
      </c>
      <c r="BV28" s="168">
        <f t="shared" si="79"/>
        <v>7.499777921545979</v>
      </c>
      <c r="BW28" s="168">
        <f t="shared" si="79"/>
        <v>2.414615013099719</v>
      </c>
      <c r="BX28" s="168">
        <f t="shared" si="79"/>
        <v>2.7102084103932791</v>
      </c>
      <c r="BY28" s="168">
        <f t="shared" si="79"/>
        <v>-0.17290005807931608</v>
      </c>
      <c r="BZ28" s="176">
        <f t="shared" si="79"/>
        <v>0</v>
      </c>
      <c r="CA28" s="168">
        <f t="shared" ref="CA28:CG28" si="80">+CA10</f>
        <v>2978.6039999999998</v>
      </c>
      <c r="CB28" s="168">
        <f t="shared" si="80"/>
        <v>2785.2570000000001</v>
      </c>
      <c r="CC28" s="168">
        <f t="shared" si="80"/>
        <v>3050.3469999999998</v>
      </c>
      <c r="CD28" s="168">
        <f t="shared" si="80"/>
        <v>3070.9740000000002</v>
      </c>
      <c r="CE28" s="168">
        <f t="shared" si="80"/>
        <v>3112.527</v>
      </c>
      <c r="CF28" s="168">
        <f t="shared" si="80"/>
        <v>2751.3690000000001</v>
      </c>
      <c r="CG28" s="176">
        <f t="shared" si="80"/>
        <v>3067.9719999999998</v>
      </c>
      <c r="CY28" s="58"/>
      <c r="CZ28" s="58"/>
    </row>
    <row r="29" spans="1:104" x14ac:dyDescent="0.25">
      <c r="A29" s="163" t="s">
        <v>25</v>
      </c>
      <c r="B29" s="164">
        <f t="shared" ref="B29:H29" si="81">+B11</f>
        <v>5851</v>
      </c>
      <c r="C29" s="164">
        <f t="shared" si="81"/>
        <v>5752</v>
      </c>
      <c r="D29" s="164">
        <f t="shared" si="81"/>
        <v>5742.61</v>
      </c>
      <c r="E29" s="164">
        <f t="shared" si="81"/>
        <v>5848</v>
      </c>
      <c r="F29" s="164">
        <f t="shared" si="81"/>
        <v>5774</v>
      </c>
      <c r="G29" s="164">
        <f t="shared" si="81"/>
        <v>5762.5283018867922</v>
      </c>
      <c r="H29" s="174">
        <f t="shared" si="81"/>
        <v>5958.6981132075471</v>
      </c>
      <c r="I29" s="167">
        <f t="shared" si="38"/>
        <v>100</v>
      </c>
      <c r="J29" s="167">
        <f t="shared" si="39"/>
        <v>98.307981541616812</v>
      </c>
      <c r="K29" s="167">
        <f t="shared" si="40"/>
        <v>98.1474961545035</v>
      </c>
      <c r="L29" s="167">
        <f t="shared" si="41"/>
        <v>99.948726713382328</v>
      </c>
      <c r="M29" s="167">
        <f t="shared" si="42"/>
        <v>98.683985643479744</v>
      </c>
      <c r="N29" s="167">
        <f t="shared" si="43"/>
        <v>98.487921755029774</v>
      </c>
      <c r="O29" s="175">
        <f t="shared" si="44"/>
        <v>101.84067874222436</v>
      </c>
      <c r="P29" s="164">
        <f t="shared" ref="P29:V29" si="82">+P11</f>
        <v>219211</v>
      </c>
      <c r="Q29" s="164">
        <f t="shared" si="82"/>
        <v>159332</v>
      </c>
      <c r="R29" s="164">
        <f t="shared" si="82"/>
        <v>131141</v>
      </c>
      <c r="S29" s="164">
        <f t="shared" si="82"/>
        <v>180465</v>
      </c>
      <c r="T29" s="164">
        <f t="shared" si="82"/>
        <v>186156</v>
      </c>
      <c r="U29" s="164">
        <f t="shared" si="82"/>
        <v>174500</v>
      </c>
      <c r="V29" s="174">
        <f t="shared" si="82"/>
        <v>174500</v>
      </c>
      <c r="W29" s="184">
        <f t="shared" si="27"/>
        <v>100</v>
      </c>
      <c r="X29" s="184">
        <f t="shared" si="28"/>
        <v>72.684308725383303</v>
      </c>
      <c r="Y29" s="184">
        <f t="shared" si="29"/>
        <v>59.824096418519147</v>
      </c>
      <c r="Z29" s="184">
        <f t="shared" si="30"/>
        <v>82.324792095287194</v>
      </c>
      <c r="AA29" s="184">
        <f t="shared" si="31"/>
        <v>84.920920939186445</v>
      </c>
      <c r="AB29" s="184">
        <f t="shared" si="32"/>
        <v>79.603669523883383</v>
      </c>
      <c r="AC29" s="188">
        <f t="shared" si="33"/>
        <v>79.603669523883383</v>
      </c>
      <c r="AD29" s="164">
        <f t="shared" si="54"/>
        <v>3</v>
      </c>
      <c r="AE29" s="164">
        <f t="shared" si="55"/>
        <v>1.7629774730656222</v>
      </c>
      <c r="AF29" s="164">
        <f t="shared" si="56"/>
        <v>0</v>
      </c>
      <c r="AG29" s="164">
        <f t="shared" si="57"/>
        <v>0</v>
      </c>
      <c r="AH29" s="164">
        <f t="shared" si="58"/>
        <v>0</v>
      </c>
      <c r="AI29" s="164">
        <f t="shared" si="59"/>
        <v>0</v>
      </c>
      <c r="AJ29" s="183">
        <f t="shared" si="60"/>
        <v>0</v>
      </c>
      <c r="AK29" s="164">
        <f t="shared" ref="AK29:AQ29" si="83">+AK11/AK$19</f>
        <v>18</v>
      </c>
      <c r="AL29" s="164">
        <f t="shared" si="83"/>
        <v>17.042115572967681</v>
      </c>
      <c r="AM29" s="164">
        <f t="shared" si="83"/>
        <v>5.104217528268217</v>
      </c>
      <c r="AN29" s="164">
        <f t="shared" si="83"/>
        <v>4.6434904098071517</v>
      </c>
      <c r="AO29" s="164">
        <f t="shared" si="83"/>
        <v>4.8783751387079031</v>
      </c>
      <c r="AP29" s="164">
        <f t="shared" si="83"/>
        <v>4.5818515391018755</v>
      </c>
      <c r="AQ29" s="174">
        <f t="shared" si="83"/>
        <v>4.5762768019068254</v>
      </c>
      <c r="AR29" s="185">
        <f t="shared" si="34"/>
        <v>3076.3971970603316</v>
      </c>
      <c r="AS29" s="185">
        <f t="shared" si="34"/>
        <v>2962.8156420319337</v>
      </c>
      <c r="AT29" s="185">
        <f t="shared" si="34"/>
        <v>888.83234770743923</v>
      </c>
      <c r="AU29" s="185">
        <f t="shared" si="34"/>
        <v>794.03050783296032</v>
      </c>
      <c r="AV29" s="185">
        <f t="shared" si="34"/>
        <v>844.88658446621116</v>
      </c>
      <c r="AW29" s="185">
        <f t="shared" si="34"/>
        <v>795.11132944920473</v>
      </c>
      <c r="AX29" s="190">
        <f t="shared" si="34"/>
        <v>767.99943795834133</v>
      </c>
      <c r="AY29" s="167">
        <f t="shared" si="47"/>
        <v>100</v>
      </c>
      <c r="AZ29" s="167">
        <f t="shared" si="35"/>
        <v>96.307968452938013</v>
      </c>
      <c r="BA29" s="167">
        <f t="shared" si="35"/>
        <v>28.891989257979038</v>
      </c>
      <c r="BB29" s="167">
        <f t="shared" si="35"/>
        <v>25.810402785170282</v>
      </c>
      <c r="BC29" s="167">
        <f t="shared" si="35"/>
        <v>27.463507809510006</v>
      </c>
      <c r="BD29" s="167">
        <f t="shared" si="35"/>
        <v>25.845535492262762</v>
      </c>
      <c r="BE29" s="175">
        <f t="shared" si="35"/>
        <v>24.964248397190307</v>
      </c>
      <c r="BF29" s="171">
        <f t="shared" si="62"/>
        <v>0.16666666666666666</v>
      </c>
      <c r="BG29" s="171">
        <f t="shared" si="63"/>
        <v>0.10344827586206896</v>
      </c>
      <c r="BH29" s="171">
        <f t="shared" si="64"/>
        <v>0</v>
      </c>
      <c r="BI29" s="171">
        <f t="shared" si="65"/>
        <v>0</v>
      </c>
      <c r="BJ29" s="171">
        <f t="shared" si="66"/>
        <v>0</v>
      </c>
      <c r="BK29" s="171">
        <f t="shared" si="67"/>
        <v>0</v>
      </c>
      <c r="BL29" s="171">
        <f t="shared" si="68"/>
        <v>0</v>
      </c>
      <c r="BM29" s="198">
        <f t="shared" si="49"/>
        <v>15</v>
      </c>
      <c r="BN29" s="168">
        <f t="shared" si="36"/>
        <v>14.495592556317339</v>
      </c>
      <c r="BO29" s="168">
        <f t="shared" si="36"/>
        <v>5.104217528268217</v>
      </c>
      <c r="BP29" s="168">
        <f t="shared" si="36"/>
        <v>4.6434904098071517</v>
      </c>
      <c r="BQ29" s="168">
        <f t="shared" si="36"/>
        <v>4.7880348583614607</v>
      </c>
      <c r="BR29" s="168">
        <f t="shared" si="36"/>
        <v>4.5818515391018755</v>
      </c>
      <c r="BS29" s="176">
        <f t="shared" si="36"/>
        <v>4.5762768019068254</v>
      </c>
      <c r="BT29" s="168">
        <f t="shared" ref="BT29:BZ29" si="84">+BT11/BT$19</f>
        <v>0</v>
      </c>
      <c r="BU29" s="168">
        <f t="shared" si="84"/>
        <v>0.78354554358472095</v>
      </c>
      <c r="BV29" s="168">
        <f t="shared" si="84"/>
        <v>0</v>
      </c>
      <c r="BW29" s="168">
        <f t="shared" si="84"/>
        <v>0</v>
      </c>
      <c r="BX29" s="168">
        <f t="shared" si="84"/>
        <v>9.0340280346442647E-2</v>
      </c>
      <c r="BY29" s="168">
        <f t="shared" si="84"/>
        <v>0</v>
      </c>
      <c r="BZ29" s="176">
        <f t="shared" si="84"/>
        <v>0</v>
      </c>
      <c r="CA29" s="168">
        <f t="shared" ref="CA29:CG29" si="85">+CA11</f>
        <v>310</v>
      </c>
      <c r="CB29" s="168">
        <f t="shared" si="85"/>
        <v>305</v>
      </c>
      <c r="CC29" s="168">
        <f t="shared" si="85"/>
        <v>304</v>
      </c>
      <c r="CD29" s="168">
        <f t="shared" si="85"/>
        <v>310</v>
      </c>
      <c r="CE29" s="168">
        <f t="shared" si="85"/>
        <v>306</v>
      </c>
      <c r="CF29" s="168">
        <f t="shared" si="85"/>
        <v>304</v>
      </c>
      <c r="CG29" s="176">
        <f t="shared" si="85"/>
        <v>314</v>
      </c>
      <c r="CY29" s="58"/>
      <c r="CZ29" s="58"/>
    </row>
    <row r="30" spans="1:104" ht="18.75" customHeight="1" thickBot="1" x14ac:dyDescent="0.3">
      <c r="A30" s="177" t="s">
        <v>16</v>
      </c>
      <c r="B30" s="178">
        <f t="shared" ref="B30:H30" si="86">SUBTOTAL(9,B24:B28)</f>
        <v>273128.63</v>
      </c>
      <c r="C30" s="178">
        <f t="shared" si="86"/>
        <v>281332.83333333331</v>
      </c>
      <c r="D30" s="178">
        <f t="shared" si="86"/>
        <v>297624.73333333334</v>
      </c>
      <c r="E30" s="178">
        <f t="shared" si="86"/>
        <v>341408.8833333333</v>
      </c>
      <c r="F30" s="178">
        <f t="shared" si="86"/>
        <v>375541.8666666667</v>
      </c>
      <c r="G30" s="178">
        <f t="shared" si="86"/>
        <v>378946.02</v>
      </c>
      <c r="H30" s="179">
        <f t="shared" si="86"/>
        <v>387526.35</v>
      </c>
      <c r="I30" s="178">
        <f t="shared" ref="I30:O30" si="87">+B30/$B30*100</f>
        <v>100</v>
      </c>
      <c r="J30" s="178">
        <f t="shared" si="87"/>
        <v>103.00378738520868</v>
      </c>
      <c r="K30" s="178">
        <f t="shared" si="87"/>
        <v>108.96870581942777</v>
      </c>
      <c r="L30" s="178">
        <f t="shared" si="87"/>
        <v>124.99930283153886</v>
      </c>
      <c r="M30" s="178">
        <f t="shared" si="87"/>
        <v>137.49633887398284</v>
      </c>
      <c r="N30" s="178">
        <f t="shared" si="87"/>
        <v>138.74269423897451</v>
      </c>
      <c r="O30" s="179">
        <f t="shared" si="87"/>
        <v>141.88419207462798</v>
      </c>
      <c r="P30" s="178">
        <f t="shared" ref="P30:V30" si="88">SUBTOTAL(9,P24:P28)</f>
        <v>17304493</v>
      </c>
      <c r="Q30" s="178">
        <f t="shared" si="88"/>
        <v>13013476</v>
      </c>
      <c r="R30" s="178">
        <f t="shared" si="88"/>
        <v>14098277.910437373</v>
      </c>
      <c r="S30" s="178">
        <f t="shared" si="88"/>
        <v>21445644.60267444</v>
      </c>
      <c r="T30" s="178">
        <f t="shared" si="88"/>
        <v>24721987.840119999</v>
      </c>
      <c r="U30" s="178">
        <f t="shared" si="88"/>
        <v>23585000</v>
      </c>
      <c r="V30" s="179">
        <f t="shared" si="88"/>
        <v>24279875</v>
      </c>
      <c r="W30" s="178">
        <f t="shared" ref="W30:AC30" si="89">IFERROR(+P30/$P30*100,"")</f>
        <v>100</v>
      </c>
      <c r="X30" s="178">
        <f t="shared" si="89"/>
        <v>75.202873612072878</v>
      </c>
      <c r="Y30" s="178">
        <f t="shared" si="89"/>
        <v>81.471776783274578</v>
      </c>
      <c r="Z30" s="178">
        <f t="shared" si="89"/>
        <v>123.93107733739694</v>
      </c>
      <c r="AA30" s="178">
        <f t="shared" si="89"/>
        <v>142.86456032037461</v>
      </c>
      <c r="AB30" s="178">
        <f t="shared" si="89"/>
        <v>136.29408269863785</v>
      </c>
      <c r="AC30" s="179">
        <f t="shared" si="89"/>
        <v>140.30965830666057</v>
      </c>
      <c r="AD30" s="180">
        <f t="shared" ref="AD30:AQ30" si="90">SUBTOTAL(9,AD24:AD28)</f>
        <v>323.83049252615172</v>
      </c>
      <c r="AE30" s="180">
        <f t="shared" si="90"/>
        <v>255.73641727461182</v>
      </c>
      <c r="AF30" s="180">
        <f t="shared" si="90"/>
        <v>302.23368947420329</v>
      </c>
      <c r="AG30" s="180">
        <f t="shared" si="90"/>
        <v>360.98930567103685</v>
      </c>
      <c r="AH30" s="180">
        <f t="shared" si="90"/>
        <v>399.45909060057198</v>
      </c>
      <c r="AI30" s="180">
        <f t="shared" si="90"/>
        <v>400.26533850281612</v>
      </c>
      <c r="AJ30" s="181">
        <f t="shared" si="90"/>
        <v>429.97100670872726</v>
      </c>
      <c r="AK30" s="180">
        <f t="shared" si="90"/>
        <v>932.59134739889828</v>
      </c>
      <c r="AL30" s="180">
        <f t="shared" si="90"/>
        <v>934.72365856023498</v>
      </c>
      <c r="AM30" s="180">
        <f t="shared" si="90"/>
        <v>996.76281705617657</v>
      </c>
      <c r="AN30" s="180">
        <f t="shared" si="90"/>
        <v>1014.1156717365774</v>
      </c>
      <c r="AO30" s="180">
        <f t="shared" si="90"/>
        <v>1033.435632913835</v>
      </c>
      <c r="AP30" s="180">
        <f t="shared" si="90"/>
        <v>1056.5866240280025</v>
      </c>
      <c r="AQ30" s="181">
        <f t="shared" si="90"/>
        <v>1053.6313823295343</v>
      </c>
      <c r="AR30" s="178">
        <f t="shared" si="34"/>
        <v>3414.4767152344966</v>
      </c>
      <c r="AS30" s="178">
        <f t="shared" si="34"/>
        <v>3322.4833642248241</v>
      </c>
      <c r="AT30" s="178">
        <f t="shared" si="34"/>
        <v>3349.0590848839956</v>
      </c>
      <c r="AU30" s="178">
        <f t="shared" si="34"/>
        <v>2970.3845483904684</v>
      </c>
      <c r="AV30" s="178">
        <f t="shared" si="34"/>
        <v>2751.8519894643832</v>
      </c>
      <c r="AW30" s="178">
        <f t="shared" si="34"/>
        <v>2788.2246237287368</v>
      </c>
      <c r="AX30" s="179">
        <f t="shared" si="34"/>
        <v>2718.863845850829</v>
      </c>
      <c r="AY30" s="203">
        <f t="shared" ref="AY30" si="91">AR30/$AR30*100</f>
        <v>100</v>
      </c>
      <c r="AZ30" s="203">
        <f t="shared" ref="AZ30" si="92">AS30/$AR30*100</f>
        <v>97.305784789826731</v>
      </c>
      <c r="BA30" s="203">
        <f t="shared" ref="BA30" si="93">AT30/$AR30*100</f>
        <v>98.084109636518392</v>
      </c>
      <c r="BB30" s="203">
        <f t="shared" ref="BB30" si="94">AU30/$AR30*100</f>
        <v>86.993844038748136</v>
      </c>
      <c r="BC30" s="203">
        <f t="shared" ref="BC30" si="95">AV30/$AR30*100</f>
        <v>80.593666876870003</v>
      </c>
      <c r="BD30" s="203">
        <f t="shared" ref="BD30" si="96">AW30/$AR30*100</f>
        <v>81.658914564812008</v>
      </c>
      <c r="BE30" s="204">
        <f t="shared" ref="BE30" si="97">AX30/$AR30*100</f>
        <v>79.627540985122963</v>
      </c>
      <c r="BF30" s="205">
        <f>IFERROR(AD30/AK30,"")</f>
        <v>0.34723729040522544</v>
      </c>
      <c r="BG30" s="205">
        <f t="shared" ref="BG30" si="98">IFERROR(AE30/AL30,"")</f>
        <v>0.27359574664936309</v>
      </c>
      <c r="BH30" s="205">
        <f t="shared" ref="BH30" si="99">IFERROR(AF30/AM30,"")</f>
        <v>0.30321525271861111</v>
      </c>
      <c r="BI30" s="205">
        <f t="shared" ref="BI30" si="100">IFERROR(AG30/AN30,"")</f>
        <v>0.35596462586252781</v>
      </c>
      <c r="BJ30" s="205">
        <f t="shared" ref="BJ30" si="101">IFERROR(AH30/AO30,"")</f>
        <v>0.38653504667172417</v>
      </c>
      <c r="BK30" s="205">
        <f t="shared" ref="BK30" si="102">IFERROR(AI30/AP30,"")</f>
        <v>0.37882870121608503</v>
      </c>
      <c r="BL30" s="206">
        <f t="shared" ref="BL30" si="103">IFERROR(AJ30/AQ30,"")</f>
        <v>0.40808485198882327</v>
      </c>
      <c r="BM30" s="199">
        <f t="shared" ref="BM30:CG30" si="104">SUBTOTAL(9,BM24:BM28)</f>
        <v>608.76085487274656</v>
      </c>
      <c r="BN30" s="180">
        <f t="shared" si="104"/>
        <v>594.81423440454307</v>
      </c>
      <c r="BO30" s="180">
        <f t="shared" si="104"/>
        <v>631.10310156848982</v>
      </c>
      <c r="BP30" s="180">
        <f t="shared" si="104"/>
        <v>637.36460358588681</v>
      </c>
      <c r="BQ30" s="180">
        <f t="shared" si="104"/>
        <v>618.02520839248882</v>
      </c>
      <c r="BR30" s="180">
        <f t="shared" si="104"/>
        <v>656.49418558326568</v>
      </c>
      <c r="BS30" s="181">
        <f t="shared" si="104"/>
        <v>623.66037562080703</v>
      </c>
      <c r="BT30" s="180">
        <f t="shared" si="104"/>
        <v>0</v>
      </c>
      <c r="BU30" s="180">
        <f t="shared" si="104"/>
        <v>84.173006881080227</v>
      </c>
      <c r="BV30" s="180">
        <f t="shared" si="104"/>
        <v>63.426026013483543</v>
      </c>
      <c r="BW30" s="180">
        <f t="shared" si="104"/>
        <v>15.761762479653751</v>
      </c>
      <c r="BX30" s="180">
        <f t="shared" si="104"/>
        <v>15.95133392077414</v>
      </c>
      <c r="BY30" s="180">
        <f t="shared" si="104"/>
        <v>-0.17290005807931608</v>
      </c>
      <c r="BZ30" s="181">
        <f t="shared" si="104"/>
        <v>0</v>
      </c>
      <c r="CA30" s="178">
        <f t="shared" si="104"/>
        <v>10804.286999999998</v>
      </c>
      <c r="CB30" s="178">
        <f t="shared" si="104"/>
        <v>10414.257999999991</v>
      </c>
      <c r="CC30" s="178">
        <f t="shared" si="104"/>
        <v>11085.182999999999</v>
      </c>
      <c r="CD30" s="178">
        <f t="shared" si="104"/>
        <v>11069.145</v>
      </c>
      <c r="CE30" s="178">
        <f t="shared" si="104"/>
        <v>11099.901999999991</v>
      </c>
      <c r="CF30" s="178">
        <f t="shared" si="104"/>
        <v>10845.688</v>
      </c>
      <c r="CG30" s="179">
        <f t="shared" si="104"/>
        <v>11737.611999999999</v>
      </c>
    </row>
    <row r="31" spans="1:104" ht="16.5" thickTop="1" x14ac:dyDescent="0.25">
      <c r="B31" s="58"/>
      <c r="P31" s="58"/>
      <c r="Q31" s="58"/>
      <c r="R31" s="58"/>
      <c r="S31" s="58"/>
      <c r="T31" s="58"/>
      <c r="U31" s="58"/>
      <c r="V31" s="58"/>
      <c r="W31" s="45" t="str">
        <f>IFERROR(+P31/$P31*100,"")</f>
        <v/>
      </c>
      <c r="AD31" s="58"/>
      <c r="AE31" s="58"/>
      <c r="AF31" s="58"/>
      <c r="AG31" s="58"/>
      <c r="AH31" s="58"/>
      <c r="AI31" s="58"/>
      <c r="AJ31" s="58"/>
      <c r="AK31" s="58"/>
      <c r="AL31" s="58"/>
      <c r="AM31" s="58"/>
      <c r="AN31" s="58"/>
      <c r="AO31" s="58"/>
      <c r="AP31" s="58"/>
      <c r="AQ31" s="58"/>
    </row>
    <row r="32" spans="1:104" x14ac:dyDescent="0.25">
      <c r="P32" s="215" t="s">
        <v>63</v>
      </c>
      <c r="Q32" s="215"/>
      <c r="R32" s="215"/>
      <c r="S32" s="215"/>
      <c r="V32" s="125" t="s">
        <v>50</v>
      </c>
      <c r="W32" s="125"/>
      <c r="X32" s="125"/>
      <c r="Y32" s="125"/>
      <c r="Z32" s="125"/>
      <c r="AA32" s="125"/>
      <c r="AB32" s="125"/>
      <c r="AC32" s="125"/>
      <c r="AD32" s="125"/>
      <c r="AE32" s="125"/>
      <c r="AF32" s="125" t="s">
        <v>51</v>
      </c>
      <c r="AG32" s="125"/>
      <c r="AH32" s="125"/>
      <c r="AI32" s="125"/>
      <c r="AJ32" s="125"/>
      <c r="AK32" s="125"/>
      <c r="AL32" s="125"/>
      <c r="AM32" s="125"/>
      <c r="AN32" s="125"/>
    </row>
    <row r="33" spans="16:84" x14ac:dyDescent="0.25">
      <c r="P33" s="215"/>
      <c r="Q33" s="215"/>
      <c r="R33" s="215"/>
      <c r="S33" s="215"/>
      <c r="CB33" s="58"/>
      <c r="CC33" s="58"/>
      <c r="CD33" s="58"/>
      <c r="CE33" s="58"/>
      <c r="CF33" s="58"/>
    </row>
    <row r="34" spans="16:84" x14ac:dyDescent="0.25">
      <c r="P34" s="215"/>
      <c r="Q34" s="215"/>
      <c r="R34" s="215"/>
      <c r="S34" s="215"/>
      <c r="CB34" s="58"/>
      <c r="CC34" s="58"/>
      <c r="CD34" s="58"/>
      <c r="CE34" s="58"/>
      <c r="CF34" s="58"/>
    </row>
    <row r="35" spans="16:84" x14ac:dyDescent="0.25">
      <c r="P35" s="215"/>
      <c r="Q35" s="215"/>
      <c r="R35" s="215"/>
      <c r="S35" s="215"/>
      <c r="CB35" s="58"/>
      <c r="CC35" s="58"/>
      <c r="CD35" s="58"/>
      <c r="CE35" s="58"/>
      <c r="CF35" s="58"/>
    </row>
    <row r="36" spans="16:84" x14ac:dyDescent="0.25">
      <c r="P36" s="215"/>
      <c r="Q36" s="215"/>
      <c r="R36" s="215"/>
      <c r="S36" s="215"/>
      <c r="AR36" s="127"/>
      <c r="AS36" s="127"/>
      <c r="AT36" s="127"/>
      <c r="AU36" s="127"/>
      <c r="AV36" s="127"/>
      <c r="AW36" s="127"/>
      <c r="AX36" s="127"/>
    </row>
  </sheetData>
  <mergeCells count="26">
    <mergeCell ref="I4:O4"/>
    <mergeCell ref="AY4:BE4"/>
    <mergeCell ref="BF4:BL4"/>
    <mergeCell ref="P14:S18"/>
    <mergeCell ref="B4:H4"/>
    <mergeCell ref="P4:V4"/>
    <mergeCell ref="AD4:AJ4"/>
    <mergeCell ref="AK4:AQ4"/>
    <mergeCell ref="B22:H22"/>
    <mergeCell ref="I22:O22"/>
    <mergeCell ref="P22:V22"/>
    <mergeCell ref="W22:AC22"/>
    <mergeCell ref="AD22:AJ22"/>
    <mergeCell ref="CA4:CG4"/>
    <mergeCell ref="CA22:CG22"/>
    <mergeCell ref="BM22:BS22"/>
    <mergeCell ref="BT22:BZ22"/>
    <mergeCell ref="P32:S36"/>
    <mergeCell ref="AK22:AQ22"/>
    <mergeCell ref="AR22:AX22"/>
    <mergeCell ref="AY22:BE22"/>
    <mergeCell ref="BF22:BL22"/>
    <mergeCell ref="BM4:BS4"/>
    <mergeCell ref="BT4:BZ4"/>
    <mergeCell ref="W4:AC4"/>
    <mergeCell ref="AR4:AX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FD7EE-758D-48D9-A7AE-E80ABA80A33F}">
  <sheetPr>
    <pageSetUpPr fitToPage="1"/>
  </sheetPr>
  <dimension ref="A3:CU16"/>
  <sheetViews>
    <sheetView topLeftCell="BR1" workbookViewId="0">
      <selection activeCell="CO6" sqref="CO6"/>
    </sheetView>
  </sheetViews>
  <sheetFormatPr defaultColWidth="9" defaultRowHeight="15.75" x14ac:dyDescent="0.25"/>
  <cols>
    <col min="1" max="1" width="29.75" style="45" bestFit="1" customWidth="1"/>
    <col min="2" max="8" width="10.625" style="45" customWidth="1"/>
    <col min="9" max="15" width="8.625" style="45" customWidth="1"/>
    <col min="16" max="22" width="12.625" style="45" customWidth="1"/>
    <col min="23" max="78" width="8.625" style="45" customWidth="1"/>
    <col min="79" max="82" width="7" style="45" bestFit="1" customWidth="1"/>
    <col min="83" max="83" width="7" style="45" customWidth="1"/>
    <col min="84" max="84" width="8" style="45" bestFit="1" customWidth="1"/>
    <col min="85" max="85" width="7" style="45" bestFit="1" customWidth="1"/>
    <col min="86" max="87" width="9" style="45"/>
    <col min="88" max="93" width="5.75" style="45" bestFit="1" customWidth="1"/>
    <col min="94" max="99" width="2.25" style="45" bestFit="1" customWidth="1"/>
    <col min="100" max="16384" width="9" style="45"/>
  </cols>
  <sheetData>
    <row r="3" spans="1:99" x14ac:dyDescent="0.25">
      <c r="A3" s="46" t="s">
        <v>19</v>
      </c>
      <c r="B3" s="46"/>
      <c r="C3" s="46"/>
      <c r="D3" s="46"/>
    </row>
    <row r="4" spans="1:99" s="48" customFormat="1" ht="40.9" customHeight="1" x14ac:dyDescent="0.25">
      <c r="A4" s="47"/>
      <c r="B4" s="228" t="s">
        <v>1</v>
      </c>
      <c r="C4" s="220"/>
      <c r="D4" s="220"/>
      <c r="E4" s="220"/>
      <c r="F4" s="220"/>
      <c r="G4" s="220"/>
      <c r="H4" s="221"/>
      <c r="I4" s="222" t="s">
        <v>29</v>
      </c>
      <c r="J4" s="223"/>
      <c r="K4" s="223"/>
      <c r="L4" s="223"/>
      <c r="M4" s="223"/>
      <c r="N4" s="223"/>
      <c r="O4" s="224"/>
      <c r="P4" s="220" t="s">
        <v>2</v>
      </c>
      <c r="Q4" s="220"/>
      <c r="R4" s="220"/>
      <c r="S4" s="220"/>
      <c r="T4" s="220"/>
      <c r="U4" s="220"/>
      <c r="V4" s="221"/>
      <c r="W4" s="222" t="s">
        <v>8</v>
      </c>
      <c r="X4" s="223"/>
      <c r="Y4" s="223"/>
      <c r="Z4" s="223"/>
      <c r="AA4" s="223"/>
      <c r="AB4" s="223"/>
      <c r="AC4" s="224"/>
      <c r="AD4" s="228" t="s">
        <v>21</v>
      </c>
      <c r="AE4" s="220"/>
      <c r="AF4" s="220"/>
      <c r="AG4" s="220"/>
      <c r="AH4" s="220"/>
      <c r="AI4" s="220"/>
      <c r="AJ4" s="221"/>
      <c r="AK4" s="216" t="s">
        <v>4</v>
      </c>
      <c r="AL4" s="210"/>
      <c r="AM4" s="210"/>
      <c r="AN4" s="210"/>
      <c r="AO4" s="210"/>
      <c r="AP4" s="210"/>
      <c r="AQ4" s="211"/>
      <c r="AR4" s="212" t="s">
        <v>9</v>
      </c>
      <c r="AS4" s="213"/>
      <c r="AT4" s="213"/>
      <c r="AU4" s="213"/>
      <c r="AV4" s="213"/>
      <c r="AW4" s="213"/>
      <c r="AX4" s="214"/>
      <c r="AY4" s="222" t="s">
        <v>28</v>
      </c>
      <c r="AZ4" s="223"/>
      <c r="BA4" s="223"/>
      <c r="BB4" s="223"/>
      <c r="BC4" s="223"/>
      <c r="BD4" s="223"/>
      <c r="BE4" s="223"/>
      <c r="BF4" s="225" t="s">
        <v>135</v>
      </c>
      <c r="BG4" s="226"/>
      <c r="BH4" s="226"/>
      <c r="BI4" s="226"/>
      <c r="BJ4" s="226"/>
      <c r="BK4" s="226"/>
      <c r="BL4" s="227"/>
      <c r="BM4" s="218" t="s">
        <v>136</v>
      </c>
      <c r="BN4" s="218"/>
      <c r="BO4" s="218"/>
      <c r="BP4" s="218"/>
      <c r="BQ4" s="218"/>
      <c r="BR4" s="218"/>
      <c r="BS4" s="219" t="s">
        <v>6</v>
      </c>
      <c r="BT4" s="216" t="s">
        <v>6</v>
      </c>
      <c r="BU4" s="210"/>
      <c r="BV4" s="210"/>
      <c r="BW4" s="210"/>
      <c r="BX4" s="210"/>
      <c r="BY4" s="210"/>
      <c r="BZ4" s="211"/>
      <c r="CA4" s="228" t="s">
        <v>7</v>
      </c>
      <c r="CB4" s="220"/>
      <c r="CC4" s="220"/>
      <c r="CD4" s="220"/>
      <c r="CE4" s="220"/>
      <c r="CF4" s="220"/>
      <c r="CG4" s="221"/>
      <c r="CH4" s="207" t="s">
        <v>34</v>
      </c>
      <c r="CI4" s="208"/>
      <c r="CJ4" s="208"/>
      <c r="CK4" s="208"/>
      <c r="CL4" s="208"/>
      <c r="CM4" s="208"/>
      <c r="CN4" s="209"/>
    </row>
    <row r="5" spans="1:99" x14ac:dyDescent="0.25">
      <c r="A5" s="49" t="s">
        <v>30</v>
      </c>
      <c r="B5" s="50" t="s">
        <v>11</v>
      </c>
      <c r="C5" s="51" t="s">
        <v>12</v>
      </c>
      <c r="D5" s="51" t="s">
        <v>13</v>
      </c>
      <c r="E5" s="52" t="s">
        <v>14</v>
      </c>
      <c r="F5" s="52" t="s">
        <v>36</v>
      </c>
      <c r="G5" s="52" t="s">
        <v>64</v>
      </c>
      <c r="H5" s="53" t="s">
        <v>66</v>
      </c>
      <c r="I5" s="54" t="s">
        <v>11</v>
      </c>
      <c r="J5" s="56" t="s">
        <v>12</v>
      </c>
      <c r="K5" s="56" t="s">
        <v>13</v>
      </c>
      <c r="L5" s="56" t="s">
        <v>14</v>
      </c>
      <c r="M5" s="52" t="s">
        <v>36</v>
      </c>
      <c r="N5" s="52" t="s">
        <v>64</v>
      </c>
      <c r="O5" s="53" t="s">
        <v>66</v>
      </c>
      <c r="P5" s="52" t="s">
        <v>11</v>
      </c>
      <c r="Q5" s="51" t="s">
        <v>12</v>
      </c>
      <c r="R5" s="51" t="s">
        <v>13</v>
      </c>
      <c r="S5" s="52" t="s">
        <v>14</v>
      </c>
      <c r="T5" s="52" t="s">
        <v>36</v>
      </c>
      <c r="U5" s="52" t="s">
        <v>64</v>
      </c>
      <c r="V5" s="53" t="s">
        <v>66</v>
      </c>
      <c r="W5" s="54" t="s">
        <v>11</v>
      </c>
      <c r="X5" s="55" t="s">
        <v>12</v>
      </c>
      <c r="Y5" s="55" t="s">
        <v>13</v>
      </c>
      <c r="Z5" s="56" t="s">
        <v>14</v>
      </c>
      <c r="AA5" s="52" t="s">
        <v>36</v>
      </c>
      <c r="AB5" s="52" t="s">
        <v>64</v>
      </c>
      <c r="AC5" s="53" t="s">
        <v>66</v>
      </c>
      <c r="AD5" s="50" t="s">
        <v>11</v>
      </c>
      <c r="AE5" s="51" t="s">
        <v>12</v>
      </c>
      <c r="AF5" s="51" t="s">
        <v>13</v>
      </c>
      <c r="AG5" s="52" t="s">
        <v>14</v>
      </c>
      <c r="AH5" s="52" t="s">
        <v>36</v>
      </c>
      <c r="AI5" s="52" t="s">
        <v>64</v>
      </c>
      <c r="AJ5" s="53" t="s">
        <v>66</v>
      </c>
      <c r="AK5" s="80" t="s">
        <v>11</v>
      </c>
      <c r="AL5" s="97" t="s">
        <v>12</v>
      </c>
      <c r="AM5" s="97" t="s">
        <v>13</v>
      </c>
      <c r="AN5" s="81" t="s">
        <v>14</v>
      </c>
      <c r="AO5" s="97" t="s">
        <v>36</v>
      </c>
      <c r="AP5" s="97" t="s">
        <v>64</v>
      </c>
      <c r="AQ5" s="81" t="s">
        <v>66</v>
      </c>
      <c r="AR5" s="83" t="s">
        <v>11</v>
      </c>
      <c r="AS5" s="98" t="s">
        <v>12</v>
      </c>
      <c r="AT5" s="98" t="s">
        <v>13</v>
      </c>
      <c r="AU5" s="84" t="s">
        <v>14</v>
      </c>
      <c r="AV5" s="97" t="s">
        <v>36</v>
      </c>
      <c r="AW5" s="97" t="s">
        <v>64</v>
      </c>
      <c r="AX5" s="81" t="s">
        <v>66</v>
      </c>
      <c r="AY5" s="54" t="s">
        <v>11</v>
      </c>
      <c r="AZ5" s="56" t="s">
        <v>12</v>
      </c>
      <c r="BA5" s="56" t="s">
        <v>13</v>
      </c>
      <c r="BB5" s="56" t="s">
        <v>14</v>
      </c>
      <c r="BC5" s="52" t="s">
        <v>36</v>
      </c>
      <c r="BD5" s="52" t="s">
        <v>64</v>
      </c>
      <c r="BE5" s="53" t="s">
        <v>66</v>
      </c>
      <c r="BF5" s="50" t="s">
        <v>11</v>
      </c>
      <c r="BG5" s="51" t="s">
        <v>12</v>
      </c>
      <c r="BH5" s="51" t="s">
        <v>13</v>
      </c>
      <c r="BI5" s="52" t="s">
        <v>14</v>
      </c>
      <c r="BJ5" s="52" t="s">
        <v>36</v>
      </c>
      <c r="BK5" s="52" t="s">
        <v>64</v>
      </c>
      <c r="BL5" s="53" t="s">
        <v>66</v>
      </c>
      <c r="BM5" s="50" t="s">
        <v>11</v>
      </c>
      <c r="BN5" s="51" t="s">
        <v>12</v>
      </c>
      <c r="BO5" s="51" t="s">
        <v>13</v>
      </c>
      <c r="BP5" s="52" t="s">
        <v>14</v>
      </c>
      <c r="BQ5" s="52" t="s">
        <v>36</v>
      </c>
      <c r="BR5" s="52" t="s">
        <v>64</v>
      </c>
      <c r="BS5" s="53" t="s">
        <v>66</v>
      </c>
      <c r="BT5" s="80" t="s">
        <v>11</v>
      </c>
      <c r="BU5" s="97" t="s">
        <v>12</v>
      </c>
      <c r="BV5" s="97" t="s">
        <v>13</v>
      </c>
      <c r="BW5" s="81">
        <v>2022</v>
      </c>
      <c r="BX5" s="81">
        <v>2023</v>
      </c>
      <c r="BY5" s="81">
        <v>2024</v>
      </c>
      <c r="BZ5" s="82">
        <v>2025</v>
      </c>
      <c r="CA5" s="50" t="s">
        <v>11</v>
      </c>
      <c r="CB5" s="51" t="s">
        <v>12</v>
      </c>
      <c r="CC5" s="51" t="s">
        <v>13</v>
      </c>
      <c r="CD5" s="52" t="s">
        <v>14</v>
      </c>
      <c r="CE5" s="52" t="s">
        <v>36</v>
      </c>
      <c r="CF5" s="52" t="s">
        <v>64</v>
      </c>
      <c r="CG5" s="53" t="s">
        <v>66</v>
      </c>
      <c r="CH5" s="8" t="s">
        <v>11</v>
      </c>
      <c r="CI5" s="9" t="s">
        <v>12</v>
      </c>
      <c r="CJ5" s="9" t="s">
        <v>13</v>
      </c>
      <c r="CK5" s="10" t="s">
        <v>14</v>
      </c>
      <c r="CL5" s="10" t="s">
        <v>36</v>
      </c>
      <c r="CM5" s="10" t="s">
        <v>64</v>
      </c>
      <c r="CN5" s="11" t="s">
        <v>65</v>
      </c>
    </row>
    <row r="6" spans="1:99" x14ac:dyDescent="0.25">
      <c r="A6" s="57" t="s">
        <v>31</v>
      </c>
      <c r="B6" s="58">
        <v>6685</v>
      </c>
      <c r="C6" s="58">
        <f>6685+535</f>
        <v>7220</v>
      </c>
      <c r="D6" s="58">
        <f>6685+10841</f>
        <v>17526</v>
      </c>
      <c r="E6" s="59">
        <f>6800+10650</f>
        <v>17450</v>
      </c>
      <c r="F6" s="59">
        <v>17752.983333333334</v>
      </c>
      <c r="G6" s="59">
        <v>17450</v>
      </c>
      <c r="H6" s="59">
        <v>16488</v>
      </c>
      <c r="I6" s="100">
        <f t="shared" ref="I6:L8" si="0">+B6/$B6*100</f>
        <v>100</v>
      </c>
      <c r="J6" s="58">
        <f t="shared" si="0"/>
        <v>108.00299177262529</v>
      </c>
      <c r="K6" s="58">
        <f t="shared" si="0"/>
        <v>262.16903515332837</v>
      </c>
      <c r="L6" s="58">
        <f t="shared" si="0"/>
        <v>261.03216155572176</v>
      </c>
      <c r="M6" s="58">
        <f t="shared" ref="M6:O7" si="1">+F6/$B6*100</f>
        <v>265.56444776863628</v>
      </c>
      <c r="N6" s="58">
        <f t="shared" si="1"/>
        <v>261.03216155572176</v>
      </c>
      <c r="O6" s="60">
        <f t="shared" si="1"/>
        <v>246.64173522812268</v>
      </c>
      <c r="P6" s="58">
        <v>202731</v>
      </c>
      <c r="Q6" s="58">
        <v>163341</v>
      </c>
      <c r="R6" s="58">
        <v>344498.91043737391</v>
      </c>
      <c r="S6" s="59">
        <v>434244.60267444118</v>
      </c>
      <c r="T6" s="59">
        <v>409433</v>
      </c>
      <c r="U6" s="59">
        <v>447000</v>
      </c>
      <c r="V6" s="60">
        <v>447000</v>
      </c>
      <c r="W6" s="65">
        <f t="shared" ref="W6:Z8" si="2">IFERROR(+P6/$P6*100,"")</f>
        <v>100</v>
      </c>
      <c r="X6" s="65">
        <f t="shared" si="2"/>
        <v>80.570312384391144</v>
      </c>
      <c r="Y6" s="65">
        <f t="shared" si="2"/>
        <v>169.9290737170802</v>
      </c>
      <c r="Z6" s="58">
        <f t="shared" si="2"/>
        <v>214.19743535741506</v>
      </c>
      <c r="AA6" s="58">
        <f t="shared" ref="AA6:AC7" si="3">IFERROR(+T6/$P6*100,"")</f>
        <v>201.9587532247165</v>
      </c>
      <c r="AB6" s="58">
        <f t="shared" si="3"/>
        <v>220.48921970492921</v>
      </c>
      <c r="AC6" s="60">
        <f t="shared" si="3"/>
        <v>220.48921970492921</v>
      </c>
      <c r="AD6" s="43">
        <v>2.6</v>
      </c>
      <c r="AE6" s="43">
        <v>3.1</v>
      </c>
      <c r="AF6" s="43">
        <v>15.4</v>
      </c>
      <c r="AG6" s="61">
        <v>14.9</v>
      </c>
      <c r="AH6" s="61">
        <v>19.5</v>
      </c>
      <c r="AI6" s="61">
        <v>22.6</v>
      </c>
      <c r="AJ6" s="62">
        <v>22.6</v>
      </c>
      <c r="AK6" s="43">
        <v>19.5</v>
      </c>
      <c r="AL6" s="43">
        <v>21.3</v>
      </c>
      <c r="AM6" s="43">
        <v>58.6</v>
      </c>
      <c r="AN6" s="43">
        <v>64.900000000000006</v>
      </c>
      <c r="AO6" s="43">
        <v>70.8</v>
      </c>
      <c r="AP6" s="43">
        <v>76.5</v>
      </c>
      <c r="AQ6" s="44">
        <v>76.048000000000002</v>
      </c>
      <c r="AR6" s="65">
        <f t="shared" ref="AR6:AX8" si="4">IFERROR(AK6*1000000/B6,"")</f>
        <v>2916.9783096484666</v>
      </c>
      <c r="AS6" s="65">
        <f t="shared" si="4"/>
        <v>2950.1385041551248</v>
      </c>
      <c r="AT6" s="65">
        <f t="shared" si="4"/>
        <v>3343.6037886568529</v>
      </c>
      <c r="AU6" s="58">
        <f t="shared" si="4"/>
        <v>3719.1977077363899</v>
      </c>
      <c r="AV6" s="58">
        <f t="shared" si="4"/>
        <v>3988.0621003605966</v>
      </c>
      <c r="AW6" s="58">
        <f t="shared" si="4"/>
        <v>4383.954154727794</v>
      </c>
      <c r="AX6" s="60">
        <f t="shared" si="4"/>
        <v>4612.3241145075208</v>
      </c>
      <c r="AY6" s="58">
        <f t="shared" ref="AY6:BE6" si="5">AR6/$AR6*100</f>
        <v>100</v>
      </c>
      <c r="AZ6" s="58">
        <f t="shared" si="5"/>
        <v>101.13679948860006</v>
      </c>
      <c r="BA6" s="58">
        <f t="shared" si="5"/>
        <v>114.62559654959519</v>
      </c>
      <c r="BB6" s="58">
        <f t="shared" si="5"/>
        <v>127.5017265447065</v>
      </c>
      <c r="BC6" s="58">
        <f t="shared" si="5"/>
        <v>136.71894944056712</v>
      </c>
      <c r="BD6" s="58">
        <f t="shared" si="5"/>
        <v>150.29094115054002</v>
      </c>
      <c r="BE6" s="58">
        <f t="shared" si="5"/>
        <v>158.1199318229886</v>
      </c>
      <c r="BF6" s="191">
        <f>IFERROR(AD6/AK6,"")</f>
        <v>0.13333333333333333</v>
      </c>
      <c r="BG6" s="192">
        <f t="shared" ref="BG6:BL8" si="6">IFERROR(AE6/AL6,"")</f>
        <v>0.14553990610328638</v>
      </c>
      <c r="BH6" s="192">
        <f t="shared" si="6"/>
        <v>0.26279863481228671</v>
      </c>
      <c r="BI6" s="192">
        <f t="shared" si="6"/>
        <v>0.2295839753466872</v>
      </c>
      <c r="BJ6" s="192">
        <f t="shared" si="6"/>
        <v>0.27542372881355931</v>
      </c>
      <c r="BK6" s="192">
        <f t="shared" si="6"/>
        <v>0.29542483660130719</v>
      </c>
      <c r="BL6" s="134">
        <f t="shared" si="6"/>
        <v>0.29718072796128764</v>
      </c>
      <c r="BM6" s="21">
        <f>+AK6-AD6-CA6</f>
        <v>16.899999999999999</v>
      </c>
      <c r="BN6" s="21">
        <f t="shared" ref="BN6:BS7" si="7">+AL6-AE6-CB6</f>
        <v>17.2</v>
      </c>
      <c r="BO6" s="21">
        <f t="shared" si="7"/>
        <v>37.900000000000006</v>
      </c>
      <c r="BP6" s="21">
        <f t="shared" si="7"/>
        <v>51.000000000000007</v>
      </c>
      <c r="BQ6" s="21">
        <f t="shared" si="7"/>
        <v>50.363</v>
      </c>
      <c r="BR6" s="21">
        <f t="shared" si="7"/>
        <v>53.9</v>
      </c>
      <c r="BS6" s="131">
        <f t="shared" si="7"/>
        <v>53.448</v>
      </c>
      <c r="BT6" s="42"/>
      <c r="BU6" s="42"/>
      <c r="BV6" s="42"/>
      <c r="BW6" s="43"/>
      <c r="BX6" s="43"/>
      <c r="BY6" s="43"/>
      <c r="BZ6" s="44"/>
      <c r="CA6" s="42"/>
      <c r="CB6" s="42">
        <v>1</v>
      </c>
      <c r="CC6" s="42">
        <v>5.3</v>
      </c>
      <c r="CD6" s="43">
        <v>-1</v>
      </c>
      <c r="CE6" s="43">
        <v>0.93700000000000006</v>
      </c>
      <c r="CF6" s="43"/>
      <c r="CG6" s="44"/>
      <c r="CH6" s="21"/>
      <c r="CI6" s="21"/>
      <c r="CJ6" s="21"/>
      <c r="CK6" s="21"/>
      <c r="CL6" s="21"/>
      <c r="CM6" s="21"/>
      <c r="CN6" s="131"/>
      <c r="CO6" s="67"/>
      <c r="CP6" s="58"/>
      <c r="CQ6" s="58"/>
      <c r="CR6" s="58"/>
      <c r="CS6" s="58"/>
      <c r="CT6" s="58"/>
      <c r="CU6" s="58"/>
    </row>
    <row r="7" spans="1:99" x14ac:dyDescent="0.25">
      <c r="A7" s="57" t="s">
        <v>32</v>
      </c>
      <c r="B7" s="58">
        <v>69633</v>
      </c>
      <c r="C7" s="58">
        <v>78735</v>
      </c>
      <c r="D7" s="58">
        <v>78038</v>
      </c>
      <c r="E7" s="58">
        <v>79789</v>
      </c>
      <c r="F7" s="58">
        <v>89515</v>
      </c>
      <c r="G7" s="58">
        <v>90638</v>
      </c>
      <c r="H7" s="58">
        <v>90824</v>
      </c>
      <c r="I7" s="101">
        <f t="shared" si="0"/>
        <v>100</v>
      </c>
      <c r="J7" s="58">
        <f t="shared" si="0"/>
        <v>113.07138856576624</v>
      </c>
      <c r="K7" s="58">
        <f t="shared" si="0"/>
        <v>112.07042637829765</v>
      </c>
      <c r="L7" s="58">
        <f t="shared" si="0"/>
        <v>114.58503870291385</v>
      </c>
      <c r="M7" s="58">
        <f t="shared" si="1"/>
        <v>128.55255410509386</v>
      </c>
      <c r="N7" s="58">
        <f t="shared" si="1"/>
        <v>130.16529519049874</v>
      </c>
      <c r="O7" s="135">
        <f t="shared" si="1"/>
        <v>130.43240992058364</v>
      </c>
      <c r="P7" s="58">
        <v>4788295</v>
      </c>
      <c r="Q7" s="58">
        <v>3588597</v>
      </c>
      <c r="R7" s="58">
        <v>3978596</v>
      </c>
      <c r="S7" s="58">
        <v>5474521</v>
      </c>
      <c r="T7" s="58">
        <v>5762093</v>
      </c>
      <c r="U7" s="58">
        <v>6351000</v>
      </c>
      <c r="V7" s="66">
        <v>6351000</v>
      </c>
      <c r="W7" s="65">
        <f t="shared" si="2"/>
        <v>100</v>
      </c>
      <c r="X7" s="65">
        <f t="shared" si="2"/>
        <v>74.945194479454585</v>
      </c>
      <c r="Y7" s="65">
        <f t="shared" si="2"/>
        <v>83.09003517953677</v>
      </c>
      <c r="Z7" s="58">
        <f t="shared" si="2"/>
        <v>114.33132252712082</v>
      </c>
      <c r="AA7" s="58">
        <f t="shared" si="3"/>
        <v>120.33705107976849</v>
      </c>
      <c r="AB7" s="58">
        <f t="shared" si="3"/>
        <v>132.63593826194921</v>
      </c>
      <c r="AC7" s="135">
        <f t="shared" si="3"/>
        <v>132.63593826194921</v>
      </c>
      <c r="AD7" s="43">
        <v>64.900000000000006</v>
      </c>
      <c r="AE7" s="43">
        <v>75</v>
      </c>
      <c r="AF7" s="43">
        <v>79</v>
      </c>
      <c r="AG7" s="43">
        <v>83</v>
      </c>
      <c r="AH7" s="43">
        <v>82.9</v>
      </c>
      <c r="AI7" s="43">
        <v>90.5</v>
      </c>
      <c r="AJ7" s="44">
        <v>98.1</v>
      </c>
      <c r="AK7" s="43">
        <v>253.1</v>
      </c>
      <c r="AL7" s="43">
        <v>261.39999999999998</v>
      </c>
      <c r="AM7" s="43">
        <v>267.5</v>
      </c>
      <c r="AN7" s="43">
        <v>271.89999999999998</v>
      </c>
      <c r="AO7" s="43">
        <v>295.2</v>
      </c>
      <c r="AP7" s="43">
        <v>330.7</v>
      </c>
      <c r="AQ7" s="44">
        <v>352.2</v>
      </c>
      <c r="AR7" s="65">
        <f t="shared" si="4"/>
        <v>3634.7708701334136</v>
      </c>
      <c r="AS7" s="65">
        <f t="shared" si="4"/>
        <v>3319.9974598336189</v>
      </c>
      <c r="AT7" s="65">
        <f t="shared" si="4"/>
        <v>3427.8172172531331</v>
      </c>
      <c r="AU7" s="58">
        <f t="shared" si="4"/>
        <v>3407.7379087342865</v>
      </c>
      <c r="AV7" s="58">
        <f t="shared" si="4"/>
        <v>3297.7713232419146</v>
      </c>
      <c r="AW7" s="58">
        <f t="shared" si="4"/>
        <v>3648.5800657560844</v>
      </c>
      <c r="AX7" s="66">
        <f t="shared" si="4"/>
        <v>3877.8296485510436</v>
      </c>
      <c r="AY7" s="58">
        <f t="shared" ref="AY7:BB8" si="8">AR7/$AR7*100</f>
        <v>100</v>
      </c>
      <c r="AZ7" s="58">
        <f t="shared" si="8"/>
        <v>91.33993801682908</v>
      </c>
      <c r="BA7" s="58">
        <f t="shared" si="8"/>
        <v>94.306280635712142</v>
      </c>
      <c r="BB7" s="58">
        <f t="shared" si="8"/>
        <v>93.753857684272845</v>
      </c>
      <c r="BC7" s="58">
        <f t="shared" ref="BC7:BE8" si="9">AV7/$AR7*100</f>
        <v>90.72845142287801</v>
      </c>
      <c r="BD7" s="58">
        <f t="shared" si="9"/>
        <v>100.37991928834194</v>
      </c>
      <c r="BE7" s="58">
        <f t="shared" si="9"/>
        <v>106.6870454040122</v>
      </c>
      <c r="BF7" s="121">
        <f>IFERROR(AD7/AK7,"")</f>
        <v>0.25642038719873572</v>
      </c>
      <c r="BG7" s="24">
        <f t="shared" si="6"/>
        <v>0.2869166029074216</v>
      </c>
      <c r="BH7" s="24">
        <f t="shared" si="6"/>
        <v>0.29532710280373831</v>
      </c>
      <c r="BI7" s="24">
        <f t="shared" si="6"/>
        <v>0.30525928650239059</v>
      </c>
      <c r="BJ7" s="24">
        <f t="shared" si="6"/>
        <v>0.28082655826558267</v>
      </c>
      <c r="BK7" s="24">
        <f t="shared" si="6"/>
        <v>0.27366192924100396</v>
      </c>
      <c r="BL7" s="27">
        <f t="shared" si="6"/>
        <v>0.27853492333901192</v>
      </c>
      <c r="BM7" s="21">
        <f>+AK7-AD7-CA7</f>
        <v>188.2</v>
      </c>
      <c r="BN7" s="21">
        <f t="shared" si="7"/>
        <v>163.59999999999997</v>
      </c>
      <c r="BO7" s="21">
        <f t="shared" si="7"/>
        <v>174.9</v>
      </c>
      <c r="BP7" s="21">
        <f t="shared" si="7"/>
        <v>180.89999999999998</v>
      </c>
      <c r="BQ7" s="21">
        <f t="shared" si="7"/>
        <v>208.15199999999999</v>
      </c>
      <c r="BR7" s="21">
        <f t="shared" si="7"/>
        <v>240.2</v>
      </c>
      <c r="BS7" s="22">
        <f t="shared" si="7"/>
        <v>254.1</v>
      </c>
      <c r="BT7" s="42"/>
      <c r="BU7" s="42"/>
      <c r="BV7" s="42"/>
      <c r="BW7" s="43"/>
      <c r="BX7" s="43"/>
      <c r="BY7" s="43"/>
      <c r="BZ7" s="44"/>
      <c r="CA7" s="42"/>
      <c r="CB7" s="42">
        <v>22.8</v>
      </c>
      <c r="CC7" s="42">
        <v>13.6</v>
      </c>
      <c r="CD7" s="43">
        <v>8</v>
      </c>
      <c r="CE7" s="43">
        <v>4.1479999999999997</v>
      </c>
      <c r="CF7" s="43"/>
      <c r="CG7" s="44"/>
      <c r="CH7" s="21"/>
      <c r="CI7" s="21"/>
      <c r="CJ7" s="21"/>
      <c r="CK7" s="21"/>
      <c r="CL7" s="21"/>
      <c r="CM7" s="21"/>
      <c r="CN7" s="22"/>
      <c r="CO7" s="67"/>
      <c r="CP7" s="58"/>
      <c r="CQ7" s="58"/>
      <c r="CR7" s="58"/>
      <c r="CS7" s="58"/>
      <c r="CT7" s="58"/>
      <c r="CU7" s="58"/>
    </row>
    <row r="8" spans="1:99" ht="16.5" thickBot="1" x14ac:dyDescent="0.3">
      <c r="A8" s="69" t="s">
        <v>22</v>
      </c>
      <c r="B8" s="70">
        <f t="shared" ref="B8:H8" si="10">SUBTOTAL(9,B6:B7)</f>
        <v>76318</v>
      </c>
      <c r="C8" s="70">
        <f t="shared" si="10"/>
        <v>85955</v>
      </c>
      <c r="D8" s="70">
        <f t="shared" si="10"/>
        <v>95564</v>
      </c>
      <c r="E8" s="70">
        <f t="shared" si="10"/>
        <v>97239</v>
      </c>
      <c r="F8" s="70">
        <f t="shared" si="10"/>
        <v>107267.98333333334</v>
      </c>
      <c r="G8" s="70">
        <f t="shared" si="10"/>
        <v>108088</v>
      </c>
      <c r="H8" s="71">
        <f t="shared" si="10"/>
        <v>107312</v>
      </c>
      <c r="I8" s="72">
        <f t="shared" si="0"/>
        <v>100</v>
      </c>
      <c r="J8" s="70">
        <f t="shared" si="0"/>
        <v>112.62742734348386</v>
      </c>
      <c r="K8" s="70">
        <f t="shared" si="0"/>
        <v>125.21816609449934</v>
      </c>
      <c r="L8" s="70">
        <f t="shared" si="0"/>
        <v>127.41293010823134</v>
      </c>
      <c r="M8" s="70">
        <f>+F8/$B8*100</f>
        <v>140.55397590782428</v>
      </c>
      <c r="N8" s="70">
        <f>+G8/$B8*100</f>
        <v>141.62844938284547</v>
      </c>
      <c r="O8" s="71">
        <f>+H8/$B8*100</f>
        <v>140.61165124872247</v>
      </c>
      <c r="P8" s="70">
        <f t="shared" ref="P8:V8" si="11">SUBTOTAL(9,P6:P7)</f>
        <v>4991026</v>
      </c>
      <c r="Q8" s="70">
        <f t="shared" si="11"/>
        <v>3751938</v>
      </c>
      <c r="R8" s="70">
        <f t="shared" si="11"/>
        <v>4323094.9104373734</v>
      </c>
      <c r="S8" s="70">
        <f t="shared" si="11"/>
        <v>5908765.6026744414</v>
      </c>
      <c r="T8" s="70">
        <f t="shared" si="11"/>
        <v>6171526</v>
      </c>
      <c r="U8" s="70">
        <f t="shared" si="11"/>
        <v>6798000</v>
      </c>
      <c r="V8" s="71">
        <f t="shared" si="11"/>
        <v>6798000</v>
      </c>
      <c r="W8" s="70">
        <f t="shared" si="2"/>
        <v>100</v>
      </c>
      <c r="X8" s="70">
        <f t="shared" si="2"/>
        <v>75.173681723958168</v>
      </c>
      <c r="Y8" s="70">
        <f t="shared" si="2"/>
        <v>86.617359044761017</v>
      </c>
      <c r="Z8" s="70">
        <f t="shared" si="2"/>
        <v>118.38779446699819</v>
      </c>
      <c r="AA8" s="70">
        <f>IFERROR(+T8/$P8*100,"")</f>
        <v>123.65245141980827</v>
      </c>
      <c r="AB8" s="70">
        <f>IFERROR(+T8/$P8*100,"")</f>
        <v>123.65245141980827</v>
      </c>
      <c r="AC8" s="71">
        <f t="shared" ref="AC8" si="12">IFERROR(+V8/$P8*100,"")</f>
        <v>136.20445976438512</v>
      </c>
      <c r="AD8" s="73">
        <f t="shared" ref="AD8:AQ8" si="13">SUBTOTAL(9,AD6:AD7)</f>
        <v>67.5</v>
      </c>
      <c r="AE8" s="73">
        <f t="shared" si="13"/>
        <v>78.099999999999994</v>
      </c>
      <c r="AF8" s="73">
        <f t="shared" si="13"/>
        <v>94.4</v>
      </c>
      <c r="AG8" s="73">
        <f t="shared" si="13"/>
        <v>97.9</v>
      </c>
      <c r="AH8" s="73">
        <f t="shared" si="13"/>
        <v>102.4</v>
      </c>
      <c r="AI8" s="73">
        <f t="shared" si="13"/>
        <v>113.1</v>
      </c>
      <c r="AJ8" s="74">
        <f t="shared" si="13"/>
        <v>120.69999999999999</v>
      </c>
      <c r="AK8" s="73">
        <f t="shared" si="13"/>
        <v>272.60000000000002</v>
      </c>
      <c r="AL8" s="73">
        <f t="shared" si="13"/>
        <v>282.7</v>
      </c>
      <c r="AM8" s="73">
        <f t="shared" si="13"/>
        <v>326.10000000000002</v>
      </c>
      <c r="AN8" s="73">
        <f t="shared" si="13"/>
        <v>336.79999999999995</v>
      </c>
      <c r="AO8" s="73">
        <f t="shared" si="13"/>
        <v>366</v>
      </c>
      <c r="AP8" s="73">
        <f>SUBTOTAL(9,AP6:AP7)</f>
        <v>407.2</v>
      </c>
      <c r="AQ8" s="74">
        <f t="shared" si="13"/>
        <v>428.24799999999999</v>
      </c>
      <c r="AR8" s="70">
        <f t="shared" si="4"/>
        <v>3571.8965381692392</v>
      </c>
      <c r="AS8" s="70">
        <f t="shared" si="4"/>
        <v>3288.9302542027804</v>
      </c>
      <c r="AT8" s="70">
        <f t="shared" si="4"/>
        <v>3412.3728600728309</v>
      </c>
      <c r="AU8" s="70">
        <f t="shared" si="4"/>
        <v>3463.6308477051384</v>
      </c>
      <c r="AV8" s="70">
        <f t="shared" si="4"/>
        <v>3412.0152968911661</v>
      </c>
      <c r="AW8" s="70">
        <f t="shared" si="4"/>
        <v>3767.3007179335355</v>
      </c>
      <c r="AX8" s="71">
        <f t="shared" si="4"/>
        <v>3990.6813776651261</v>
      </c>
      <c r="AY8" s="70">
        <f t="shared" si="8"/>
        <v>100</v>
      </c>
      <c r="AZ8" s="70">
        <f t="shared" si="8"/>
        <v>92.07798207639317</v>
      </c>
      <c r="BA8" s="70">
        <f t="shared" si="8"/>
        <v>95.533922206543764</v>
      </c>
      <c r="BB8" s="70">
        <f t="shared" si="8"/>
        <v>96.968957826544667</v>
      </c>
      <c r="BC8" s="70">
        <f t="shared" si="9"/>
        <v>95.523911749134271</v>
      </c>
      <c r="BD8" s="70">
        <f t="shared" si="9"/>
        <v>105.47060021689344</v>
      </c>
      <c r="BE8" s="71">
        <f t="shared" si="9"/>
        <v>111.72443924455141</v>
      </c>
      <c r="BF8" s="33">
        <f>IFERROR(AD8/AK8,"")</f>
        <v>0.24761555392516504</v>
      </c>
      <c r="BG8" s="33">
        <f t="shared" si="6"/>
        <v>0.27626459143968873</v>
      </c>
      <c r="BH8" s="33">
        <f t="shared" si="6"/>
        <v>0.28948175406317078</v>
      </c>
      <c r="BI8" s="33">
        <f t="shared" si="6"/>
        <v>0.29067695961995255</v>
      </c>
      <c r="BJ8" s="33">
        <f t="shared" si="6"/>
        <v>0.27978142076502732</v>
      </c>
      <c r="BK8" s="33">
        <f t="shared" si="6"/>
        <v>0.27775049115913553</v>
      </c>
      <c r="BL8" s="34">
        <f t="shared" si="6"/>
        <v>0.28184603313967604</v>
      </c>
      <c r="BM8" s="73">
        <f t="shared" ref="BM8:CG8" si="14">SUBTOTAL(9,BM6:BM7)</f>
        <v>205.1</v>
      </c>
      <c r="BN8" s="73">
        <f t="shared" si="14"/>
        <v>180.79999999999995</v>
      </c>
      <c r="BO8" s="73">
        <f t="shared" si="14"/>
        <v>212.8</v>
      </c>
      <c r="BP8" s="73">
        <f t="shared" si="14"/>
        <v>231.89999999999998</v>
      </c>
      <c r="BQ8" s="73">
        <f t="shared" ref="BQ8:BS8" si="15">SUBTOTAL(9,BQ6:BQ7)</f>
        <v>258.51499999999999</v>
      </c>
      <c r="BR8" s="73">
        <f t="shared" si="15"/>
        <v>294.09999999999997</v>
      </c>
      <c r="BS8" s="74">
        <f t="shared" si="15"/>
        <v>307.548</v>
      </c>
      <c r="BT8" s="73">
        <f t="shared" si="14"/>
        <v>0</v>
      </c>
      <c r="BU8" s="73">
        <f t="shared" si="14"/>
        <v>0</v>
      </c>
      <c r="BV8" s="73">
        <f t="shared" si="14"/>
        <v>0</v>
      </c>
      <c r="BW8" s="73">
        <f t="shared" si="14"/>
        <v>0</v>
      </c>
      <c r="BX8" s="73">
        <f t="shared" si="14"/>
        <v>0</v>
      </c>
      <c r="BY8" s="73">
        <f t="shared" ref="BY8" si="16">SUBTOTAL(9,BY6:BY7)</f>
        <v>0</v>
      </c>
      <c r="BZ8" s="74">
        <f t="shared" si="14"/>
        <v>0</v>
      </c>
      <c r="CA8" s="73">
        <f t="shared" si="14"/>
        <v>0</v>
      </c>
      <c r="CB8" s="73">
        <f t="shared" si="14"/>
        <v>23.8</v>
      </c>
      <c r="CC8" s="73">
        <f t="shared" si="14"/>
        <v>18.899999999999999</v>
      </c>
      <c r="CD8" s="73">
        <f t="shared" si="14"/>
        <v>7</v>
      </c>
      <c r="CE8" s="73">
        <f t="shared" si="14"/>
        <v>5.085</v>
      </c>
      <c r="CF8" s="73">
        <f t="shared" si="14"/>
        <v>0</v>
      </c>
      <c r="CG8" s="74">
        <f t="shared" si="14"/>
        <v>0</v>
      </c>
      <c r="CH8" s="29">
        <f>SUM(CH6:CH7)</f>
        <v>0</v>
      </c>
      <c r="CI8" s="29">
        <f t="shared" ref="CI8:CN8" si="17">SUM(CI6:CI7)</f>
        <v>0</v>
      </c>
      <c r="CJ8" s="29">
        <f t="shared" si="17"/>
        <v>0</v>
      </c>
      <c r="CK8" s="29">
        <f t="shared" si="17"/>
        <v>0</v>
      </c>
      <c r="CL8" s="29">
        <f t="shared" si="17"/>
        <v>0</v>
      </c>
      <c r="CM8" s="29">
        <f t="shared" si="17"/>
        <v>0</v>
      </c>
      <c r="CN8" s="30">
        <f t="shared" si="17"/>
        <v>0</v>
      </c>
    </row>
    <row r="9" spans="1:99" ht="16.5" thickTop="1" x14ac:dyDescent="0.25">
      <c r="CH9" s="108"/>
      <c r="CI9" s="2"/>
      <c r="CJ9" s="2"/>
      <c r="CK9" s="108"/>
      <c r="CL9" s="108"/>
      <c r="CM9" s="108"/>
    </row>
    <row r="10" spans="1:99" x14ac:dyDescent="0.25">
      <c r="T10" s="58"/>
      <c r="U10" s="58"/>
      <c r="V10" s="58"/>
    </row>
    <row r="16" spans="1:99" x14ac:dyDescent="0.25">
      <c r="BP16" s="45" t="s">
        <v>33</v>
      </c>
    </row>
  </sheetData>
  <mergeCells count="13">
    <mergeCell ref="B4:H4"/>
    <mergeCell ref="P4:V4"/>
    <mergeCell ref="AD4:AJ4"/>
    <mergeCell ref="AK4:AQ4"/>
    <mergeCell ref="BF4:BL4"/>
    <mergeCell ref="I4:O4"/>
    <mergeCell ref="AY4:BE4"/>
    <mergeCell ref="CH4:CN4"/>
    <mergeCell ref="BT4:BZ4"/>
    <mergeCell ref="CA4:CG4"/>
    <mergeCell ref="W4:AC4"/>
    <mergeCell ref="AR4:AX4"/>
    <mergeCell ref="BM4:BS4"/>
  </mergeCells>
  <pageMargins left="0.7" right="0.7" top="0.75" bottom="0.75" header="0.3" footer="0.3"/>
  <pageSetup paperSize="8" scale="2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F3C7F-092E-461B-A574-C9E6FA1166A1}">
  <sheetPr>
    <pageSetUpPr fitToPage="1"/>
  </sheetPr>
  <dimension ref="A2:CM37"/>
  <sheetViews>
    <sheetView topLeftCell="BP1" workbookViewId="0">
      <selection activeCell="BZ32" sqref="BZ32"/>
    </sheetView>
  </sheetViews>
  <sheetFormatPr defaultColWidth="9" defaultRowHeight="15.75" x14ac:dyDescent="0.25"/>
  <cols>
    <col min="1" max="1" width="30.125" style="1" customWidth="1"/>
    <col min="2" max="8" width="10.625" style="1" customWidth="1"/>
    <col min="9" max="15" width="8.625" style="1" customWidth="1"/>
    <col min="16" max="22" width="12.625" style="1" customWidth="1"/>
    <col min="23" max="29" width="8.625" style="1" customWidth="1"/>
    <col min="30" max="43" width="8.625" style="21" customWidth="1"/>
    <col min="44" max="77" width="8.625" style="1" customWidth="1"/>
    <col min="78" max="81" width="6.75" style="1" bestFit="1" customWidth="1"/>
    <col min="82" max="82" width="6.75" style="1" customWidth="1"/>
    <col min="83" max="83" width="7.5" style="1" bestFit="1" customWidth="1"/>
    <col min="84" max="84" width="6.75" style="1" bestFit="1" customWidth="1"/>
    <col min="85" max="16384" width="9" style="1"/>
  </cols>
  <sheetData>
    <row r="2" spans="1:91" x14ac:dyDescent="0.25">
      <c r="A2" s="2" t="s">
        <v>0</v>
      </c>
      <c r="B2" s="2"/>
      <c r="C2" s="2"/>
      <c r="D2" s="2"/>
      <c r="P2" s="2"/>
      <c r="Q2" s="2"/>
      <c r="R2" s="2"/>
      <c r="AD2" s="36"/>
      <c r="AE2" s="36"/>
      <c r="AF2" s="36"/>
      <c r="AK2" s="36"/>
      <c r="AL2" s="36"/>
      <c r="AM2" s="36"/>
    </row>
    <row r="3" spans="1:91" x14ac:dyDescent="0.25">
      <c r="BY3" s="1">
        <v>-1</v>
      </c>
    </row>
    <row r="4" spans="1:91" s="6" customFormat="1" ht="40.9" customHeight="1" x14ac:dyDescent="0.25">
      <c r="A4" s="5"/>
      <c r="B4" s="229" t="s">
        <v>1</v>
      </c>
      <c r="C4" s="230"/>
      <c r="D4" s="230"/>
      <c r="E4" s="230"/>
      <c r="F4" s="230"/>
      <c r="G4" s="230"/>
      <c r="H4" s="231"/>
      <c r="I4" s="241" t="s">
        <v>29</v>
      </c>
      <c r="J4" s="242"/>
      <c r="K4" s="242"/>
      <c r="L4" s="242"/>
      <c r="M4" s="242"/>
      <c r="N4" s="242"/>
      <c r="O4" s="243"/>
      <c r="P4" s="230" t="s">
        <v>2</v>
      </c>
      <c r="Q4" s="230"/>
      <c r="R4" s="230"/>
      <c r="S4" s="230"/>
      <c r="T4" s="230"/>
      <c r="U4" s="230"/>
      <c r="V4" s="231"/>
      <c r="W4" s="244" t="s">
        <v>8</v>
      </c>
      <c r="X4" s="245"/>
      <c r="Y4" s="245"/>
      <c r="Z4" s="245"/>
      <c r="AA4" s="245"/>
      <c r="AB4" s="245"/>
      <c r="AC4" s="246"/>
      <c r="AD4" s="247" t="s">
        <v>3</v>
      </c>
      <c r="AE4" s="248"/>
      <c r="AF4" s="248"/>
      <c r="AG4" s="248"/>
      <c r="AH4" s="248"/>
      <c r="AI4" s="248"/>
      <c r="AJ4" s="249"/>
      <c r="AK4" s="232" t="s">
        <v>4</v>
      </c>
      <c r="AL4" s="233"/>
      <c r="AM4" s="233"/>
      <c r="AN4" s="233"/>
      <c r="AO4" s="233"/>
      <c r="AP4" s="233"/>
      <c r="AQ4" s="234"/>
      <c r="AR4" s="235" t="s">
        <v>9</v>
      </c>
      <c r="AS4" s="236"/>
      <c r="AT4" s="236"/>
      <c r="AU4" s="236"/>
      <c r="AV4" s="236"/>
      <c r="AW4" s="236"/>
      <c r="AX4" s="237"/>
      <c r="AY4" s="222" t="s">
        <v>28</v>
      </c>
      <c r="AZ4" s="223"/>
      <c r="BA4" s="223"/>
      <c r="BB4" s="223"/>
      <c r="BC4" s="223"/>
      <c r="BD4" s="223"/>
      <c r="BE4" s="224"/>
      <c r="BF4" s="225" t="s">
        <v>135</v>
      </c>
      <c r="BG4" s="226"/>
      <c r="BH4" s="226"/>
      <c r="BI4" s="226"/>
      <c r="BJ4" s="226"/>
      <c r="BK4" s="226"/>
      <c r="BL4" s="227"/>
      <c r="BM4" s="218" t="s">
        <v>136</v>
      </c>
      <c r="BN4" s="218"/>
      <c r="BO4" s="218"/>
      <c r="BP4" s="218"/>
      <c r="BQ4" s="218"/>
      <c r="BR4" s="218"/>
      <c r="BS4" s="219" t="s">
        <v>6</v>
      </c>
      <c r="BT4" s="238" t="s">
        <v>6</v>
      </c>
      <c r="BU4" s="239"/>
      <c r="BV4" s="239"/>
      <c r="BW4" s="239"/>
      <c r="BX4" s="239"/>
      <c r="BY4" s="240"/>
      <c r="BZ4" s="229" t="s">
        <v>7</v>
      </c>
      <c r="CA4" s="230"/>
      <c r="CB4" s="230"/>
      <c r="CC4" s="230"/>
      <c r="CD4" s="230"/>
      <c r="CE4" s="230"/>
      <c r="CF4" s="231"/>
      <c r="CG4" s="207" t="s">
        <v>34</v>
      </c>
      <c r="CH4" s="208"/>
      <c r="CI4" s="208"/>
      <c r="CJ4" s="208"/>
      <c r="CK4" s="208"/>
      <c r="CL4" s="208"/>
      <c r="CM4" s="209"/>
    </row>
    <row r="5" spans="1:91" x14ac:dyDescent="0.25">
      <c r="A5" s="7" t="s">
        <v>10</v>
      </c>
      <c r="B5" s="10" t="s">
        <v>11</v>
      </c>
      <c r="C5" s="9" t="s">
        <v>12</v>
      </c>
      <c r="D5" s="9" t="s">
        <v>13</v>
      </c>
      <c r="E5" s="10" t="s">
        <v>14</v>
      </c>
      <c r="F5" s="10" t="s">
        <v>36</v>
      </c>
      <c r="G5" s="10" t="s">
        <v>64</v>
      </c>
      <c r="H5" s="11" t="s">
        <v>65</v>
      </c>
      <c r="I5" s="10" t="s">
        <v>11</v>
      </c>
      <c r="J5" s="9" t="s">
        <v>12</v>
      </c>
      <c r="K5" s="9" t="s">
        <v>13</v>
      </c>
      <c r="L5" s="10" t="s">
        <v>14</v>
      </c>
      <c r="M5" s="10" t="s">
        <v>36</v>
      </c>
      <c r="N5" s="10" t="s">
        <v>64</v>
      </c>
      <c r="O5" s="11" t="s">
        <v>65</v>
      </c>
      <c r="P5" s="10" t="s">
        <v>11</v>
      </c>
      <c r="Q5" s="9" t="s">
        <v>12</v>
      </c>
      <c r="R5" s="9" t="s">
        <v>13</v>
      </c>
      <c r="S5" s="10" t="s">
        <v>14</v>
      </c>
      <c r="T5" s="10" t="s">
        <v>36</v>
      </c>
      <c r="U5" s="10" t="s">
        <v>64</v>
      </c>
      <c r="V5" s="11" t="s">
        <v>65</v>
      </c>
      <c r="W5" s="10" t="s">
        <v>11</v>
      </c>
      <c r="X5" s="9" t="s">
        <v>12</v>
      </c>
      <c r="Y5" s="9" t="s">
        <v>13</v>
      </c>
      <c r="Z5" s="10" t="s">
        <v>14</v>
      </c>
      <c r="AA5" s="10" t="s">
        <v>36</v>
      </c>
      <c r="AB5" s="10" t="s">
        <v>64</v>
      </c>
      <c r="AC5" s="11" t="s">
        <v>65</v>
      </c>
      <c r="AD5" s="10" t="s">
        <v>11</v>
      </c>
      <c r="AE5" s="9" t="s">
        <v>12</v>
      </c>
      <c r="AF5" s="9" t="s">
        <v>13</v>
      </c>
      <c r="AG5" s="10" t="s">
        <v>14</v>
      </c>
      <c r="AH5" s="10" t="s">
        <v>36</v>
      </c>
      <c r="AI5" s="10" t="s">
        <v>64</v>
      </c>
      <c r="AJ5" s="11" t="s">
        <v>65</v>
      </c>
      <c r="AK5" s="89" t="s">
        <v>11</v>
      </c>
      <c r="AL5" s="90" t="s">
        <v>12</v>
      </c>
      <c r="AM5" s="90" t="s">
        <v>13</v>
      </c>
      <c r="AN5" s="91" t="s">
        <v>14</v>
      </c>
      <c r="AO5" s="91" t="s">
        <v>36</v>
      </c>
      <c r="AP5" s="91" t="s">
        <v>64</v>
      </c>
      <c r="AQ5" s="92" t="s">
        <v>65</v>
      </c>
      <c r="AR5" s="93" t="s">
        <v>11</v>
      </c>
      <c r="AS5" s="94" t="s">
        <v>12</v>
      </c>
      <c r="AT5" s="94" t="s">
        <v>13</v>
      </c>
      <c r="AU5" s="95" t="s">
        <v>14</v>
      </c>
      <c r="AV5" s="91" t="s">
        <v>36</v>
      </c>
      <c r="AW5" s="91" t="s">
        <v>64</v>
      </c>
      <c r="AX5" s="92" t="s">
        <v>65</v>
      </c>
      <c r="AY5" s="54" t="s">
        <v>11</v>
      </c>
      <c r="AZ5" s="56" t="s">
        <v>12</v>
      </c>
      <c r="BA5" s="56" t="s">
        <v>13</v>
      </c>
      <c r="BB5" s="56" t="s">
        <v>14</v>
      </c>
      <c r="BC5" s="10" t="s">
        <v>36</v>
      </c>
      <c r="BD5" s="10" t="s">
        <v>64</v>
      </c>
      <c r="BE5" s="11" t="s">
        <v>65</v>
      </c>
      <c r="BF5" s="17" t="s">
        <v>11</v>
      </c>
      <c r="BG5" s="16" t="s">
        <v>12</v>
      </c>
      <c r="BH5" s="16" t="s">
        <v>13</v>
      </c>
      <c r="BI5" s="17" t="s">
        <v>14</v>
      </c>
      <c r="BJ5" s="10" t="s">
        <v>36</v>
      </c>
      <c r="BK5" s="10" t="s">
        <v>64</v>
      </c>
      <c r="BL5" s="11" t="s">
        <v>65</v>
      </c>
      <c r="BM5" s="8" t="s">
        <v>11</v>
      </c>
      <c r="BN5" s="9" t="s">
        <v>12</v>
      </c>
      <c r="BO5" s="9" t="s">
        <v>13</v>
      </c>
      <c r="BP5" s="10" t="s">
        <v>14</v>
      </c>
      <c r="BQ5" s="10" t="s">
        <v>36</v>
      </c>
      <c r="BR5" s="10" t="s">
        <v>64</v>
      </c>
      <c r="BS5" s="11" t="s">
        <v>65</v>
      </c>
      <c r="BT5" s="85" t="s">
        <v>11</v>
      </c>
      <c r="BU5" s="86" t="s">
        <v>12</v>
      </c>
      <c r="BV5" s="86" t="s">
        <v>13</v>
      </c>
      <c r="BW5" s="87" t="s">
        <v>14</v>
      </c>
      <c r="BX5" s="87" t="s">
        <v>35</v>
      </c>
      <c r="BY5" s="88" t="s">
        <v>15</v>
      </c>
      <c r="BZ5" s="8" t="s">
        <v>11</v>
      </c>
      <c r="CA5" s="9" t="s">
        <v>12</v>
      </c>
      <c r="CB5" s="9" t="s">
        <v>13</v>
      </c>
      <c r="CC5" s="10" t="s">
        <v>14</v>
      </c>
      <c r="CD5" s="10" t="s">
        <v>36</v>
      </c>
      <c r="CE5" s="10" t="s">
        <v>64</v>
      </c>
      <c r="CF5" s="11" t="s">
        <v>65</v>
      </c>
      <c r="CG5" s="8" t="s">
        <v>11</v>
      </c>
      <c r="CH5" s="9" t="s">
        <v>12</v>
      </c>
      <c r="CI5" s="9" t="s">
        <v>13</v>
      </c>
      <c r="CJ5" s="10" t="s">
        <v>14</v>
      </c>
      <c r="CK5" s="10" t="s">
        <v>36</v>
      </c>
      <c r="CL5" s="10" t="s">
        <v>64</v>
      </c>
      <c r="CM5" s="11" t="s">
        <v>65</v>
      </c>
    </row>
    <row r="6" spans="1:91" x14ac:dyDescent="0.25">
      <c r="A6" s="3" t="s">
        <v>37</v>
      </c>
      <c r="B6" s="18">
        <v>18813</v>
      </c>
      <c r="C6" s="18">
        <v>18754.5</v>
      </c>
      <c r="D6" s="18">
        <v>18795.2</v>
      </c>
      <c r="E6" s="19">
        <v>18687.599999999999</v>
      </c>
      <c r="F6" s="18">
        <v>18687.60000333334</v>
      </c>
      <c r="G6" s="18">
        <v>17907.669999999998</v>
      </c>
      <c r="H6" s="25">
        <v>17891.400000000001</v>
      </c>
      <c r="I6" s="100">
        <f t="shared" ref="I6:M7" si="0">+B6/$B6*100</f>
        <v>100</v>
      </c>
      <c r="J6" s="76">
        <f t="shared" si="0"/>
        <v>99.68904480944029</v>
      </c>
      <c r="K6" s="76">
        <f t="shared" si="0"/>
        <v>99.905384574496352</v>
      </c>
      <c r="L6" s="76">
        <f t="shared" si="0"/>
        <v>99.333439642800187</v>
      </c>
      <c r="M6" s="76">
        <f t="shared" si="0"/>
        <v>99.333439660518479</v>
      </c>
      <c r="N6" s="76">
        <f t="shared" ref="N6:O7" si="1">+G6/$B6*100</f>
        <v>95.187742518471268</v>
      </c>
      <c r="O6" s="136">
        <f t="shared" si="1"/>
        <v>95.101259767182285</v>
      </c>
      <c r="P6" s="18">
        <v>912807</v>
      </c>
      <c r="Q6" s="18">
        <v>669527</v>
      </c>
      <c r="R6" s="18">
        <v>675441</v>
      </c>
      <c r="S6" s="19">
        <v>919055</v>
      </c>
      <c r="T6" s="18">
        <v>911480</v>
      </c>
      <c r="U6" s="18">
        <v>0</v>
      </c>
      <c r="V6" s="37">
        <v>0</v>
      </c>
      <c r="W6" s="41">
        <f t="shared" ref="W6:AA7" si="2">IFERROR(+P6/$P6*100,"")</f>
        <v>100</v>
      </c>
      <c r="X6" s="41">
        <f t="shared" si="2"/>
        <v>73.348144788547856</v>
      </c>
      <c r="Y6" s="41">
        <f t="shared" si="2"/>
        <v>73.996036401999547</v>
      </c>
      <c r="Z6" s="18">
        <f t="shared" si="2"/>
        <v>100.68448204275384</v>
      </c>
      <c r="AA6" s="18">
        <f t="shared" si="2"/>
        <v>99.854624252443287</v>
      </c>
      <c r="AB6" s="18">
        <f t="shared" ref="AB6:AC7" si="3">IFERROR(+U6/$P6*100,"")</f>
        <v>0</v>
      </c>
      <c r="AC6" s="130">
        <f t="shared" si="3"/>
        <v>0</v>
      </c>
      <c r="AD6" s="21">
        <v>27.940012320000001</v>
      </c>
      <c r="AE6" s="21">
        <v>20.47403336</v>
      </c>
      <c r="AF6" s="21">
        <v>14.186999353511535</v>
      </c>
      <c r="AG6" s="23">
        <v>16.09803497</v>
      </c>
      <c r="AH6" s="21">
        <v>20.171393519999999</v>
      </c>
      <c r="AI6" s="21">
        <v>21.84625091806517</v>
      </c>
      <c r="AJ6" s="22">
        <v>21.515991408354246</v>
      </c>
      <c r="AK6" s="21">
        <v>56.125184022243396</v>
      </c>
      <c r="AL6" s="21">
        <v>58.336220399999995</v>
      </c>
      <c r="AM6" s="21">
        <v>78.544912920650788</v>
      </c>
      <c r="AN6" s="23">
        <v>90.988332039999989</v>
      </c>
      <c r="AO6" s="21">
        <v>86.107996131767592</v>
      </c>
      <c r="AP6" s="21">
        <v>93.698823085849156</v>
      </c>
      <c r="AQ6" s="22">
        <v>92.794151417487157</v>
      </c>
      <c r="AR6" s="18">
        <f t="shared" ref="AR6:AX8" si="4">IFERROR(AK6*1000000/B6,"")</f>
        <v>2983.3191953565829</v>
      </c>
      <c r="AS6" s="18">
        <f t="shared" si="4"/>
        <v>3110.5185635447492</v>
      </c>
      <c r="AT6" s="18">
        <f t="shared" si="4"/>
        <v>4178.9878756624457</v>
      </c>
      <c r="AU6" s="18">
        <f t="shared" si="4"/>
        <v>4868.914790556305</v>
      </c>
      <c r="AV6" s="18">
        <f t="shared" si="4"/>
        <v>4607.761088444121</v>
      </c>
      <c r="AW6" s="18">
        <f t="shared" si="4"/>
        <v>5232.3291129359186</v>
      </c>
      <c r="AX6" s="18">
        <f t="shared" si="4"/>
        <v>5186.5226543192348</v>
      </c>
      <c r="AY6" s="102">
        <f>AR6/$AR6*100</f>
        <v>100</v>
      </c>
      <c r="AZ6" s="76">
        <f>AS6/$AR6*100</f>
        <v>104.26368617833946</v>
      </c>
      <c r="BA6" s="76">
        <f>AT6/$AR6*100</f>
        <v>140.07846971812046</v>
      </c>
      <c r="BB6" s="76">
        <f>AU6/$AR6*100</f>
        <v>163.20462115266031</v>
      </c>
      <c r="BC6" s="76">
        <f>AV6/$AR6*100</f>
        <v>154.45082429047207</v>
      </c>
      <c r="BD6" s="76">
        <f t="shared" ref="BC6:BE7" si="5">AW6/$AR6*100</f>
        <v>175.38616454718724</v>
      </c>
      <c r="BE6" s="136">
        <f>AX6/$AR6*100</f>
        <v>173.85074525018476</v>
      </c>
      <c r="BF6" s="191">
        <f>IFERROR(AD6/AK6,"")</f>
        <v>0.49781595921230093</v>
      </c>
      <c r="BG6" s="192">
        <f t="shared" ref="BG6:BL8" si="6">IFERROR(AE6/AL6,"")</f>
        <v>0.35096605881583653</v>
      </c>
      <c r="BH6" s="192">
        <f t="shared" si="6"/>
        <v>0.18062276506492292</v>
      </c>
      <c r="BI6" s="192">
        <f t="shared" si="6"/>
        <v>0.17692416828701768</v>
      </c>
      <c r="BJ6" s="192">
        <f t="shared" si="6"/>
        <v>0.23425691487620418</v>
      </c>
      <c r="BK6" s="192">
        <f t="shared" si="6"/>
        <v>0.23315395219051044</v>
      </c>
      <c r="BL6" s="134">
        <f t="shared" si="6"/>
        <v>0.23186796882868563</v>
      </c>
      <c r="BM6" s="21">
        <f>+AK6-AD6-BZ6</f>
        <v>28.185171702243395</v>
      </c>
      <c r="BN6" s="21">
        <f t="shared" ref="BN6:BS7" si="7">+AL6-AE6-CA6</f>
        <v>30.352243335286424</v>
      </c>
      <c r="BO6" s="21">
        <f t="shared" si="7"/>
        <v>62.428186687439393</v>
      </c>
      <c r="BP6" s="21">
        <f t="shared" si="7"/>
        <v>74.890297069999988</v>
      </c>
      <c r="BQ6" s="21">
        <f t="shared" si="7"/>
        <v>64.6366026117676</v>
      </c>
      <c r="BR6" s="21">
        <f t="shared" si="7"/>
        <v>71.952572167783984</v>
      </c>
      <c r="BS6" s="21">
        <f t="shared" si="7"/>
        <v>71.278160009132904</v>
      </c>
      <c r="BT6" s="21">
        <v>0</v>
      </c>
      <c r="BU6" s="21">
        <v>0</v>
      </c>
      <c r="BV6" s="21">
        <v>0</v>
      </c>
      <c r="BW6" s="21">
        <v>0</v>
      </c>
      <c r="BX6" s="21">
        <v>1.1007499999999999</v>
      </c>
      <c r="BY6" s="22">
        <v>2.9197000000000002</v>
      </c>
      <c r="BZ6" s="21">
        <v>0</v>
      </c>
      <c r="CA6" s="21">
        <v>7.50994370471357</v>
      </c>
      <c r="CB6" s="21">
        <v>1.9297268796998532</v>
      </c>
      <c r="CC6" s="21">
        <v>0</v>
      </c>
      <c r="CD6" s="21">
        <v>1.3</v>
      </c>
      <c r="CE6" s="21">
        <v>-0.1</v>
      </c>
      <c r="CF6" s="131">
        <v>0</v>
      </c>
      <c r="CG6" s="21">
        <v>1023.62</v>
      </c>
      <c r="CH6" s="21">
        <v>1045.7470000000001</v>
      </c>
      <c r="CI6" s="21">
        <v>1059.1099999999999</v>
      </c>
      <c r="CJ6" s="21">
        <v>1064.0029999999999</v>
      </c>
      <c r="CK6" s="21">
        <v>1058.7059999999999</v>
      </c>
      <c r="CL6" s="21">
        <v>1012.12</v>
      </c>
      <c r="CM6" s="131">
        <v>1033.019</v>
      </c>
    </row>
    <row r="7" spans="1:91" x14ac:dyDescent="0.25">
      <c r="A7" s="3" t="s">
        <v>38</v>
      </c>
      <c r="B7" s="18">
        <v>26179.63</v>
      </c>
      <c r="C7" s="18">
        <v>25050.333333333332</v>
      </c>
      <c r="D7" s="18">
        <v>25108.533333333333</v>
      </c>
      <c r="E7" s="18">
        <v>26550.283333333333</v>
      </c>
      <c r="F7" s="18">
        <v>26550.283329999998</v>
      </c>
      <c r="G7" s="18">
        <v>22288.21</v>
      </c>
      <c r="H7" s="25">
        <v>26059.95</v>
      </c>
      <c r="I7" s="102">
        <f t="shared" si="0"/>
        <v>100</v>
      </c>
      <c r="J7" s="76">
        <f t="shared" si="0"/>
        <v>95.686353601381427</v>
      </c>
      <c r="K7" s="76">
        <f t="shared" si="0"/>
        <v>95.908663847935713</v>
      </c>
      <c r="L7" s="76">
        <f t="shared" si="0"/>
        <v>101.41580814294674</v>
      </c>
      <c r="M7" s="76">
        <f t="shared" si="0"/>
        <v>101.4158081302142</v>
      </c>
      <c r="N7" s="76">
        <f t="shared" si="1"/>
        <v>85.135695195081055</v>
      </c>
      <c r="O7" s="77">
        <f t="shared" si="1"/>
        <v>99.54285068199971</v>
      </c>
      <c r="P7" s="18">
        <v>1890201</v>
      </c>
      <c r="Q7" s="18">
        <v>1093177</v>
      </c>
      <c r="R7" s="18">
        <v>1360089</v>
      </c>
      <c r="S7" s="18">
        <v>1881765</v>
      </c>
      <c r="T7" s="18">
        <v>2043789</v>
      </c>
      <c r="U7" s="18">
        <v>0</v>
      </c>
      <c r="V7" s="37">
        <v>0</v>
      </c>
      <c r="W7" s="41">
        <f t="shared" si="2"/>
        <v>100</v>
      </c>
      <c r="X7" s="41">
        <f t="shared" si="2"/>
        <v>57.833902320441055</v>
      </c>
      <c r="Y7" s="41">
        <f t="shared" si="2"/>
        <v>71.954728624098706</v>
      </c>
      <c r="Z7" s="18">
        <f t="shared" si="2"/>
        <v>99.5536982574869</v>
      </c>
      <c r="AA7" s="18">
        <f t="shared" si="2"/>
        <v>108.12548506746107</v>
      </c>
      <c r="AB7" s="18">
        <f t="shared" si="3"/>
        <v>0</v>
      </c>
      <c r="AC7" s="25">
        <f t="shared" si="3"/>
        <v>0</v>
      </c>
      <c r="AD7" s="21">
        <v>50.812371319999997</v>
      </c>
      <c r="AE7" s="21">
        <v>25.552164129999998</v>
      </c>
      <c r="AF7" s="21">
        <v>44.068307460000007</v>
      </c>
      <c r="AG7" s="21">
        <v>62.463784130000001</v>
      </c>
      <c r="AH7" s="21">
        <v>61.611718729999993</v>
      </c>
      <c r="AI7" s="21">
        <v>52.213114022055379</v>
      </c>
      <c r="AJ7" s="22">
        <v>66.020205829287889</v>
      </c>
      <c r="AK7" s="21">
        <v>109.751474616655</v>
      </c>
      <c r="AL7" s="21">
        <v>110.39765996</v>
      </c>
      <c r="AM7" s="21">
        <v>101.3979198393492</v>
      </c>
      <c r="AN7" s="21">
        <v>105.73330392999999</v>
      </c>
      <c r="AO7" s="21">
        <v>108.8651424782324</v>
      </c>
      <c r="AP7" s="21">
        <v>118.0813939599516</v>
      </c>
      <c r="AQ7" s="22">
        <v>120.05850630341715</v>
      </c>
      <c r="AR7" s="18">
        <f t="shared" si="4"/>
        <v>4192.2469728050019</v>
      </c>
      <c r="AS7" s="18">
        <f t="shared" si="4"/>
        <v>4407.0335708107677</v>
      </c>
      <c r="AT7" s="18">
        <f t="shared" si="4"/>
        <v>4038.3848189466476</v>
      </c>
      <c r="AU7" s="18">
        <f t="shared" si="4"/>
        <v>3982.3794948829795</v>
      </c>
      <c r="AV7" s="18">
        <f t="shared" si="4"/>
        <v>4100.338257227645</v>
      </c>
      <c r="AW7" s="18">
        <f t="shared" si="4"/>
        <v>5297.9307876205221</v>
      </c>
      <c r="AX7" s="18">
        <f t="shared" si="4"/>
        <v>4607.0121509602723</v>
      </c>
      <c r="AY7" s="102">
        <f t="shared" ref="AY7:AY8" si="8">AR7/$AR7*100</f>
        <v>100</v>
      </c>
      <c r="AZ7" s="76">
        <f t="shared" ref="AZ7:BB8" si="9">AS7/$AR7*100</f>
        <v>105.12342424955116</v>
      </c>
      <c r="BA7" s="76">
        <f t="shared" si="9"/>
        <v>96.32984042074682</v>
      </c>
      <c r="BB7" s="76">
        <f t="shared" si="9"/>
        <v>94.99391425926413</v>
      </c>
      <c r="BC7" s="76">
        <f t="shared" si="5"/>
        <v>97.807650260741639</v>
      </c>
      <c r="BD7" s="76">
        <f t="shared" si="5"/>
        <v>126.3744913405165</v>
      </c>
      <c r="BE7" s="77">
        <f t="shared" si="5"/>
        <v>109.89362460861302</v>
      </c>
      <c r="BF7" s="121">
        <f>IFERROR(AD7/AK7,"")</f>
        <v>0.46297666156632322</v>
      </c>
      <c r="BG7" s="24">
        <f t="shared" si="6"/>
        <v>0.23145566798479447</v>
      </c>
      <c r="BH7" s="24">
        <f t="shared" si="6"/>
        <v>0.43460760861583814</v>
      </c>
      <c r="BI7" s="24">
        <f t="shared" si="6"/>
        <v>0.59076735340979902</v>
      </c>
      <c r="BJ7" s="24">
        <f t="shared" si="6"/>
        <v>0.56594532765452688</v>
      </c>
      <c r="BK7" s="24">
        <f t="shared" si="6"/>
        <v>0.44217901119768233</v>
      </c>
      <c r="BL7" s="27">
        <f t="shared" si="6"/>
        <v>0.54990027664044661</v>
      </c>
      <c r="BM7" s="21">
        <f>+AK7-AD7-BZ7</f>
        <v>58.939103296655006</v>
      </c>
      <c r="BN7" s="21">
        <f t="shared" si="7"/>
        <v>74.56611466913067</v>
      </c>
      <c r="BO7" s="21">
        <f t="shared" si="7"/>
        <v>51.471892355766329</v>
      </c>
      <c r="BP7" s="21">
        <f t="shared" si="7"/>
        <v>40.669519799999989</v>
      </c>
      <c r="BQ7" s="21">
        <f t="shared" si="7"/>
        <v>45.553423748232404</v>
      </c>
      <c r="BR7" s="21">
        <f t="shared" si="7"/>
        <v>65.968279937896213</v>
      </c>
      <c r="BS7" s="21">
        <f t="shared" si="7"/>
        <v>54.038300474129258</v>
      </c>
      <c r="BT7" s="21">
        <v>0</v>
      </c>
      <c r="BU7" s="21">
        <v>0</v>
      </c>
      <c r="BV7" s="21">
        <v>0</v>
      </c>
      <c r="BW7" s="21">
        <v>0</v>
      </c>
      <c r="BX7" s="21">
        <v>4.0791930000000001</v>
      </c>
      <c r="BY7" s="22">
        <f>(-0.832-10.562526)*-1</f>
        <v>11.394526000000001</v>
      </c>
      <c r="BZ7" s="21">
        <v>0</v>
      </c>
      <c r="CA7" s="21">
        <v>10.279381160869329</v>
      </c>
      <c r="CB7" s="21">
        <v>5.8577200235828633</v>
      </c>
      <c r="CC7" s="21">
        <v>2.6</v>
      </c>
      <c r="CD7" s="21">
        <v>1.7</v>
      </c>
      <c r="CE7" s="21">
        <v>-0.1</v>
      </c>
      <c r="CF7" s="22">
        <v>0</v>
      </c>
      <c r="CG7" s="21">
        <v>1954.9839999999999</v>
      </c>
      <c r="CH7" s="21">
        <v>1739.51</v>
      </c>
      <c r="CI7" s="21">
        <v>1991.2370000000001</v>
      </c>
      <c r="CJ7" s="21">
        <v>2006.971</v>
      </c>
      <c r="CK7" s="21">
        <v>2053.8209999999999</v>
      </c>
      <c r="CL7" s="21">
        <v>1739.249</v>
      </c>
      <c r="CM7" s="22">
        <v>2034.953</v>
      </c>
    </row>
    <row r="8" spans="1:91" ht="16.5" thickBot="1" x14ac:dyDescent="0.3">
      <c r="A8" s="28" t="s">
        <v>16</v>
      </c>
      <c r="B8" s="29">
        <f t="shared" ref="B8:H8" si="10">SUM(B6:B7)</f>
        <v>44992.630000000005</v>
      </c>
      <c r="C8" s="29">
        <f t="shared" si="10"/>
        <v>43804.833333333328</v>
      </c>
      <c r="D8" s="29">
        <f t="shared" si="10"/>
        <v>43903.733333333337</v>
      </c>
      <c r="E8" s="29">
        <f t="shared" si="10"/>
        <v>45237.883333333331</v>
      </c>
      <c r="F8" s="29">
        <f t="shared" si="10"/>
        <v>45237.883333333339</v>
      </c>
      <c r="G8" s="29">
        <f t="shared" si="10"/>
        <v>40195.879999999997</v>
      </c>
      <c r="H8" s="29">
        <f t="shared" si="10"/>
        <v>43951.350000000006</v>
      </c>
      <c r="I8" s="103">
        <f>+B8/$B8*100</f>
        <v>100</v>
      </c>
      <c r="J8" s="78">
        <f>+C8/$B8*100</f>
        <v>97.360019481709173</v>
      </c>
      <c r="K8" s="78">
        <f>+D8/$B8*100</f>
        <v>97.579833260099107</v>
      </c>
      <c r="L8" s="78">
        <f>+E8/$B8*100</f>
        <v>100.54509668213068</v>
      </c>
      <c r="M8" s="78">
        <f>+F8/$B8*100</f>
        <v>100.54509668213068</v>
      </c>
      <c r="N8" s="78">
        <f t="shared" ref="N8:O8" si="11">+G8/$B8*100</f>
        <v>89.338809489465262</v>
      </c>
      <c r="O8" s="79">
        <f t="shared" si="11"/>
        <v>97.685665407867916</v>
      </c>
      <c r="P8" s="29">
        <f t="shared" ref="P8:V8" si="12">SUM(P6:P7)</f>
        <v>2803008</v>
      </c>
      <c r="Q8" s="29">
        <f t="shared" si="12"/>
        <v>1762704</v>
      </c>
      <c r="R8" s="29">
        <f t="shared" si="12"/>
        <v>2035530</v>
      </c>
      <c r="S8" s="29">
        <f t="shared" si="12"/>
        <v>2800820</v>
      </c>
      <c r="T8" s="29">
        <f t="shared" si="12"/>
        <v>2955269</v>
      </c>
      <c r="U8" s="29">
        <f t="shared" si="12"/>
        <v>0</v>
      </c>
      <c r="V8" s="29">
        <f t="shared" si="12"/>
        <v>0</v>
      </c>
      <c r="W8" s="29">
        <f>IFERROR(+P8/$P8*100,"")</f>
        <v>100</v>
      </c>
      <c r="X8" s="29">
        <f t="shared" ref="X8" si="13">IFERROR(+Q8/$P8*100,"")</f>
        <v>62.886156586067543</v>
      </c>
      <c r="Y8" s="29">
        <f t="shared" ref="Y8" si="14">IFERROR(+R8/$P8*100,"")</f>
        <v>72.619485923693404</v>
      </c>
      <c r="Z8" s="29">
        <f t="shared" ref="Z8:AA8" si="15">IFERROR(+S8/$P8*100,"")</f>
        <v>99.921941000525152</v>
      </c>
      <c r="AA8" s="29">
        <f t="shared" si="15"/>
        <v>105.43205727561249</v>
      </c>
      <c r="AB8" s="29">
        <f t="shared" ref="AB8:AC8" si="16">IFERROR(+U8/$P8*100,"")</f>
        <v>0</v>
      </c>
      <c r="AC8" s="30">
        <f t="shared" si="16"/>
        <v>0</v>
      </c>
      <c r="AD8" s="31">
        <f t="shared" ref="AD8:AQ8" si="17">SUM(AD6:AD7)</f>
        <v>78.752383640000005</v>
      </c>
      <c r="AE8" s="31">
        <f t="shared" si="17"/>
        <v>46.026197490000001</v>
      </c>
      <c r="AF8" s="31">
        <f t="shared" si="17"/>
        <v>58.255306813511538</v>
      </c>
      <c r="AG8" s="31">
        <f t="shared" si="17"/>
        <v>78.561819100000008</v>
      </c>
      <c r="AH8" s="31">
        <f t="shared" si="17"/>
        <v>81.783112249999988</v>
      </c>
      <c r="AI8" s="31">
        <f t="shared" si="17"/>
        <v>74.059364940120545</v>
      </c>
      <c r="AJ8" s="32">
        <f t="shared" si="17"/>
        <v>87.536197237642142</v>
      </c>
      <c r="AK8" s="31">
        <f t="shared" si="17"/>
        <v>165.87665863889839</v>
      </c>
      <c r="AL8" s="31">
        <f t="shared" si="17"/>
        <v>168.73388036</v>
      </c>
      <c r="AM8" s="31">
        <f t="shared" si="17"/>
        <v>179.94283275999999</v>
      </c>
      <c r="AN8" s="31">
        <f t="shared" si="17"/>
        <v>196.72163596999997</v>
      </c>
      <c r="AO8" s="31">
        <f t="shared" si="17"/>
        <v>194.97313860999998</v>
      </c>
      <c r="AP8" s="31">
        <f t="shared" si="17"/>
        <v>211.78021704580075</v>
      </c>
      <c r="AQ8" s="32">
        <f t="shared" si="17"/>
        <v>212.85265772090429</v>
      </c>
      <c r="AR8" s="29">
        <f t="shared" si="4"/>
        <v>3686.7517777666785</v>
      </c>
      <c r="AS8" s="29">
        <f t="shared" si="4"/>
        <v>3851.9466351125643</v>
      </c>
      <c r="AT8" s="29">
        <f t="shared" si="4"/>
        <v>4098.5770251884423</v>
      </c>
      <c r="AU8" s="29">
        <f t="shared" si="4"/>
        <v>4348.6039017445919</v>
      </c>
      <c r="AV8" s="29">
        <f t="shared" si="4"/>
        <v>4309.9527264206654</v>
      </c>
      <c r="AW8" s="29">
        <f t="shared" si="4"/>
        <v>5268.7045798176523</v>
      </c>
      <c r="AX8" s="29">
        <f t="shared" si="4"/>
        <v>4842.9151259495848</v>
      </c>
      <c r="AY8" s="103">
        <f t="shared" si="8"/>
        <v>100</v>
      </c>
      <c r="AZ8" s="78">
        <f t="shared" si="9"/>
        <v>104.48076972098066</v>
      </c>
      <c r="BA8" s="78">
        <f t="shared" si="9"/>
        <v>111.17040886520533</v>
      </c>
      <c r="BB8" s="78">
        <f t="shared" si="9"/>
        <v>117.95217481060911</v>
      </c>
      <c r="BC8" s="78">
        <f t="shared" ref="BC8:BE8" si="18">AV8/$AR8*100</f>
        <v>116.90379461975884</v>
      </c>
      <c r="BD8" s="78">
        <f t="shared" si="18"/>
        <v>142.90912156308153</v>
      </c>
      <c r="BE8" s="79">
        <f t="shared" si="18"/>
        <v>131.35994549877927</v>
      </c>
      <c r="BF8" s="33">
        <f>IFERROR(AD8/AK8,"")</f>
        <v>0.47476470943050708</v>
      </c>
      <c r="BG8" s="33">
        <f t="shared" si="6"/>
        <v>0.27277389337459318</v>
      </c>
      <c r="BH8" s="33">
        <f t="shared" si="6"/>
        <v>0.32374341294943354</v>
      </c>
      <c r="BI8" s="33">
        <f t="shared" si="6"/>
        <v>0.39935525501618274</v>
      </c>
      <c r="BJ8" s="33">
        <f t="shared" si="6"/>
        <v>0.41945835633075979</v>
      </c>
      <c r="BK8" s="33">
        <f t="shared" si="6"/>
        <v>0.34969916441300114</v>
      </c>
      <c r="BL8" s="34">
        <f t="shared" si="6"/>
        <v>0.41125254518748344</v>
      </c>
      <c r="BM8" s="31">
        <f t="shared" ref="BM8:CM8" si="19">SUM(BM6:BM7)</f>
        <v>87.1242749988984</v>
      </c>
      <c r="BN8" s="31">
        <f t="shared" si="19"/>
        <v>104.91835800441709</v>
      </c>
      <c r="BO8" s="31">
        <f t="shared" si="19"/>
        <v>113.90007904320572</v>
      </c>
      <c r="BP8" s="31">
        <f t="shared" si="19"/>
        <v>115.55981686999998</v>
      </c>
      <c r="BQ8" s="31">
        <f t="shared" si="19"/>
        <v>110.19002636</v>
      </c>
      <c r="BR8" s="31">
        <f t="shared" si="19"/>
        <v>137.92085210568018</v>
      </c>
      <c r="BS8" s="32">
        <f t="shared" si="19"/>
        <v>125.31646048326216</v>
      </c>
      <c r="BT8" s="31">
        <f t="shared" si="19"/>
        <v>0</v>
      </c>
      <c r="BU8" s="31">
        <f t="shared" si="19"/>
        <v>0</v>
      </c>
      <c r="BV8" s="31">
        <f t="shared" si="19"/>
        <v>0</v>
      </c>
      <c r="BW8" s="31">
        <f t="shared" si="19"/>
        <v>0</v>
      </c>
      <c r="BX8" s="31">
        <f t="shared" si="19"/>
        <v>5.1799429999999997</v>
      </c>
      <c r="BY8" s="32">
        <f t="shared" si="19"/>
        <v>14.314226000000001</v>
      </c>
      <c r="BZ8" s="31">
        <f t="shared" si="19"/>
        <v>0</v>
      </c>
      <c r="CA8" s="31">
        <f t="shared" si="19"/>
        <v>17.789324865582898</v>
      </c>
      <c r="CB8" s="31">
        <f t="shared" si="19"/>
        <v>7.7874469032827163</v>
      </c>
      <c r="CC8" s="31">
        <f t="shared" si="19"/>
        <v>2.6</v>
      </c>
      <c r="CD8" s="31">
        <f t="shared" si="19"/>
        <v>3</v>
      </c>
      <c r="CE8" s="31">
        <f t="shared" si="19"/>
        <v>-0.2</v>
      </c>
      <c r="CF8" s="32">
        <f t="shared" si="19"/>
        <v>0</v>
      </c>
      <c r="CG8" s="29">
        <f t="shared" si="19"/>
        <v>2978.6039999999998</v>
      </c>
      <c r="CH8" s="29">
        <f t="shared" si="19"/>
        <v>2785.2570000000001</v>
      </c>
      <c r="CI8" s="29">
        <f t="shared" si="19"/>
        <v>3050.3469999999998</v>
      </c>
      <c r="CJ8" s="29">
        <f t="shared" si="19"/>
        <v>3070.9740000000002</v>
      </c>
      <c r="CK8" s="29">
        <f t="shared" si="19"/>
        <v>3112.527</v>
      </c>
      <c r="CL8" s="29">
        <f t="shared" si="19"/>
        <v>2751.3690000000001</v>
      </c>
      <c r="CM8" s="30">
        <f t="shared" si="19"/>
        <v>3067.9719999999998</v>
      </c>
    </row>
    <row r="9" spans="1:91" ht="16.5" thickTop="1" x14ac:dyDescent="0.25">
      <c r="V9" s="4" t="s">
        <v>17</v>
      </c>
      <c r="AC9" s="4" t="s">
        <v>17</v>
      </c>
    </row>
    <row r="10" spans="1:91" x14ac:dyDescent="0.25">
      <c r="A10" s="38"/>
      <c r="BF10" s="21"/>
      <c r="BG10" s="21"/>
      <c r="BH10" s="21"/>
      <c r="BI10" s="21"/>
      <c r="BJ10" s="21"/>
      <c r="BK10" s="21"/>
      <c r="BL10" s="21"/>
    </row>
    <row r="11" spans="1:91" x14ac:dyDescent="0.25">
      <c r="A11" s="4" t="s">
        <v>18</v>
      </c>
      <c r="B11" s="39"/>
      <c r="C11" s="39"/>
      <c r="D11" s="39"/>
      <c r="E11" s="39"/>
      <c r="F11" s="39"/>
      <c r="G11" s="39"/>
      <c r="H11" s="39"/>
      <c r="I11" s="39"/>
      <c r="J11" s="39"/>
      <c r="K11" s="39"/>
      <c r="L11" s="39"/>
      <c r="M11" s="39"/>
      <c r="N11" s="39"/>
      <c r="O11" s="39"/>
      <c r="P11" s="39"/>
      <c r="Q11" s="39"/>
      <c r="R11" s="39"/>
      <c r="S11" s="39"/>
      <c r="T11" s="39"/>
      <c r="U11" s="39"/>
      <c r="V11" s="39"/>
      <c r="BF11" s="21"/>
      <c r="BG11" s="21"/>
      <c r="BH11" s="21"/>
      <c r="BI11" s="21"/>
      <c r="BJ11" s="21"/>
      <c r="BK11" s="21"/>
      <c r="BL11" s="21"/>
    </row>
    <row r="12" spans="1:91" x14ac:dyDescent="0.25">
      <c r="A12" s="39" t="s">
        <v>39</v>
      </c>
      <c r="B12" s="39"/>
      <c r="C12" s="39"/>
      <c r="D12" s="39"/>
      <c r="E12" s="39"/>
      <c r="F12" s="39"/>
      <c r="G12" s="39"/>
      <c r="H12" s="39"/>
      <c r="I12" s="39"/>
      <c r="J12" s="39"/>
      <c r="K12" s="39"/>
      <c r="L12" s="39"/>
      <c r="M12" s="39"/>
      <c r="N12" s="39"/>
      <c r="O12" s="39"/>
      <c r="P12" s="39"/>
      <c r="Q12" s="39"/>
      <c r="R12" s="39"/>
      <c r="S12" s="39"/>
      <c r="T12" s="39"/>
      <c r="U12" s="39"/>
      <c r="V12" s="39"/>
      <c r="BF12" s="21"/>
      <c r="BG12" s="21"/>
      <c r="BH12" s="21"/>
      <c r="BI12" s="21"/>
      <c r="BJ12" s="21"/>
      <c r="BK12" s="21"/>
      <c r="BL12" s="21"/>
    </row>
    <row r="13" spans="1:91" x14ac:dyDescent="0.25">
      <c r="BF13" s="21"/>
      <c r="BG13" s="21"/>
      <c r="BH13" s="21"/>
      <c r="BI13" s="21"/>
      <c r="BJ13" s="21"/>
      <c r="BK13" s="21"/>
      <c r="BL13" s="21"/>
    </row>
    <row r="14" spans="1:91" x14ac:dyDescent="0.25">
      <c r="BF14" s="21"/>
      <c r="BG14" s="21"/>
      <c r="BH14" s="21"/>
      <c r="BI14" s="21"/>
      <c r="BJ14" s="21"/>
      <c r="BK14" s="21"/>
      <c r="BL14" s="21"/>
    </row>
    <row r="15" spans="1:91" x14ac:dyDescent="0.25">
      <c r="BF15" s="21"/>
      <c r="BG15" s="21"/>
      <c r="BH15" s="21"/>
      <c r="BI15" s="21"/>
      <c r="BJ15" s="21"/>
      <c r="BK15" s="21"/>
      <c r="BL15" s="21"/>
    </row>
    <row r="16" spans="1:91" x14ac:dyDescent="0.25">
      <c r="BF16" s="21"/>
      <c r="BG16" s="21"/>
      <c r="BH16" s="21"/>
      <c r="BI16" s="21"/>
      <c r="BJ16" s="21"/>
      <c r="BK16" s="21"/>
      <c r="BL16" s="21"/>
    </row>
    <row r="17" spans="22:64" x14ac:dyDescent="0.25">
      <c r="BF17" s="21"/>
      <c r="BG17" s="21"/>
      <c r="BH17" s="21"/>
      <c r="BI17" s="21"/>
      <c r="BJ17" s="21"/>
      <c r="BK17" s="21"/>
      <c r="BL17" s="21"/>
    </row>
    <row r="18" spans="22:64" x14ac:dyDescent="0.25">
      <c r="BF18" s="21"/>
      <c r="BG18" s="21"/>
      <c r="BH18" s="21"/>
      <c r="BI18" s="21"/>
      <c r="BJ18" s="21"/>
      <c r="BK18" s="21"/>
      <c r="BL18" s="21"/>
    </row>
    <row r="19" spans="22:64" x14ac:dyDescent="0.25">
      <c r="BF19" s="21"/>
      <c r="BG19" s="21"/>
      <c r="BH19" s="21"/>
      <c r="BI19" s="21"/>
      <c r="BJ19" s="21"/>
      <c r="BK19" s="21"/>
      <c r="BL19" s="21"/>
    </row>
    <row r="20" spans="22:64" x14ac:dyDescent="0.25">
      <c r="BF20" s="21"/>
      <c r="BG20" s="21"/>
      <c r="BH20" s="21"/>
      <c r="BI20" s="21"/>
      <c r="BJ20" s="21"/>
      <c r="BK20" s="21"/>
      <c r="BL20" s="21"/>
    </row>
    <row r="24" spans="22:64" x14ac:dyDescent="0.25">
      <c r="V24" s="21"/>
      <c r="AD24" s="18"/>
      <c r="AE24" s="18"/>
      <c r="AF24" s="18"/>
      <c r="AG24" s="18"/>
      <c r="AH24" s="18"/>
      <c r="AI24" s="18"/>
      <c r="AJ24" s="18"/>
    </row>
    <row r="25" spans="22:64" x14ac:dyDescent="0.25">
      <c r="V25" s="21"/>
      <c r="AD25" s="18"/>
      <c r="AE25" s="18"/>
      <c r="AF25" s="18"/>
      <c r="AG25" s="18"/>
      <c r="AH25" s="18"/>
      <c r="AI25" s="18"/>
      <c r="AJ25" s="18"/>
    </row>
    <row r="26" spans="22:64" x14ac:dyDescent="0.25">
      <c r="V26" s="21"/>
      <c r="AD26" s="18"/>
      <c r="AE26" s="18"/>
      <c r="AF26" s="18"/>
      <c r="AG26" s="18"/>
      <c r="AH26" s="18"/>
      <c r="AI26" s="18"/>
      <c r="AJ26" s="18"/>
    </row>
    <row r="27" spans="22:64" x14ac:dyDescent="0.25">
      <c r="V27" s="21"/>
      <c r="AD27" s="18"/>
      <c r="AE27" s="18"/>
      <c r="AF27" s="18"/>
      <c r="AG27" s="18"/>
      <c r="AH27" s="18"/>
      <c r="AI27" s="18"/>
      <c r="AJ27" s="18"/>
    </row>
    <row r="28" spans="22:64" x14ac:dyDescent="0.25">
      <c r="V28" s="21"/>
      <c r="AD28" s="18"/>
      <c r="AE28" s="18"/>
      <c r="AF28" s="18"/>
      <c r="AG28" s="18"/>
      <c r="AH28" s="18"/>
      <c r="AI28" s="18"/>
      <c r="AJ28" s="18"/>
    </row>
    <row r="29" spans="22:64" x14ac:dyDescent="0.25">
      <c r="V29" s="21"/>
      <c r="AD29" s="18"/>
      <c r="AE29" s="18"/>
      <c r="AF29" s="18"/>
      <c r="AG29" s="18"/>
      <c r="AH29" s="18"/>
      <c r="AI29" s="18"/>
      <c r="AJ29" s="18"/>
    </row>
    <row r="30" spans="22:64" x14ac:dyDescent="0.25">
      <c r="V30" s="21"/>
      <c r="AD30" s="18"/>
      <c r="AE30" s="18"/>
      <c r="AF30" s="18"/>
      <c r="AG30" s="18"/>
      <c r="AH30" s="18"/>
      <c r="AI30" s="18"/>
      <c r="AJ30" s="18"/>
    </row>
    <row r="31" spans="22:64" x14ac:dyDescent="0.25">
      <c r="V31" s="21"/>
      <c r="AD31" s="18"/>
      <c r="AE31" s="18"/>
      <c r="AF31" s="18"/>
      <c r="AG31" s="18"/>
      <c r="AH31" s="18"/>
      <c r="AI31" s="18"/>
      <c r="AJ31" s="18"/>
    </row>
    <row r="32" spans="22:64" x14ac:dyDescent="0.25">
      <c r="V32" s="21"/>
      <c r="AD32" s="18"/>
      <c r="AE32" s="18"/>
      <c r="AF32" s="18"/>
      <c r="AG32" s="18"/>
      <c r="AH32" s="18"/>
      <c r="AI32" s="18"/>
      <c r="AJ32" s="18"/>
    </row>
    <row r="33" spans="22:36" x14ac:dyDescent="0.25">
      <c r="V33" s="21"/>
      <c r="AD33" s="18"/>
      <c r="AE33" s="18"/>
      <c r="AF33" s="18"/>
      <c r="AG33" s="18"/>
      <c r="AH33" s="18"/>
      <c r="AI33" s="18"/>
      <c r="AJ33" s="18"/>
    </row>
    <row r="34" spans="22:36" x14ac:dyDescent="0.25">
      <c r="V34" s="21"/>
      <c r="AD34" s="18"/>
      <c r="AE34" s="18"/>
      <c r="AF34" s="18"/>
      <c r="AG34" s="18"/>
      <c r="AH34" s="18"/>
      <c r="AI34" s="18"/>
      <c r="AJ34" s="18"/>
    </row>
    <row r="35" spans="22:36" x14ac:dyDescent="0.25">
      <c r="V35" s="21"/>
      <c r="AD35" s="18"/>
      <c r="AE35" s="18"/>
      <c r="AF35" s="18"/>
      <c r="AG35" s="18"/>
      <c r="AH35" s="18"/>
      <c r="AI35" s="18"/>
      <c r="AJ35" s="18"/>
    </row>
    <row r="36" spans="22:36" x14ac:dyDescent="0.25">
      <c r="AD36" s="18"/>
      <c r="AE36" s="18"/>
      <c r="AF36" s="18"/>
      <c r="AG36" s="18"/>
      <c r="AH36" s="18"/>
      <c r="AI36" s="18"/>
      <c r="AJ36" s="18"/>
    </row>
    <row r="37" spans="22:36" x14ac:dyDescent="0.25">
      <c r="AD37" s="18"/>
      <c r="AE37" s="18"/>
      <c r="AF37" s="18"/>
      <c r="AG37" s="18"/>
      <c r="AH37" s="18"/>
      <c r="AI37" s="18"/>
      <c r="AJ37" s="18"/>
    </row>
  </sheetData>
  <mergeCells count="13">
    <mergeCell ref="B4:H4"/>
    <mergeCell ref="I4:O4"/>
    <mergeCell ref="P4:V4"/>
    <mergeCell ref="W4:AC4"/>
    <mergeCell ref="AD4:AJ4"/>
    <mergeCell ref="CG4:CM4"/>
    <mergeCell ref="BZ4:CF4"/>
    <mergeCell ref="AK4:AQ4"/>
    <mergeCell ref="AR4:AX4"/>
    <mergeCell ref="AY4:BE4"/>
    <mergeCell ref="BF4:BL4"/>
    <mergeCell ref="BM4:BS4"/>
    <mergeCell ref="BT4:BY4"/>
  </mergeCells>
  <pageMargins left="0.7" right="0.7" top="0.75" bottom="0.75" header="0.3" footer="0.3"/>
  <pageSetup paperSize="8"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8314-B7D8-40E6-9A2B-77B330EED062}">
  <sheetPr>
    <pageSetUpPr fitToPage="1"/>
  </sheetPr>
  <dimension ref="A2:CX19"/>
  <sheetViews>
    <sheetView workbookViewId="0">
      <selection activeCell="CG4" sqref="CG4:CM7"/>
    </sheetView>
  </sheetViews>
  <sheetFormatPr defaultColWidth="28.25" defaultRowHeight="15.75" x14ac:dyDescent="0.25"/>
  <cols>
    <col min="1" max="1" width="21.75" style="1" customWidth="1"/>
    <col min="2" max="8" width="10.625" style="1" customWidth="1"/>
    <col min="9" max="15" width="8.625" style="1" customWidth="1"/>
    <col min="16" max="22" width="12.625" style="1" customWidth="1"/>
    <col min="23" max="71" width="8.625" style="1" customWidth="1"/>
    <col min="72" max="77" width="8.625" style="1" hidden="1" customWidth="1"/>
    <col min="78" max="81" width="6.875" style="1" bestFit="1" customWidth="1"/>
    <col min="82" max="82" width="7.75" style="1" bestFit="1" customWidth="1"/>
    <col min="83" max="83" width="7.75" style="1" customWidth="1"/>
    <col min="84" max="84" width="6.875" style="1" bestFit="1" customWidth="1"/>
    <col min="85" max="91" width="7.125" style="1" customWidth="1"/>
    <col min="92" max="101" width="28.25" style="1"/>
    <col min="102" max="102" width="8" style="1" bestFit="1" customWidth="1"/>
    <col min="103" max="16384" width="28.25" style="1"/>
  </cols>
  <sheetData>
    <row r="2" spans="1:102" x14ac:dyDescent="0.25">
      <c r="A2" s="2" t="s">
        <v>53</v>
      </c>
      <c r="B2" s="2"/>
      <c r="C2" s="2"/>
      <c r="D2" s="2"/>
    </row>
    <row r="3" spans="1:102" x14ac:dyDescent="0.25">
      <c r="AN3" s="1" t="s">
        <v>54</v>
      </c>
      <c r="BO3" s="1" t="s">
        <v>55</v>
      </c>
    </row>
    <row r="4" spans="1:102" s="6" customFormat="1" ht="40.9" customHeight="1" x14ac:dyDescent="0.25">
      <c r="A4" s="5" t="s">
        <v>56</v>
      </c>
      <c r="B4" s="207" t="s">
        <v>1</v>
      </c>
      <c r="C4" s="208"/>
      <c r="D4" s="208"/>
      <c r="E4" s="208"/>
      <c r="F4" s="208"/>
      <c r="G4" s="208"/>
      <c r="H4" s="209"/>
      <c r="I4" s="222" t="s">
        <v>29</v>
      </c>
      <c r="J4" s="223"/>
      <c r="K4" s="223"/>
      <c r="L4" s="223"/>
      <c r="M4" s="223"/>
      <c r="N4" s="223"/>
      <c r="O4" s="224"/>
      <c r="P4" s="207" t="s">
        <v>2</v>
      </c>
      <c r="Q4" s="208"/>
      <c r="R4" s="208"/>
      <c r="S4" s="208"/>
      <c r="T4" s="208"/>
      <c r="U4" s="208"/>
      <c r="V4" s="209"/>
      <c r="W4" s="260" t="s">
        <v>8</v>
      </c>
      <c r="X4" s="261"/>
      <c r="Y4" s="261"/>
      <c r="Z4" s="261"/>
      <c r="AA4" s="261"/>
      <c r="AB4" s="261"/>
      <c r="AC4" s="262"/>
      <c r="AD4" s="263" t="s">
        <v>57</v>
      </c>
      <c r="AE4" s="263"/>
      <c r="AF4" s="263"/>
      <c r="AG4" s="263"/>
      <c r="AH4" s="263"/>
      <c r="AI4" s="263"/>
      <c r="AJ4" s="264"/>
      <c r="AK4" s="251" t="s">
        <v>4</v>
      </c>
      <c r="AL4" s="252"/>
      <c r="AM4" s="252"/>
      <c r="AN4" s="252"/>
      <c r="AO4" s="252"/>
      <c r="AP4" s="252"/>
      <c r="AQ4" s="253"/>
      <c r="AR4" s="254" t="s">
        <v>9</v>
      </c>
      <c r="AS4" s="255"/>
      <c r="AT4" s="255"/>
      <c r="AU4" s="255"/>
      <c r="AV4" s="255"/>
      <c r="AW4" s="255"/>
      <c r="AX4" s="256"/>
      <c r="AY4" s="222" t="s">
        <v>28</v>
      </c>
      <c r="AZ4" s="223"/>
      <c r="BA4" s="223"/>
      <c r="BB4" s="223"/>
      <c r="BC4" s="223"/>
      <c r="BD4" s="223"/>
      <c r="BE4" s="224"/>
      <c r="BF4" s="225" t="s">
        <v>135</v>
      </c>
      <c r="BG4" s="226"/>
      <c r="BH4" s="226"/>
      <c r="BI4" s="226"/>
      <c r="BJ4" s="226"/>
      <c r="BK4" s="226"/>
      <c r="BL4" s="227"/>
      <c r="BM4" s="207" t="s">
        <v>5</v>
      </c>
      <c r="BN4" s="208"/>
      <c r="BO4" s="208"/>
      <c r="BP4" s="208"/>
      <c r="BQ4" s="208"/>
      <c r="BR4" s="208"/>
      <c r="BS4" s="209"/>
      <c r="BT4" s="257" t="s">
        <v>6</v>
      </c>
      <c r="BU4" s="258"/>
      <c r="BV4" s="258"/>
      <c r="BW4" s="258"/>
      <c r="BX4" s="258"/>
      <c r="BY4" s="259"/>
      <c r="BZ4" s="207" t="s">
        <v>7</v>
      </c>
      <c r="CA4" s="208"/>
      <c r="CB4" s="208"/>
      <c r="CC4" s="208"/>
      <c r="CD4" s="208"/>
      <c r="CE4" s="208"/>
      <c r="CF4" s="209"/>
      <c r="CG4" s="207" t="s">
        <v>34</v>
      </c>
      <c r="CH4" s="208"/>
      <c r="CI4" s="208"/>
      <c r="CJ4" s="208"/>
      <c r="CK4" s="208"/>
      <c r="CL4" s="208"/>
      <c r="CM4" s="209"/>
    </row>
    <row r="5" spans="1:102" x14ac:dyDescent="0.25">
      <c r="A5" s="7" t="s">
        <v>10</v>
      </c>
      <c r="B5" s="8" t="s">
        <v>11</v>
      </c>
      <c r="C5" s="9" t="s">
        <v>12</v>
      </c>
      <c r="D5" s="9" t="s">
        <v>13</v>
      </c>
      <c r="E5" s="10" t="s">
        <v>14</v>
      </c>
      <c r="F5" s="10" t="s">
        <v>36</v>
      </c>
      <c r="G5" s="10" t="s">
        <v>64</v>
      </c>
      <c r="H5" s="11" t="s">
        <v>65</v>
      </c>
      <c r="I5" s="54" t="s">
        <v>11</v>
      </c>
      <c r="J5" s="56" t="s">
        <v>12</v>
      </c>
      <c r="K5" s="56" t="s">
        <v>13</v>
      </c>
      <c r="L5" s="56" t="s">
        <v>14</v>
      </c>
      <c r="M5" s="10" t="s">
        <v>36</v>
      </c>
      <c r="N5" s="10" t="s">
        <v>64</v>
      </c>
      <c r="O5" s="11" t="s">
        <v>65</v>
      </c>
      <c r="P5" s="8" t="s">
        <v>11</v>
      </c>
      <c r="Q5" s="9" t="s">
        <v>12</v>
      </c>
      <c r="R5" s="9" t="s">
        <v>13</v>
      </c>
      <c r="S5" s="10" t="s">
        <v>14</v>
      </c>
      <c r="T5" s="10" t="s">
        <v>36</v>
      </c>
      <c r="U5" s="10" t="s">
        <v>64</v>
      </c>
      <c r="V5" s="11" t="s">
        <v>65</v>
      </c>
      <c r="W5" s="12" t="s">
        <v>11</v>
      </c>
      <c r="X5" s="13" t="s">
        <v>12</v>
      </c>
      <c r="Y5" s="13" t="s">
        <v>13</v>
      </c>
      <c r="Z5" s="14" t="s">
        <v>14</v>
      </c>
      <c r="AA5" s="10" t="s">
        <v>36</v>
      </c>
      <c r="AB5" s="10" t="s">
        <v>64</v>
      </c>
      <c r="AC5" s="11" t="s">
        <v>65</v>
      </c>
      <c r="AD5" s="118" t="s">
        <v>11</v>
      </c>
      <c r="AE5" s="117" t="s">
        <v>12</v>
      </c>
      <c r="AF5" s="117" t="s">
        <v>13</v>
      </c>
      <c r="AG5" s="118" t="s">
        <v>14</v>
      </c>
      <c r="AH5" s="10" t="s">
        <v>36</v>
      </c>
      <c r="AI5" s="10" t="s">
        <v>64</v>
      </c>
      <c r="AJ5" s="11" t="s">
        <v>65</v>
      </c>
      <c r="AK5" s="89" t="s">
        <v>11</v>
      </c>
      <c r="AL5" s="90" t="s">
        <v>12</v>
      </c>
      <c r="AM5" s="90" t="s">
        <v>13</v>
      </c>
      <c r="AN5" s="91" t="s">
        <v>14</v>
      </c>
      <c r="AO5" s="91" t="s">
        <v>36</v>
      </c>
      <c r="AP5" s="91" t="s">
        <v>64</v>
      </c>
      <c r="AQ5" s="92" t="s">
        <v>65</v>
      </c>
      <c r="AR5" s="93" t="s">
        <v>11</v>
      </c>
      <c r="AS5" s="94" t="s">
        <v>12</v>
      </c>
      <c r="AT5" s="94" t="s">
        <v>13</v>
      </c>
      <c r="AU5" s="95" t="s">
        <v>14</v>
      </c>
      <c r="AV5" s="95" t="s">
        <v>36</v>
      </c>
      <c r="AW5" s="95" t="s">
        <v>64</v>
      </c>
      <c r="AX5" s="96" t="s">
        <v>65</v>
      </c>
      <c r="AY5" s="54" t="s">
        <v>11</v>
      </c>
      <c r="AZ5" s="56" t="s">
        <v>12</v>
      </c>
      <c r="BA5" s="56" t="s">
        <v>13</v>
      </c>
      <c r="BB5" s="56" t="s">
        <v>14</v>
      </c>
      <c r="BC5" s="10" t="s">
        <v>36</v>
      </c>
      <c r="BD5" s="10" t="s">
        <v>64</v>
      </c>
      <c r="BE5" s="11" t="s">
        <v>65</v>
      </c>
      <c r="BF5" s="15" t="s">
        <v>11</v>
      </c>
      <c r="BG5" s="16" t="s">
        <v>12</v>
      </c>
      <c r="BH5" s="16" t="s">
        <v>13</v>
      </c>
      <c r="BI5" s="17" t="s">
        <v>14</v>
      </c>
      <c r="BJ5" s="10" t="s">
        <v>36</v>
      </c>
      <c r="BK5" s="10" t="s">
        <v>64</v>
      </c>
      <c r="BL5" s="11" t="s">
        <v>65</v>
      </c>
      <c r="BM5" s="8" t="s">
        <v>11</v>
      </c>
      <c r="BN5" s="9" t="s">
        <v>12</v>
      </c>
      <c r="BO5" s="9" t="s">
        <v>13</v>
      </c>
      <c r="BP5" s="10" t="s">
        <v>14</v>
      </c>
      <c r="BQ5" s="10" t="s">
        <v>36</v>
      </c>
      <c r="BR5" s="10" t="s">
        <v>64</v>
      </c>
      <c r="BS5" s="11" t="s">
        <v>65</v>
      </c>
      <c r="BT5" s="85">
        <v>2019</v>
      </c>
      <c r="BU5" s="86">
        <v>2020</v>
      </c>
      <c r="BV5" s="86">
        <v>2021</v>
      </c>
      <c r="BW5" s="87">
        <v>2022</v>
      </c>
      <c r="BX5" s="87">
        <v>2023</v>
      </c>
      <c r="BY5" s="88">
        <v>2024</v>
      </c>
      <c r="BZ5" s="8" t="s">
        <v>11</v>
      </c>
      <c r="CA5" s="9" t="s">
        <v>12</v>
      </c>
      <c r="CB5" s="9" t="s">
        <v>13</v>
      </c>
      <c r="CC5" s="10" t="s">
        <v>14</v>
      </c>
      <c r="CD5" s="10" t="s">
        <v>36</v>
      </c>
      <c r="CE5" s="10" t="s">
        <v>64</v>
      </c>
      <c r="CF5" s="11" t="s">
        <v>65</v>
      </c>
      <c r="CG5" s="8" t="s">
        <v>11</v>
      </c>
      <c r="CH5" s="9" t="s">
        <v>12</v>
      </c>
      <c r="CI5" s="9" t="s">
        <v>13</v>
      </c>
      <c r="CJ5" s="10" t="s">
        <v>14</v>
      </c>
      <c r="CK5" s="10" t="s">
        <v>36</v>
      </c>
      <c r="CL5" s="10" t="s">
        <v>64</v>
      </c>
      <c r="CM5" s="11" t="s">
        <v>65</v>
      </c>
    </row>
    <row r="6" spans="1:102" x14ac:dyDescent="0.25">
      <c r="A6" s="104" t="s">
        <v>59</v>
      </c>
      <c r="B6" s="143"/>
      <c r="C6" s="144"/>
      <c r="D6" s="76"/>
      <c r="E6" s="147">
        <v>42130</v>
      </c>
      <c r="F6" s="147">
        <v>68095</v>
      </c>
      <c r="G6" s="147">
        <v>71818.14</v>
      </c>
      <c r="H6" s="147">
        <v>73080</v>
      </c>
      <c r="I6" s="100"/>
      <c r="J6" s="76"/>
      <c r="K6" s="76"/>
      <c r="L6" s="76">
        <f>+E6/$E6*100</f>
        <v>100</v>
      </c>
      <c r="M6" s="76">
        <f>+F6/$E6*100</f>
        <v>161.63066698314742</v>
      </c>
      <c r="N6" s="76">
        <f>+G6/$E6*100</f>
        <v>170.46793258960361</v>
      </c>
      <c r="O6" s="77">
        <f>+H6/$E6*100</f>
        <v>173.4630904343698</v>
      </c>
      <c r="P6" s="119"/>
      <c r="Q6" s="144"/>
      <c r="R6" s="76"/>
      <c r="S6" s="147">
        <v>3278000</v>
      </c>
      <c r="T6" s="147">
        <v>5809000</v>
      </c>
      <c r="U6" s="147">
        <v>6937000</v>
      </c>
      <c r="V6" s="147">
        <v>7100000</v>
      </c>
      <c r="W6" s="145" t="str">
        <f t="shared" ref="W6:W7" si="0">IFERROR(+P6/$P6*100,"")</f>
        <v/>
      </c>
      <c r="X6" s="18" t="str">
        <f t="shared" ref="X6:X7" si="1">IFERROR(+Q6/$P6*100,"")</f>
        <v/>
      </c>
      <c r="Y6" s="18" t="str">
        <f t="shared" ref="Y6:Y7" si="2">IFERROR(+R6/$P6*100,"")</f>
        <v/>
      </c>
      <c r="Z6" s="41">
        <f>IFERROR(+S6/$S6*100,"")</f>
        <v>100</v>
      </c>
      <c r="AA6" s="41">
        <f t="shared" ref="AA6:AC6" si="3">IFERROR(+T6/$S6*100,"")</f>
        <v>177.2117144600366</v>
      </c>
      <c r="AB6" s="41">
        <f t="shared" si="3"/>
        <v>211.6229408175717</v>
      </c>
      <c r="AC6" s="133">
        <f t="shared" si="3"/>
        <v>216.59548505186089</v>
      </c>
      <c r="AD6" s="21"/>
      <c r="AE6" s="21"/>
      <c r="AF6" s="21"/>
      <c r="AG6" s="148">
        <v>26.5</v>
      </c>
      <c r="AH6" s="148">
        <v>51.792261330000002</v>
      </c>
      <c r="AI6" s="148">
        <v>56.9</v>
      </c>
      <c r="AJ6" s="148">
        <v>59</v>
      </c>
      <c r="AK6" s="120"/>
      <c r="AL6" s="21"/>
      <c r="AM6" s="21"/>
      <c r="AN6" s="21"/>
      <c r="AO6" s="21"/>
      <c r="AP6" s="21"/>
      <c r="AQ6" s="22"/>
      <c r="AR6" s="18" t="str">
        <f t="shared" ref="AR6:AX6" si="4">IFERROR(AK6*1000000/B6,"")</f>
        <v/>
      </c>
      <c r="AS6" s="18" t="str">
        <f t="shared" si="4"/>
        <v/>
      </c>
      <c r="AT6" s="18" t="str">
        <f t="shared" si="4"/>
        <v/>
      </c>
      <c r="AU6" s="18">
        <f t="shared" si="4"/>
        <v>0</v>
      </c>
      <c r="AV6" s="18">
        <f t="shared" si="4"/>
        <v>0</v>
      </c>
      <c r="AW6" s="18">
        <f t="shared" si="4"/>
        <v>0</v>
      </c>
      <c r="AX6" s="130">
        <f t="shared" si="4"/>
        <v>0</v>
      </c>
      <c r="AY6" s="41" t="str">
        <f>IFERROR(AR6/$AR6*100,"")</f>
        <v/>
      </c>
      <c r="AZ6" s="41" t="str">
        <f t="shared" ref="AZ6:BE6" si="5">IFERROR(AS6/$AR6*100,"")</f>
        <v/>
      </c>
      <c r="BA6" s="41" t="str">
        <f t="shared" si="5"/>
        <v/>
      </c>
      <c r="BB6" s="41" t="str">
        <f t="shared" si="5"/>
        <v/>
      </c>
      <c r="BC6" s="41" t="str">
        <f t="shared" si="5"/>
        <v/>
      </c>
      <c r="BD6" s="41" t="str">
        <f t="shared" si="5"/>
        <v/>
      </c>
      <c r="BE6" s="41" t="str">
        <f t="shared" si="5"/>
        <v/>
      </c>
      <c r="BF6" s="191" t="str">
        <f>IFERROR(AD6/AK6,"")</f>
        <v/>
      </c>
      <c r="BG6" s="192" t="str">
        <f t="shared" ref="BG6:BL7" si="6">IFERROR(AE6/AL6,"")</f>
        <v/>
      </c>
      <c r="BH6" s="192" t="str">
        <f t="shared" si="6"/>
        <v/>
      </c>
      <c r="BI6" s="192" t="str">
        <f t="shared" si="6"/>
        <v/>
      </c>
      <c r="BJ6" s="192" t="str">
        <f t="shared" si="6"/>
        <v/>
      </c>
      <c r="BK6" s="192" t="str">
        <f t="shared" si="6"/>
        <v/>
      </c>
      <c r="BL6" s="134" t="str">
        <f t="shared" si="6"/>
        <v/>
      </c>
      <c r="BM6" s="21"/>
      <c r="BN6" s="21"/>
      <c r="BO6" s="21"/>
      <c r="BP6" s="148" t="e">
        <f>#REF!-AG6</f>
        <v>#REF!</v>
      </c>
      <c r="BQ6" s="148" t="e">
        <f>#REF!-AH6</f>
        <v>#REF!</v>
      </c>
      <c r="BR6" s="148" t="e">
        <f>#REF!-AI6</f>
        <v>#REF!</v>
      </c>
      <c r="BS6" s="201" t="e">
        <f>#REF!-AJ6</f>
        <v>#REF!</v>
      </c>
      <c r="BT6" s="21"/>
      <c r="BU6" s="21"/>
      <c r="BV6" s="21"/>
      <c r="BW6" s="21"/>
      <c r="BX6" s="21">
        <v>6</v>
      </c>
      <c r="BY6" s="22">
        <v>6</v>
      </c>
      <c r="BZ6" s="21"/>
      <c r="CA6" s="21"/>
      <c r="CB6" s="21"/>
      <c r="CC6" s="21"/>
      <c r="CD6" s="148">
        <v>0</v>
      </c>
      <c r="CE6" s="148">
        <v>0</v>
      </c>
      <c r="CF6" s="22"/>
      <c r="CG6" s="191"/>
      <c r="CH6" s="192"/>
      <c r="CI6" s="192"/>
      <c r="CJ6" s="192"/>
      <c r="CK6" s="192"/>
      <c r="CL6" s="192"/>
      <c r="CM6" s="134"/>
      <c r="CX6" s="21" t="s">
        <v>58</v>
      </c>
    </row>
    <row r="7" spans="1:102" ht="16.5" thickBot="1" x14ac:dyDescent="0.3">
      <c r="A7" s="28" t="s">
        <v>16</v>
      </c>
      <c r="B7" s="35"/>
      <c r="C7" s="29"/>
      <c r="D7" s="78"/>
      <c r="E7" s="78">
        <f>SUM(E6:E6)</f>
        <v>42130</v>
      </c>
      <c r="F7" s="78">
        <f>SUM(F6:F6)</f>
        <v>68095</v>
      </c>
      <c r="G7" s="78">
        <f>SUM(G6:G6)</f>
        <v>71818.14</v>
      </c>
      <c r="H7" s="78">
        <f>SUM(H6:H6)</f>
        <v>73080</v>
      </c>
      <c r="I7" s="103"/>
      <c r="J7" s="78"/>
      <c r="K7" s="78"/>
      <c r="L7" s="78">
        <f>+E7/$E7*100</f>
        <v>100</v>
      </c>
      <c r="M7" s="78">
        <f t="shared" ref="M7:O7" si="7">+F7/$E7*100</f>
        <v>161.63066698314742</v>
      </c>
      <c r="N7" s="78">
        <f t="shared" si="7"/>
        <v>170.46793258960361</v>
      </c>
      <c r="O7" s="79">
        <f t="shared" si="7"/>
        <v>173.4630904343698</v>
      </c>
      <c r="P7" s="35"/>
      <c r="Q7" s="29"/>
      <c r="R7" s="78"/>
      <c r="S7" s="78">
        <f>SUM(S6:S6)</f>
        <v>3278000</v>
      </c>
      <c r="T7" s="78">
        <f t="shared" ref="T7:V7" si="8">SUM(T6:T6)</f>
        <v>5809000</v>
      </c>
      <c r="U7" s="78">
        <f t="shared" si="8"/>
        <v>6937000</v>
      </c>
      <c r="V7" s="79">
        <f t="shared" si="8"/>
        <v>7100000</v>
      </c>
      <c r="W7" s="35" t="str">
        <f t="shared" si="0"/>
        <v/>
      </c>
      <c r="X7" s="29" t="str">
        <f t="shared" si="1"/>
        <v/>
      </c>
      <c r="Y7" s="29" t="str">
        <f t="shared" si="2"/>
        <v/>
      </c>
      <c r="Z7" s="29">
        <f>+IFERROR(+S6/$S6*100,"")</f>
        <v>100</v>
      </c>
      <c r="AA7" s="29">
        <f t="shared" ref="AA7:AC7" si="9">+IFERROR(+T6/$S6*100,"")</f>
        <v>177.2117144600366</v>
      </c>
      <c r="AB7" s="29">
        <f t="shared" si="9"/>
        <v>211.6229408175717</v>
      </c>
      <c r="AC7" s="29">
        <f t="shared" si="9"/>
        <v>216.59548505186089</v>
      </c>
      <c r="AD7" s="31"/>
      <c r="AE7" s="31"/>
      <c r="AF7" s="31"/>
      <c r="AG7" s="31">
        <f>SUM(AG6:AG6)</f>
        <v>26.5</v>
      </c>
      <c r="AH7" s="31">
        <f>SUM(AH6:AH6)</f>
        <v>51.792261330000002</v>
      </c>
      <c r="AI7" s="31">
        <f>SUM(AI6:AI6)</f>
        <v>56.9</v>
      </c>
      <c r="AJ7" s="31">
        <f>SUM(AJ6:AJ6)</f>
        <v>59</v>
      </c>
      <c r="AK7" s="31"/>
      <c r="AL7" s="31"/>
      <c r="AM7" s="31"/>
      <c r="AN7" s="31"/>
      <c r="AO7" s="31"/>
      <c r="AP7" s="31"/>
      <c r="AQ7" s="32"/>
      <c r="AR7" s="29">
        <f t="shared" ref="AR7:AX7" si="10">SUM(AR5:AR6)</f>
        <v>0</v>
      </c>
      <c r="AS7" s="29">
        <f t="shared" si="10"/>
        <v>0</v>
      </c>
      <c r="AT7" s="29">
        <f t="shared" si="10"/>
        <v>0</v>
      </c>
      <c r="AU7" s="29">
        <f t="shared" si="10"/>
        <v>0</v>
      </c>
      <c r="AV7" s="29">
        <f t="shared" si="10"/>
        <v>0</v>
      </c>
      <c r="AW7" s="29">
        <f t="shared" si="10"/>
        <v>0</v>
      </c>
      <c r="AX7" s="30">
        <f t="shared" si="10"/>
        <v>0</v>
      </c>
      <c r="AY7" s="29" t="str">
        <f>IFERROR(AR7/$AR7*100,"")</f>
        <v/>
      </c>
      <c r="AZ7" s="29" t="str">
        <f t="shared" ref="AZ7" si="11">IFERROR(AS7/$AR7*100,"")</f>
        <v/>
      </c>
      <c r="BA7" s="29" t="str">
        <f t="shared" ref="BA7" si="12">IFERROR(AT7/$AR7*100,"")</f>
        <v/>
      </c>
      <c r="BB7" s="29" t="str">
        <f t="shared" ref="BB7" si="13">IFERROR(AU7/$AR7*100,"")</f>
        <v/>
      </c>
      <c r="BC7" s="29" t="str">
        <f t="shared" ref="BC7" si="14">IFERROR(AV7/$AR7*100,"")</f>
        <v/>
      </c>
      <c r="BD7" s="29" t="str">
        <f t="shared" ref="BD7" si="15">IFERROR(AW7/$AR7*100,"")</f>
        <v/>
      </c>
      <c r="BE7" s="30" t="str">
        <f t="shared" ref="BE7" si="16">IFERROR(AX7/$AR7*100,"")</f>
        <v/>
      </c>
      <c r="BF7" s="33" t="str">
        <f>IFERROR(AD7/AK7,"")</f>
        <v/>
      </c>
      <c r="BG7" s="33" t="str">
        <f t="shared" si="6"/>
        <v/>
      </c>
      <c r="BH7" s="33" t="str">
        <f t="shared" si="6"/>
        <v/>
      </c>
      <c r="BI7" s="33" t="str">
        <f t="shared" si="6"/>
        <v/>
      </c>
      <c r="BJ7" s="33" t="str">
        <f t="shared" si="6"/>
        <v/>
      </c>
      <c r="BK7" s="33" t="str">
        <f t="shared" si="6"/>
        <v/>
      </c>
      <c r="BL7" s="34" t="str">
        <f t="shared" si="6"/>
        <v/>
      </c>
      <c r="BM7" s="31"/>
      <c r="BN7" s="31"/>
      <c r="BO7" s="31"/>
      <c r="BP7" s="31" t="e">
        <f t="shared" ref="BP7:BY7" si="17">SUM(BP6:BP6)</f>
        <v>#REF!</v>
      </c>
      <c r="BQ7" s="31" t="e">
        <f t="shared" si="17"/>
        <v>#REF!</v>
      </c>
      <c r="BR7" s="31" t="e">
        <f t="shared" si="17"/>
        <v>#REF!</v>
      </c>
      <c r="BS7" s="32" t="e">
        <f t="shared" si="17"/>
        <v>#REF!</v>
      </c>
      <c r="BT7" s="31">
        <f t="shared" si="17"/>
        <v>0</v>
      </c>
      <c r="BU7" s="31">
        <f t="shared" si="17"/>
        <v>0</v>
      </c>
      <c r="BV7" s="31">
        <f t="shared" si="17"/>
        <v>0</v>
      </c>
      <c r="BW7" s="31">
        <f t="shared" si="17"/>
        <v>0</v>
      </c>
      <c r="BX7" s="31">
        <f t="shared" si="17"/>
        <v>6</v>
      </c>
      <c r="BY7" s="32">
        <f t="shared" si="17"/>
        <v>6</v>
      </c>
      <c r="BZ7" s="31"/>
      <c r="CA7" s="31"/>
      <c r="CB7" s="31"/>
      <c r="CC7" s="31"/>
      <c r="CD7" s="31"/>
      <c r="CE7" s="31"/>
      <c r="CF7" s="32"/>
      <c r="CG7" s="31">
        <f>SUM(CG6)</f>
        <v>0</v>
      </c>
      <c r="CH7" s="31">
        <f t="shared" ref="CH7:CM7" si="18">SUM(CH6)</f>
        <v>0</v>
      </c>
      <c r="CI7" s="31">
        <f t="shared" si="18"/>
        <v>0</v>
      </c>
      <c r="CJ7" s="31">
        <f t="shared" si="18"/>
        <v>0</v>
      </c>
      <c r="CK7" s="31">
        <f t="shared" si="18"/>
        <v>0</v>
      </c>
      <c r="CL7" s="31">
        <f t="shared" si="18"/>
        <v>0</v>
      </c>
      <c r="CM7" s="32">
        <f t="shared" si="18"/>
        <v>0</v>
      </c>
    </row>
    <row r="8" spans="1:102" ht="16.5" thickTop="1" x14ac:dyDescent="0.25">
      <c r="E8" s="142" t="s">
        <v>68</v>
      </c>
      <c r="BF8" s="40"/>
      <c r="BG8" s="40"/>
      <c r="BH8" s="40"/>
      <c r="BI8" s="40"/>
      <c r="BJ8" s="40"/>
      <c r="BK8" s="40"/>
      <c r="BL8" s="40"/>
    </row>
    <row r="9" spans="1:102" ht="23.25" customHeight="1" x14ac:dyDescent="0.25">
      <c r="S9" s="250" t="s">
        <v>67</v>
      </c>
      <c r="T9" s="250"/>
      <c r="U9" s="250"/>
      <c r="AC9" s="122" t="s">
        <v>60</v>
      </c>
      <c r="AG9" s="142" t="s">
        <v>69</v>
      </c>
      <c r="AR9" s="123"/>
      <c r="AS9" s="18"/>
      <c r="AT9" s="18"/>
      <c r="AU9" s="18"/>
      <c r="AV9" s="18"/>
      <c r="AW9" s="18"/>
      <c r="AX9" s="18"/>
      <c r="AY9" s="18"/>
      <c r="AZ9" s="18"/>
      <c r="BA9" s="18"/>
      <c r="BB9" s="18"/>
      <c r="BC9" s="18"/>
      <c r="BD9" s="18"/>
      <c r="BE9" s="18"/>
      <c r="BP9" s="250" t="s">
        <v>70</v>
      </c>
      <c r="BQ9" s="250"/>
      <c r="BR9" s="250"/>
      <c r="BS9" s="250"/>
      <c r="CD9" s="142" t="s">
        <v>71</v>
      </c>
    </row>
    <row r="10" spans="1:102" ht="18" customHeight="1" x14ac:dyDescent="0.25">
      <c r="A10" s="1" t="s">
        <v>61</v>
      </c>
      <c r="B10" s="1" t="s">
        <v>62</v>
      </c>
      <c r="S10" s="250"/>
      <c r="T10" s="250"/>
      <c r="U10" s="250"/>
      <c r="AK10" s="21"/>
      <c r="AL10" s="21"/>
      <c r="AM10" s="21"/>
      <c r="AN10" s="21"/>
      <c r="AO10" s="21"/>
      <c r="AP10" s="21"/>
      <c r="AQ10" s="21"/>
      <c r="AR10" s="21"/>
      <c r="AS10" s="21"/>
      <c r="AT10" s="21"/>
      <c r="AU10" s="21"/>
      <c r="AV10" s="21"/>
      <c r="AW10" s="21"/>
      <c r="AX10" s="21"/>
      <c r="AY10" s="21"/>
      <c r="BP10" s="250"/>
      <c r="BQ10" s="250"/>
      <c r="BR10" s="250"/>
      <c r="BS10" s="250"/>
      <c r="CD10" s="149" t="s">
        <v>72</v>
      </c>
    </row>
    <row r="11" spans="1:102" ht="20.25" customHeight="1" x14ac:dyDescent="0.25">
      <c r="S11" s="250"/>
      <c r="T11" s="250"/>
      <c r="U11" s="250"/>
      <c r="AK11" s="250"/>
      <c r="AL11" s="250"/>
      <c r="AM11" s="250"/>
      <c r="AN11" s="250"/>
      <c r="BP11" s="250"/>
      <c r="BQ11" s="250"/>
      <c r="BR11" s="250"/>
      <c r="BS11" s="250"/>
    </row>
    <row r="12" spans="1:102" x14ac:dyDescent="0.25">
      <c r="AK12" s="250"/>
      <c r="AL12" s="250"/>
      <c r="AM12" s="250"/>
      <c r="AN12" s="250"/>
      <c r="BP12" s="250"/>
      <c r="BQ12" s="250"/>
      <c r="BR12" s="250"/>
      <c r="BS12" s="250"/>
    </row>
    <row r="13" spans="1:102" x14ac:dyDescent="0.25">
      <c r="AK13" s="250"/>
      <c r="AL13" s="250"/>
      <c r="AM13" s="250"/>
      <c r="AN13" s="250"/>
      <c r="BS13" s="21"/>
    </row>
    <row r="14" spans="1:102" x14ac:dyDescent="0.25">
      <c r="AK14" s="250"/>
      <c r="AL14" s="250"/>
      <c r="AM14" s="250"/>
      <c r="AN14" s="250"/>
      <c r="BS14" s="21"/>
    </row>
    <row r="15" spans="1:102" x14ac:dyDescent="0.25">
      <c r="AK15" s="250"/>
      <c r="AL15" s="250"/>
      <c r="AM15" s="250"/>
      <c r="AN15" s="250"/>
      <c r="AO15" s="21"/>
      <c r="AP15" s="21"/>
      <c r="AQ15" s="21"/>
      <c r="AR15" s="21"/>
      <c r="AS15" s="21"/>
      <c r="AT15" s="21"/>
      <c r="AU15" s="21"/>
      <c r="AV15" s="21"/>
      <c r="AW15" s="21"/>
      <c r="AX15" s="21"/>
      <c r="AY15" s="21"/>
      <c r="BS15" s="21"/>
    </row>
    <row r="16" spans="1:102" x14ac:dyDescent="0.25">
      <c r="BS16" s="21"/>
    </row>
    <row r="17" spans="71:71" x14ac:dyDescent="0.25">
      <c r="BS17" s="21"/>
    </row>
    <row r="18" spans="71:71" x14ac:dyDescent="0.25">
      <c r="BS18" s="21"/>
    </row>
    <row r="19" spans="71:71" x14ac:dyDescent="0.25">
      <c r="BS19" s="21"/>
    </row>
  </sheetData>
  <mergeCells count="16">
    <mergeCell ref="AD4:AJ4"/>
    <mergeCell ref="AK11:AN15"/>
    <mergeCell ref="S9:U11"/>
    <mergeCell ref="B4:H4"/>
    <mergeCell ref="I4:O4"/>
    <mergeCell ref="P4:V4"/>
    <mergeCell ref="W4:AC4"/>
    <mergeCell ref="CG4:CM4"/>
    <mergeCell ref="BP9:BS12"/>
    <mergeCell ref="BZ4:CF4"/>
    <mergeCell ref="AK4:AQ4"/>
    <mergeCell ref="AR4:AX4"/>
    <mergeCell ref="AY4:BE4"/>
    <mergeCell ref="BF4:BL4"/>
    <mergeCell ref="BM4:BS4"/>
    <mergeCell ref="BT4:BY4"/>
  </mergeCells>
  <hyperlinks>
    <hyperlink ref="CD10" r:id="rId1" xr:uid="{15029B76-8B3F-4E7C-968E-856CACD91AB1}"/>
  </hyperlinks>
  <pageMargins left="0.7" right="0.7" top="0.75" bottom="0.75" header="0.3" footer="0.3"/>
  <pageSetup paperSize="8" scale="58"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E3713-0721-4BDE-8F97-1210382D1705}">
  <sheetPr>
    <pageSetUpPr fitToPage="1"/>
  </sheetPr>
  <dimension ref="A1:CN16"/>
  <sheetViews>
    <sheetView topLeftCell="C1" workbookViewId="0">
      <selection activeCell="J20" sqref="J20"/>
    </sheetView>
  </sheetViews>
  <sheetFormatPr defaultColWidth="9" defaultRowHeight="15.75" x14ac:dyDescent="0.25"/>
  <cols>
    <col min="1" max="1" width="28.25" style="1" customWidth="1"/>
    <col min="2" max="7" width="10.625" style="1" customWidth="1"/>
    <col min="8" max="8" width="12.125" style="1" bestFit="1" customWidth="1"/>
    <col min="9" max="15" width="8.625" style="1" customWidth="1"/>
    <col min="16" max="22" width="12.625" style="18" customWidth="1"/>
    <col min="23" max="32" width="8.625" style="1" customWidth="1"/>
    <col min="33" max="33" width="12.25" style="1" bestFit="1" customWidth="1"/>
    <col min="34" max="34" width="12.125" style="1" bestFit="1" customWidth="1"/>
    <col min="35" max="35" width="12.125" style="1" customWidth="1"/>
    <col min="36" max="39" width="8.625" style="1" customWidth="1"/>
    <col min="40" max="40" width="12.125" style="1" bestFit="1" customWidth="1"/>
    <col min="41" max="41" width="12.125" style="1" customWidth="1"/>
    <col min="42" max="42" width="12.125" style="1" bestFit="1" customWidth="1"/>
    <col min="43" max="46" width="8.625" style="1" customWidth="1"/>
    <col min="47" max="47" width="9.625" style="1" bestFit="1" customWidth="1"/>
    <col min="48" max="48" width="9.625" style="1" customWidth="1"/>
    <col min="49" max="49" width="9.625" style="1" bestFit="1" customWidth="1"/>
    <col min="50" max="50" width="8.625" style="1" customWidth="1"/>
    <col min="51" max="54" width="12.5" style="1" bestFit="1" customWidth="1"/>
    <col min="55" max="55" width="12.5" style="1" customWidth="1"/>
    <col min="56" max="57" width="12.5" style="1" bestFit="1" customWidth="1"/>
    <col min="58" max="67" width="8.625" style="1" customWidth="1"/>
    <col min="68" max="68" width="9.375" style="1" bestFit="1" customWidth="1"/>
    <col min="69" max="69" width="9.375" style="1" customWidth="1"/>
    <col min="70" max="70" width="9.375" style="1" bestFit="1" customWidth="1"/>
    <col min="71" max="71" width="6.875" style="1" bestFit="1" customWidth="1"/>
    <col min="72" max="77" width="8.625" style="1" customWidth="1"/>
    <col min="78" max="78" width="0.125" style="1" customWidth="1"/>
    <col min="79" max="79" width="6.75" style="1" bestFit="1" customWidth="1"/>
    <col min="80" max="80" width="6.75" style="1" customWidth="1"/>
    <col min="81" max="81" width="6.75" style="1" bestFit="1" customWidth="1"/>
    <col min="82" max="82" width="6.875" style="18" bestFit="1" customWidth="1"/>
    <col min="83" max="83" width="6.875" style="18" customWidth="1"/>
    <col min="84" max="84" width="7.75" style="18" bestFit="1" customWidth="1"/>
    <col min="85" max="85" width="6.75" style="1" bestFit="1" customWidth="1"/>
    <col min="86" max="86" width="10.875" style="1" bestFit="1" customWidth="1"/>
    <col min="87" max="88" width="7.25" style="1" bestFit="1" customWidth="1"/>
    <col min="89" max="89" width="7.25" style="18" bestFit="1" customWidth="1"/>
    <col min="90" max="90" width="7.25" style="18" customWidth="1"/>
    <col min="91" max="91" width="7.75" style="18" bestFit="1" customWidth="1"/>
    <col min="92" max="92" width="7.25" style="1" bestFit="1" customWidth="1"/>
    <col min="93" max="16384" width="9" style="1"/>
  </cols>
  <sheetData>
    <row r="1" spans="1:92" x14ac:dyDescent="0.25">
      <c r="AH1" s="21">
        <v>-1</v>
      </c>
      <c r="AI1" s="21"/>
    </row>
    <row r="2" spans="1:92" x14ac:dyDescent="0.25">
      <c r="A2" s="2" t="s">
        <v>20</v>
      </c>
      <c r="B2" s="2"/>
      <c r="C2" s="2"/>
      <c r="D2" s="2"/>
      <c r="E2" s="18"/>
      <c r="AD2" s="18"/>
      <c r="AE2" s="18"/>
      <c r="AF2" s="18"/>
      <c r="AG2" s="18"/>
    </row>
    <row r="3" spans="1:92" x14ac:dyDescent="0.25">
      <c r="P3" s="1"/>
      <c r="Q3" s="1"/>
      <c r="R3" s="1"/>
      <c r="S3" s="1"/>
      <c r="T3" s="1"/>
      <c r="U3" s="1"/>
      <c r="V3" s="1"/>
      <c r="CD3" s="1"/>
      <c r="CE3" s="1"/>
      <c r="CF3" s="1"/>
      <c r="CK3" s="1"/>
      <c r="CL3" s="1"/>
      <c r="CM3" s="1"/>
    </row>
    <row r="4" spans="1:92" s="6" customFormat="1" ht="40.9" customHeight="1" x14ac:dyDescent="0.25">
      <c r="A4" s="5"/>
      <c r="B4" s="207" t="s">
        <v>1</v>
      </c>
      <c r="C4" s="208"/>
      <c r="D4" s="208"/>
      <c r="E4" s="208"/>
      <c r="F4" s="208"/>
      <c r="G4" s="208"/>
      <c r="H4" s="209"/>
      <c r="I4" s="222" t="s">
        <v>29</v>
      </c>
      <c r="J4" s="223"/>
      <c r="K4" s="223"/>
      <c r="L4" s="223"/>
      <c r="M4" s="223"/>
      <c r="N4" s="223"/>
      <c r="O4" s="224"/>
      <c r="P4" s="260" t="s">
        <v>2</v>
      </c>
      <c r="Q4" s="261"/>
      <c r="R4" s="261"/>
      <c r="S4" s="261"/>
      <c r="T4" s="261"/>
      <c r="U4" s="261"/>
      <c r="V4" s="262"/>
      <c r="W4" s="260" t="s">
        <v>8</v>
      </c>
      <c r="X4" s="261"/>
      <c r="Y4" s="261"/>
      <c r="Z4" s="261"/>
      <c r="AA4" s="261"/>
      <c r="AB4" s="261"/>
      <c r="AC4" s="262"/>
      <c r="AD4" s="208" t="s">
        <v>3</v>
      </c>
      <c r="AE4" s="208"/>
      <c r="AF4" s="208"/>
      <c r="AG4" s="208"/>
      <c r="AH4" s="208"/>
      <c r="AI4" s="208"/>
      <c r="AJ4" s="209"/>
      <c r="AK4" s="257" t="s">
        <v>4</v>
      </c>
      <c r="AL4" s="258"/>
      <c r="AM4" s="258"/>
      <c r="AN4" s="258"/>
      <c r="AO4" s="258"/>
      <c r="AP4" s="258"/>
      <c r="AQ4" s="259"/>
      <c r="AR4" s="254" t="s">
        <v>9</v>
      </c>
      <c r="AS4" s="255"/>
      <c r="AT4" s="255"/>
      <c r="AU4" s="255"/>
      <c r="AV4" s="255"/>
      <c r="AW4" s="255"/>
      <c r="AX4" s="256"/>
      <c r="AY4" s="222" t="s">
        <v>28</v>
      </c>
      <c r="AZ4" s="223"/>
      <c r="BA4" s="223"/>
      <c r="BB4" s="223"/>
      <c r="BC4" s="223"/>
      <c r="BD4" s="223"/>
      <c r="BE4" s="224"/>
      <c r="BF4" s="225" t="s">
        <v>135</v>
      </c>
      <c r="BG4" s="226"/>
      <c r="BH4" s="226"/>
      <c r="BI4" s="226"/>
      <c r="BJ4" s="226"/>
      <c r="BK4" s="226"/>
      <c r="BL4" s="227"/>
      <c r="BM4" s="218" t="s">
        <v>136</v>
      </c>
      <c r="BN4" s="218"/>
      <c r="BO4" s="218"/>
      <c r="BP4" s="218"/>
      <c r="BQ4" s="218"/>
      <c r="BR4" s="218"/>
      <c r="BS4" s="219" t="s">
        <v>6</v>
      </c>
      <c r="BT4" s="257" t="s">
        <v>6</v>
      </c>
      <c r="BU4" s="258"/>
      <c r="BV4" s="258"/>
      <c r="BW4" s="258"/>
      <c r="BX4" s="258"/>
      <c r="BY4" s="258"/>
      <c r="BZ4" s="259"/>
      <c r="CA4" s="207" t="s">
        <v>7</v>
      </c>
      <c r="CB4" s="208"/>
      <c r="CC4" s="208"/>
      <c r="CD4" s="208"/>
      <c r="CE4" s="208"/>
      <c r="CF4" s="208"/>
      <c r="CG4" s="209"/>
      <c r="CH4" s="207" t="s">
        <v>34</v>
      </c>
      <c r="CI4" s="208"/>
      <c r="CJ4" s="208"/>
      <c r="CK4" s="208"/>
      <c r="CL4" s="208"/>
      <c r="CM4" s="208"/>
      <c r="CN4" s="209"/>
    </row>
    <row r="5" spans="1:92" x14ac:dyDescent="0.25">
      <c r="A5" s="2" t="s">
        <v>30</v>
      </c>
      <c r="B5" s="8" t="s">
        <v>11</v>
      </c>
      <c r="C5" s="9" t="s">
        <v>12</v>
      </c>
      <c r="D5" s="9" t="s">
        <v>13</v>
      </c>
      <c r="E5" s="10" t="s">
        <v>14</v>
      </c>
      <c r="F5" s="10" t="s">
        <v>36</v>
      </c>
      <c r="G5" s="10" t="s">
        <v>64</v>
      </c>
      <c r="H5" s="11" t="s">
        <v>65</v>
      </c>
      <c r="I5" s="54" t="s">
        <v>11</v>
      </c>
      <c r="J5" s="56" t="s">
        <v>12</v>
      </c>
      <c r="K5" s="56" t="s">
        <v>13</v>
      </c>
      <c r="L5" s="56" t="s">
        <v>14</v>
      </c>
      <c r="M5" s="10" t="s">
        <v>36</v>
      </c>
      <c r="N5" s="10" t="s">
        <v>64</v>
      </c>
      <c r="O5" s="11" t="s">
        <v>65</v>
      </c>
      <c r="P5" s="12" t="s">
        <v>11</v>
      </c>
      <c r="Q5" s="13" t="s">
        <v>12</v>
      </c>
      <c r="R5" s="13" t="s">
        <v>13</v>
      </c>
      <c r="S5" s="14" t="s">
        <v>14</v>
      </c>
      <c r="T5" s="10" t="s">
        <v>36</v>
      </c>
      <c r="U5" s="10" t="s">
        <v>64</v>
      </c>
      <c r="V5" s="11" t="s">
        <v>65</v>
      </c>
      <c r="W5" s="12" t="s">
        <v>11</v>
      </c>
      <c r="X5" s="13" t="s">
        <v>12</v>
      </c>
      <c r="Y5" s="13" t="s">
        <v>13</v>
      </c>
      <c r="Z5" s="14" t="s">
        <v>14</v>
      </c>
      <c r="AA5" s="10" t="s">
        <v>36</v>
      </c>
      <c r="AB5" s="10" t="s">
        <v>64</v>
      </c>
      <c r="AC5" s="11" t="s">
        <v>65</v>
      </c>
      <c r="AD5" s="10" t="s">
        <v>11</v>
      </c>
      <c r="AE5" s="9" t="s">
        <v>12</v>
      </c>
      <c r="AF5" s="9" t="s">
        <v>13</v>
      </c>
      <c r="AG5" s="10" t="s">
        <v>14</v>
      </c>
      <c r="AH5" s="10" t="s">
        <v>36</v>
      </c>
      <c r="AI5" s="10" t="s">
        <v>64</v>
      </c>
      <c r="AJ5" s="11" t="s">
        <v>65</v>
      </c>
      <c r="AK5" s="85" t="s">
        <v>11</v>
      </c>
      <c r="AL5" s="86" t="s">
        <v>12</v>
      </c>
      <c r="AM5" s="86" t="s">
        <v>13</v>
      </c>
      <c r="AN5" s="87" t="s">
        <v>14</v>
      </c>
      <c r="AO5" s="86" t="s">
        <v>36</v>
      </c>
      <c r="AP5" s="86" t="s">
        <v>64</v>
      </c>
      <c r="AQ5" s="86" t="s">
        <v>65</v>
      </c>
      <c r="AR5" s="93" t="s">
        <v>11</v>
      </c>
      <c r="AS5" s="94" t="s">
        <v>12</v>
      </c>
      <c r="AT5" s="94" t="s">
        <v>13</v>
      </c>
      <c r="AU5" s="95" t="s">
        <v>14</v>
      </c>
      <c r="AV5" s="95" t="s">
        <v>36</v>
      </c>
      <c r="AW5" s="94" t="s">
        <v>64</v>
      </c>
      <c r="AX5" s="94" t="s">
        <v>65</v>
      </c>
      <c r="AY5" s="54" t="s">
        <v>11</v>
      </c>
      <c r="AZ5" s="56" t="s">
        <v>12</v>
      </c>
      <c r="BA5" s="56" t="s">
        <v>13</v>
      </c>
      <c r="BB5" s="56" t="s">
        <v>14</v>
      </c>
      <c r="BC5" s="10" t="s">
        <v>36</v>
      </c>
      <c r="BD5" s="10" t="s">
        <v>64</v>
      </c>
      <c r="BE5" s="11" t="s">
        <v>65</v>
      </c>
      <c r="BF5" s="15" t="s">
        <v>11</v>
      </c>
      <c r="BG5" s="16" t="s">
        <v>12</v>
      </c>
      <c r="BH5" s="16" t="s">
        <v>13</v>
      </c>
      <c r="BI5" s="17" t="s">
        <v>14</v>
      </c>
      <c r="BJ5" s="10" t="s">
        <v>36</v>
      </c>
      <c r="BK5" s="10" t="s">
        <v>64</v>
      </c>
      <c r="BL5" s="11" t="s">
        <v>65</v>
      </c>
      <c r="BM5" s="8" t="s">
        <v>11</v>
      </c>
      <c r="BN5" s="9" t="s">
        <v>12</v>
      </c>
      <c r="BO5" s="9" t="s">
        <v>13</v>
      </c>
      <c r="BP5" s="10" t="s">
        <v>14</v>
      </c>
      <c r="BQ5" s="10" t="s">
        <v>36</v>
      </c>
      <c r="BR5" s="10" t="s">
        <v>64</v>
      </c>
      <c r="BS5" s="11" t="s">
        <v>65</v>
      </c>
      <c r="BT5" s="85" t="s">
        <v>11</v>
      </c>
      <c r="BU5" s="86" t="s">
        <v>12</v>
      </c>
      <c r="BV5" s="86" t="s">
        <v>13</v>
      </c>
      <c r="BW5" s="87">
        <v>2022</v>
      </c>
      <c r="BX5" s="87">
        <v>2023</v>
      </c>
      <c r="BY5" s="87">
        <v>2024</v>
      </c>
      <c r="BZ5" s="88">
        <v>2024</v>
      </c>
      <c r="CA5" s="8" t="s">
        <v>11</v>
      </c>
      <c r="CB5" s="9" t="s">
        <v>12</v>
      </c>
      <c r="CC5" s="9" t="s">
        <v>13</v>
      </c>
      <c r="CD5" s="10" t="s">
        <v>14</v>
      </c>
      <c r="CE5" s="10" t="s">
        <v>36</v>
      </c>
      <c r="CF5" s="10" t="s">
        <v>64</v>
      </c>
      <c r="CG5" s="11" t="s">
        <v>65</v>
      </c>
      <c r="CH5" s="8" t="s">
        <v>11</v>
      </c>
      <c r="CI5" s="9" t="s">
        <v>12</v>
      </c>
      <c r="CJ5" s="9" t="s">
        <v>13</v>
      </c>
      <c r="CK5" s="10" t="s">
        <v>14</v>
      </c>
      <c r="CL5" s="10" t="s">
        <v>36</v>
      </c>
      <c r="CM5" s="10" t="s">
        <v>64</v>
      </c>
      <c r="CN5" s="11" t="s">
        <v>65</v>
      </c>
    </row>
    <row r="6" spans="1:92" x14ac:dyDescent="0.25">
      <c r="A6" s="200" t="s">
        <v>73</v>
      </c>
      <c r="B6" s="20">
        <v>79712</v>
      </c>
      <c r="C6" s="20">
        <v>81414</v>
      </c>
      <c r="D6" s="20">
        <v>79104</v>
      </c>
      <c r="E6" s="20">
        <v>77905</v>
      </c>
      <c r="F6" s="20">
        <v>77378</v>
      </c>
      <c r="G6" s="20">
        <v>80460</v>
      </c>
      <c r="H6" s="26">
        <v>80456</v>
      </c>
      <c r="I6" s="65">
        <f t="shared" ref="I6:M7" si="0">+B6/$B6*100</f>
        <v>100</v>
      </c>
      <c r="J6" s="18">
        <f t="shared" si="0"/>
        <v>102.13518667201926</v>
      </c>
      <c r="K6" s="18">
        <f t="shared" si="0"/>
        <v>99.237254114813325</v>
      </c>
      <c r="L6" s="18">
        <f t="shared" si="0"/>
        <v>97.733089120835004</v>
      </c>
      <c r="M6" s="18">
        <f t="shared" si="0"/>
        <v>97.071959052589321</v>
      </c>
      <c r="N6" s="18">
        <f t="shared" ref="N6:O7" si="1">+G6/$B6*100</f>
        <v>100.93837816138098</v>
      </c>
      <c r="O6" s="130">
        <f>+H6/$B6*100</f>
        <v>100.93336009634686</v>
      </c>
      <c r="P6" s="20">
        <v>5864603</v>
      </c>
      <c r="Q6" s="20">
        <v>4553229</v>
      </c>
      <c r="R6" s="20">
        <v>4487316</v>
      </c>
      <c r="S6" s="20">
        <v>5328562</v>
      </c>
      <c r="T6" s="20">
        <v>5675054</v>
      </c>
      <c r="U6" s="20">
        <v>5600000</v>
      </c>
      <c r="V6" s="26">
        <v>6152391</v>
      </c>
      <c r="W6" s="41">
        <f t="shared" ref="W6:AB6" si="2">IFERROR(+P6/$P6*100,"")</f>
        <v>100</v>
      </c>
      <c r="X6" s="41">
        <f t="shared" si="2"/>
        <v>77.639168414298467</v>
      </c>
      <c r="Y6" s="41">
        <f t="shared" si="2"/>
        <v>76.515256019887445</v>
      </c>
      <c r="Z6" s="18">
        <f t="shared" si="2"/>
        <v>90.859722303453452</v>
      </c>
      <c r="AA6" s="18">
        <f t="shared" si="2"/>
        <v>96.767914213459974</v>
      </c>
      <c r="AB6" s="18">
        <f t="shared" si="2"/>
        <v>95.488134490945086</v>
      </c>
      <c r="AC6" s="130">
        <f t="shared" ref="AB6:AC7" si="3">IFERROR(+V6/$P6*100,"")</f>
        <v>104.90720343730003</v>
      </c>
      <c r="AD6" s="21">
        <v>111.75667921189643</v>
      </c>
      <c r="AE6" s="21">
        <v>81.599030750559351</v>
      </c>
      <c r="AF6" s="21">
        <v>88.242205024805386</v>
      </c>
      <c r="AG6" s="21">
        <v>102.04834426578002</v>
      </c>
      <c r="AH6" s="21">
        <v>117.20632865443275</v>
      </c>
      <c r="AI6" s="21">
        <v>124.00699646154919</v>
      </c>
      <c r="AJ6" s="131">
        <v>143.41271485272509</v>
      </c>
      <c r="AK6" s="21">
        <v>229.38825529999994</v>
      </c>
      <c r="AL6" s="21">
        <v>232.14233110999999</v>
      </c>
      <c r="AM6" s="21">
        <v>238.14137120000001</v>
      </c>
      <c r="AN6" s="21">
        <v>253.45539196999999</v>
      </c>
      <c r="AO6" s="21">
        <v>272.60125206999999</v>
      </c>
      <c r="AP6" s="21">
        <v>284.12190368644258</v>
      </c>
      <c r="AQ6" s="131">
        <v>293.05575569195855</v>
      </c>
      <c r="AR6" s="18">
        <f t="shared" ref="AR6:AX7" si="4">IFERROR(AK6*1000000/B6,"")</f>
        <v>2877.7129578984336</v>
      </c>
      <c r="AS6" s="18">
        <f t="shared" si="4"/>
        <v>2851.3809800525705</v>
      </c>
      <c r="AT6" s="18">
        <f t="shared" si="4"/>
        <v>3010.4845671521039</v>
      </c>
      <c r="AU6" s="18">
        <f t="shared" si="4"/>
        <v>3253.3905650471729</v>
      </c>
      <c r="AV6" s="18">
        <f t="shared" si="4"/>
        <v>3522.9813651166996</v>
      </c>
      <c r="AW6" s="18">
        <f t="shared" si="4"/>
        <v>3531.2192851906857</v>
      </c>
      <c r="AX6" s="130">
        <f t="shared" si="4"/>
        <v>3642.4350662717329</v>
      </c>
      <c r="AY6" s="41">
        <f t="shared" ref="AY6:BE7" si="5">AR6/$AR6*100</f>
        <v>100</v>
      </c>
      <c r="AZ6" s="41">
        <f t="shared" si="5"/>
        <v>99.084968576397102</v>
      </c>
      <c r="BA6" s="41">
        <f t="shared" si="5"/>
        <v>104.61378918593161</v>
      </c>
      <c r="BB6" s="41">
        <f t="shared" si="5"/>
        <v>113.05472827363204</v>
      </c>
      <c r="BC6" s="41">
        <f t="shared" si="5"/>
        <v>122.42295936595077</v>
      </c>
      <c r="BD6" s="41">
        <f t="shared" si="5"/>
        <v>122.70922558480264</v>
      </c>
      <c r="BE6" s="132">
        <f t="shared" si="5"/>
        <v>126.57395367645591</v>
      </c>
      <c r="BF6" s="191">
        <f>IFERROR(AD6/AK6,"")</f>
        <v>0.48719442530193241</v>
      </c>
      <c r="BG6" s="192">
        <f t="shared" ref="BG6:BL6" si="6">IFERROR(AE6/AL6,"")</f>
        <v>0.35150431358378098</v>
      </c>
      <c r="BH6" s="192">
        <f t="shared" si="6"/>
        <v>0.37054546457069104</v>
      </c>
      <c r="BI6" s="192">
        <f t="shared" si="6"/>
        <v>0.40262842101168977</v>
      </c>
      <c r="BJ6" s="192">
        <f t="shared" si="6"/>
        <v>0.42995521027297373</v>
      </c>
      <c r="BK6" s="192">
        <f t="shared" si="6"/>
        <v>0.43645700965879608</v>
      </c>
      <c r="BL6" s="134">
        <f t="shared" si="6"/>
        <v>0.48937006718773118</v>
      </c>
      <c r="BM6" s="21">
        <f>+AK6-AD6-CA6</f>
        <v>117.63157608810351</v>
      </c>
      <c r="BN6" s="21">
        <f t="shared" ref="BN6:BS6" si="7">+AL6-AE6-CB6</f>
        <v>119.35992872944065</v>
      </c>
      <c r="BO6" s="21">
        <f t="shared" si="7"/>
        <v>128.15840875519464</v>
      </c>
      <c r="BP6" s="21">
        <f t="shared" si="7"/>
        <v>147.39746681421997</v>
      </c>
      <c r="BQ6" s="21">
        <f t="shared" si="7"/>
        <v>150.77557874556723</v>
      </c>
      <c r="BR6" s="21">
        <f t="shared" si="7"/>
        <v>160.11490722489339</v>
      </c>
      <c r="BS6" s="21">
        <f t="shared" si="7"/>
        <v>149.64304083923346</v>
      </c>
      <c r="BT6" s="105"/>
      <c r="BU6" s="106"/>
      <c r="BV6" s="106"/>
      <c r="BW6" s="99"/>
      <c r="BX6" s="99"/>
      <c r="BY6" s="99"/>
      <c r="BZ6" s="107"/>
      <c r="CA6" s="21">
        <v>0</v>
      </c>
      <c r="CB6" s="21">
        <v>31.183371629999996</v>
      </c>
      <c r="CC6" s="21">
        <v>21.740757420000001</v>
      </c>
      <c r="CD6" s="21">
        <v>4.0095808899999996</v>
      </c>
      <c r="CE6" s="21">
        <v>4.6193446700000003</v>
      </c>
      <c r="CF6" s="21">
        <v>0</v>
      </c>
      <c r="CG6" s="131">
        <v>0</v>
      </c>
      <c r="CH6" s="21">
        <v>3605.6179999999999</v>
      </c>
      <c r="CI6" s="21">
        <v>3612.4279999999903</v>
      </c>
      <c r="CJ6" s="21">
        <v>3556.6550000000002</v>
      </c>
      <c r="CK6" s="21">
        <v>3505.1179999999999</v>
      </c>
      <c r="CL6" s="21">
        <v>3513.3529999999901</v>
      </c>
      <c r="CM6" s="21">
        <v>3593.3820000000001</v>
      </c>
      <c r="CN6" s="131">
        <v>3915.1480000000001</v>
      </c>
    </row>
    <row r="7" spans="1:92" x14ac:dyDescent="0.25">
      <c r="A7" s="7" t="s">
        <v>74</v>
      </c>
      <c r="B7" s="20">
        <v>72106</v>
      </c>
      <c r="C7" s="20">
        <v>70159</v>
      </c>
      <c r="D7" s="20">
        <v>79053</v>
      </c>
      <c r="E7" s="20">
        <v>78897</v>
      </c>
      <c r="F7" s="20">
        <v>77563</v>
      </c>
      <c r="G7" s="20">
        <v>78384</v>
      </c>
      <c r="H7" s="26">
        <v>82727</v>
      </c>
      <c r="I7" s="65">
        <f t="shared" si="0"/>
        <v>100</v>
      </c>
      <c r="J7" s="18">
        <f t="shared" si="0"/>
        <v>97.299808615094435</v>
      </c>
      <c r="K7" s="18">
        <f t="shared" si="0"/>
        <v>109.63442709344575</v>
      </c>
      <c r="L7" s="18">
        <f t="shared" si="0"/>
        <v>109.4180789393393</v>
      </c>
      <c r="M7" s="18">
        <f t="shared" si="0"/>
        <v>107.56802485230077</v>
      </c>
      <c r="N7" s="18">
        <f t="shared" si="1"/>
        <v>108.70662635564308</v>
      </c>
      <c r="O7" s="25">
        <f t="shared" si="1"/>
        <v>114.72970349208109</v>
      </c>
      <c r="P7" s="20">
        <v>3645856</v>
      </c>
      <c r="Q7" s="20">
        <v>2945605</v>
      </c>
      <c r="R7" s="20">
        <v>3252337</v>
      </c>
      <c r="S7" s="20">
        <v>4129497</v>
      </c>
      <c r="T7" s="20">
        <v>4111138.8401199998</v>
      </c>
      <c r="U7" s="20">
        <v>4250000</v>
      </c>
      <c r="V7" s="26">
        <v>4229484</v>
      </c>
      <c r="W7" s="41">
        <f>IFERROR(+P7/$P7*100,"")</f>
        <v>100</v>
      </c>
      <c r="X7" s="41">
        <f>IFERROR(+Q7/$P7*100,"")</f>
        <v>80.793234839774257</v>
      </c>
      <c r="Y7" s="41">
        <f>IFERROR(+R7/$P7*100,"")</f>
        <v>89.206403105333834</v>
      </c>
      <c r="Z7" s="18">
        <f>IFERROR(+S7/$P7*100,"")</f>
        <v>113.26549924078186</v>
      </c>
      <c r="AA7" s="18">
        <f>IFERROR(+T7/$P7*100,"")</f>
        <v>112.76196427176497</v>
      </c>
      <c r="AB7" s="18">
        <f t="shared" si="3"/>
        <v>116.57070383470986</v>
      </c>
      <c r="AC7" s="25">
        <f t="shared" si="3"/>
        <v>116.0079827617986</v>
      </c>
      <c r="AD7" s="21">
        <v>65.821429674255285</v>
      </c>
      <c r="AE7" s="21">
        <v>55.381653796819307</v>
      </c>
      <c r="AF7" s="21">
        <v>72.928955263048238</v>
      </c>
      <c r="AG7" s="21">
        <v>83.69453268422113</v>
      </c>
      <c r="AH7" s="21">
        <v>88.989928259407833</v>
      </c>
      <c r="AI7" s="21">
        <v>94.935609736128981</v>
      </c>
      <c r="AJ7" s="22">
        <v>106.11190445653118</v>
      </c>
      <c r="AK7" s="21">
        <v>264.72643346000001</v>
      </c>
      <c r="AL7" s="21">
        <v>270.77664391999991</v>
      </c>
      <c r="AM7" s="21">
        <v>290.81144447000003</v>
      </c>
      <c r="AN7" s="21">
        <v>304.99860056</v>
      </c>
      <c r="AO7" s="21">
        <v>310.36232166000008</v>
      </c>
      <c r="AP7" s="21">
        <v>319.09136580007998</v>
      </c>
      <c r="AQ7" s="22">
        <v>332.15086074455093</v>
      </c>
      <c r="AR7" s="18">
        <f t="shared" si="4"/>
        <v>3671.3509757856491</v>
      </c>
      <c r="AS7" s="18">
        <f t="shared" si="4"/>
        <v>3859.4712570019515</v>
      </c>
      <c r="AT7" s="18">
        <f t="shared" si="4"/>
        <v>3678.6895433443387</v>
      </c>
      <c r="AU7" s="18">
        <f t="shared" si="4"/>
        <v>3865.7819759940176</v>
      </c>
      <c r="AV7" s="18">
        <f t="shared" si="4"/>
        <v>4001.4223490581862</v>
      </c>
      <c r="AW7" s="18">
        <f t="shared" si="4"/>
        <v>4070.8737216789141</v>
      </c>
      <c r="AX7" s="25">
        <f t="shared" si="4"/>
        <v>4015.0236409461354</v>
      </c>
      <c r="AY7" s="41">
        <f t="shared" si="5"/>
        <v>100</v>
      </c>
      <c r="AZ7" s="41">
        <f t="shared" si="5"/>
        <v>105.12400700605981</v>
      </c>
      <c r="BA7" s="41">
        <f t="shared" si="5"/>
        <v>100.19988738769709</v>
      </c>
      <c r="BB7" s="41">
        <f t="shared" si="5"/>
        <v>105.29589792669607</v>
      </c>
      <c r="BC7" s="41">
        <f t="shared" si="5"/>
        <v>108.99046088073625</v>
      </c>
      <c r="BD7" s="41">
        <f t="shared" si="5"/>
        <v>110.88217248986305</v>
      </c>
      <c r="BE7" s="133">
        <f t="shared" si="5"/>
        <v>109.36093191381524</v>
      </c>
      <c r="BF7" s="121">
        <f>IFERROR(AD7/AK7,"")</f>
        <v>0.24863943057730523</v>
      </c>
      <c r="BG7" s="24">
        <f t="shared" ref="BG7" si="8">IFERROR(AE7/AL7,"")</f>
        <v>0.20452891724731487</v>
      </c>
      <c r="BH7" s="24">
        <f t="shared" ref="BH7" si="9">IFERROR(AF7/AM7,"")</f>
        <v>0.25077745958712278</v>
      </c>
      <c r="BI7" s="24">
        <f t="shared" ref="BI7" si="10">IFERROR(AG7/AN7,"")</f>
        <v>0.27440956296373747</v>
      </c>
      <c r="BJ7" s="24">
        <f t="shared" ref="BJ7" si="11">IFERROR(AH7/AO7,"")</f>
        <v>0.28672916152784722</v>
      </c>
      <c r="BK7" s="24">
        <f t="shared" ref="BK7" si="12">IFERROR(AI7/AP7,"")</f>
        <v>0.29751857903798279</v>
      </c>
      <c r="BL7" s="27">
        <f t="shared" ref="BL7" si="13">IFERROR(AJ7/AQ7,"")</f>
        <v>0.31946900338800938</v>
      </c>
      <c r="BM7" s="21">
        <f>+AK7-AD7-CA7</f>
        <v>198.90500378574473</v>
      </c>
      <c r="BN7" s="21">
        <f t="shared" ref="BN7" si="14">+AL7-AE7-CB7</f>
        <v>202.2270465931806</v>
      </c>
      <c r="BO7" s="21">
        <f t="shared" ref="BO7" si="15">+AM7-AF7-CC7</f>
        <v>200.4518354369518</v>
      </c>
      <c r="BP7" s="21">
        <f t="shared" ref="BP7" si="16">+AN7-AG7-CD7</f>
        <v>217.94175791577885</v>
      </c>
      <c r="BQ7" s="21">
        <f t="shared" ref="BQ7" si="17">+AO7-AH7-CE7</f>
        <v>216.41979273059223</v>
      </c>
      <c r="BR7" s="21">
        <f t="shared" ref="BR7" si="18">+AP7-AI7-CF7</f>
        <v>224.155756063951</v>
      </c>
      <c r="BS7" s="21">
        <f t="shared" ref="BS7" si="19">+AQ7-AJ7-CG7</f>
        <v>226.03895628801973</v>
      </c>
      <c r="BT7" s="105"/>
      <c r="BU7" s="106"/>
      <c r="BV7" s="106"/>
      <c r="BW7" s="99"/>
      <c r="BX7" s="99"/>
      <c r="BY7" s="99"/>
      <c r="BZ7" s="107"/>
      <c r="CA7" s="21">
        <v>0</v>
      </c>
      <c r="CB7" s="21">
        <v>13.167943529999999</v>
      </c>
      <c r="CC7" s="21">
        <v>17.430653769999999</v>
      </c>
      <c r="CD7" s="21">
        <v>3.3623099600000002</v>
      </c>
      <c r="CE7" s="21">
        <v>4.9526006699999998</v>
      </c>
      <c r="CF7" s="21">
        <v>0</v>
      </c>
      <c r="CG7" s="22">
        <v>0</v>
      </c>
      <c r="CH7" s="21">
        <v>4220.0649999999996</v>
      </c>
      <c r="CI7" s="21">
        <v>4016.5729999999999</v>
      </c>
      <c r="CJ7" s="21">
        <v>4478.1809999999996</v>
      </c>
      <c r="CK7" s="21">
        <v>4493.0529999999999</v>
      </c>
      <c r="CL7" s="21">
        <v>4474.0219999999999</v>
      </c>
      <c r="CM7" s="21">
        <v>4500.9369999999999</v>
      </c>
      <c r="CN7" s="22">
        <v>4754.4920000000002</v>
      </c>
    </row>
    <row r="8" spans="1:92" ht="16.5" thickBot="1" x14ac:dyDescent="0.3">
      <c r="A8" s="28" t="s">
        <v>16</v>
      </c>
      <c r="B8" s="29">
        <f t="shared" ref="B8:H8" si="20">SUM(B6:B7)</f>
        <v>151818</v>
      </c>
      <c r="C8" s="29">
        <f t="shared" si="20"/>
        <v>151573</v>
      </c>
      <c r="D8" s="29">
        <f t="shared" si="20"/>
        <v>158157</v>
      </c>
      <c r="E8" s="29">
        <f t="shared" si="20"/>
        <v>156802</v>
      </c>
      <c r="F8" s="29">
        <f t="shared" si="20"/>
        <v>154941</v>
      </c>
      <c r="G8" s="29">
        <f t="shared" si="20"/>
        <v>158844</v>
      </c>
      <c r="H8" s="30">
        <f t="shared" si="20"/>
        <v>163183</v>
      </c>
      <c r="I8" s="78">
        <f t="shared" ref="I8:N8" si="21">+B8/$B8*100</f>
        <v>100</v>
      </c>
      <c r="J8" s="78">
        <f t="shared" si="21"/>
        <v>99.838622561224625</v>
      </c>
      <c r="K8" s="78">
        <f t="shared" si="21"/>
        <v>104.17539422202901</v>
      </c>
      <c r="L8" s="78">
        <f t="shared" si="21"/>
        <v>103.28287818308763</v>
      </c>
      <c r="M8" s="78">
        <f t="shared" si="21"/>
        <v>102.05706833181836</v>
      </c>
      <c r="N8" s="78">
        <f t="shared" si="21"/>
        <v>104.62790973402363</v>
      </c>
      <c r="O8" s="79">
        <f t="shared" ref="O8" si="22">+H8/$B8*100</f>
        <v>107.48593710890673</v>
      </c>
      <c r="P8" s="29">
        <f t="shared" ref="P8:V8" si="23">SUM(P6:P7)</f>
        <v>9510459</v>
      </c>
      <c r="Q8" s="29">
        <f t="shared" si="23"/>
        <v>7498834</v>
      </c>
      <c r="R8" s="29">
        <f t="shared" si="23"/>
        <v>7739653</v>
      </c>
      <c r="S8" s="29">
        <f t="shared" si="23"/>
        <v>9458059</v>
      </c>
      <c r="T8" s="29">
        <f t="shared" si="23"/>
        <v>9786192.8401199989</v>
      </c>
      <c r="U8" s="29">
        <f t="shared" si="23"/>
        <v>9850000</v>
      </c>
      <c r="V8" s="29">
        <f t="shared" si="23"/>
        <v>10381875</v>
      </c>
      <c r="W8" s="35">
        <f t="shared" ref="W8:AB8" si="24">IFERROR(+P8/$P8*100,"")</f>
        <v>100</v>
      </c>
      <c r="X8" s="29">
        <f t="shared" si="24"/>
        <v>78.84828692284988</v>
      </c>
      <c r="Y8" s="29">
        <f t="shared" si="24"/>
        <v>81.380436002089908</v>
      </c>
      <c r="Z8" s="29">
        <f t="shared" si="24"/>
        <v>99.449027644196775</v>
      </c>
      <c r="AA8" s="29">
        <f t="shared" si="24"/>
        <v>102.89926953178599</v>
      </c>
      <c r="AB8" s="29">
        <f t="shared" si="24"/>
        <v>103.57018520346915</v>
      </c>
      <c r="AC8" s="30">
        <f t="shared" ref="AC8" si="25">IFERROR(+V8/$P8*100,"")</f>
        <v>109.16271233596613</v>
      </c>
      <c r="AD8" s="29">
        <f t="shared" ref="AD8:AX8" si="26">SUM(AD6:AD7)</f>
        <v>177.57810888615171</v>
      </c>
      <c r="AE8" s="29">
        <f t="shared" si="26"/>
        <v>136.98068454737864</v>
      </c>
      <c r="AF8" s="29">
        <f t="shared" si="26"/>
        <v>161.17116028785364</v>
      </c>
      <c r="AG8" s="29">
        <f t="shared" si="26"/>
        <v>185.74287695000115</v>
      </c>
      <c r="AH8" s="29">
        <f t="shared" si="26"/>
        <v>206.19625691384059</v>
      </c>
      <c r="AI8" s="29">
        <f t="shared" si="26"/>
        <v>218.94260619767817</v>
      </c>
      <c r="AJ8" s="30">
        <f t="shared" si="26"/>
        <v>249.52461930925625</v>
      </c>
      <c r="AK8" s="29">
        <f t="shared" si="26"/>
        <v>494.11468875999992</v>
      </c>
      <c r="AL8" s="29">
        <f t="shared" si="26"/>
        <v>502.9189750299999</v>
      </c>
      <c r="AM8" s="29">
        <f t="shared" si="26"/>
        <v>528.95281567000006</v>
      </c>
      <c r="AN8" s="29">
        <f t="shared" si="26"/>
        <v>558.45399253000005</v>
      </c>
      <c r="AO8" s="29">
        <f t="shared" si="26"/>
        <v>582.96357373000001</v>
      </c>
      <c r="AP8" s="29">
        <f t="shared" si="26"/>
        <v>603.21326948652256</v>
      </c>
      <c r="AQ8" s="30">
        <f t="shared" si="26"/>
        <v>625.20661643650942</v>
      </c>
      <c r="AR8" s="29">
        <f t="shared" si="26"/>
        <v>6549.0639336840832</v>
      </c>
      <c r="AS8" s="29">
        <f t="shared" si="26"/>
        <v>6710.8522370545215</v>
      </c>
      <c r="AT8" s="29">
        <f t="shared" si="26"/>
        <v>6689.1741104964422</v>
      </c>
      <c r="AU8" s="29">
        <f t="shared" si="26"/>
        <v>7119.1725410411909</v>
      </c>
      <c r="AV8" s="29">
        <f t="shared" si="26"/>
        <v>7524.4037141748859</v>
      </c>
      <c r="AW8" s="29">
        <f t="shared" si="26"/>
        <v>7602.0930068695998</v>
      </c>
      <c r="AX8" s="30">
        <f t="shared" si="26"/>
        <v>7657.4587072178683</v>
      </c>
      <c r="AY8" s="29">
        <f t="shared" ref="AY8:BE8" si="27">AR8/$AR8*100</f>
        <v>100</v>
      </c>
      <c r="AZ8" s="29">
        <f t="shared" si="27"/>
        <v>102.47040348069143</v>
      </c>
      <c r="BA8" s="29">
        <f t="shared" si="27"/>
        <v>102.13939241136009</v>
      </c>
      <c r="BB8" s="29">
        <f t="shared" si="27"/>
        <v>108.70519227068228</v>
      </c>
      <c r="BC8" s="29">
        <f t="shared" si="27"/>
        <v>114.89281201660432</v>
      </c>
      <c r="BD8" s="29">
        <f t="shared" si="27"/>
        <v>116.07907761854983</v>
      </c>
      <c r="BE8" s="30">
        <f t="shared" si="27"/>
        <v>116.924476303139</v>
      </c>
      <c r="BF8" s="33">
        <f>IFERROR(AD8/AK8,"")</f>
        <v>0.35938641964235246</v>
      </c>
      <c r="BG8" s="33">
        <f t="shared" ref="BG8" si="28">IFERROR(AE8/AL8,"")</f>
        <v>0.2723712791691893</v>
      </c>
      <c r="BH8" s="33">
        <f t="shared" ref="BH8" si="29">IFERROR(AF8/AM8,"")</f>
        <v>0.30469855819503594</v>
      </c>
      <c r="BI8" s="33">
        <f t="shared" ref="BI8" si="30">IFERROR(AG8/AN8,"")</f>
        <v>0.33260193218158984</v>
      </c>
      <c r="BJ8" s="33">
        <f t="shared" ref="BJ8" si="31">IFERROR(AH8/AO8,"")</f>
        <v>0.35370350088004043</v>
      </c>
      <c r="BK8" s="33">
        <f t="shared" ref="BK8" si="32">IFERROR(AI8/AP8,"")</f>
        <v>0.36296052701899317</v>
      </c>
      <c r="BL8" s="34">
        <f t="shared" ref="BL8" si="33">IFERROR(AJ8/AQ8,"")</f>
        <v>0.39910745143976867</v>
      </c>
      <c r="BM8" s="29">
        <f t="shared" ref="BM8:BW8" si="34">SUM(BM6:BM7)</f>
        <v>316.53657987384827</v>
      </c>
      <c r="BN8" s="29">
        <f t="shared" si="34"/>
        <v>321.58697532262124</v>
      </c>
      <c r="BO8" s="29">
        <f t="shared" si="34"/>
        <v>328.61024419214641</v>
      </c>
      <c r="BP8" s="29">
        <f t="shared" si="34"/>
        <v>365.33922472999882</v>
      </c>
      <c r="BQ8" s="29">
        <f t="shared" si="34"/>
        <v>367.19537147615949</v>
      </c>
      <c r="BR8" s="29">
        <f t="shared" si="34"/>
        <v>384.27066328884439</v>
      </c>
      <c r="BS8" s="30">
        <f t="shared" si="34"/>
        <v>375.68199712725323</v>
      </c>
      <c r="BT8" s="29">
        <f t="shared" si="34"/>
        <v>0</v>
      </c>
      <c r="BU8" s="29">
        <f t="shared" si="34"/>
        <v>0</v>
      </c>
      <c r="BV8" s="29">
        <f t="shared" si="34"/>
        <v>0</v>
      </c>
      <c r="BW8" s="29">
        <f t="shared" si="34"/>
        <v>0</v>
      </c>
      <c r="BX8" s="29"/>
      <c r="BY8" s="30">
        <f t="shared" ref="BY8:CN8" si="35">SUM(BY6:BY7)</f>
        <v>0</v>
      </c>
      <c r="BZ8" s="29">
        <f t="shared" si="35"/>
        <v>0</v>
      </c>
      <c r="CA8" s="29">
        <f t="shared" si="35"/>
        <v>0</v>
      </c>
      <c r="CB8" s="29">
        <f t="shared" si="35"/>
        <v>44.351315159999999</v>
      </c>
      <c r="CC8" s="29">
        <f t="shared" si="35"/>
        <v>39.171411190000001</v>
      </c>
      <c r="CD8" s="29">
        <f t="shared" si="35"/>
        <v>7.3718908499999998</v>
      </c>
      <c r="CE8" s="29">
        <f t="shared" si="35"/>
        <v>9.5719453399999992</v>
      </c>
      <c r="CF8" s="29">
        <f t="shared" si="35"/>
        <v>0</v>
      </c>
      <c r="CG8" s="30">
        <f t="shared" si="35"/>
        <v>0</v>
      </c>
      <c r="CH8" s="29">
        <f t="shared" si="35"/>
        <v>7825.6829999999991</v>
      </c>
      <c r="CI8" s="29">
        <f t="shared" si="35"/>
        <v>7629.0009999999902</v>
      </c>
      <c r="CJ8" s="29">
        <f t="shared" si="35"/>
        <v>8034.8359999999993</v>
      </c>
      <c r="CK8" s="29">
        <f t="shared" si="35"/>
        <v>7998.1710000000003</v>
      </c>
      <c r="CL8" s="29">
        <f t="shared" si="35"/>
        <v>7987.37499999999</v>
      </c>
      <c r="CM8" s="29">
        <f t="shared" si="35"/>
        <v>8094.3189999999995</v>
      </c>
      <c r="CN8" s="30">
        <f t="shared" si="35"/>
        <v>8669.64</v>
      </c>
    </row>
    <row r="9" spans="1:92" ht="16.5" thickTop="1" x14ac:dyDescent="0.25">
      <c r="P9" s="109"/>
      <c r="Q9" s="109"/>
      <c r="R9" s="109"/>
      <c r="S9" s="109"/>
      <c r="T9" s="109"/>
      <c r="U9" s="109"/>
      <c r="V9" s="109"/>
      <c r="AM9" s="21"/>
      <c r="AQ9" s="21"/>
    </row>
    <row r="11" spans="1:92" x14ac:dyDescent="0.25">
      <c r="AG11" s="20"/>
    </row>
    <row r="12" spans="1:92" x14ac:dyDescent="0.25">
      <c r="CA12" s="110"/>
      <c r="CH12" s="110"/>
    </row>
    <row r="15" spans="1:92" x14ac:dyDescent="0.25">
      <c r="AP15" s="21"/>
    </row>
    <row r="16" spans="1:92" x14ac:dyDescent="0.25">
      <c r="AP16" s="21"/>
      <c r="CA16" s="110"/>
      <c r="CH16" s="110"/>
    </row>
  </sheetData>
  <mergeCells count="13">
    <mergeCell ref="B4:H4"/>
    <mergeCell ref="I4:O4"/>
    <mergeCell ref="P4:V4"/>
    <mergeCell ref="W4:AC4"/>
    <mergeCell ref="AD4:AJ4"/>
    <mergeCell ref="CA4:CG4"/>
    <mergeCell ref="CH4:CN4"/>
    <mergeCell ref="AK4:AQ4"/>
    <mergeCell ref="AR4:AX4"/>
    <mergeCell ref="AY4:BE4"/>
    <mergeCell ref="BF4:BL4"/>
    <mergeCell ref="BM4:BS4"/>
    <mergeCell ref="BT4:BZ4"/>
  </mergeCells>
  <pageMargins left="0.7" right="0.7" top="0.75" bottom="0.75" header="0.3" footer="0.3"/>
  <pageSetup paperSize="8"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19CB9-F3AD-4F2E-A969-8923B2287BCC}">
  <sheetPr>
    <pageSetUpPr fitToPage="1"/>
  </sheetPr>
  <dimension ref="A2:CN36"/>
  <sheetViews>
    <sheetView workbookViewId="0">
      <selection activeCell="F17" sqref="F17"/>
    </sheetView>
  </sheetViews>
  <sheetFormatPr defaultColWidth="9" defaultRowHeight="15.75" x14ac:dyDescent="0.25"/>
  <cols>
    <col min="1" max="1" width="30.125" style="1" customWidth="1"/>
    <col min="2" max="8" width="10.625" style="1" customWidth="1"/>
    <col min="9" max="15" width="8.625" style="1" customWidth="1"/>
    <col min="16" max="22" width="12.625" style="1" customWidth="1"/>
    <col min="23" max="29" width="8.625" style="1" customWidth="1"/>
    <col min="30" max="43" width="8.625" style="21" customWidth="1"/>
    <col min="44" max="78" width="8.625" style="1" customWidth="1"/>
    <col min="79" max="82" width="6.75" style="1" bestFit="1" customWidth="1"/>
    <col min="83" max="83" width="7.5" style="1" bestFit="1" customWidth="1"/>
    <col min="84" max="84" width="7.5" style="1" customWidth="1"/>
    <col min="85" max="85" width="6.75" style="1" bestFit="1" customWidth="1"/>
    <col min="86" max="16384" width="9" style="1"/>
  </cols>
  <sheetData>
    <row r="2" spans="1:92" x14ac:dyDescent="0.25">
      <c r="A2" s="2" t="s">
        <v>25</v>
      </c>
      <c r="B2" s="2"/>
      <c r="C2" s="2"/>
      <c r="D2" s="2"/>
      <c r="P2" s="2"/>
      <c r="Q2" s="2"/>
      <c r="R2" s="2"/>
      <c r="AD2" s="36"/>
      <c r="AE2" s="36"/>
      <c r="AF2" s="36"/>
      <c r="AK2" s="36"/>
      <c r="AL2" s="36"/>
      <c r="AM2" s="36"/>
    </row>
    <row r="4" spans="1:92" s="6" customFormat="1" ht="40.9" customHeight="1" x14ac:dyDescent="0.25">
      <c r="A4" s="5"/>
      <c r="B4" s="229" t="s">
        <v>1</v>
      </c>
      <c r="C4" s="230"/>
      <c r="D4" s="230"/>
      <c r="E4" s="230"/>
      <c r="F4" s="230"/>
      <c r="G4" s="230"/>
      <c r="H4" s="231"/>
      <c r="I4" s="241" t="s">
        <v>29</v>
      </c>
      <c r="J4" s="242"/>
      <c r="K4" s="242"/>
      <c r="L4" s="242"/>
      <c r="M4" s="242"/>
      <c r="N4" s="242"/>
      <c r="O4" s="243"/>
      <c r="P4" s="230" t="s">
        <v>2</v>
      </c>
      <c r="Q4" s="230"/>
      <c r="R4" s="230"/>
      <c r="S4" s="230"/>
      <c r="T4" s="230"/>
      <c r="U4" s="230"/>
      <c r="V4" s="231"/>
      <c r="W4" s="244" t="s">
        <v>8</v>
      </c>
      <c r="X4" s="245"/>
      <c r="Y4" s="245"/>
      <c r="Z4" s="245"/>
      <c r="AA4" s="245"/>
      <c r="AB4" s="245"/>
      <c r="AC4" s="246"/>
      <c r="AD4" s="247" t="s">
        <v>3</v>
      </c>
      <c r="AE4" s="248"/>
      <c r="AF4" s="248"/>
      <c r="AG4" s="248"/>
      <c r="AH4" s="248"/>
      <c r="AI4" s="248"/>
      <c r="AJ4" s="249"/>
      <c r="AK4" s="232" t="s">
        <v>4</v>
      </c>
      <c r="AL4" s="233"/>
      <c r="AM4" s="233"/>
      <c r="AN4" s="233"/>
      <c r="AO4" s="233"/>
      <c r="AP4" s="233"/>
      <c r="AQ4" s="234"/>
      <c r="AR4" s="235" t="s">
        <v>9</v>
      </c>
      <c r="AS4" s="236"/>
      <c r="AT4" s="236"/>
      <c r="AU4" s="236"/>
      <c r="AV4" s="236"/>
      <c r="AW4" s="236"/>
      <c r="AX4" s="237"/>
      <c r="AY4" s="222" t="s">
        <v>28</v>
      </c>
      <c r="AZ4" s="223"/>
      <c r="BA4" s="223"/>
      <c r="BB4" s="223"/>
      <c r="BC4" s="223"/>
      <c r="BD4" s="223"/>
      <c r="BE4" s="224"/>
      <c r="BF4" s="225" t="s">
        <v>135</v>
      </c>
      <c r="BG4" s="226"/>
      <c r="BH4" s="226"/>
      <c r="BI4" s="226"/>
      <c r="BJ4" s="226"/>
      <c r="BK4" s="226"/>
      <c r="BL4" s="227"/>
      <c r="BM4" s="218" t="s">
        <v>136</v>
      </c>
      <c r="BN4" s="218"/>
      <c r="BO4" s="218"/>
      <c r="BP4" s="218"/>
      <c r="BQ4" s="218"/>
      <c r="BR4" s="218"/>
      <c r="BS4" s="219" t="s">
        <v>6</v>
      </c>
      <c r="BT4" s="238" t="s">
        <v>6</v>
      </c>
      <c r="BU4" s="239"/>
      <c r="BV4" s="239"/>
      <c r="BW4" s="239"/>
      <c r="BX4" s="239"/>
      <c r="BY4" s="239"/>
      <c r="BZ4" s="240"/>
      <c r="CA4" s="229" t="s">
        <v>7</v>
      </c>
      <c r="CB4" s="230"/>
      <c r="CC4" s="230"/>
      <c r="CD4" s="230"/>
      <c r="CE4" s="230"/>
      <c r="CF4" s="230"/>
      <c r="CG4" s="231"/>
      <c r="CH4" s="207" t="s">
        <v>34</v>
      </c>
      <c r="CI4" s="208"/>
      <c r="CJ4" s="208"/>
      <c r="CK4" s="208"/>
      <c r="CL4" s="208"/>
      <c r="CM4" s="208"/>
      <c r="CN4" s="209"/>
    </row>
    <row r="5" spans="1:92" x14ac:dyDescent="0.25">
      <c r="A5" s="7" t="s">
        <v>10</v>
      </c>
      <c r="B5" s="10" t="s">
        <v>11</v>
      </c>
      <c r="C5" s="9" t="s">
        <v>12</v>
      </c>
      <c r="D5" s="9" t="s">
        <v>13</v>
      </c>
      <c r="E5" s="10" t="s">
        <v>14</v>
      </c>
      <c r="F5" s="10" t="s">
        <v>36</v>
      </c>
      <c r="G5" s="10" t="s">
        <v>64</v>
      </c>
      <c r="H5" s="11" t="s">
        <v>65</v>
      </c>
      <c r="I5" s="10" t="s">
        <v>11</v>
      </c>
      <c r="J5" s="9" t="s">
        <v>12</v>
      </c>
      <c r="K5" s="9" t="s">
        <v>13</v>
      </c>
      <c r="L5" s="10" t="s">
        <v>14</v>
      </c>
      <c r="M5" s="10" t="s">
        <v>36</v>
      </c>
      <c r="N5" s="10" t="s">
        <v>64</v>
      </c>
      <c r="O5" s="11" t="s">
        <v>65</v>
      </c>
      <c r="P5" s="10" t="s">
        <v>11</v>
      </c>
      <c r="Q5" s="9" t="s">
        <v>12</v>
      </c>
      <c r="R5" s="9" t="s">
        <v>13</v>
      </c>
      <c r="S5" s="10" t="s">
        <v>14</v>
      </c>
      <c r="T5" s="10" t="s">
        <v>36</v>
      </c>
      <c r="U5" s="10" t="s">
        <v>64</v>
      </c>
      <c r="V5" s="11" t="s">
        <v>65</v>
      </c>
      <c r="W5" s="10" t="s">
        <v>11</v>
      </c>
      <c r="X5" s="9" t="s">
        <v>12</v>
      </c>
      <c r="Y5" s="9" t="s">
        <v>13</v>
      </c>
      <c r="Z5" s="10" t="s">
        <v>14</v>
      </c>
      <c r="AA5" s="10" t="s">
        <v>36</v>
      </c>
      <c r="AB5" s="10" t="s">
        <v>64</v>
      </c>
      <c r="AC5" s="11" t="s">
        <v>65</v>
      </c>
      <c r="AD5" s="10" t="s">
        <v>11</v>
      </c>
      <c r="AE5" s="9" t="s">
        <v>12</v>
      </c>
      <c r="AF5" s="9" t="s">
        <v>13</v>
      </c>
      <c r="AG5" s="10" t="s">
        <v>14</v>
      </c>
      <c r="AH5" s="10" t="s">
        <v>36</v>
      </c>
      <c r="AI5" s="10" t="s">
        <v>64</v>
      </c>
      <c r="AJ5" s="11" t="s">
        <v>65</v>
      </c>
      <c r="AK5" s="89" t="s">
        <v>11</v>
      </c>
      <c r="AL5" s="90" t="s">
        <v>12</v>
      </c>
      <c r="AM5" s="90" t="s">
        <v>13</v>
      </c>
      <c r="AN5" s="91" t="s">
        <v>14</v>
      </c>
      <c r="AO5" s="91" t="s">
        <v>36</v>
      </c>
      <c r="AP5" s="91" t="s">
        <v>64</v>
      </c>
      <c r="AQ5" s="92" t="s">
        <v>65</v>
      </c>
      <c r="AR5" s="93" t="s">
        <v>11</v>
      </c>
      <c r="AS5" s="94" t="s">
        <v>12</v>
      </c>
      <c r="AT5" s="94" t="s">
        <v>13</v>
      </c>
      <c r="AU5" s="95" t="s">
        <v>14</v>
      </c>
      <c r="AV5" s="95" t="s">
        <v>36</v>
      </c>
      <c r="AW5" s="95" t="s">
        <v>64</v>
      </c>
      <c r="AX5" s="96" t="s">
        <v>65</v>
      </c>
      <c r="AY5" s="54" t="s">
        <v>11</v>
      </c>
      <c r="AZ5" s="56" t="s">
        <v>12</v>
      </c>
      <c r="BA5" s="56" t="s">
        <v>13</v>
      </c>
      <c r="BB5" s="56" t="s">
        <v>14</v>
      </c>
      <c r="BC5" s="10" t="s">
        <v>36</v>
      </c>
      <c r="BD5" s="10" t="s">
        <v>64</v>
      </c>
      <c r="BE5" s="11" t="s">
        <v>65</v>
      </c>
      <c r="BF5" s="17" t="s">
        <v>11</v>
      </c>
      <c r="BG5" s="16" t="s">
        <v>12</v>
      </c>
      <c r="BH5" s="16" t="s">
        <v>13</v>
      </c>
      <c r="BI5" s="17" t="s">
        <v>14</v>
      </c>
      <c r="BJ5" s="10" t="s">
        <v>36</v>
      </c>
      <c r="BK5" s="10" t="s">
        <v>64</v>
      </c>
      <c r="BL5" s="11" t="s">
        <v>65</v>
      </c>
      <c r="BM5" s="8" t="s">
        <v>11</v>
      </c>
      <c r="BN5" s="9" t="s">
        <v>12</v>
      </c>
      <c r="BO5" s="9" t="s">
        <v>13</v>
      </c>
      <c r="BP5" s="10" t="s">
        <v>14</v>
      </c>
      <c r="BQ5" s="10" t="s">
        <v>36</v>
      </c>
      <c r="BR5" s="10" t="s">
        <v>64</v>
      </c>
      <c r="BS5" s="11" t="s">
        <v>65</v>
      </c>
      <c r="BT5" s="85" t="s">
        <v>11</v>
      </c>
      <c r="BU5" s="86" t="s">
        <v>12</v>
      </c>
      <c r="BV5" s="86" t="s">
        <v>13</v>
      </c>
      <c r="BW5" s="87" t="s">
        <v>14</v>
      </c>
      <c r="BX5" s="87" t="s">
        <v>36</v>
      </c>
      <c r="BY5" s="87" t="s">
        <v>64</v>
      </c>
      <c r="BZ5" s="88" t="s">
        <v>65</v>
      </c>
      <c r="CA5" s="8" t="s">
        <v>11</v>
      </c>
      <c r="CB5" s="9" t="s">
        <v>12</v>
      </c>
      <c r="CC5" s="9" t="s">
        <v>13</v>
      </c>
      <c r="CD5" s="10" t="s">
        <v>14</v>
      </c>
      <c r="CE5" s="10" t="s">
        <v>36</v>
      </c>
      <c r="CF5" s="10" t="s">
        <v>64</v>
      </c>
      <c r="CG5" s="11" t="s">
        <v>65</v>
      </c>
      <c r="CH5" s="8" t="s">
        <v>11</v>
      </c>
      <c r="CI5" s="9" t="s">
        <v>12</v>
      </c>
      <c r="CJ5" s="9" t="s">
        <v>13</v>
      </c>
      <c r="CK5" s="10" t="s">
        <v>14</v>
      </c>
      <c r="CL5" s="10" t="s">
        <v>36</v>
      </c>
      <c r="CM5" s="10" t="s">
        <v>64</v>
      </c>
      <c r="CN5" s="11" t="s">
        <v>65</v>
      </c>
    </row>
    <row r="6" spans="1:92" x14ac:dyDescent="0.25">
      <c r="A6" s="3" t="s">
        <v>49</v>
      </c>
      <c r="B6" s="18">
        <v>5851</v>
      </c>
      <c r="C6" s="18">
        <v>5752</v>
      </c>
      <c r="D6" s="18">
        <v>5742.61</v>
      </c>
      <c r="E6" s="19">
        <v>5848</v>
      </c>
      <c r="F6" s="18">
        <v>5774</v>
      </c>
      <c r="G6" s="18">
        <v>5762.5283018867922</v>
      </c>
      <c r="H6" s="25">
        <v>5958.6981132075471</v>
      </c>
      <c r="I6" s="100">
        <f t="shared" ref="I6:O6" si="0">+B6/$B6*100</f>
        <v>100</v>
      </c>
      <c r="J6" s="76">
        <f t="shared" si="0"/>
        <v>98.307981541616812</v>
      </c>
      <c r="K6" s="76">
        <f t="shared" si="0"/>
        <v>98.1474961545035</v>
      </c>
      <c r="L6" s="76">
        <f t="shared" si="0"/>
        <v>99.948726713382328</v>
      </c>
      <c r="M6" s="76">
        <f t="shared" si="0"/>
        <v>98.683985643479744</v>
      </c>
      <c r="N6" s="76">
        <f t="shared" si="0"/>
        <v>98.487921755029774</v>
      </c>
      <c r="O6" s="136">
        <f t="shared" si="0"/>
        <v>101.84067874222436</v>
      </c>
      <c r="P6" s="18">
        <v>219211</v>
      </c>
      <c r="Q6" s="18">
        <v>159332</v>
      </c>
      <c r="R6" s="18">
        <v>131141</v>
      </c>
      <c r="S6" s="19">
        <v>180465</v>
      </c>
      <c r="T6" s="18">
        <v>186156</v>
      </c>
      <c r="U6" s="18">
        <v>174500</v>
      </c>
      <c r="V6" s="37">
        <v>174500</v>
      </c>
      <c r="W6" s="41">
        <f t="shared" ref="W6:AC6" si="1">IFERROR(+P6/$P6*100,"")</f>
        <v>100</v>
      </c>
      <c r="X6" s="41">
        <f t="shared" si="1"/>
        <v>72.684308725383303</v>
      </c>
      <c r="Y6" s="41">
        <f t="shared" si="1"/>
        <v>59.824096418519147</v>
      </c>
      <c r="Z6" s="18">
        <f t="shared" si="1"/>
        <v>82.324792095287194</v>
      </c>
      <c r="AA6" s="18">
        <f t="shared" si="1"/>
        <v>84.920920939186445</v>
      </c>
      <c r="AB6" s="18">
        <f t="shared" si="1"/>
        <v>79.603669523883383</v>
      </c>
      <c r="AC6" s="130">
        <f t="shared" si="1"/>
        <v>79.603669523883383</v>
      </c>
      <c r="AD6" s="21">
        <v>3</v>
      </c>
      <c r="AE6" s="21">
        <v>1.8</v>
      </c>
      <c r="AF6" s="21">
        <v>0</v>
      </c>
      <c r="AG6" s="23">
        <v>0</v>
      </c>
      <c r="AH6" s="23">
        <v>0</v>
      </c>
      <c r="AI6" s="23">
        <v>0</v>
      </c>
      <c r="AJ6" s="131">
        <v>0</v>
      </c>
      <c r="AK6" s="21">
        <f>16.7+1.3</f>
        <v>18</v>
      </c>
      <c r="AL6" s="21">
        <f>16.1+1.3</f>
        <v>17.400000000000002</v>
      </c>
      <c r="AM6" s="21">
        <v>5.3</v>
      </c>
      <c r="AN6" s="23">
        <v>5</v>
      </c>
      <c r="AO6" s="21">
        <v>5.4</v>
      </c>
      <c r="AP6" s="21">
        <v>5.3</v>
      </c>
      <c r="AQ6" s="22">
        <v>5.5</v>
      </c>
      <c r="AR6" s="18">
        <f t="shared" ref="AR6:AX6" si="2">IFERROR(AK6*1000000/B6,"")</f>
        <v>3076.3971970603316</v>
      </c>
      <c r="AS6" s="18">
        <f t="shared" si="2"/>
        <v>3025.0347705146041</v>
      </c>
      <c r="AT6" s="18">
        <f t="shared" si="2"/>
        <v>922.92529006845325</v>
      </c>
      <c r="AU6" s="18">
        <f t="shared" si="2"/>
        <v>854.99316005471951</v>
      </c>
      <c r="AV6" s="18">
        <f t="shared" si="2"/>
        <v>935.22687911326636</v>
      </c>
      <c r="AW6" s="18">
        <f t="shared" si="2"/>
        <v>919.73517913389696</v>
      </c>
      <c r="AX6" s="18">
        <f t="shared" si="2"/>
        <v>923.02041410843833</v>
      </c>
      <c r="AY6" s="102">
        <f>AR6/$AR6*100</f>
        <v>100</v>
      </c>
      <c r="AZ6" s="76">
        <f>AS6/$AR6*100</f>
        <v>98.330435790449712</v>
      </c>
      <c r="BA6" s="76">
        <f>AT6/$AR6*100</f>
        <v>30.000199289947332</v>
      </c>
      <c r="BB6" s="76">
        <f>AU6/$AR6*100</f>
        <v>27.79202766377869</v>
      </c>
      <c r="BC6" s="76">
        <f t="shared" ref="BC6:BE6" si="3">AV6/$AR6*100</f>
        <v>30.400069276065118</v>
      </c>
      <c r="BD6" s="76">
        <f t="shared" si="3"/>
        <v>29.896502961735727</v>
      </c>
      <c r="BE6" s="136">
        <f t="shared" si="3"/>
        <v>30.003291349713734</v>
      </c>
      <c r="BF6" s="191">
        <f>IFERROR(AD6/AK6,"")</f>
        <v>0.16666666666666666</v>
      </c>
      <c r="BG6" s="192">
        <f t="shared" ref="BG6:BL6" si="4">IFERROR(AE6/AL6,"")</f>
        <v>0.10344827586206895</v>
      </c>
      <c r="BH6" s="192">
        <f t="shared" si="4"/>
        <v>0</v>
      </c>
      <c r="BI6" s="192">
        <f t="shared" si="4"/>
        <v>0</v>
      </c>
      <c r="BJ6" s="192">
        <f t="shared" si="4"/>
        <v>0</v>
      </c>
      <c r="BK6" s="192">
        <f t="shared" si="4"/>
        <v>0</v>
      </c>
      <c r="BL6" s="134">
        <f t="shared" si="4"/>
        <v>0</v>
      </c>
      <c r="BM6" s="21">
        <f>+AK6-AD6-CA6</f>
        <v>15</v>
      </c>
      <c r="BN6" s="21">
        <f t="shared" ref="BN6:BS6" si="5">+AL6-AE6-CB6</f>
        <v>14.8</v>
      </c>
      <c r="BO6" s="21">
        <f t="shared" si="5"/>
        <v>5.3</v>
      </c>
      <c r="BP6" s="21">
        <f t="shared" si="5"/>
        <v>5</v>
      </c>
      <c r="BQ6" s="21">
        <f t="shared" si="5"/>
        <v>5.3000000000000007</v>
      </c>
      <c r="BR6" s="21">
        <f t="shared" si="5"/>
        <v>5.3</v>
      </c>
      <c r="BS6" s="131">
        <f t="shared" si="5"/>
        <v>5.5</v>
      </c>
      <c r="BT6" s="21">
        <v>0</v>
      </c>
      <c r="BU6" s="21">
        <v>0</v>
      </c>
      <c r="BV6" s="21">
        <v>0</v>
      </c>
      <c r="BW6" s="21">
        <v>0</v>
      </c>
      <c r="BX6" s="21">
        <v>0</v>
      </c>
      <c r="BY6" s="21">
        <v>0</v>
      </c>
      <c r="BZ6" s="22">
        <v>0</v>
      </c>
      <c r="CA6" s="21">
        <v>0</v>
      </c>
      <c r="CB6" s="111">
        <v>0.8</v>
      </c>
      <c r="CC6" s="111">
        <v>0</v>
      </c>
      <c r="CD6" s="111">
        <v>0</v>
      </c>
      <c r="CE6" s="23">
        <v>0.1</v>
      </c>
      <c r="CF6" s="111">
        <v>0</v>
      </c>
      <c r="CG6" s="137">
        <v>0</v>
      </c>
      <c r="CH6" s="265">
        <v>310</v>
      </c>
      <c r="CI6" s="266">
        <v>305</v>
      </c>
      <c r="CJ6" s="266">
        <v>304</v>
      </c>
      <c r="CK6" s="266">
        <v>310</v>
      </c>
      <c r="CL6" s="266">
        <v>306</v>
      </c>
      <c r="CM6" s="266">
        <v>304</v>
      </c>
      <c r="CN6" s="266">
        <v>314</v>
      </c>
    </row>
    <row r="7" spans="1:92" ht="16.5" thickBot="1" x14ac:dyDescent="0.3">
      <c r="A7" s="28" t="s">
        <v>16</v>
      </c>
      <c r="B7" s="29">
        <f t="shared" ref="B7:H7" si="6">SUM(B6:B6)</f>
        <v>5851</v>
      </c>
      <c r="C7" s="29">
        <f t="shared" si="6"/>
        <v>5752</v>
      </c>
      <c r="D7" s="29">
        <f t="shared" si="6"/>
        <v>5742.61</v>
      </c>
      <c r="E7" s="29">
        <f t="shared" si="6"/>
        <v>5848</v>
      </c>
      <c r="F7" s="29">
        <f t="shared" si="6"/>
        <v>5774</v>
      </c>
      <c r="G7" s="29">
        <f t="shared" si="6"/>
        <v>5762.5283018867922</v>
      </c>
      <c r="H7" s="30">
        <f t="shared" si="6"/>
        <v>5958.6981132075471</v>
      </c>
      <c r="I7" s="103">
        <f t="shared" ref="I6:M7" si="7">+B7/$B7*100</f>
        <v>100</v>
      </c>
      <c r="J7" s="78">
        <f t="shared" si="7"/>
        <v>98.307981541616812</v>
      </c>
      <c r="K7" s="78">
        <f t="shared" si="7"/>
        <v>98.1474961545035</v>
      </c>
      <c r="L7" s="78">
        <f t="shared" si="7"/>
        <v>99.948726713382328</v>
      </c>
      <c r="M7" s="78">
        <f t="shared" si="7"/>
        <v>98.683985643479744</v>
      </c>
      <c r="N7" s="78">
        <f t="shared" ref="N7:O7" si="8">+G7/$B7*100</f>
        <v>98.487921755029774</v>
      </c>
      <c r="O7" s="79">
        <f t="shared" si="8"/>
        <v>101.84067874222436</v>
      </c>
      <c r="P7" s="29">
        <f t="shared" ref="P7:V7" si="9">SUM(P6:P6)</f>
        <v>219211</v>
      </c>
      <c r="Q7" s="29">
        <f t="shared" si="9"/>
        <v>159332</v>
      </c>
      <c r="R7" s="29">
        <f t="shared" si="9"/>
        <v>131141</v>
      </c>
      <c r="S7" s="29">
        <f t="shared" si="9"/>
        <v>180465</v>
      </c>
      <c r="T7" s="29">
        <f t="shared" si="9"/>
        <v>186156</v>
      </c>
      <c r="U7" s="29">
        <f t="shared" si="9"/>
        <v>174500</v>
      </c>
      <c r="V7" s="30">
        <f t="shared" si="9"/>
        <v>174500</v>
      </c>
      <c r="W7" s="35">
        <f t="shared" ref="W7:AB7" si="10">IFERROR(+P7/$P7*100,"")</f>
        <v>100</v>
      </c>
      <c r="X7" s="29">
        <f t="shared" si="10"/>
        <v>72.684308725383303</v>
      </c>
      <c r="Y7" s="29">
        <f t="shared" si="10"/>
        <v>59.824096418519147</v>
      </c>
      <c r="Z7" s="29">
        <f t="shared" si="10"/>
        <v>82.324792095287194</v>
      </c>
      <c r="AA7" s="29">
        <f t="shared" si="10"/>
        <v>84.920920939186445</v>
      </c>
      <c r="AB7" s="29">
        <f t="shared" si="10"/>
        <v>79.603669523883383</v>
      </c>
      <c r="AC7" s="30">
        <f t="shared" ref="AC7" si="11">IFERROR(+V7/$P7*100,"")</f>
        <v>79.603669523883383</v>
      </c>
      <c r="AD7" s="31">
        <f t="shared" ref="AD7:AQ7" si="12">SUM(AD6:AD6)</f>
        <v>3</v>
      </c>
      <c r="AE7" s="31">
        <f t="shared" si="12"/>
        <v>1.8</v>
      </c>
      <c r="AF7" s="31">
        <f t="shared" si="12"/>
        <v>0</v>
      </c>
      <c r="AG7" s="31">
        <f t="shared" si="12"/>
        <v>0</v>
      </c>
      <c r="AH7" s="31">
        <f t="shared" si="12"/>
        <v>0</v>
      </c>
      <c r="AI7" s="31">
        <f t="shared" si="12"/>
        <v>0</v>
      </c>
      <c r="AJ7" s="32">
        <f t="shared" si="12"/>
        <v>0</v>
      </c>
      <c r="AK7" s="31">
        <f t="shared" si="12"/>
        <v>18</v>
      </c>
      <c r="AL7" s="31">
        <f t="shared" si="12"/>
        <v>17.400000000000002</v>
      </c>
      <c r="AM7" s="31">
        <f t="shared" si="12"/>
        <v>5.3</v>
      </c>
      <c r="AN7" s="31">
        <f t="shared" si="12"/>
        <v>5</v>
      </c>
      <c r="AO7" s="31">
        <f t="shared" si="12"/>
        <v>5.4</v>
      </c>
      <c r="AP7" s="31">
        <f t="shared" si="12"/>
        <v>5.3</v>
      </c>
      <c r="AQ7" s="32">
        <f t="shared" si="12"/>
        <v>5.5</v>
      </c>
      <c r="AR7" s="29">
        <f t="shared" ref="AR6:AX7" si="13">IFERROR(AK7*1000000/B7,"")</f>
        <v>3076.3971970603316</v>
      </c>
      <c r="AS7" s="29">
        <f t="shared" si="13"/>
        <v>3025.0347705146041</v>
      </c>
      <c r="AT7" s="29">
        <f t="shared" si="13"/>
        <v>922.92529006845325</v>
      </c>
      <c r="AU7" s="29">
        <f t="shared" si="13"/>
        <v>854.99316005471951</v>
      </c>
      <c r="AV7" s="29">
        <f t="shared" si="13"/>
        <v>935.22687911326636</v>
      </c>
      <c r="AW7" s="29">
        <f t="shared" si="13"/>
        <v>919.73517913389696</v>
      </c>
      <c r="AX7" s="29">
        <f t="shared" si="13"/>
        <v>923.02041410843833</v>
      </c>
      <c r="AY7" s="103">
        <f t="shared" ref="AY7" si="14">AR7/$AR7*100</f>
        <v>100</v>
      </c>
      <c r="AZ7" s="78">
        <f>AS7/$AR7*100</f>
        <v>98.330435790449712</v>
      </c>
      <c r="BA7" s="78">
        <f>AT7/$AR7*100</f>
        <v>30.000199289947332</v>
      </c>
      <c r="BB7" s="78">
        <f>AU7/$AR7*100</f>
        <v>27.79202766377869</v>
      </c>
      <c r="BC7" s="78">
        <f t="shared" ref="BC7:BE7" si="15">AV7/$AR7*100</f>
        <v>30.400069276065118</v>
      </c>
      <c r="BD7" s="78">
        <f t="shared" si="15"/>
        <v>29.896502961735727</v>
      </c>
      <c r="BE7" s="79">
        <f t="shared" si="15"/>
        <v>30.003291349713734</v>
      </c>
      <c r="BF7" s="33">
        <f>IFERROR(AD7/AK7,"")</f>
        <v>0.16666666666666666</v>
      </c>
      <c r="BG7" s="33">
        <f t="shared" ref="BG6:BL7" si="16">IFERROR(AE7/AL7,"")</f>
        <v>0.10344827586206895</v>
      </c>
      <c r="BH7" s="33">
        <f t="shared" si="16"/>
        <v>0</v>
      </c>
      <c r="BI7" s="33">
        <f t="shared" si="16"/>
        <v>0</v>
      </c>
      <c r="BJ7" s="33">
        <f t="shared" si="16"/>
        <v>0</v>
      </c>
      <c r="BK7" s="33">
        <f t="shared" si="16"/>
        <v>0</v>
      </c>
      <c r="BL7" s="34">
        <f t="shared" si="16"/>
        <v>0</v>
      </c>
      <c r="BM7" s="29">
        <f>SUM(BM6)</f>
        <v>15</v>
      </c>
      <c r="BN7" s="29">
        <f t="shared" ref="BN7:BS7" si="17">SUM(BN6)</f>
        <v>14.8</v>
      </c>
      <c r="BO7" s="29">
        <f t="shared" si="17"/>
        <v>5.3</v>
      </c>
      <c r="BP7" s="29">
        <f t="shared" si="17"/>
        <v>5</v>
      </c>
      <c r="BQ7" s="29">
        <f t="shared" si="17"/>
        <v>5.3000000000000007</v>
      </c>
      <c r="BR7" s="29">
        <f t="shared" si="17"/>
        <v>5.3</v>
      </c>
      <c r="BS7" s="30">
        <f t="shared" si="17"/>
        <v>5.5</v>
      </c>
      <c r="BT7" s="31">
        <f t="shared" ref="BT7:CG7" si="18">SUM(BT6:BT6)</f>
        <v>0</v>
      </c>
      <c r="BU7" s="31">
        <f t="shared" si="18"/>
        <v>0</v>
      </c>
      <c r="BV7" s="31">
        <f t="shared" si="18"/>
        <v>0</v>
      </c>
      <c r="BW7" s="31">
        <f t="shared" si="18"/>
        <v>0</v>
      </c>
      <c r="BX7" s="31">
        <f t="shared" si="18"/>
        <v>0</v>
      </c>
      <c r="BY7" s="31">
        <f t="shared" si="18"/>
        <v>0</v>
      </c>
      <c r="BZ7" s="32">
        <f t="shared" si="18"/>
        <v>0</v>
      </c>
      <c r="CA7" s="31">
        <f t="shared" si="18"/>
        <v>0</v>
      </c>
      <c r="CB7" s="31">
        <f t="shared" si="18"/>
        <v>0.8</v>
      </c>
      <c r="CC7" s="31">
        <f t="shared" si="18"/>
        <v>0</v>
      </c>
      <c r="CD7" s="31">
        <f t="shared" si="18"/>
        <v>0</v>
      </c>
      <c r="CE7" s="31">
        <f t="shared" si="18"/>
        <v>0.1</v>
      </c>
      <c r="CF7" s="31">
        <f t="shared" si="18"/>
        <v>0</v>
      </c>
      <c r="CG7" s="32">
        <f t="shared" si="18"/>
        <v>0</v>
      </c>
      <c r="CH7" s="31">
        <f>SUM(CH6)</f>
        <v>310</v>
      </c>
      <c r="CI7" s="31">
        <f t="shared" ref="CI7:CN7" si="19">SUM(CI6)</f>
        <v>305</v>
      </c>
      <c r="CJ7" s="31">
        <f t="shared" si="19"/>
        <v>304</v>
      </c>
      <c r="CK7" s="31">
        <f t="shared" si="19"/>
        <v>310</v>
      </c>
      <c r="CL7" s="31">
        <f t="shared" si="19"/>
        <v>306</v>
      </c>
      <c r="CM7" s="31">
        <f t="shared" si="19"/>
        <v>304</v>
      </c>
      <c r="CN7" s="32">
        <f t="shared" si="19"/>
        <v>314</v>
      </c>
    </row>
    <row r="8" spans="1:92" ht="16.5" thickTop="1" x14ac:dyDescent="0.25"/>
    <row r="9" spans="1:92" x14ac:dyDescent="0.25">
      <c r="A9" s="38"/>
      <c r="V9" s="1" t="s">
        <v>50</v>
      </c>
      <c r="AF9" s="21" t="s">
        <v>51</v>
      </c>
      <c r="AM9" s="21" t="s">
        <v>52</v>
      </c>
      <c r="BF9" s="21"/>
      <c r="BG9" s="21"/>
      <c r="BH9" s="21"/>
      <c r="BI9" s="21"/>
      <c r="BJ9" s="21"/>
      <c r="BK9" s="21"/>
      <c r="BL9" s="21"/>
    </row>
    <row r="10" spans="1:92" x14ac:dyDescent="0.25">
      <c r="A10" s="38"/>
      <c r="BF10" s="21"/>
      <c r="BG10" s="21"/>
      <c r="BH10" s="21"/>
      <c r="BI10" s="21"/>
      <c r="BJ10" s="21"/>
      <c r="BK10" s="21"/>
      <c r="BL10" s="21"/>
    </row>
    <row r="11" spans="1:92" x14ac:dyDescent="0.25">
      <c r="A11" s="38"/>
      <c r="BF11" s="21"/>
      <c r="BG11" s="21"/>
      <c r="BH11" s="21"/>
      <c r="BI11" s="21"/>
      <c r="BJ11" s="21"/>
      <c r="BK11" s="21"/>
      <c r="BL11" s="21"/>
    </row>
    <row r="12" spans="1:92" x14ac:dyDescent="0.25">
      <c r="A12" s="38"/>
      <c r="BF12" s="21"/>
      <c r="BG12" s="21"/>
      <c r="BH12" s="21"/>
      <c r="BI12" s="21"/>
      <c r="BJ12" s="21"/>
      <c r="BK12" s="21"/>
      <c r="BL12" s="21"/>
    </row>
    <row r="13" spans="1:92" x14ac:dyDescent="0.25">
      <c r="A13" s="38"/>
      <c r="BF13" s="21"/>
      <c r="BG13" s="21"/>
      <c r="BH13" s="21"/>
      <c r="BI13" s="21"/>
      <c r="BJ13" s="21"/>
      <c r="BK13" s="21"/>
      <c r="BL13" s="21"/>
    </row>
    <row r="14" spans="1:92" x14ac:dyDescent="0.25">
      <c r="BF14" s="21"/>
      <c r="BG14" s="21"/>
      <c r="BH14" s="21"/>
      <c r="BI14" s="21"/>
      <c r="BJ14" s="21"/>
      <c r="BK14" s="21"/>
      <c r="BL14" s="21"/>
    </row>
    <row r="15" spans="1:92" x14ac:dyDescent="0.25">
      <c r="BF15" s="21"/>
      <c r="BG15" s="21"/>
      <c r="BH15" s="21"/>
      <c r="BI15" s="21"/>
      <c r="BJ15" s="21"/>
      <c r="BK15" s="21"/>
      <c r="BL15" s="21"/>
    </row>
    <row r="16" spans="1:92" x14ac:dyDescent="0.25">
      <c r="BF16" s="21"/>
      <c r="BG16" s="21"/>
      <c r="BH16" s="21"/>
      <c r="BI16" s="21"/>
      <c r="BJ16" s="21"/>
      <c r="BK16" s="21"/>
      <c r="BL16" s="21"/>
    </row>
    <row r="17" spans="22:64" x14ac:dyDescent="0.25">
      <c r="BF17" s="21"/>
      <c r="BG17" s="21"/>
      <c r="BH17" s="21"/>
      <c r="BI17" s="21"/>
      <c r="BJ17" s="21"/>
      <c r="BK17" s="21"/>
      <c r="BL17" s="21"/>
    </row>
    <row r="18" spans="22:64" x14ac:dyDescent="0.25">
      <c r="BF18" s="21"/>
      <c r="BG18" s="21"/>
      <c r="BH18" s="21"/>
      <c r="BI18" s="21"/>
      <c r="BJ18" s="21"/>
      <c r="BK18" s="21"/>
      <c r="BL18" s="21"/>
    </row>
    <row r="19" spans="22:64" x14ac:dyDescent="0.25">
      <c r="BF19" s="21"/>
      <c r="BG19" s="21"/>
      <c r="BH19" s="21"/>
      <c r="BI19" s="21"/>
      <c r="BJ19" s="21"/>
      <c r="BK19" s="21"/>
      <c r="BL19" s="21"/>
    </row>
    <row r="23" spans="22:64" x14ac:dyDescent="0.25">
      <c r="V23" s="21"/>
      <c r="AD23" s="18"/>
      <c r="AE23" s="18"/>
      <c r="AF23" s="18"/>
      <c r="AG23" s="18"/>
      <c r="AH23" s="18"/>
      <c r="AI23" s="18"/>
      <c r="AJ23" s="18"/>
    </row>
    <row r="24" spans="22:64" x14ac:dyDescent="0.25">
      <c r="V24" s="21"/>
      <c r="AD24" s="18"/>
      <c r="AE24" s="18"/>
      <c r="AF24" s="18"/>
      <c r="AG24" s="18"/>
      <c r="AH24" s="18"/>
      <c r="AI24" s="18"/>
      <c r="AJ24" s="18"/>
    </row>
    <row r="25" spans="22:64" x14ac:dyDescent="0.25">
      <c r="V25" s="21"/>
      <c r="AD25" s="18"/>
      <c r="AE25" s="18"/>
      <c r="AF25" s="18"/>
      <c r="AG25" s="18"/>
      <c r="AH25" s="18"/>
      <c r="AI25" s="18"/>
      <c r="AJ25" s="18"/>
    </row>
    <row r="26" spans="22:64" x14ac:dyDescent="0.25">
      <c r="V26" s="21"/>
      <c r="AD26" s="18"/>
      <c r="AE26" s="18"/>
      <c r="AF26" s="18"/>
      <c r="AG26" s="18"/>
      <c r="AH26" s="18"/>
      <c r="AI26" s="18"/>
      <c r="AJ26" s="18"/>
    </row>
    <row r="27" spans="22:64" x14ac:dyDescent="0.25">
      <c r="V27" s="21"/>
      <c r="AD27" s="18"/>
      <c r="AE27" s="18"/>
      <c r="AF27" s="18"/>
      <c r="AG27" s="18"/>
      <c r="AH27" s="18"/>
      <c r="AI27" s="18"/>
      <c r="AJ27" s="18"/>
    </row>
    <row r="28" spans="22:64" x14ac:dyDescent="0.25">
      <c r="V28" s="21"/>
      <c r="AD28" s="18"/>
      <c r="AE28" s="18"/>
      <c r="AF28" s="18"/>
      <c r="AG28" s="18"/>
      <c r="AH28" s="18"/>
      <c r="AI28" s="18"/>
      <c r="AJ28" s="18"/>
    </row>
    <row r="29" spans="22:64" x14ac:dyDescent="0.25">
      <c r="V29" s="21"/>
      <c r="AD29" s="18"/>
      <c r="AE29" s="18"/>
      <c r="AF29" s="18"/>
      <c r="AG29" s="18"/>
      <c r="AH29" s="18"/>
      <c r="AI29" s="18"/>
      <c r="AJ29" s="18"/>
    </row>
    <row r="30" spans="22:64" x14ac:dyDescent="0.25">
      <c r="V30" s="21"/>
      <c r="AD30" s="18"/>
      <c r="AE30" s="18"/>
      <c r="AF30" s="18"/>
      <c r="AG30" s="18"/>
      <c r="AH30" s="18"/>
      <c r="AI30" s="18"/>
      <c r="AJ30" s="18"/>
    </row>
    <row r="31" spans="22:64" x14ac:dyDescent="0.25">
      <c r="V31" s="21"/>
      <c r="AD31" s="18"/>
      <c r="AE31" s="18"/>
      <c r="AF31" s="18"/>
      <c r="AG31" s="18"/>
      <c r="AH31" s="18"/>
      <c r="AI31" s="18"/>
      <c r="AJ31" s="18"/>
    </row>
    <row r="32" spans="22:64" x14ac:dyDescent="0.25">
      <c r="V32" s="21"/>
      <c r="AD32" s="18"/>
      <c r="AE32" s="18"/>
      <c r="AF32" s="18"/>
      <c r="AG32" s="18"/>
      <c r="AH32" s="18"/>
      <c r="AI32" s="18"/>
      <c r="AJ32" s="18"/>
    </row>
    <row r="33" spans="22:36" x14ac:dyDescent="0.25">
      <c r="V33" s="21"/>
      <c r="AD33" s="18"/>
      <c r="AE33" s="18"/>
      <c r="AF33" s="18"/>
      <c r="AG33" s="18"/>
      <c r="AH33" s="18"/>
      <c r="AI33" s="18"/>
      <c r="AJ33" s="18"/>
    </row>
    <row r="34" spans="22:36" x14ac:dyDescent="0.25">
      <c r="V34" s="21"/>
      <c r="AD34" s="18"/>
      <c r="AE34" s="18"/>
      <c r="AF34" s="18"/>
      <c r="AG34" s="18"/>
      <c r="AH34" s="18"/>
      <c r="AI34" s="18"/>
      <c r="AJ34" s="18"/>
    </row>
    <row r="35" spans="22:36" x14ac:dyDescent="0.25">
      <c r="AD35" s="18"/>
      <c r="AE35" s="18"/>
      <c r="AF35" s="18"/>
      <c r="AG35" s="18"/>
      <c r="AH35" s="18"/>
      <c r="AI35" s="18"/>
      <c r="AJ35" s="18"/>
    </row>
    <row r="36" spans="22:36" x14ac:dyDescent="0.25">
      <c r="AD36" s="18"/>
      <c r="AE36" s="18"/>
      <c r="AF36" s="18"/>
      <c r="AG36" s="18"/>
      <c r="AH36" s="18"/>
      <c r="AI36" s="18"/>
      <c r="AJ36" s="18"/>
    </row>
  </sheetData>
  <mergeCells count="13">
    <mergeCell ref="CH4:CN4"/>
    <mergeCell ref="B4:H4"/>
    <mergeCell ref="I4:O4"/>
    <mergeCell ref="P4:V4"/>
    <mergeCell ref="W4:AC4"/>
    <mergeCell ref="AD4:AJ4"/>
    <mergeCell ref="CA4:CG4"/>
    <mergeCell ref="AK4:AQ4"/>
    <mergeCell ref="AR4:AX4"/>
    <mergeCell ref="AY4:BE4"/>
    <mergeCell ref="BF4:BL4"/>
    <mergeCell ref="BM4:BS4"/>
    <mergeCell ref="BT4:BZ4"/>
  </mergeCells>
  <pageMargins left="0.7" right="0.7" top="0.75" bottom="0.75" header="0.3" footer="0.3"/>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3927-19E0-4701-AF11-12DEF47B9F59}">
  <dimension ref="B3:B14"/>
  <sheetViews>
    <sheetView workbookViewId="0">
      <selection activeCell="J45" sqref="J45"/>
    </sheetView>
  </sheetViews>
  <sheetFormatPr defaultRowHeight="14.25" x14ac:dyDescent="0.2"/>
  <sheetData>
    <row r="3" spans="2:2" x14ac:dyDescent="0.2">
      <c r="B3" s="113" t="s">
        <v>40</v>
      </c>
    </row>
    <row r="4" spans="2:2" ht="15" x14ac:dyDescent="0.2">
      <c r="B4" s="112" t="s">
        <v>41</v>
      </c>
    </row>
    <row r="5" spans="2:2" x14ac:dyDescent="0.2">
      <c r="B5" s="113" t="s">
        <v>42</v>
      </c>
    </row>
    <row r="6" spans="2:2" x14ac:dyDescent="0.2">
      <c r="B6" s="113" t="s">
        <v>43</v>
      </c>
    </row>
    <row r="7" spans="2:2" ht="15" x14ac:dyDescent="0.2">
      <c r="B7" s="112" t="s">
        <v>44</v>
      </c>
    </row>
    <row r="8" spans="2:2" ht="15" x14ac:dyDescent="0.2">
      <c r="B8" s="114"/>
    </row>
    <row r="9" spans="2:2" ht="15" x14ac:dyDescent="0.2">
      <c r="B9" s="114" t="s">
        <v>45</v>
      </c>
    </row>
    <row r="10" spans="2:2" ht="15" x14ac:dyDescent="0.2">
      <c r="B10" s="114"/>
    </row>
    <row r="11" spans="2:2" ht="15" x14ac:dyDescent="0.2">
      <c r="B11" s="114" t="s">
        <v>46</v>
      </c>
    </row>
    <row r="12" spans="2:2" ht="15" x14ac:dyDescent="0.2">
      <c r="B12" s="114"/>
    </row>
    <row r="13" spans="2:2" ht="15" x14ac:dyDescent="0.2">
      <c r="B13" s="114" t="s">
        <v>47</v>
      </c>
    </row>
    <row r="14" spans="2:2" ht="15" x14ac:dyDescent="0.2">
      <c r="B14" s="114" t="s">
        <v>48</v>
      </c>
    </row>
  </sheetData>
  <hyperlinks>
    <hyperlink ref="B3" r:id="rId1" display="mailto:Gitte.Elton.Nielsen@brk.dk" xr:uid="{95B1389D-837C-4243-BD45-D131C8FFD979}"/>
    <hyperlink ref="B5" r:id="rId2" display="mailto:lli@Midttrafik.dk" xr:uid="{3388CC4F-2B7B-4D07-AC59-C5FCBDB54A10}"/>
    <hyperlink ref="B6" r:id="rId3" display="mailto:kn@BAT.dk" xr:uid="{F4AAFAE6-01FB-4952-98D2-484A77724E0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42E4A-BB28-477B-A234-EE3F8D3091C7}">
  <dimension ref="A1:M43"/>
  <sheetViews>
    <sheetView topLeftCell="A20" workbookViewId="0">
      <selection activeCell="M33" sqref="M33:M39"/>
    </sheetView>
  </sheetViews>
  <sheetFormatPr defaultRowHeight="14.25" x14ac:dyDescent="0.2"/>
  <cols>
    <col min="13" max="13" width="14.625" customWidth="1"/>
  </cols>
  <sheetData>
    <row r="1" spans="1:11" x14ac:dyDescent="0.2">
      <c r="A1" s="150" t="s">
        <v>75</v>
      </c>
      <c r="B1" s="151" t="s">
        <v>33</v>
      </c>
      <c r="C1" s="150" t="s">
        <v>33</v>
      </c>
      <c r="D1" s="150"/>
      <c r="E1" s="150"/>
      <c r="F1" s="150" t="s">
        <v>76</v>
      </c>
      <c r="G1" s="150"/>
      <c r="H1" s="150"/>
      <c r="I1" s="150"/>
      <c r="J1" s="150"/>
      <c r="K1" s="150"/>
    </row>
    <row r="2" spans="1:11" x14ac:dyDescent="0.2">
      <c r="B2" s="150"/>
      <c r="C2" s="150"/>
      <c r="D2" s="151" t="s">
        <v>77</v>
      </c>
      <c r="E2" s="150"/>
      <c r="F2" s="150"/>
      <c r="G2" s="150"/>
      <c r="H2" s="150"/>
      <c r="I2" s="151" t="s">
        <v>77</v>
      </c>
      <c r="K2" s="150"/>
    </row>
    <row r="3" spans="1:11" x14ac:dyDescent="0.2">
      <c r="B3" s="150" t="s">
        <v>78</v>
      </c>
      <c r="C3" s="150" t="s">
        <v>79</v>
      </c>
      <c r="D3" s="150" t="s">
        <v>80</v>
      </c>
      <c r="E3" s="150" t="s">
        <v>81</v>
      </c>
      <c r="F3" s="150"/>
      <c r="G3" s="150" t="s">
        <v>82</v>
      </c>
      <c r="H3" s="150" t="s">
        <v>83</v>
      </c>
      <c r="I3" s="150" t="s">
        <v>84</v>
      </c>
      <c r="J3" s="150" t="s">
        <v>85</v>
      </c>
      <c r="K3" s="150" t="s">
        <v>86</v>
      </c>
    </row>
    <row r="4" spans="1:11" x14ac:dyDescent="0.2">
      <c r="A4" t="s">
        <v>87</v>
      </c>
      <c r="B4" s="152">
        <v>3.1</v>
      </c>
      <c r="C4" s="153"/>
      <c r="D4" s="153"/>
      <c r="E4" s="153"/>
      <c r="F4" t="s">
        <v>87</v>
      </c>
      <c r="G4" s="152">
        <v>2.9</v>
      </c>
      <c r="H4" s="153"/>
      <c r="I4" s="153"/>
      <c r="J4" s="153"/>
      <c r="K4" s="153"/>
    </row>
    <row r="5" spans="1:11" x14ac:dyDescent="0.2">
      <c r="A5" t="s">
        <v>88</v>
      </c>
      <c r="B5" s="152">
        <v>2.7</v>
      </c>
      <c r="C5" s="153"/>
      <c r="D5" s="153"/>
      <c r="E5" s="153"/>
      <c r="F5" t="s">
        <v>88</v>
      </c>
      <c r="G5" s="152">
        <v>2.6</v>
      </c>
      <c r="H5" s="153"/>
      <c r="I5" s="153"/>
      <c r="J5" s="153"/>
      <c r="K5" s="153"/>
    </row>
    <row r="6" spans="1:11" x14ac:dyDescent="0.2">
      <c r="A6" t="s">
        <v>89</v>
      </c>
      <c r="B6" s="152">
        <v>2.8</v>
      </c>
      <c r="C6" s="153"/>
      <c r="D6" s="153"/>
      <c r="E6" s="153"/>
      <c r="F6" t="s">
        <v>89</v>
      </c>
      <c r="G6" s="152">
        <v>2.5</v>
      </c>
      <c r="H6" s="153"/>
      <c r="I6" s="153"/>
      <c r="J6" s="153"/>
      <c r="K6" s="153"/>
    </row>
    <row r="7" spans="1:11" x14ac:dyDescent="0.2">
      <c r="A7" t="s">
        <v>90</v>
      </c>
      <c r="B7" s="152">
        <v>2</v>
      </c>
      <c r="C7" s="153"/>
      <c r="D7" s="153"/>
      <c r="E7" s="153"/>
      <c r="F7" t="s">
        <v>90</v>
      </c>
      <c r="G7" s="152">
        <v>1.7</v>
      </c>
      <c r="H7" s="153"/>
      <c r="I7" s="153"/>
      <c r="J7" s="153"/>
      <c r="K7" s="153"/>
    </row>
    <row r="8" spans="1:11" x14ac:dyDescent="0.2">
      <c r="A8" t="s">
        <v>91</v>
      </c>
      <c r="B8" s="152">
        <v>2.2999999999999998</v>
      </c>
      <c r="C8" s="153"/>
      <c r="D8" s="153"/>
      <c r="E8" s="153"/>
      <c r="F8" t="s">
        <v>91</v>
      </c>
      <c r="G8" s="152">
        <v>1.8</v>
      </c>
      <c r="H8" s="153"/>
      <c r="I8" s="153"/>
      <c r="J8" s="153"/>
      <c r="K8" s="153"/>
    </row>
    <row r="9" spans="1:11" x14ac:dyDescent="0.2">
      <c r="A9" t="s">
        <v>92</v>
      </c>
      <c r="B9" s="152">
        <v>2</v>
      </c>
      <c r="C9" s="153"/>
      <c r="D9" s="153"/>
      <c r="E9" s="153"/>
      <c r="F9" t="s">
        <v>92</v>
      </c>
      <c r="G9" s="152">
        <v>1.4</v>
      </c>
      <c r="H9" s="153"/>
      <c r="I9" s="153"/>
      <c r="J9" s="153"/>
      <c r="K9" s="153"/>
    </row>
    <row r="10" spans="1:11" x14ac:dyDescent="0.2">
      <c r="A10" t="s">
        <v>93</v>
      </c>
      <c r="B10" s="152">
        <v>2.9</v>
      </c>
      <c r="C10" s="153"/>
      <c r="D10" s="153"/>
      <c r="E10" s="153"/>
      <c r="F10" t="s">
        <v>93</v>
      </c>
      <c r="G10" s="152">
        <v>2.2000000000000002</v>
      </c>
      <c r="H10" s="153"/>
      <c r="I10" s="153"/>
      <c r="J10" s="153"/>
      <c r="K10" s="153"/>
    </row>
    <row r="11" spans="1:11" x14ac:dyDescent="0.2">
      <c r="A11" t="s">
        <v>94</v>
      </c>
      <c r="B11" s="152">
        <v>2.7</v>
      </c>
      <c r="C11" s="153"/>
      <c r="D11" s="153"/>
      <c r="E11" s="153"/>
      <c r="F11" t="s">
        <v>94</v>
      </c>
      <c r="G11" s="152">
        <v>2.2000000000000002</v>
      </c>
      <c r="H11" s="153"/>
      <c r="I11" s="153"/>
      <c r="J11" s="153"/>
      <c r="K11" s="153"/>
    </row>
    <row r="12" spans="1:11" x14ac:dyDescent="0.2">
      <c r="A12" t="s">
        <v>95</v>
      </c>
      <c r="B12" s="152">
        <v>3.1</v>
      </c>
      <c r="C12" s="152">
        <v>3.2</v>
      </c>
      <c r="D12" s="153"/>
      <c r="E12" s="153"/>
      <c r="F12" t="s">
        <v>95</v>
      </c>
      <c r="G12" s="152">
        <v>2.5</v>
      </c>
      <c r="H12" s="152">
        <v>3</v>
      </c>
      <c r="I12" s="153"/>
      <c r="J12" s="153"/>
      <c r="K12" s="153"/>
    </row>
    <row r="13" spans="1:11" x14ac:dyDescent="0.2">
      <c r="A13" t="s">
        <v>96</v>
      </c>
      <c r="B13" s="152">
        <v>2.9</v>
      </c>
      <c r="C13" s="152">
        <v>3</v>
      </c>
      <c r="D13" s="153"/>
      <c r="E13" s="153"/>
      <c r="F13" t="s">
        <v>96</v>
      </c>
      <c r="G13" s="152">
        <v>2.2999999999999998</v>
      </c>
      <c r="H13" s="152">
        <v>2.9</v>
      </c>
      <c r="I13" s="153"/>
      <c r="J13" s="153"/>
      <c r="K13" s="153"/>
    </row>
    <row r="14" spans="1:11" x14ac:dyDescent="0.2">
      <c r="A14" t="s">
        <v>97</v>
      </c>
      <c r="B14" s="152">
        <v>3.2</v>
      </c>
      <c r="C14" s="152">
        <v>3.2</v>
      </c>
      <c r="D14" s="153"/>
      <c r="E14" s="153"/>
      <c r="F14" t="s">
        <v>97</v>
      </c>
      <c r="G14" s="152">
        <v>2.8</v>
      </c>
      <c r="H14" s="152">
        <v>3</v>
      </c>
      <c r="I14" s="153"/>
      <c r="J14" s="153"/>
      <c r="K14" s="153"/>
    </row>
    <row r="15" spans="1:11" x14ac:dyDescent="0.2">
      <c r="A15" t="s">
        <v>98</v>
      </c>
      <c r="B15" s="152">
        <v>3.5</v>
      </c>
      <c r="C15" s="154">
        <v>3.6</v>
      </c>
      <c r="D15" s="155"/>
      <c r="E15" s="155"/>
      <c r="F15" t="s">
        <v>98</v>
      </c>
      <c r="G15" s="152">
        <v>3</v>
      </c>
      <c r="H15" s="154">
        <v>3.3</v>
      </c>
      <c r="I15" s="155"/>
      <c r="J15" s="155"/>
      <c r="K15" s="155"/>
    </row>
    <row r="16" spans="1:11" x14ac:dyDescent="0.2">
      <c r="A16" t="s">
        <v>99</v>
      </c>
      <c r="B16" s="152">
        <v>2.6</v>
      </c>
      <c r="C16" s="154">
        <v>2.6</v>
      </c>
      <c r="D16" s="155"/>
      <c r="E16" s="155"/>
      <c r="F16" t="s">
        <v>99</v>
      </c>
      <c r="G16" s="152">
        <v>2.4</v>
      </c>
      <c r="H16" s="154">
        <v>2.5</v>
      </c>
      <c r="I16" s="155"/>
      <c r="J16" s="155"/>
      <c r="K16" s="155"/>
    </row>
    <row r="17" spans="1:13" x14ac:dyDescent="0.2">
      <c r="A17" t="s">
        <v>100</v>
      </c>
      <c r="B17" s="152">
        <v>3.5</v>
      </c>
      <c r="C17" s="154">
        <v>3.5</v>
      </c>
      <c r="D17" s="155"/>
      <c r="E17" s="155"/>
      <c r="F17" t="s">
        <v>100</v>
      </c>
      <c r="G17" s="152">
        <v>2.4</v>
      </c>
      <c r="H17" s="154">
        <v>3.1</v>
      </c>
      <c r="I17" s="155"/>
      <c r="J17" s="155"/>
      <c r="K17" s="155"/>
    </row>
    <row r="18" spans="1:13" x14ac:dyDescent="0.2">
      <c r="A18" t="s">
        <v>101</v>
      </c>
      <c r="B18" s="152">
        <v>3.3</v>
      </c>
      <c r="C18" s="154">
        <v>3.3</v>
      </c>
      <c r="D18" s="155"/>
      <c r="E18" s="155"/>
      <c r="F18" t="s">
        <v>101</v>
      </c>
      <c r="G18" s="152">
        <v>2.5</v>
      </c>
      <c r="H18" s="152">
        <v>3</v>
      </c>
      <c r="I18" s="153"/>
      <c r="J18" s="153"/>
      <c r="K18" s="153"/>
    </row>
    <row r="19" spans="1:13" x14ac:dyDescent="0.2">
      <c r="A19" t="s">
        <v>102</v>
      </c>
      <c r="B19" s="154">
        <v>2.6</v>
      </c>
      <c r="C19" s="154">
        <v>2.7</v>
      </c>
      <c r="D19" s="155"/>
      <c r="E19" s="155"/>
      <c r="F19" t="s">
        <v>102</v>
      </c>
      <c r="G19" s="154">
        <v>2.1</v>
      </c>
      <c r="H19" s="154">
        <v>2.4</v>
      </c>
      <c r="I19" s="155"/>
      <c r="J19" s="155"/>
      <c r="K19" s="155"/>
    </row>
    <row r="20" spans="1:13" x14ac:dyDescent="0.2">
      <c r="A20" t="s">
        <v>103</v>
      </c>
      <c r="B20" s="154">
        <v>3.6</v>
      </c>
      <c r="C20" s="152">
        <v>3.8</v>
      </c>
      <c r="D20" s="153"/>
      <c r="E20" s="153"/>
      <c r="F20" t="s">
        <v>103</v>
      </c>
      <c r="G20" s="154">
        <v>2.9</v>
      </c>
      <c r="H20" s="152">
        <v>3.3</v>
      </c>
      <c r="I20" s="153"/>
      <c r="J20" s="153"/>
      <c r="K20" s="153"/>
    </row>
    <row r="21" spans="1:13" x14ac:dyDescent="0.2">
      <c r="A21" t="s">
        <v>104</v>
      </c>
      <c r="B21" s="152">
        <v>3.2</v>
      </c>
      <c r="C21" s="152">
        <v>3.4</v>
      </c>
      <c r="D21" s="153"/>
      <c r="E21" s="153"/>
      <c r="F21" t="s">
        <v>105</v>
      </c>
      <c r="G21" s="152">
        <v>2.2000000000000002</v>
      </c>
      <c r="H21" s="154">
        <v>2.7</v>
      </c>
      <c r="I21" s="155"/>
      <c r="J21" s="155"/>
      <c r="K21" s="155"/>
    </row>
    <row r="22" spans="1:13" x14ac:dyDescent="0.2">
      <c r="A22" t="s">
        <v>106</v>
      </c>
      <c r="B22" s="154">
        <v>3.7</v>
      </c>
      <c r="C22" s="154">
        <v>3.8</v>
      </c>
      <c r="D22" s="155"/>
      <c r="E22" s="155"/>
      <c r="F22" t="s">
        <v>106</v>
      </c>
      <c r="G22" s="154">
        <v>2.4</v>
      </c>
      <c r="H22" s="154">
        <v>3.4</v>
      </c>
      <c r="I22" s="155"/>
      <c r="J22" s="155"/>
      <c r="K22" s="155"/>
    </row>
    <row r="23" spans="1:13" x14ac:dyDescent="0.2">
      <c r="A23" t="s">
        <v>107</v>
      </c>
      <c r="B23" s="152">
        <v>3.9</v>
      </c>
      <c r="C23" s="152">
        <v>4</v>
      </c>
      <c r="D23" s="155"/>
      <c r="E23" s="155"/>
      <c r="F23" t="s">
        <v>107</v>
      </c>
      <c r="G23" s="154">
        <v>2.6</v>
      </c>
      <c r="H23" s="155"/>
      <c r="I23" s="154">
        <v>3.3</v>
      </c>
      <c r="J23" s="152">
        <v>2.2999999999999998</v>
      </c>
      <c r="K23" s="153"/>
    </row>
    <row r="24" spans="1:13" x14ac:dyDescent="0.2">
      <c r="A24" s="151" t="s">
        <v>108</v>
      </c>
      <c r="B24" s="152">
        <v>2.9</v>
      </c>
      <c r="C24" s="155"/>
      <c r="D24" s="152">
        <v>2.8</v>
      </c>
      <c r="E24" s="154">
        <v>1.7</v>
      </c>
      <c r="F24" s="151" t="s">
        <v>108</v>
      </c>
      <c r="G24" s="152">
        <v>2.2000000000000002</v>
      </c>
      <c r="H24" s="156"/>
      <c r="I24" s="154">
        <v>2.5</v>
      </c>
      <c r="J24" s="154">
        <v>3.5</v>
      </c>
      <c r="K24" s="152">
        <v>1</v>
      </c>
    </row>
    <row r="25" spans="1:13" x14ac:dyDescent="0.2">
      <c r="A25" s="151" t="s">
        <v>109</v>
      </c>
      <c r="B25" s="152">
        <v>1.3</v>
      </c>
      <c r="C25" s="155"/>
      <c r="D25" s="154">
        <v>1.1000000000000001</v>
      </c>
      <c r="E25" s="154">
        <v>2.9</v>
      </c>
      <c r="F25" s="151" t="s">
        <v>109</v>
      </c>
      <c r="G25" s="154">
        <v>0.2</v>
      </c>
      <c r="H25" s="156"/>
      <c r="I25" s="154">
        <v>0.6</v>
      </c>
      <c r="J25" s="154">
        <v>2.5</v>
      </c>
      <c r="K25" s="154">
        <v>1.8</v>
      </c>
    </row>
    <row r="26" spans="1:13" x14ac:dyDescent="0.2">
      <c r="A26" s="151" t="s">
        <v>110</v>
      </c>
      <c r="B26" s="152">
        <v>2.4</v>
      </c>
      <c r="C26" s="155"/>
      <c r="D26" s="154">
        <v>2.2999999999999998</v>
      </c>
      <c r="E26" s="152">
        <v>2.2999999999999998</v>
      </c>
      <c r="F26" s="151" t="s">
        <v>110</v>
      </c>
      <c r="G26" s="154">
        <v>1.1000000000000001</v>
      </c>
      <c r="H26" s="156"/>
      <c r="I26" s="152">
        <v>1.4</v>
      </c>
      <c r="J26" s="154">
        <v>2.4</v>
      </c>
      <c r="K26" s="154">
        <v>2.5</v>
      </c>
    </row>
    <row r="27" spans="1:13" x14ac:dyDescent="0.2">
      <c r="A27" s="151" t="s">
        <v>111</v>
      </c>
      <c r="B27" s="152">
        <v>1</v>
      </c>
      <c r="C27" s="155"/>
      <c r="D27" s="154">
        <v>0.9</v>
      </c>
      <c r="E27" s="152">
        <v>1.6</v>
      </c>
      <c r="F27" s="151" t="s">
        <v>111</v>
      </c>
      <c r="G27" s="154">
        <v>0.2</v>
      </c>
      <c r="H27" s="156"/>
      <c r="I27" s="152">
        <v>0.6</v>
      </c>
      <c r="J27" s="154">
        <v>0.8</v>
      </c>
      <c r="K27" s="154">
        <v>1.1000000000000001</v>
      </c>
    </row>
    <row r="28" spans="1:13" x14ac:dyDescent="0.2">
      <c r="A28" s="151" t="s">
        <v>112</v>
      </c>
      <c r="B28" s="152">
        <v>1.4</v>
      </c>
      <c r="C28" s="155"/>
      <c r="D28" s="154">
        <v>1.3</v>
      </c>
      <c r="E28" s="152">
        <v>1.6</v>
      </c>
      <c r="F28" s="151" t="s">
        <v>112</v>
      </c>
      <c r="G28" s="154">
        <v>1.1000000000000001</v>
      </c>
      <c r="H28" s="156"/>
      <c r="I28" s="152">
        <v>1.1000000000000001</v>
      </c>
      <c r="J28" s="154">
        <v>0.9</v>
      </c>
      <c r="K28" s="154">
        <v>1.5</v>
      </c>
    </row>
    <row r="29" spans="1:13" x14ac:dyDescent="0.2">
      <c r="A29" s="151" t="s">
        <v>113</v>
      </c>
      <c r="B29" s="152">
        <v>1.4</v>
      </c>
      <c r="C29" s="155"/>
      <c r="D29" s="154">
        <v>1.3</v>
      </c>
      <c r="E29" s="152">
        <v>1.9</v>
      </c>
      <c r="F29" s="151" t="s">
        <v>113</v>
      </c>
      <c r="G29" s="152">
        <v>1</v>
      </c>
      <c r="H29" s="156"/>
      <c r="I29" s="152">
        <v>1.1000000000000001</v>
      </c>
      <c r="J29" s="152">
        <v>0.5</v>
      </c>
      <c r="K29" s="154">
        <v>1.9</v>
      </c>
    </row>
    <row r="30" spans="1:13" x14ac:dyDescent="0.2">
      <c r="A30" s="151" t="s">
        <v>114</v>
      </c>
      <c r="B30" s="152">
        <v>1.4</v>
      </c>
      <c r="C30" s="155"/>
      <c r="D30" s="154">
        <v>1.5</v>
      </c>
      <c r="E30" s="152">
        <v>1.4</v>
      </c>
      <c r="F30" s="151" t="s">
        <v>114</v>
      </c>
      <c r="G30" s="152">
        <v>0.9</v>
      </c>
      <c r="H30" s="156"/>
      <c r="I30" s="152">
        <v>1</v>
      </c>
      <c r="J30" s="154">
        <v>0.8</v>
      </c>
      <c r="K30" s="154">
        <v>1.4</v>
      </c>
    </row>
    <row r="31" spans="1:13" x14ac:dyDescent="0.2">
      <c r="A31" s="151" t="s">
        <v>115</v>
      </c>
      <c r="B31" s="152">
        <v>1.9</v>
      </c>
      <c r="C31" s="155"/>
      <c r="D31" s="152">
        <v>2</v>
      </c>
      <c r="E31" s="152">
        <v>1.1000000000000001</v>
      </c>
      <c r="F31" s="151" t="s">
        <v>115</v>
      </c>
      <c r="G31" s="154">
        <v>1.4</v>
      </c>
      <c r="H31" s="156"/>
      <c r="I31" s="152">
        <v>1.7</v>
      </c>
      <c r="J31" s="154">
        <v>2.2000000000000002</v>
      </c>
      <c r="K31" s="154">
        <v>1.2</v>
      </c>
    </row>
    <row r="32" spans="1:13" x14ac:dyDescent="0.2">
      <c r="A32" s="151" t="s">
        <v>116</v>
      </c>
      <c r="B32" s="152">
        <v>1.3</v>
      </c>
      <c r="C32" s="155"/>
      <c r="D32" s="152">
        <v>1.3</v>
      </c>
      <c r="E32" s="152">
        <v>1.6356232952734586</v>
      </c>
      <c r="F32" s="151" t="s">
        <v>116</v>
      </c>
      <c r="G32" s="154">
        <v>1.1000000000000001</v>
      </c>
      <c r="H32" s="156"/>
      <c r="I32" s="152">
        <v>1.2</v>
      </c>
      <c r="J32" s="154">
        <v>2.2000000000000002</v>
      </c>
      <c r="K32" s="154">
        <v>1.5</v>
      </c>
      <c r="M32" t="s">
        <v>117</v>
      </c>
    </row>
    <row r="33" spans="1:13" x14ac:dyDescent="0.2">
      <c r="A33" s="151" t="s">
        <v>118</v>
      </c>
      <c r="B33" s="152">
        <v>1.5</v>
      </c>
      <c r="C33" s="155"/>
      <c r="D33" s="152">
        <v>1.6</v>
      </c>
      <c r="E33" s="152">
        <v>1</v>
      </c>
      <c r="F33" s="151" t="s">
        <v>118</v>
      </c>
      <c r="G33" s="154">
        <v>1.3</v>
      </c>
      <c r="H33" s="156"/>
      <c r="I33" s="152">
        <v>1.2</v>
      </c>
      <c r="J33" s="154">
        <v>1.6</v>
      </c>
      <c r="K33" s="152">
        <v>1</v>
      </c>
      <c r="L33">
        <v>2019</v>
      </c>
      <c r="M33" s="157">
        <v>1</v>
      </c>
    </row>
    <row r="34" spans="1:13" x14ac:dyDescent="0.2">
      <c r="A34" s="151" t="s">
        <v>119</v>
      </c>
      <c r="B34" s="152">
        <v>1.9</v>
      </c>
      <c r="C34" s="155"/>
      <c r="D34" s="152">
        <v>2.1</v>
      </c>
      <c r="E34" s="152">
        <v>1.1000000000000001</v>
      </c>
      <c r="F34" s="151" t="s">
        <v>119</v>
      </c>
      <c r="G34" s="158">
        <v>1.6</v>
      </c>
      <c r="H34" s="156"/>
      <c r="I34" s="152">
        <v>1.8</v>
      </c>
      <c r="J34" s="154">
        <v>0.5</v>
      </c>
      <c r="K34" s="152">
        <v>0.7</v>
      </c>
      <c r="L34">
        <v>2020</v>
      </c>
      <c r="M34" s="157">
        <f>+M33*(1+D34/100)</f>
        <v>1.0209999999999999</v>
      </c>
    </row>
    <row r="35" spans="1:13" x14ac:dyDescent="0.2">
      <c r="A35" s="151" t="s">
        <v>120</v>
      </c>
      <c r="B35" s="152">
        <v>1.7</v>
      </c>
      <c r="C35" s="155"/>
      <c r="D35" s="152">
        <v>1.7</v>
      </c>
      <c r="E35" s="152">
        <v>3.4</v>
      </c>
      <c r="F35" s="151" t="s">
        <v>120</v>
      </c>
      <c r="G35" s="158">
        <v>1.2</v>
      </c>
      <c r="H35" s="156"/>
      <c r="I35" s="158">
        <v>1.4</v>
      </c>
      <c r="J35" s="154">
        <v>3.9</v>
      </c>
      <c r="K35" s="152">
        <v>3</v>
      </c>
      <c r="L35">
        <v>2021</v>
      </c>
      <c r="M35" s="157">
        <f t="shared" ref="M35:M39" si="0">+M34*(1+D35/100)</f>
        <v>1.0383569999999998</v>
      </c>
    </row>
    <row r="36" spans="1:13" x14ac:dyDescent="0.2">
      <c r="A36" s="151" t="s">
        <v>121</v>
      </c>
      <c r="B36" s="152">
        <v>3.1</v>
      </c>
      <c r="C36" s="155"/>
      <c r="D36" s="152">
        <v>3.7</v>
      </c>
      <c r="E36" s="152">
        <v>8.1</v>
      </c>
      <c r="F36" s="151" t="s">
        <v>121</v>
      </c>
      <c r="G36" s="158">
        <v>3.7</v>
      </c>
      <c r="H36" s="156"/>
      <c r="I36" s="158">
        <v>3.3</v>
      </c>
      <c r="J36" s="154">
        <v>6.6</v>
      </c>
      <c r="K36" s="152">
        <v>8.6</v>
      </c>
      <c r="L36">
        <v>2022</v>
      </c>
      <c r="M36" s="157">
        <f t="shared" si="0"/>
        <v>1.0767762089999997</v>
      </c>
    </row>
    <row r="37" spans="1:13" x14ac:dyDescent="0.2">
      <c r="A37" s="151" t="s">
        <v>122</v>
      </c>
      <c r="B37" s="152">
        <v>2.7</v>
      </c>
      <c r="C37" s="155"/>
      <c r="D37" s="152">
        <v>2.8</v>
      </c>
      <c r="E37" s="152">
        <v>4.0999999999999996</v>
      </c>
      <c r="F37" s="151" t="s">
        <v>122</v>
      </c>
      <c r="G37" s="158">
        <v>3.1</v>
      </c>
      <c r="H37" s="156"/>
      <c r="I37" s="158">
        <v>2.5</v>
      </c>
      <c r="J37" s="154">
        <v>2.9</v>
      </c>
      <c r="K37" s="152">
        <v>4.3</v>
      </c>
      <c r="L37">
        <v>2023</v>
      </c>
      <c r="M37" s="157">
        <f t="shared" si="0"/>
        <v>1.1069259428519997</v>
      </c>
    </row>
    <row r="38" spans="1:13" x14ac:dyDescent="0.2">
      <c r="A38" s="151" t="s">
        <v>123</v>
      </c>
      <c r="B38" s="152">
        <v>4.0999999999999996</v>
      </c>
      <c r="C38" s="155"/>
      <c r="D38" s="152">
        <v>4.5</v>
      </c>
      <c r="E38" s="152">
        <v>3.2</v>
      </c>
      <c r="F38" s="151" t="s">
        <v>124</v>
      </c>
      <c r="G38" s="158">
        <v>3.5</v>
      </c>
      <c r="H38" s="156"/>
      <c r="I38" s="158">
        <v>3.9</v>
      </c>
      <c r="J38" s="154">
        <v>3.7</v>
      </c>
      <c r="K38" s="152">
        <v>3.2</v>
      </c>
      <c r="L38">
        <v>2024</v>
      </c>
      <c r="M38" s="157">
        <f t="shared" si="0"/>
        <v>1.1567376102803397</v>
      </c>
    </row>
    <row r="39" spans="1:13" x14ac:dyDescent="0.2">
      <c r="A39" s="151" t="s">
        <v>125</v>
      </c>
      <c r="B39" s="152">
        <v>3.7</v>
      </c>
      <c r="C39" s="155"/>
      <c r="D39" s="152">
        <v>3.9</v>
      </c>
      <c r="E39" s="152">
        <v>2.5</v>
      </c>
      <c r="F39" s="151" t="s">
        <v>126</v>
      </c>
      <c r="G39" s="158">
        <v>3.5</v>
      </c>
      <c r="H39" s="156"/>
      <c r="I39" s="158">
        <v>3.8</v>
      </c>
      <c r="J39" s="154">
        <v>3.1</v>
      </c>
      <c r="K39" s="152">
        <v>2.6</v>
      </c>
      <c r="L39">
        <v>2025</v>
      </c>
      <c r="M39" s="157">
        <f t="shared" si="0"/>
        <v>1.201850377081273</v>
      </c>
    </row>
    <row r="40" spans="1:13" x14ac:dyDescent="0.2">
      <c r="A40" s="151"/>
      <c r="B40" s="152"/>
      <c r="C40" s="152"/>
      <c r="D40" s="154"/>
      <c r="E40" s="152"/>
      <c r="F40" s="151"/>
      <c r="L40" t="s">
        <v>127</v>
      </c>
    </row>
    <row r="41" spans="1:13" x14ac:dyDescent="0.2">
      <c r="A41" s="151" t="s">
        <v>128</v>
      </c>
      <c r="F41" s="151" t="s">
        <v>129</v>
      </c>
    </row>
    <row r="42" spans="1:13" x14ac:dyDescent="0.2">
      <c r="A42" s="151" t="s">
        <v>130</v>
      </c>
    </row>
    <row r="43" spans="1:13" x14ac:dyDescent="0.2">
      <c r="A4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Bane Samlet</vt:lpstr>
      <vt:lpstr>Midttrafik </vt:lpstr>
      <vt:lpstr>NT (Bane) - køreplantimer</vt:lpstr>
      <vt:lpstr>FynBus</vt:lpstr>
      <vt:lpstr>Movia (Bane)</vt:lpstr>
      <vt:lpstr>Sydtrafi (Bane) - køreplantime</vt:lpstr>
      <vt:lpstr>BAT</vt:lpstr>
      <vt:lpstr>PL fra KL</vt:lpstr>
    </vt:vector>
  </TitlesOfParts>
  <Company>Trafikselskabet Movia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Lone Rasmussen</dc:creator>
  <cp:lastModifiedBy>Frank Sjøgreen Kyhnauv</cp:lastModifiedBy>
  <dcterms:created xsi:type="dcterms:W3CDTF">2024-01-12T12:38:59Z</dcterms:created>
  <dcterms:modified xsi:type="dcterms:W3CDTF">2025-03-03T14:29:11Z</dcterms:modified>
</cp:coreProperties>
</file>