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customProperty1.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rafik.local\DFS01\Special\CognosPlanning\Cognos Budget\Movia_Busdrift\Text Files\Budget 2025 2. beh\Indsamling af data til TID\"/>
    </mc:Choice>
  </mc:AlternateContent>
  <xr:revisionPtr revIDLastSave="0" documentId="13_ncr:1_{D7825FE4-83A5-4F88-BFC4-83C4B54846C3}" xr6:coauthVersionLast="47" xr6:coauthVersionMax="47" xr10:uidLastSave="{00000000-0000-0000-0000-000000000000}"/>
  <bookViews>
    <workbookView xWindow="-120" yWindow="-120" windowWidth="23280" windowHeight="12480" xr2:uid="{9A9EC631-2135-49FB-85D2-4B8690EE7BF5}"/>
  </bookViews>
  <sheets>
    <sheet name="Bus Samlet" sheetId="14" r:id="rId1"/>
    <sheet name="BAT" sheetId="8" r:id="rId2"/>
    <sheet name="FynBus" sheetId="9" r:id="rId3"/>
    <sheet name="Cognos_Office_Connection_Cache" sheetId="15" state="veryHidden" r:id="rId4"/>
    <sheet name="Midttrafik " sheetId="10" r:id="rId5"/>
    <sheet name="Movia" sheetId="11" r:id="rId6"/>
    <sheet name="NT" sheetId="12" r:id="rId7"/>
    <sheet name="Sydtrafik" sheetId="13" r:id="rId8"/>
    <sheet name="PL fra KL" sheetId="16" r:id="rId9"/>
  </sheets>
  <definedNames>
    <definedName name="ID" localSheetId="1" hidden="1">"9395542e-740c-4c56-881e-3ab2a3060714"</definedName>
    <definedName name="ID" localSheetId="0" hidden="1">"21e98e08-8fbc-4583-a2c7-a20e0ea18c92"</definedName>
    <definedName name="ID" localSheetId="3" hidden="1">"c0a6239f-a398-47a8-9fb6-c297b294ca95"</definedName>
    <definedName name="ID" localSheetId="2" hidden="1">"22af57ac-fa02-4b59-96df-9a7ed9bdfe26"</definedName>
    <definedName name="ID" localSheetId="4" hidden="1">"0a2dc2c0-3ed7-4033-9f53-1af91e07c9b9"</definedName>
    <definedName name="ID" localSheetId="5" hidden="1">"245982e1-40dc-4b1b-b646-103c9741beb4"</definedName>
    <definedName name="ID" localSheetId="6" hidden="1">"7741ce95-8971-4051-8094-ba948da4987d"</definedName>
    <definedName name="ID" localSheetId="8" hidden="1">"1be165ac-e527-4b7b-9b5d-98beb7a42957"</definedName>
    <definedName name="ID" localSheetId="7" hidden="1">"9d749909-7b2d-4b0f-ab15-f0a8e395ecf7"</definedName>
    <definedName name="_xlnm.Print_Area" localSheetId="0">'Bus Samlet'!$A:$V</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M7" i="13" l="1"/>
  <c r="BN7" i="13"/>
  <c r="BO7" i="13"/>
  <c r="BP7" i="13"/>
  <c r="BQ7" i="13"/>
  <c r="BR7" i="13"/>
  <c r="BS7" i="13"/>
  <c r="BM8" i="13"/>
  <c r="BN8" i="13"/>
  <c r="BO8" i="13"/>
  <c r="BP8" i="13"/>
  <c r="BQ8" i="13"/>
  <c r="BR8" i="13"/>
  <c r="BS8" i="13"/>
  <c r="BM9" i="13"/>
  <c r="BN9" i="13"/>
  <c r="BO9" i="13"/>
  <c r="BP9" i="13"/>
  <c r="BQ9" i="13"/>
  <c r="BR9" i="13"/>
  <c r="BS9" i="13"/>
  <c r="BM10" i="13"/>
  <c r="BN10" i="13"/>
  <c r="BO10" i="13"/>
  <c r="BP10" i="13"/>
  <c r="BQ10" i="13"/>
  <c r="BR10" i="13"/>
  <c r="BS10" i="13"/>
  <c r="BM11" i="13"/>
  <c r="BN11" i="13"/>
  <c r="BO11" i="13"/>
  <c r="BP11" i="13"/>
  <c r="BQ11" i="13"/>
  <c r="BR11" i="13"/>
  <c r="BS11" i="13"/>
  <c r="BM12" i="13"/>
  <c r="BN12" i="13"/>
  <c r="BO12" i="13"/>
  <c r="BP12" i="13"/>
  <c r="BQ12" i="13"/>
  <c r="BR12" i="13"/>
  <c r="BS12" i="13"/>
  <c r="BM13" i="13"/>
  <c r="BN13" i="13"/>
  <c r="BO13" i="13"/>
  <c r="BP13" i="13"/>
  <c r="BQ13" i="13"/>
  <c r="BR13" i="13"/>
  <c r="BS13" i="13"/>
  <c r="BM14" i="13"/>
  <c r="BN14" i="13"/>
  <c r="BO14" i="13"/>
  <c r="BP14" i="13"/>
  <c r="BQ14" i="13"/>
  <c r="BR14" i="13"/>
  <c r="BS14" i="13"/>
  <c r="BM15" i="13"/>
  <c r="BN15" i="13"/>
  <c r="BO15" i="13"/>
  <c r="BP15" i="13"/>
  <c r="BQ15" i="13"/>
  <c r="BR15" i="13"/>
  <c r="BS15" i="13"/>
  <c r="BM16" i="13"/>
  <c r="BN16" i="13"/>
  <c r="BO16" i="13"/>
  <c r="BP16" i="13"/>
  <c r="BQ16" i="13"/>
  <c r="BR16" i="13"/>
  <c r="BS16" i="13"/>
  <c r="BM17" i="13"/>
  <c r="BN17" i="13"/>
  <c r="BO17" i="13"/>
  <c r="BP17" i="13"/>
  <c r="BQ17" i="13"/>
  <c r="BR17" i="13"/>
  <c r="BS17" i="13"/>
  <c r="BS6" i="13"/>
  <c r="BR6" i="13"/>
  <c r="BQ6" i="13"/>
  <c r="BP6" i="13"/>
  <c r="BO6" i="13"/>
  <c r="BN6" i="13"/>
  <c r="BM6" i="13"/>
  <c r="BF7" i="13"/>
  <c r="BG7" i="13"/>
  <c r="BH7" i="13"/>
  <c r="BJ7" i="13"/>
  <c r="BK7" i="13"/>
  <c r="BL7" i="13"/>
  <c r="BF8" i="13"/>
  <c r="BG8" i="13"/>
  <c r="BH8" i="13"/>
  <c r="BJ8" i="13"/>
  <c r="BK8" i="13"/>
  <c r="BL8" i="13"/>
  <c r="BF9" i="13"/>
  <c r="BG9" i="13"/>
  <c r="BH9" i="13"/>
  <c r="BJ9" i="13"/>
  <c r="BK9" i="13"/>
  <c r="BL9" i="13"/>
  <c r="BF10" i="13"/>
  <c r="BG10" i="13"/>
  <c r="BH10" i="13"/>
  <c r="BJ10" i="13"/>
  <c r="BK10" i="13"/>
  <c r="BL10" i="13"/>
  <c r="BF11" i="13"/>
  <c r="BG11" i="13"/>
  <c r="BH11" i="13"/>
  <c r="BJ11" i="13"/>
  <c r="BK11" i="13"/>
  <c r="BL11" i="13"/>
  <c r="BF12" i="13"/>
  <c r="BG12" i="13"/>
  <c r="BH12" i="13"/>
  <c r="BJ12" i="13"/>
  <c r="BK12" i="13"/>
  <c r="BL12" i="13"/>
  <c r="BF13" i="13"/>
  <c r="BG13" i="13"/>
  <c r="BH13" i="13"/>
  <c r="BJ13" i="13"/>
  <c r="BK13" i="13"/>
  <c r="BL13" i="13"/>
  <c r="BF14" i="13"/>
  <c r="BG14" i="13"/>
  <c r="BH14" i="13"/>
  <c r="BJ14" i="13"/>
  <c r="BK14" i="13"/>
  <c r="BL14" i="13"/>
  <c r="BF15" i="13"/>
  <c r="BG15" i="13"/>
  <c r="BH15" i="13"/>
  <c r="BJ15" i="13"/>
  <c r="BK15" i="13"/>
  <c r="BL15" i="13"/>
  <c r="BF16" i="13"/>
  <c r="BG16" i="13"/>
  <c r="BH16" i="13"/>
  <c r="BJ16" i="13"/>
  <c r="BK16" i="13"/>
  <c r="BL16" i="13"/>
  <c r="BF17" i="13"/>
  <c r="BG17" i="13"/>
  <c r="BH17" i="13"/>
  <c r="BJ17" i="13"/>
  <c r="BK17" i="13"/>
  <c r="BL17" i="13"/>
  <c r="BL6" i="13"/>
  <c r="BK6" i="13"/>
  <c r="BJ6" i="13"/>
  <c r="BN18" i="12"/>
  <c r="BO18" i="12"/>
  <c r="BP18" i="12"/>
  <c r="BQ18" i="12"/>
  <c r="BR18" i="12"/>
  <c r="BS18" i="12"/>
  <c r="BM18" i="12"/>
  <c r="BM7" i="12"/>
  <c r="BN7" i="12"/>
  <c r="BO7" i="12"/>
  <c r="BP7" i="12"/>
  <c r="BQ7" i="12"/>
  <c r="BR7" i="12"/>
  <c r="BS7" i="12"/>
  <c r="BM8" i="12"/>
  <c r="BN8" i="12"/>
  <c r="BO8" i="12"/>
  <c r="BP8" i="12"/>
  <c r="BQ8" i="12"/>
  <c r="BR8" i="12"/>
  <c r="BS8" i="12"/>
  <c r="BM9" i="12"/>
  <c r="BN9" i="12"/>
  <c r="BO9" i="12"/>
  <c r="BP9" i="12"/>
  <c r="BQ9" i="12"/>
  <c r="BR9" i="12"/>
  <c r="BS9" i="12"/>
  <c r="BM10" i="12"/>
  <c r="BN10" i="12"/>
  <c r="BO10" i="12"/>
  <c r="BP10" i="12"/>
  <c r="BQ10" i="12"/>
  <c r="BR10" i="12"/>
  <c r="BS10" i="12"/>
  <c r="BM11" i="12"/>
  <c r="BN11" i="12"/>
  <c r="BO11" i="12"/>
  <c r="BP11" i="12"/>
  <c r="BQ11" i="12"/>
  <c r="BR11" i="12"/>
  <c r="BS11" i="12"/>
  <c r="BM12" i="12"/>
  <c r="BN12" i="12"/>
  <c r="BO12" i="12"/>
  <c r="BP12" i="12"/>
  <c r="BQ12" i="12"/>
  <c r="BR12" i="12"/>
  <c r="BS12" i="12"/>
  <c r="BM13" i="12"/>
  <c r="BN13" i="12"/>
  <c r="BO13" i="12"/>
  <c r="BP13" i="12"/>
  <c r="BQ13" i="12"/>
  <c r="BR13" i="12"/>
  <c r="BS13" i="12"/>
  <c r="BM14" i="12"/>
  <c r="BN14" i="12"/>
  <c r="BO14" i="12"/>
  <c r="BP14" i="12"/>
  <c r="BQ14" i="12"/>
  <c r="BR14" i="12"/>
  <c r="BS14" i="12"/>
  <c r="BM15" i="12"/>
  <c r="BN15" i="12"/>
  <c r="BO15" i="12"/>
  <c r="BP15" i="12"/>
  <c r="BQ15" i="12"/>
  <c r="BR15" i="12"/>
  <c r="BS15" i="12"/>
  <c r="BM16" i="12"/>
  <c r="BN16" i="12"/>
  <c r="BO16" i="12"/>
  <c r="BP16" i="12"/>
  <c r="BQ16" i="12"/>
  <c r="BR16" i="12"/>
  <c r="BS16" i="12"/>
  <c r="BM17" i="12"/>
  <c r="BN17" i="12"/>
  <c r="BO17" i="12"/>
  <c r="BP17" i="12"/>
  <c r="BQ17" i="12"/>
  <c r="BR17" i="12"/>
  <c r="BS17" i="12"/>
  <c r="BS6" i="12"/>
  <c r="BR6" i="12"/>
  <c r="BQ6" i="12"/>
  <c r="BP6" i="12"/>
  <c r="BO6" i="12"/>
  <c r="BN6" i="12"/>
  <c r="BM6" i="12"/>
  <c r="BF7" i="12"/>
  <c r="BG7" i="12"/>
  <c r="BH7" i="12"/>
  <c r="BI7" i="12"/>
  <c r="BJ7" i="12"/>
  <c r="BK7" i="12"/>
  <c r="BL7" i="12"/>
  <c r="BF8" i="12"/>
  <c r="BG8" i="12"/>
  <c r="BH8" i="12"/>
  <c r="BI8" i="12"/>
  <c r="BJ8" i="12"/>
  <c r="BK8" i="12"/>
  <c r="BL8" i="12"/>
  <c r="BF9" i="12"/>
  <c r="BG9" i="12"/>
  <c r="BH9" i="12"/>
  <c r="BI9" i="12"/>
  <c r="BJ9" i="12"/>
  <c r="BK9" i="12"/>
  <c r="BL9" i="12"/>
  <c r="BF10" i="12"/>
  <c r="BG10" i="12"/>
  <c r="BH10" i="12"/>
  <c r="BI10" i="12"/>
  <c r="BJ10" i="12"/>
  <c r="BK10" i="12"/>
  <c r="BL10" i="12"/>
  <c r="BF11" i="12"/>
  <c r="BG11" i="12"/>
  <c r="BH11" i="12"/>
  <c r="BI11" i="12"/>
  <c r="BJ11" i="12"/>
  <c r="BK11" i="12"/>
  <c r="BL11" i="12"/>
  <c r="BF12" i="12"/>
  <c r="BG12" i="12"/>
  <c r="BH12" i="12"/>
  <c r="BI12" i="12"/>
  <c r="BJ12" i="12"/>
  <c r="BK12" i="12"/>
  <c r="BL12" i="12"/>
  <c r="BF13" i="12"/>
  <c r="BG13" i="12"/>
  <c r="BH13" i="12"/>
  <c r="BI13" i="12"/>
  <c r="BJ13" i="12"/>
  <c r="BK13" i="12"/>
  <c r="BL13" i="12"/>
  <c r="BF14" i="12"/>
  <c r="BG14" i="12"/>
  <c r="BH14" i="12"/>
  <c r="BI14" i="12"/>
  <c r="BJ14" i="12"/>
  <c r="BK14" i="12"/>
  <c r="BL14" i="12"/>
  <c r="BF15" i="12"/>
  <c r="BG15" i="12"/>
  <c r="BH15" i="12"/>
  <c r="BI15" i="12"/>
  <c r="BJ15" i="12"/>
  <c r="BK15" i="12"/>
  <c r="BL15" i="12"/>
  <c r="BF16" i="12"/>
  <c r="BG16" i="12"/>
  <c r="BH16" i="12"/>
  <c r="BI16" i="12"/>
  <c r="BJ16" i="12"/>
  <c r="BK16" i="12"/>
  <c r="BL16" i="12"/>
  <c r="BF17" i="12"/>
  <c r="BG17" i="12"/>
  <c r="BH17" i="12"/>
  <c r="BI17" i="12"/>
  <c r="BJ17" i="12"/>
  <c r="BK17" i="12"/>
  <c r="BL17" i="12"/>
  <c r="BL6" i="12"/>
  <c r="BK6" i="12"/>
  <c r="BJ6" i="12"/>
  <c r="BI6" i="12"/>
  <c r="BH6" i="12"/>
  <c r="BG6" i="12"/>
  <c r="BF6" i="12"/>
  <c r="BM25" i="10"/>
  <c r="BN25" i="10"/>
  <c r="BO25" i="10"/>
  <c r="BP25" i="10"/>
  <c r="BQ25" i="10"/>
  <c r="BR25" i="10"/>
  <c r="BS25" i="10"/>
  <c r="BM26" i="10"/>
  <c r="BN26" i="10"/>
  <c r="BO26" i="10"/>
  <c r="BP26" i="10"/>
  <c r="BQ26" i="10"/>
  <c r="BR26" i="10"/>
  <c r="BS26" i="10"/>
  <c r="BM27" i="10"/>
  <c r="BN27" i="10"/>
  <c r="BO27" i="10"/>
  <c r="BP27" i="10"/>
  <c r="BQ27" i="10"/>
  <c r="BR27" i="10"/>
  <c r="BS27" i="10"/>
  <c r="BM28" i="10"/>
  <c r="BN28" i="10"/>
  <c r="BO28" i="10"/>
  <c r="BP28" i="10"/>
  <c r="BQ28" i="10"/>
  <c r="BR28" i="10"/>
  <c r="BS28" i="10"/>
  <c r="BM29" i="10"/>
  <c r="BN29" i="10"/>
  <c r="BO29" i="10"/>
  <c r="BP29" i="10"/>
  <c r="BQ29" i="10"/>
  <c r="BR29" i="10"/>
  <c r="BS29" i="10"/>
  <c r="BG25" i="10"/>
  <c r="BH25" i="10"/>
  <c r="BI25" i="10"/>
  <c r="BM7" i="10"/>
  <c r="BN7" i="10"/>
  <c r="BO7" i="10"/>
  <c r="BP7" i="10"/>
  <c r="BQ7" i="10"/>
  <c r="BR7" i="10"/>
  <c r="BS7" i="10"/>
  <c r="BM8" i="10"/>
  <c r="BN8" i="10"/>
  <c r="BO8" i="10"/>
  <c r="BP8" i="10"/>
  <c r="BQ8" i="10"/>
  <c r="BR8" i="10"/>
  <c r="BS8" i="10"/>
  <c r="BM9" i="10"/>
  <c r="BN9" i="10"/>
  <c r="BO9" i="10"/>
  <c r="BP9" i="10"/>
  <c r="BQ9" i="10"/>
  <c r="BR9" i="10"/>
  <c r="BS9" i="10"/>
  <c r="BM10" i="10"/>
  <c r="BN10" i="10"/>
  <c r="BO10" i="10"/>
  <c r="BP10" i="10"/>
  <c r="BQ10" i="10"/>
  <c r="BR10" i="10"/>
  <c r="BS10" i="10"/>
  <c r="BM11" i="10"/>
  <c r="BN11" i="10"/>
  <c r="BO11" i="10"/>
  <c r="BP11" i="10"/>
  <c r="BQ11" i="10"/>
  <c r="BR11" i="10"/>
  <c r="BS11" i="10"/>
  <c r="BM12" i="10"/>
  <c r="BN12" i="10"/>
  <c r="BO12" i="10"/>
  <c r="BP12" i="10"/>
  <c r="BQ12" i="10"/>
  <c r="BR12" i="10"/>
  <c r="BS12" i="10"/>
  <c r="BM13" i="10"/>
  <c r="BN13" i="10"/>
  <c r="BO13" i="10"/>
  <c r="BP13" i="10"/>
  <c r="BQ13" i="10"/>
  <c r="BR13" i="10"/>
  <c r="BS13" i="10"/>
  <c r="BM14" i="10"/>
  <c r="BN14" i="10"/>
  <c r="BO14" i="10"/>
  <c r="BP14" i="10"/>
  <c r="BQ14" i="10"/>
  <c r="BR14" i="10"/>
  <c r="BS14" i="10"/>
  <c r="BM15" i="10"/>
  <c r="BN15" i="10"/>
  <c r="BO15" i="10"/>
  <c r="BP15" i="10"/>
  <c r="BQ15" i="10"/>
  <c r="BR15" i="10"/>
  <c r="BS15" i="10"/>
  <c r="BM16" i="10"/>
  <c r="BN16" i="10"/>
  <c r="BO16" i="10"/>
  <c r="BP16" i="10"/>
  <c r="BQ16" i="10"/>
  <c r="BR16" i="10"/>
  <c r="BS16" i="10"/>
  <c r="BM17" i="10"/>
  <c r="BN17" i="10"/>
  <c r="BO17" i="10"/>
  <c r="BP17" i="10"/>
  <c r="BQ17" i="10"/>
  <c r="BR17" i="10"/>
  <c r="BS17" i="10"/>
  <c r="BM18" i="10"/>
  <c r="BN18" i="10"/>
  <c r="BO18" i="10"/>
  <c r="BP18" i="10"/>
  <c r="BQ18" i="10"/>
  <c r="BR18" i="10"/>
  <c r="BS18" i="10"/>
  <c r="BM19" i="10"/>
  <c r="BN19" i="10"/>
  <c r="BO19" i="10"/>
  <c r="BP19" i="10"/>
  <c r="BQ19" i="10"/>
  <c r="BR19" i="10"/>
  <c r="BS19" i="10"/>
  <c r="BM20" i="10"/>
  <c r="BN20" i="10"/>
  <c r="BO20" i="10"/>
  <c r="BP20" i="10"/>
  <c r="BQ20" i="10"/>
  <c r="BR20" i="10"/>
  <c r="BS20" i="10"/>
  <c r="BM21" i="10"/>
  <c r="BN21" i="10"/>
  <c r="BO21" i="10"/>
  <c r="BP21" i="10"/>
  <c r="BQ21" i="10"/>
  <c r="BR21" i="10"/>
  <c r="BS21" i="10"/>
  <c r="BM22" i="10"/>
  <c r="BN22" i="10"/>
  <c r="BO22" i="10"/>
  <c r="BP22" i="10"/>
  <c r="BQ22" i="10"/>
  <c r="BR22" i="10"/>
  <c r="BS22" i="10"/>
  <c r="BM23" i="10"/>
  <c r="BN23" i="10"/>
  <c r="BO23" i="10"/>
  <c r="BP23" i="10"/>
  <c r="BQ23" i="10"/>
  <c r="BR23" i="10"/>
  <c r="BS23" i="10"/>
  <c r="BM24" i="10"/>
  <c r="BN24" i="10"/>
  <c r="BO24" i="10"/>
  <c r="BP24" i="10"/>
  <c r="BQ24" i="10"/>
  <c r="BR24" i="10"/>
  <c r="BS24" i="10"/>
  <c r="BS6" i="10"/>
  <c r="BR6" i="10"/>
  <c r="BQ6" i="10"/>
  <c r="BP6" i="10"/>
  <c r="BO6" i="10"/>
  <c r="BN6" i="10"/>
  <c r="BM6" i="10"/>
  <c r="BF7" i="10"/>
  <c r="BG7" i="10"/>
  <c r="BH7" i="10"/>
  <c r="BI7" i="10"/>
  <c r="BJ7" i="10"/>
  <c r="BK7" i="10"/>
  <c r="BL7" i="10"/>
  <c r="BF8" i="10"/>
  <c r="BG8" i="10"/>
  <c r="BH8" i="10"/>
  <c r="BI8" i="10"/>
  <c r="BJ8" i="10"/>
  <c r="BK8" i="10"/>
  <c r="BL8" i="10"/>
  <c r="BF9" i="10"/>
  <c r="BG9" i="10"/>
  <c r="BH9" i="10"/>
  <c r="BI9" i="10"/>
  <c r="BJ9" i="10"/>
  <c r="BK9" i="10"/>
  <c r="BL9" i="10"/>
  <c r="BF10" i="10"/>
  <c r="BG10" i="10"/>
  <c r="BH10" i="10"/>
  <c r="BI10" i="10"/>
  <c r="BJ10" i="10"/>
  <c r="BK10" i="10"/>
  <c r="BL10" i="10"/>
  <c r="BF11" i="10"/>
  <c r="BG11" i="10"/>
  <c r="BH11" i="10"/>
  <c r="BI11" i="10"/>
  <c r="BJ11" i="10"/>
  <c r="BK11" i="10"/>
  <c r="BL11" i="10"/>
  <c r="BF12" i="10"/>
  <c r="BG12" i="10"/>
  <c r="BH12" i="10"/>
  <c r="BI12" i="10"/>
  <c r="BJ12" i="10"/>
  <c r="BK12" i="10"/>
  <c r="BL12" i="10"/>
  <c r="BF13" i="10"/>
  <c r="BG13" i="10"/>
  <c r="BH13" i="10"/>
  <c r="BI13" i="10"/>
  <c r="BJ13" i="10"/>
  <c r="BK13" i="10"/>
  <c r="BL13" i="10"/>
  <c r="BF14" i="10"/>
  <c r="BG14" i="10"/>
  <c r="BH14" i="10"/>
  <c r="BI14" i="10"/>
  <c r="BJ14" i="10"/>
  <c r="BK14" i="10"/>
  <c r="BL14" i="10"/>
  <c r="BF15" i="10"/>
  <c r="BG15" i="10"/>
  <c r="BH15" i="10"/>
  <c r="BI15" i="10"/>
  <c r="BJ15" i="10"/>
  <c r="BK15" i="10"/>
  <c r="BL15" i="10"/>
  <c r="BF16" i="10"/>
  <c r="BG16" i="10"/>
  <c r="BH16" i="10"/>
  <c r="BI16" i="10"/>
  <c r="BJ16" i="10"/>
  <c r="BK16" i="10"/>
  <c r="BL16" i="10"/>
  <c r="BF17" i="10"/>
  <c r="BG17" i="10"/>
  <c r="BH17" i="10"/>
  <c r="BI17" i="10"/>
  <c r="BJ17" i="10"/>
  <c r="BK17" i="10"/>
  <c r="BL17" i="10"/>
  <c r="BF18" i="10"/>
  <c r="BG18" i="10"/>
  <c r="BH18" i="10"/>
  <c r="BI18" i="10"/>
  <c r="BJ18" i="10"/>
  <c r="BK18" i="10"/>
  <c r="BL18" i="10"/>
  <c r="BF19" i="10"/>
  <c r="BG19" i="10"/>
  <c r="BH19" i="10"/>
  <c r="BI19" i="10"/>
  <c r="BJ19" i="10"/>
  <c r="BK19" i="10"/>
  <c r="BL19" i="10"/>
  <c r="BF20" i="10"/>
  <c r="BG20" i="10"/>
  <c r="BH20" i="10"/>
  <c r="BI20" i="10"/>
  <c r="BJ20" i="10"/>
  <c r="BK20" i="10"/>
  <c r="BL20" i="10"/>
  <c r="BF21" i="10"/>
  <c r="BG21" i="10"/>
  <c r="BH21" i="10"/>
  <c r="BI21" i="10"/>
  <c r="BJ21" i="10"/>
  <c r="BK21" i="10"/>
  <c r="BL21" i="10"/>
  <c r="BF22" i="10"/>
  <c r="BG22" i="10"/>
  <c r="BH22" i="10"/>
  <c r="BI22" i="10"/>
  <c r="BJ22" i="10"/>
  <c r="BK22" i="10"/>
  <c r="BL22" i="10"/>
  <c r="BF23" i="10"/>
  <c r="BG23" i="10"/>
  <c r="BH23" i="10"/>
  <c r="BI23" i="10"/>
  <c r="BJ23" i="10"/>
  <c r="BK23" i="10"/>
  <c r="BL23" i="10"/>
  <c r="BF24" i="10"/>
  <c r="BG24" i="10"/>
  <c r="BH24" i="10"/>
  <c r="BI24" i="10"/>
  <c r="BJ24" i="10"/>
  <c r="BK24" i="10"/>
  <c r="BL24" i="10"/>
  <c r="BL6" i="10"/>
  <c r="BK6" i="10"/>
  <c r="BJ6" i="10"/>
  <c r="BI6" i="10"/>
  <c r="BH6" i="10"/>
  <c r="BG6" i="10"/>
  <c r="BF6" i="10"/>
  <c r="BM8" i="9"/>
  <c r="BN8" i="9"/>
  <c r="BO8" i="9"/>
  <c r="BP8" i="9"/>
  <c r="BQ8" i="9"/>
  <c r="BR8" i="9"/>
  <c r="BS8" i="9"/>
  <c r="BM9" i="9"/>
  <c r="BN9" i="9"/>
  <c r="BO9" i="9"/>
  <c r="BP9" i="9"/>
  <c r="BQ9" i="9"/>
  <c r="BR9" i="9"/>
  <c r="BS9" i="9"/>
  <c r="BM10" i="9"/>
  <c r="BN10" i="9"/>
  <c r="BO10" i="9"/>
  <c r="BP10" i="9"/>
  <c r="BQ10" i="9"/>
  <c r="BR10" i="9"/>
  <c r="BS10" i="9"/>
  <c r="BM11" i="9"/>
  <c r="BN11" i="9"/>
  <c r="BO11" i="9"/>
  <c r="BP11" i="9"/>
  <c r="BQ11" i="9"/>
  <c r="BR11" i="9"/>
  <c r="BS11" i="9"/>
  <c r="BM12" i="9"/>
  <c r="BN12" i="9"/>
  <c r="BO12" i="9"/>
  <c r="BP12" i="9"/>
  <c r="BQ12" i="9"/>
  <c r="BR12" i="9"/>
  <c r="BS12" i="9"/>
  <c r="BM13" i="9"/>
  <c r="BN13" i="9"/>
  <c r="BO13" i="9"/>
  <c r="BP13" i="9"/>
  <c r="BQ13" i="9"/>
  <c r="BR13" i="9"/>
  <c r="BS13" i="9"/>
  <c r="BM14" i="9"/>
  <c r="BN14" i="9"/>
  <c r="BO14" i="9"/>
  <c r="BP14" i="9"/>
  <c r="BQ14" i="9"/>
  <c r="BR14" i="9"/>
  <c r="BS14" i="9"/>
  <c r="BM15" i="9"/>
  <c r="BN15" i="9"/>
  <c r="BO15" i="9"/>
  <c r="BP15" i="9"/>
  <c r="BQ15" i="9"/>
  <c r="BR15" i="9"/>
  <c r="BS15" i="9"/>
  <c r="BS7" i="9"/>
  <c r="BR7" i="9"/>
  <c r="BQ7" i="9"/>
  <c r="BP7" i="9"/>
  <c r="BO7" i="9"/>
  <c r="BN7" i="9"/>
  <c r="BM7" i="9"/>
  <c r="BS6" i="9"/>
  <c r="BR6" i="9"/>
  <c r="BQ6" i="9"/>
  <c r="BP6" i="9"/>
  <c r="BO6" i="9"/>
  <c r="BN6" i="9"/>
  <c r="BM6" i="9"/>
  <c r="BG24" i="9"/>
  <c r="BH24" i="9"/>
  <c r="BI24" i="9"/>
  <c r="BJ24" i="9"/>
  <c r="BK24" i="9"/>
  <c r="BL24" i="9"/>
  <c r="BF24" i="9"/>
  <c r="BG22" i="9"/>
  <c r="BH22" i="9"/>
  <c r="BI22" i="9"/>
  <c r="BJ22" i="9"/>
  <c r="BK22" i="9"/>
  <c r="BL22" i="9"/>
  <c r="BG23" i="9"/>
  <c r="BH23" i="9"/>
  <c r="BI23" i="9"/>
  <c r="BJ23" i="9"/>
  <c r="BK23" i="9"/>
  <c r="BL23" i="9"/>
  <c r="BF23" i="9"/>
  <c r="BF22" i="9"/>
  <c r="BG21" i="9"/>
  <c r="BH21" i="9"/>
  <c r="BI21" i="9"/>
  <c r="BJ21" i="9"/>
  <c r="BK21" i="9"/>
  <c r="BL21" i="9"/>
  <c r="BF21" i="9"/>
  <c r="BF7" i="9"/>
  <c r="BG7" i="9"/>
  <c r="BH7" i="9"/>
  <c r="BI7" i="9"/>
  <c r="BJ7" i="9"/>
  <c r="BK7" i="9"/>
  <c r="BL7" i="9"/>
  <c r="BF8" i="9"/>
  <c r="BG8" i="9"/>
  <c r="BH8" i="9"/>
  <c r="BI8" i="9"/>
  <c r="BJ8" i="9"/>
  <c r="BK8" i="9"/>
  <c r="BL8" i="9"/>
  <c r="BF9" i="9"/>
  <c r="BG9" i="9"/>
  <c r="BH9" i="9"/>
  <c r="BI9" i="9"/>
  <c r="BJ9" i="9"/>
  <c r="BK9" i="9"/>
  <c r="BL9" i="9"/>
  <c r="BF10" i="9"/>
  <c r="BG10" i="9"/>
  <c r="BH10" i="9"/>
  <c r="BI10" i="9"/>
  <c r="BJ10" i="9"/>
  <c r="BK10" i="9"/>
  <c r="BL10" i="9"/>
  <c r="BF11" i="9"/>
  <c r="BG11" i="9"/>
  <c r="BH11" i="9"/>
  <c r="BI11" i="9"/>
  <c r="BJ11" i="9"/>
  <c r="BK11" i="9"/>
  <c r="BL11" i="9"/>
  <c r="BF12" i="9"/>
  <c r="BG12" i="9"/>
  <c r="BH12" i="9"/>
  <c r="BI12" i="9"/>
  <c r="BJ12" i="9"/>
  <c r="BK12" i="9"/>
  <c r="BL12" i="9"/>
  <c r="BF13" i="9"/>
  <c r="BG13" i="9"/>
  <c r="BH13" i="9"/>
  <c r="BI13" i="9"/>
  <c r="BJ13" i="9"/>
  <c r="BK13" i="9"/>
  <c r="BL13" i="9"/>
  <c r="BF14" i="9"/>
  <c r="BG14" i="9"/>
  <c r="BH14" i="9"/>
  <c r="BI14" i="9"/>
  <c r="BJ14" i="9"/>
  <c r="BK14" i="9"/>
  <c r="BL14" i="9"/>
  <c r="BF15" i="9"/>
  <c r="BG15" i="9"/>
  <c r="BH15" i="9"/>
  <c r="BI15" i="9"/>
  <c r="BJ15" i="9"/>
  <c r="BK15" i="9"/>
  <c r="BL15" i="9"/>
  <c r="BL6" i="9"/>
  <c r="BK6" i="9"/>
  <c r="BJ6" i="9"/>
  <c r="BI6" i="9"/>
  <c r="BH6" i="9"/>
  <c r="BG6" i="9"/>
  <c r="BF6" i="9"/>
  <c r="BS6" i="8"/>
  <c r="BR6" i="8"/>
  <c r="BQ6" i="8"/>
  <c r="BP6" i="8"/>
  <c r="BO6" i="8"/>
  <c r="BN6" i="8"/>
  <c r="BM6" i="8"/>
  <c r="BL6" i="8"/>
  <c r="BK6" i="8"/>
  <c r="BJ6" i="8"/>
  <c r="BI6" i="8"/>
  <c r="BF6" i="8"/>
  <c r="BL53" i="11" l="1"/>
  <c r="BK53" i="11"/>
  <c r="BJ53" i="11"/>
  <c r="BI53" i="11"/>
  <c r="BH53" i="11"/>
  <c r="BG53" i="11"/>
  <c r="BF53" i="11"/>
  <c r="BO11" i="11" l="1"/>
  <c r="BO13" i="11"/>
  <c r="BO15" i="11"/>
  <c r="BO16" i="11"/>
  <c r="BO17" i="11"/>
  <c r="BO18" i="11"/>
  <c r="BO24" i="11"/>
  <c r="BO26" i="11"/>
  <c r="BO28" i="11"/>
  <c r="BO29" i="11"/>
  <c r="BO30" i="11"/>
  <c r="BO35" i="11"/>
  <c r="BO37" i="11"/>
  <c r="BO39" i="11"/>
  <c r="BO41" i="11"/>
  <c r="BO42" i="11"/>
  <c r="BO48" i="11"/>
  <c r="BO50" i="11"/>
  <c r="BO52" i="11"/>
  <c r="BO6" i="11"/>
  <c r="BP12" i="11"/>
  <c r="BP13" i="11"/>
  <c r="BP14" i="11"/>
  <c r="BP17" i="11"/>
  <c r="BP18" i="11"/>
  <c r="BP24" i="11"/>
  <c r="BP25" i="11"/>
  <c r="BP26" i="11"/>
  <c r="BP29" i="11"/>
  <c r="BP30" i="11"/>
  <c r="BP36" i="11"/>
  <c r="BP37" i="11"/>
  <c r="BP38" i="11"/>
  <c r="BP41" i="11"/>
  <c r="BP42" i="11"/>
  <c r="BP48" i="11"/>
  <c r="BP49" i="11"/>
  <c r="BP50" i="11"/>
  <c r="BP6" i="11"/>
  <c r="BM7" i="11"/>
  <c r="BN7" i="11"/>
  <c r="BO7" i="11"/>
  <c r="BP7" i="11"/>
  <c r="BQ7" i="11"/>
  <c r="BR7" i="11"/>
  <c r="BS7" i="11"/>
  <c r="BM8" i="11"/>
  <c r="BN8" i="11"/>
  <c r="BO8" i="11"/>
  <c r="BP8" i="11"/>
  <c r="BQ8" i="11"/>
  <c r="BR8" i="11"/>
  <c r="BS8" i="11"/>
  <c r="BM9" i="11"/>
  <c r="BN9" i="11"/>
  <c r="BO9" i="11"/>
  <c r="BP9" i="11"/>
  <c r="BQ9" i="11"/>
  <c r="BR9" i="11"/>
  <c r="BS9" i="11"/>
  <c r="BM10" i="11"/>
  <c r="BN10" i="11"/>
  <c r="BO10" i="11"/>
  <c r="BP10" i="11"/>
  <c r="BQ10" i="11"/>
  <c r="BR10" i="11"/>
  <c r="BS10" i="11"/>
  <c r="BM11" i="11"/>
  <c r="BN11" i="11"/>
  <c r="BP11" i="11"/>
  <c r="BQ11" i="11"/>
  <c r="BR11" i="11"/>
  <c r="BS11" i="11"/>
  <c r="BM12" i="11"/>
  <c r="BN12" i="11"/>
  <c r="BO12" i="11"/>
  <c r="BQ12" i="11"/>
  <c r="BR12" i="11"/>
  <c r="BS12" i="11"/>
  <c r="BM13" i="11"/>
  <c r="BN13" i="11"/>
  <c r="BQ13" i="11"/>
  <c r="BR13" i="11"/>
  <c r="BS13" i="11"/>
  <c r="BM14" i="11"/>
  <c r="BN14" i="11"/>
  <c r="BO14" i="11"/>
  <c r="BQ14" i="11"/>
  <c r="BR14" i="11"/>
  <c r="BS14" i="11"/>
  <c r="BM15" i="11"/>
  <c r="BN15" i="11"/>
  <c r="BP15" i="11"/>
  <c r="BQ15" i="11"/>
  <c r="BR15" i="11"/>
  <c r="BS15" i="11"/>
  <c r="BM16" i="11"/>
  <c r="BN16" i="11"/>
  <c r="BP16" i="11"/>
  <c r="BQ16" i="11"/>
  <c r="BR16" i="11"/>
  <c r="BS16" i="11"/>
  <c r="BM17" i="11"/>
  <c r="BN17" i="11"/>
  <c r="BQ17" i="11"/>
  <c r="BR17" i="11"/>
  <c r="BS17" i="11"/>
  <c r="BM18" i="11"/>
  <c r="BN18" i="11"/>
  <c r="BQ18" i="11"/>
  <c r="BR18" i="11"/>
  <c r="BS18" i="11"/>
  <c r="BM19" i="11"/>
  <c r="BN19" i="11"/>
  <c r="BO19" i="11"/>
  <c r="BP19" i="11"/>
  <c r="BQ19" i="11"/>
  <c r="BR19" i="11"/>
  <c r="BS19" i="11"/>
  <c r="BM20" i="11"/>
  <c r="BN20" i="11"/>
  <c r="BO20" i="11"/>
  <c r="BP20" i="11"/>
  <c r="BQ20" i="11"/>
  <c r="BR20" i="11"/>
  <c r="BS20" i="11"/>
  <c r="BM21" i="11"/>
  <c r="BN21" i="11"/>
  <c r="BO21" i="11"/>
  <c r="BP21" i="11"/>
  <c r="BQ21" i="11"/>
  <c r="BR21" i="11"/>
  <c r="BS21" i="11"/>
  <c r="BM22" i="11"/>
  <c r="BN22" i="11"/>
  <c r="BO22" i="11"/>
  <c r="BP22" i="11"/>
  <c r="BQ22" i="11"/>
  <c r="BR22" i="11"/>
  <c r="BS22" i="11"/>
  <c r="BM23" i="11"/>
  <c r="BN23" i="11"/>
  <c r="BO23" i="11"/>
  <c r="BP23" i="11"/>
  <c r="BQ23" i="11"/>
  <c r="BR23" i="11"/>
  <c r="BS23" i="11"/>
  <c r="BM24" i="11"/>
  <c r="BN24" i="11"/>
  <c r="BQ24" i="11"/>
  <c r="BR24" i="11"/>
  <c r="BS24" i="11"/>
  <c r="BM25" i="11"/>
  <c r="BN25" i="11"/>
  <c r="BO25" i="11"/>
  <c r="BQ25" i="11"/>
  <c r="BR25" i="11"/>
  <c r="BS25" i="11"/>
  <c r="BM26" i="11"/>
  <c r="BN26" i="11"/>
  <c r="BQ26" i="11"/>
  <c r="BR26" i="11"/>
  <c r="BS26" i="11"/>
  <c r="BM27" i="11"/>
  <c r="BN27" i="11"/>
  <c r="BO27" i="11"/>
  <c r="BP27" i="11"/>
  <c r="BQ27" i="11"/>
  <c r="BR27" i="11"/>
  <c r="BS27" i="11"/>
  <c r="BM28" i="11"/>
  <c r="BN28" i="11"/>
  <c r="BP28" i="11"/>
  <c r="BQ28" i="11"/>
  <c r="BR28" i="11"/>
  <c r="BS28" i="11"/>
  <c r="BM29" i="11"/>
  <c r="BN29" i="11"/>
  <c r="BQ29" i="11"/>
  <c r="BR29" i="11"/>
  <c r="BS29" i="11"/>
  <c r="BM30" i="11"/>
  <c r="BN30" i="11"/>
  <c r="BQ30" i="11"/>
  <c r="BR30" i="11"/>
  <c r="BS30" i="11"/>
  <c r="BM31" i="11"/>
  <c r="BN31" i="11"/>
  <c r="BO31" i="11"/>
  <c r="BP31" i="11"/>
  <c r="BQ31" i="11"/>
  <c r="BR31" i="11"/>
  <c r="BS31" i="11"/>
  <c r="BM32" i="11"/>
  <c r="BN32" i="11"/>
  <c r="BO32" i="11"/>
  <c r="BP32" i="11"/>
  <c r="BQ32" i="11"/>
  <c r="BR32" i="11"/>
  <c r="BS32" i="11"/>
  <c r="BM33" i="11"/>
  <c r="BN33" i="11"/>
  <c r="BO33" i="11"/>
  <c r="BP33" i="11"/>
  <c r="BQ33" i="11"/>
  <c r="BR33" i="11"/>
  <c r="BS33" i="11"/>
  <c r="BM34" i="11"/>
  <c r="BN34" i="11"/>
  <c r="BO34" i="11"/>
  <c r="BP34" i="11"/>
  <c r="BQ34" i="11"/>
  <c r="BR34" i="11"/>
  <c r="BS34" i="11"/>
  <c r="BM35" i="11"/>
  <c r="BN35" i="11"/>
  <c r="BP35" i="11"/>
  <c r="BQ35" i="11"/>
  <c r="BR35" i="11"/>
  <c r="BS35" i="11"/>
  <c r="BM36" i="11"/>
  <c r="BN36" i="11"/>
  <c r="BO36" i="11"/>
  <c r="BQ36" i="11"/>
  <c r="BR36" i="11"/>
  <c r="BS36" i="11"/>
  <c r="BM37" i="11"/>
  <c r="BN37" i="11"/>
  <c r="BQ37" i="11"/>
  <c r="BR37" i="11"/>
  <c r="BS37" i="11"/>
  <c r="BM38" i="11"/>
  <c r="BN38" i="11"/>
  <c r="BO38" i="11"/>
  <c r="BQ38" i="11"/>
  <c r="BR38" i="11"/>
  <c r="BS38" i="11"/>
  <c r="BM39" i="11"/>
  <c r="BN39" i="11"/>
  <c r="BP39" i="11"/>
  <c r="BQ39" i="11"/>
  <c r="BR39" i="11"/>
  <c r="BS39" i="11"/>
  <c r="BM40" i="11"/>
  <c r="BN40" i="11"/>
  <c r="BO40" i="11"/>
  <c r="BP40" i="11"/>
  <c r="BQ40" i="11"/>
  <c r="BR40" i="11"/>
  <c r="BS40" i="11"/>
  <c r="BM41" i="11"/>
  <c r="BN41" i="11"/>
  <c r="BQ41" i="11"/>
  <c r="BR41" i="11"/>
  <c r="BS41" i="11"/>
  <c r="BM42" i="11"/>
  <c r="BN42" i="11"/>
  <c r="BQ42" i="11"/>
  <c r="BR42" i="11"/>
  <c r="BS42" i="11"/>
  <c r="BM43" i="11"/>
  <c r="BN43" i="11"/>
  <c r="BO43" i="11"/>
  <c r="BP43" i="11"/>
  <c r="BQ43" i="11"/>
  <c r="BR43" i="11"/>
  <c r="BS43" i="11"/>
  <c r="BM44" i="11"/>
  <c r="BN44" i="11"/>
  <c r="BO44" i="11"/>
  <c r="BP44" i="11"/>
  <c r="BQ44" i="11"/>
  <c r="BR44" i="11"/>
  <c r="BS44" i="11"/>
  <c r="BM45" i="11"/>
  <c r="BN45" i="11"/>
  <c r="BO45" i="11"/>
  <c r="BP45" i="11"/>
  <c r="BQ45" i="11"/>
  <c r="BR45" i="11"/>
  <c r="BS45" i="11"/>
  <c r="BM46" i="11"/>
  <c r="BN46" i="11"/>
  <c r="BO46" i="11"/>
  <c r="BP46" i="11"/>
  <c r="BQ46" i="11"/>
  <c r="BR46" i="11"/>
  <c r="BS46" i="11"/>
  <c r="BM47" i="11"/>
  <c r="BN47" i="11"/>
  <c r="BO47" i="11"/>
  <c r="BP47" i="11"/>
  <c r="BQ47" i="11"/>
  <c r="BR47" i="11"/>
  <c r="BS47" i="11"/>
  <c r="BM48" i="11"/>
  <c r="BN48" i="11"/>
  <c r="BQ48" i="11"/>
  <c r="BR48" i="11"/>
  <c r="BS48" i="11"/>
  <c r="BM49" i="11"/>
  <c r="BN49" i="11"/>
  <c r="BO49" i="11"/>
  <c r="BQ49" i="11"/>
  <c r="BR49" i="11"/>
  <c r="BS49" i="11"/>
  <c r="BM50" i="11"/>
  <c r="BN50" i="11"/>
  <c r="BQ50" i="11"/>
  <c r="BR50" i="11"/>
  <c r="BS50" i="11"/>
  <c r="BM51" i="11"/>
  <c r="BN51" i="11"/>
  <c r="BO51" i="11"/>
  <c r="BP51" i="11"/>
  <c r="BQ51" i="11"/>
  <c r="BR51" i="11"/>
  <c r="BS51" i="11"/>
  <c r="BM52" i="11"/>
  <c r="BN52" i="11"/>
  <c r="BP52" i="11"/>
  <c r="BQ52" i="11"/>
  <c r="BR52" i="11"/>
  <c r="BS52" i="11"/>
  <c r="BN6" i="11"/>
  <c r="BQ6" i="11"/>
  <c r="BR6" i="11"/>
  <c r="BS6" i="11"/>
  <c r="BM6" i="11"/>
  <c r="BF7" i="11"/>
  <c r="BG7" i="11"/>
  <c r="BH7" i="11"/>
  <c r="BI7" i="11"/>
  <c r="BJ7" i="11"/>
  <c r="BK7" i="11"/>
  <c r="BL7" i="11"/>
  <c r="BF8" i="11"/>
  <c r="BG8" i="11"/>
  <c r="BH8" i="11"/>
  <c r="BI8" i="11"/>
  <c r="BJ8" i="11"/>
  <c r="BK8" i="11"/>
  <c r="BL8" i="11"/>
  <c r="BF9" i="11"/>
  <c r="BG9" i="11"/>
  <c r="BH9" i="11"/>
  <c r="BI9" i="11"/>
  <c r="BJ9" i="11"/>
  <c r="BK9" i="11"/>
  <c r="BL9" i="11"/>
  <c r="BF10" i="11"/>
  <c r="BG10" i="11"/>
  <c r="BH10" i="11"/>
  <c r="BI10" i="11"/>
  <c r="BJ10" i="11"/>
  <c r="BK10" i="11"/>
  <c r="BL10" i="11"/>
  <c r="BF11" i="11"/>
  <c r="BG11" i="11"/>
  <c r="BH11" i="11"/>
  <c r="BI11" i="11"/>
  <c r="BJ11" i="11"/>
  <c r="BK11" i="11"/>
  <c r="BL11" i="11"/>
  <c r="BF12" i="11"/>
  <c r="BG12" i="11"/>
  <c r="BH12" i="11"/>
  <c r="BI12" i="11"/>
  <c r="BJ12" i="11"/>
  <c r="BK12" i="11"/>
  <c r="BL12" i="11"/>
  <c r="BF13" i="11"/>
  <c r="BG13" i="11"/>
  <c r="BH13" i="11"/>
  <c r="BI13" i="11"/>
  <c r="BJ13" i="11"/>
  <c r="BK13" i="11"/>
  <c r="BL13" i="11"/>
  <c r="BF14" i="11"/>
  <c r="BG14" i="11"/>
  <c r="BH14" i="11"/>
  <c r="BI14" i="11"/>
  <c r="BJ14" i="11"/>
  <c r="BK14" i="11"/>
  <c r="BL14" i="11"/>
  <c r="BF15" i="11"/>
  <c r="BG15" i="11"/>
  <c r="BH15" i="11"/>
  <c r="BI15" i="11"/>
  <c r="BJ15" i="11"/>
  <c r="BK15" i="11"/>
  <c r="BL15" i="11"/>
  <c r="BF16" i="11"/>
  <c r="BG16" i="11"/>
  <c r="BH16" i="11"/>
  <c r="BI16" i="11"/>
  <c r="BJ16" i="11"/>
  <c r="BK16" i="11"/>
  <c r="BL16" i="11"/>
  <c r="BF17" i="11"/>
  <c r="BG17" i="11"/>
  <c r="BH17" i="11"/>
  <c r="BI17" i="11"/>
  <c r="BJ17" i="11"/>
  <c r="BK17" i="11"/>
  <c r="BL17" i="11"/>
  <c r="BF18" i="11"/>
  <c r="BG18" i="11"/>
  <c r="BH18" i="11"/>
  <c r="BI18" i="11"/>
  <c r="BJ18" i="11"/>
  <c r="BK18" i="11"/>
  <c r="BL18" i="11"/>
  <c r="BF19" i="11"/>
  <c r="BG19" i="11"/>
  <c r="BH19" i="11"/>
  <c r="BI19" i="11"/>
  <c r="BJ19" i="11"/>
  <c r="BK19" i="11"/>
  <c r="BL19" i="11"/>
  <c r="BF20" i="11"/>
  <c r="BG20" i="11"/>
  <c r="BH20" i="11"/>
  <c r="BI20" i="11"/>
  <c r="BJ20" i="11"/>
  <c r="BK20" i="11"/>
  <c r="BL20" i="11"/>
  <c r="BF21" i="11"/>
  <c r="BG21" i="11"/>
  <c r="BH21" i="11"/>
  <c r="BI21" i="11"/>
  <c r="BJ21" i="11"/>
  <c r="BK21" i="11"/>
  <c r="BL21" i="11"/>
  <c r="BF22" i="11"/>
  <c r="BG22" i="11"/>
  <c r="BH22" i="11"/>
  <c r="BI22" i="11"/>
  <c r="BJ22" i="11"/>
  <c r="BK22" i="11"/>
  <c r="BL22" i="11"/>
  <c r="BF23" i="11"/>
  <c r="BG23" i="11"/>
  <c r="BH23" i="11"/>
  <c r="BI23" i="11"/>
  <c r="BJ23" i="11"/>
  <c r="BK23" i="11"/>
  <c r="BL23" i="11"/>
  <c r="BF24" i="11"/>
  <c r="BG24" i="11"/>
  <c r="BH24" i="11"/>
  <c r="BI24" i="11"/>
  <c r="BJ24" i="11"/>
  <c r="BK24" i="11"/>
  <c r="BL24" i="11"/>
  <c r="BF25" i="11"/>
  <c r="BG25" i="11"/>
  <c r="BH25" i="11"/>
  <c r="BI25" i="11"/>
  <c r="BJ25" i="11"/>
  <c r="BK25" i="11"/>
  <c r="BL25" i="11"/>
  <c r="BF26" i="11"/>
  <c r="BG26" i="11"/>
  <c r="BH26" i="11"/>
  <c r="BI26" i="11"/>
  <c r="BJ26" i="11"/>
  <c r="BK26" i="11"/>
  <c r="BL26" i="11"/>
  <c r="BF27" i="11"/>
  <c r="BG27" i="11"/>
  <c r="BH27" i="11"/>
  <c r="BI27" i="11"/>
  <c r="BJ27" i="11"/>
  <c r="BK27" i="11"/>
  <c r="BL27" i="11"/>
  <c r="BF28" i="11"/>
  <c r="BG28" i="11"/>
  <c r="BH28" i="11"/>
  <c r="BI28" i="11"/>
  <c r="BJ28" i="11"/>
  <c r="BK28" i="11"/>
  <c r="BL28" i="11"/>
  <c r="BF29" i="11"/>
  <c r="BG29" i="11"/>
  <c r="BH29" i="11"/>
  <c r="BI29" i="11"/>
  <c r="BJ29" i="11"/>
  <c r="BK29" i="11"/>
  <c r="BL29" i="11"/>
  <c r="BF30" i="11"/>
  <c r="BG30" i="11"/>
  <c r="BH30" i="11"/>
  <c r="BI30" i="11"/>
  <c r="BJ30" i="11"/>
  <c r="BK30" i="11"/>
  <c r="BL30" i="11"/>
  <c r="BF31" i="11"/>
  <c r="BG31" i="11"/>
  <c r="BH31" i="11"/>
  <c r="BI31" i="11"/>
  <c r="BJ31" i="11"/>
  <c r="BK31" i="11"/>
  <c r="BL31" i="11"/>
  <c r="BF32" i="11"/>
  <c r="BG32" i="11"/>
  <c r="BH32" i="11"/>
  <c r="BI32" i="11"/>
  <c r="BJ32" i="11"/>
  <c r="BK32" i="11"/>
  <c r="BL32" i="11"/>
  <c r="BF33" i="11"/>
  <c r="BG33" i="11"/>
  <c r="BH33" i="11"/>
  <c r="BI33" i="11"/>
  <c r="BJ33" i="11"/>
  <c r="BK33" i="11"/>
  <c r="BL33" i="11"/>
  <c r="BF34" i="11"/>
  <c r="BG34" i="11"/>
  <c r="BH34" i="11"/>
  <c r="BI34" i="11"/>
  <c r="BJ34" i="11"/>
  <c r="BK34" i="11"/>
  <c r="BL34" i="11"/>
  <c r="BF35" i="11"/>
  <c r="BG35" i="11"/>
  <c r="BH35" i="11"/>
  <c r="BI35" i="11"/>
  <c r="BJ35" i="11"/>
  <c r="BK35" i="11"/>
  <c r="BL35" i="11"/>
  <c r="BF36" i="11"/>
  <c r="BG36" i="11"/>
  <c r="BH36" i="11"/>
  <c r="BI36" i="11"/>
  <c r="BJ36" i="11"/>
  <c r="BK36" i="11"/>
  <c r="BL36" i="11"/>
  <c r="BF37" i="11"/>
  <c r="BG37" i="11"/>
  <c r="BH37" i="11"/>
  <c r="BI37" i="11"/>
  <c r="BJ37" i="11"/>
  <c r="BK37" i="11"/>
  <c r="BL37" i="11"/>
  <c r="BF38" i="11"/>
  <c r="BG38" i="11"/>
  <c r="BH38" i="11"/>
  <c r="BI38" i="11"/>
  <c r="BJ38" i="11"/>
  <c r="BK38" i="11"/>
  <c r="BL38" i="11"/>
  <c r="BF39" i="11"/>
  <c r="BG39" i="11"/>
  <c r="BH39" i="11"/>
  <c r="BI39" i="11"/>
  <c r="BJ39" i="11"/>
  <c r="BK39" i="11"/>
  <c r="BL39" i="11"/>
  <c r="BF40" i="11"/>
  <c r="BG40" i="11"/>
  <c r="BH40" i="11"/>
  <c r="BI40" i="11"/>
  <c r="BJ40" i="11"/>
  <c r="BK40" i="11"/>
  <c r="BL40" i="11"/>
  <c r="BF41" i="11"/>
  <c r="BG41" i="11"/>
  <c r="BH41" i="11"/>
  <c r="BI41" i="11"/>
  <c r="BJ41" i="11"/>
  <c r="BK41" i="11"/>
  <c r="BL41" i="11"/>
  <c r="BF42" i="11"/>
  <c r="BG42" i="11"/>
  <c r="BH42" i="11"/>
  <c r="BI42" i="11"/>
  <c r="BJ42" i="11"/>
  <c r="BK42" i="11"/>
  <c r="BL42" i="11"/>
  <c r="BF43" i="11"/>
  <c r="BG43" i="11"/>
  <c r="BH43" i="11"/>
  <c r="BI43" i="11"/>
  <c r="BJ43" i="11"/>
  <c r="BK43" i="11"/>
  <c r="BL43" i="11"/>
  <c r="BF44" i="11"/>
  <c r="BG44" i="11"/>
  <c r="BH44" i="11"/>
  <c r="BI44" i="11"/>
  <c r="BJ44" i="11"/>
  <c r="BK44" i="11"/>
  <c r="BL44" i="11"/>
  <c r="BF45" i="11"/>
  <c r="BG45" i="11"/>
  <c r="BH45" i="11"/>
  <c r="BI45" i="11"/>
  <c r="BJ45" i="11"/>
  <c r="BK45" i="11"/>
  <c r="BL45" i="11"/>
  <c r="BF46" i="11"/>
  <c r="BG46" i="11"/>
  <c r="BH46" i="11"/>
  <c r="BI46" i="11"/>
  <c r="BJ46" i="11"/>
  <c r="BK46" i="11"/>
  <c r="BL46" i="11"/>
  <c r="BF47" i="11"/>
  <c r="BG47" i="11"/>
  <c r="BH47" i="11"/>
  <c r="BI47" i="11"/>
  <c r="BJ47" i="11"/>
  <c r="BK47" i="11"/>
  <c r="BL47" i="11"/>
  <c r="BF48" i="11"/>
  <c r="BG48" i="11"/>
  <c r="BH48" i="11"/>
  <c r="BI48" i="11"/>
  <c r="BJ48" i="11"/>
  <c r="BK48" i="11"/>
  <c r="BL48" i="11"/>
  <c r="BF49" i="11"/>
  <c r="BG49" i="11"/>
  <c r="BH49" i="11"/>
  <c r="BI49" i="11"/>
  <c r="BJ49" i="11"/>
  <c r="BK49" i="11"/>
  <c r="BL49" i="11"/>
  <c r="BF50" i="11"/>
  <c r="BG50" i="11"/>
  <c r="BH50" i="11"/>
  <c r="BI50" i="11"/>
  <c r="BJ50" i="11"/>
  <c r="BK50" i="11"/>
  <c r="BL50" i="11"/>
  <c r="BF51" i="11"/>
  <c r="BG51" i="11"/>
  <c r="BH51" i="11"/>
  <c r="BI51" i="11"/>
  <c r="BJ51" i="11"/>
  <c r="BK51" i="11"/>
  <c r="BL51" i="11"/>
  <c r="BF52" i="11"/>
  <c r="BG52" i="11"/>
  <c r="BH52" i="11"/>
  <c r="BI52" i="11"/>
  <c r="BJ52" i="11"/>
  <c r="BK52" i="11"/>
  <c r="BL52" i="11"/>
  <c r="BG6" i="11"/>
  <c r="BH6" i="11"/>
  <c r="BI6" i="11"/>
  <c r="BJ6" i="11"/>
  <c r="BK6" i="11"/>
  <c r="BL6" i="11"/>
  <c r="BF6" i="11"/>
  <c r="AJ15" i="14" l="1"/>
  <c r="BZ15" i="14" s="1"/>
  <c r="AI15" i="14"/>
  <c r="BY15" i="14" s="1"/>
  <c r="AH15" i="14"/>
  <c r="AG15" i="14"/>
  <c r="AF15" i="14"/>
  <c r="AE15" i="14"/>
  <c r="BU15" i="14" s="1"/>
  <c r="AD15" i="14"/>
  <c r="BT15" i="14" s="1"/>
  <c r="M35" i="16"/>
  <c r="M36" i="16" s="1"/>
  <c r="M37" i="16" s="1"/>
  <c r="M38" i="16" s="1"/>
  <c r="M39" i="16" s="1"/>
  <c r="M34" i="16"/>
  <c r="AO15" i="14" l="1"/>
  <c r="BX15" i="14"/>
  <c r="AN15" i="14"/>
  <c r="BW15" i="14"/>
  <c r="AM15" i="14"/>
  <c r="BV15" i="14"/>
  <c r="AL15" i="14"/>
  <c r="AP15" i="14"/>
  <c r="AK15" i="14"/>
  <c r="AQ15" i="14"/>
  <c r="BG26" i="9" l="1"/>
  <c r="BH26" i="9"/>
  <c r="BI26" i="9"/>
  <c r="BJ26" i="9"/>
  <c r="BK26" i="9"/>
  <c r="BL26" i="9"/>
  <c r="BF26" i="9"/>
  <c r="AF16" i="9" l="1"/>
  <c r="V26" i="10" l="1"/>
  <c r="V8" i="14" s="1"/>
  <c r="V22" i="14" s="1"/>
  <c r="H53" i="11"/>
  <c r="V29" i="10" l="1"/>
  <c r="AQ18" i="13" l="1"/>
  <c r="AC7" i="8" l="1"/>
  <c r="AC6" i="14" s="1"/>
  <c r="AC20" i="14" s="1"/>
  <c r="W7" i="8"/>
  <c r="AA7" i="8"/>
  <c r="BZ8" i="14"/>
  <c r="BZ22" i="14" s="1"/>
  <c r="AQ11" i="14"/>
  <c r="AQ25" i="14" s="1"/>
  <c r="V10" i="14"/>
  <c r="V24" i="14" s="1"/>
  <c r="H9" i="14"/>
  <c r="H23" i="14" s="1"/>
  <c r="BZ18" i="13"/>
  <c r="BZ11" i="14" s="1"/>
  <c r="BZ25" i="14" s="1"/>
  <c r="BL32" i="14"/>
  <c r="AX6" i="13"/>
  <c r="AX7" i="13"/>
  <c r="AX8" i="13"/>
  <c r="AX9" i="13"/>
  <c r="AX10" i="13"/>
  <c r="AX11" i="13"/>
  <c r="AX12" i="13"/>
  <c r="AX13" i="13"/>
  <c r="AX14" i="13"/>
  <c r="AX15" i="13"/>
  <c r="AX16" i="13"/>
  <c r="AX17" i="13"/>
  <c r="AJ18" i="13"/>
  <c r="AC6" i="13"/>
  <c r="AC7" i="13"/>
  <c r="AC8" i="13"/>
  <c r="AC9" i="13"/>
  <c r="AC10" i="13"/>
  <c r="AC11" i="13"/>
  <c r="AC12" i="13"/>
  <c r="AC13" i="13"/>
  <c r="AC14" i="13"/>
  <c r="AC15" i="13"/>
  <c r="AC16" i="13"/>
  <c r="AC17" i="13"/>
  <c r="V18" i="13"/>
  <c r="O6" i="13"/>
  <c r="O7" i="13"/>
  <c r="O8" i="13"/>
  <c r="O9" i="13"/>
  <c r="O10" i="13"/>
  <c r="O11" i="13"/>
  <c r="O12" i="13"/>
  <c r="O13" i="13"/>
  <c r="O14" i="13"/>
  <c r="O15" i="13"/>
  <c r="O16" i="13"/>
  <c r="O17" i="13"/>
  <c r="H18" i="13"/>
  <c r="AX18" i="13" s="1"/>
  <c r="AX11" i="14" s="1"/>
  <c r="BZ18" i="12"/>
  <c r="BZ10" i="14" s="1"/>
  <c r="BZ24" i="14" s="1"/>
  <c r="BL31" i="14"/>
  <c r="AX6" i="12"/>
  <c r="AX7" i="12"/>
  <c r="AX8" i="12"/>
  <c r="AX9" i="12"/>
  <c r="AX10" i="12"/>
  <c r="AX11" i="12"/>
  <c r="AX12" i="12"/>
  <c r="AX13" i="12"/>
  <c r="AX14" i="12"/>
  <c r="AX15" i="12"/>
  <c r="AX16" i="12"/>
  <c r="AX17" i="12"/>
  <c r="AQ18" i="12"/>
  <c r="AQ10" i="14" s="1"/>
  <c r="AQ24" i="14" s="1"/>
  <c r="AJ18" i="12"/>
  <c r="BL18" i="12" s="1"/>
  <c r="H18" i="12"/>
  <c r="H10" i="14" s="1"/>
  <c r="H24" i="14" s="1"/>
  <c r="O6" i="12"/>
  <c r="O7" i="12"/>
  <c r="O8" i="12"/>
  <c r="O9" i="12"/>
  <c r="O10" i="12"/>
  <c r="O11" i="12"/>
  <c r="O12" i="12"/>
  <c r="O13" i="12"/>
  <c r="O14" i="12"/>
  <c r="O15" i="12"/>
  <c r="O16" i="12"/>
  <c r="O17" i="12"/>
  <c r="BL28" i="14"/>
  <c r="BL25" i="10"/>
  <c r="BL27" i="10"/>
  <c r="BL28" i="10"/>
  <c r="AX6" i="10"/>
  <c r="AX7" i="10"/>
  <c r="AX8" i="10"/>
  <c r="AX9" i="10"/>
  <c r="AX10" i="10"/>
  <c r="AX11" i="10"/>
  <c r="AX12" i="10"/>
  <c r="AX13" i="10"/>
  <c r="AX14" i="10"/>
  <c r="AX15" i="10"/>
  <c r="AX16" i="10"/>
  <c r="AX17" i="10"/>
  <c r="AX18" i="10"/>
  <c r="AX19" i="10"/>
  <c r="AX20" i="10"/>
  <c r="AX21" i="10"/>
  <c r="AX22" i="10"/>
  <c r="AX23" i="10"/>
  <c r="AX24" i="10"/>
  <c r="AX25" i="10"/>
  <c r="AX27" i="10"/>
  <c r="AX28" i="10"/>
  <c r="AQ26" i="10"/>
  <c r="AQ29" i="10" s="1"/>
  <c r="AJ26" i="10"/>
  <c r="AC6" i="10"/>
  <c r="AC7" i="10"/>
  <c r="AC8" i="10"/>
  <c r="AC9" i="10"/>
  <c r="AC10" i="10"/>
  <c r="AC11" i="10"/>
  <c r="AC12" i="10"/>
  <c r="AC13" i="10"/>
  <c r="AC14" i="10"/>
  <c r="AC15" i="10"/>
  <c r="AC16" i="10"/>
  <c r="AC17" i="10"/>
  <c r="AC18" i="10"/>
  <c r="AC19" i="10"/>
  <c r="AC20" i="10"/>
  <c r="AC21" i="10"/>
  <c r="AC22" i="10"/>
  <c r="AC23" i="10"/>
  <c r="AC24" i="10"/>
  <c r="AC25" i="10"/>
  <c r="AC27" i="10"/>
  <c r="AC28" i="10"/>
  <c r="H26" i="10"/>
  <c r="H29" i="10" s="1"/>
  <c r="O6" i="10"/>
  <c r="O7" i="10"/>
  <c r="O8" i="10"/>
  <c r="O9" i="10"/>
  <c r="O10" i="10"/>
  <c r="O11" i="10"/>
  <c r="O12" i="10"/>
  <c r="O13" i="10"/>
  <c r="O14" i="10"/>
  <c r="O15" i="10"/>
  <c r="O16" i="10"/>
  <c r="O17" i="10"/>
  <c r="O18" i="10"/>
  <c r="O19" i="10"/>
  <c r="O20" i="10"/>
  <c r="O21" i="10"/>
  <c r="O22" i="10"/>
  <c r="O23" i="10"/>
  <c r="O24" i="10"/>
  <c r="O27" i="10"/>
  <c r="O28" i="10"/>
  <c r="BZ16" i="9"/>
  <c r="BZ7" i="14" s="1"/>
  <c r="BZ21" i="14" s="1"/>
  <c r="AX6" i="9"/>
  <c r="AX7" i="9"/>
  <c r="AX8" i="9"/>
  <c r="AX9" i="9"/>
  <c r="AX10" i="9"/>
  <c r="AX11" i="9"/>
  <c r="AX12" i="9"/>
  <c r="AX13" i="9"/>
  <c r="AX14" i="9"/>
  <c r="AX15" i="9"/>
  <c r="AQ16" i="9"/>
  <c r="AQ7" i="14" s="1"/>
  <c r="AQ21" i="14" s="1"/>
  <c r="AJ16" i="9"/>
  <c r="BL16" i="9" s="1"/>
  <c r="AC6" i="9"/>
  <c r="AC7" i="9"/>
  <c r="AC8" i="9"/>
  <c r="AC9" i="9"/>
  <c r="AC10" i="9"/>
  <c r="AC11" i="9"/>
  <c r="AC12" i="9"/>
  <c r="AC13" i="9"/>
  <c r="AC14" i="9"/>
  <c r="AC15" i="9"/>
  <c r="V16" i="9"/>
  <c r="V7" i="14" s="1"/>
  <c r="V21" i="14" s="1"/>
  <c r="H16" i="9"/>
  <c r="H7" i="14" s="1"/>
  <c r="H21" i="14" s="1"/>
  <c r="O6" i="9"/>
  <c r="O7" i="9"/>
  <c r="O8" i="9"/>
  <c r="O9" i="9"/>
  <c r="O10" i="9"/>
  <c r="O11" i="9"/>
  <c r="O12" i="9"/>
  <c r="O13" i="9"/>
  <c r="O14" i="9"/>
  <c r="O15" i="9"/>
  <c r="BZ7" i="8"/>
  <c r="BZ6" i="14" s="1"/>
  <c r="BZ20" i="14" s="1"/>
  <c r="H7" i="8"/>
  <c r="H6" i="14" s="1"/>
  <c r="H20" i="14" s="1"/>
  <c r="V7" i="8"/>
  <c r="V6" i="14" s="1"/>
  <c r="V20" i="14" s="1"/>
  <c r="AJ11" i="14" l="1"/>
  <c r="AJ25" i="14" s="1"/>
  <c r="BL18" i="13"/>
  <c r="BS25" i="14"/>
  <c r="V11" i="14"/>
  <c r="V25" i="14" s="1"/>
  <c r="AJ29" i="10"/>
  <c r="BL26" i="10"/>
  <c r="BL7" i="14"/>
  <c r="BL25" i="14"/>
  <c r="AX21" i="14"/>
  <c r="AX24" i="14"/>
  <c r="BS16" i="9"/>
  <c r="BS7" i="14" s="1"/>
  <c r="AJ7" i="14"/>
  <c r="AJ21" i="14" s="1"/>
  <c r="BL21" i="14" s="1"/>
  <c r="BS8" i="14"/>
  <c r="AQ8" i="14"/>
  <c r="AQ22" i="14" s="1"/>
  <c r="AJ8" i="14"/>
  <c r="AJ22" i="14" s="1"/>
  <c r="H8" i="14"/>
  <c r="H22" i="14" s="1"/>
  <c r="BL10" i="14"/>
  <c r="AJ10" i="14"/>
  <c r="AJ24" i="14" s="1"/>
  <c r="BL24" i="14" s="1"/>
  <c r="H11" i="14"/>
  <c r="H25" i="14" s="1"/>
  <c r="BS18" i="13"/>
  <c r="BS11" i="14" s="1"/>
  <c r="AB7" i="8"/>
  <c r="BS7" i="8"/>
  <c r="BS6" i="14" s="1"/>
  <c r="AJ7" i="8"/>
  <c r="AQ7" i="8"/>
  <c r="AQ6" i="14" s="1"/>
  <c r="AQ20" i="14" s="1"/>
  <c r="AX6" i="8"/>
  <c r="BL11" i="14"/>
  <c r="AX18" i="12"/>
  <c r="AX10" i="14" s="1"/>
  <c r="BL29" i="10"/>
  <c r="BL8" i="14"/>
  <c r="AX29" i="10"/>
  <c r="AX26" i="10"/>
  <c r="AX8" i="14" s="1"/>
  <c r="BR16" i="9"/>
  <c r="BN16" i="9"/>
  <c r="BO16" i="9"/>
  <c r="BM16" i="9"/>
  <c r="BP16" i="9"/>
  <c r="BQ16" i="9"/>
  <c r="AX16" i="9"/>
  <c r="AX7" i="14" s="1"/>
  <c r="AX7" i="8"/>
  <c r="AX6" i="14" s="1"/>
  <c r="BZ53" i="11"/>
  <c r="BZ9" i="14" s="1"/>
  <c r="AQ53" i="11"/>
  <c r="AQ9" i="14" s="1"/>
  <c r="AQ23" i="14" s="1"/>
  <c r="BL29" i="14"/>
  <c r="BL30" i="14"/>
  <c r="AX6" i="11"/>
  <c r="AX7" i="11"/>
  <c r="AX8" i="11"/>
  <c r="AX9" i="11"/>
  <c r="AX10" i="11"/>
  <c r="AX11" i="11"/>
  <c r="AX12" i="11"/>
  <c r="AX13" i="11"/>
  <c r="AX14" i="11"/>
  <c r="AX15" i="11"/>
  <c r="AX16" i="11"/>
  <c r="AX17" i="11"/>
  <c r="AX18" i="11"/>
  <c r="AX19" i="11"/>
  <c r="AX20" i="11"/>
  <c r="AX21" i="11"/>
  <c r="AX22" i="11"/>
  <c r="AX23" i="11"/>
  <c r="AX24" i="11"/>
  <c r="AX25" i="11"/>
  <c r="AX26" i="11"/>
  <c r="AX27" i="11"/>
  <c r="AX28" i="11"/>
  <c r="AX29" i="11"/>
  <c r="AX30" i="11"/>
  <c r="AX31" i="11"/>
  <c r="AX32" i="11"/>
  <c r="AX33" i="11"/>
  <c r="AX34" i="11"/>
  <c r="AX35" i="11"/>
  <c r="AX36" i="11"/>
  <c r="AX37" i="11"/>
  <c r="AX38" i="11"/>
  <c r="AX39" i="11"/>
  <c r="AX40" i="11"/>
  <c r="AX41" i="11"/>
  <c r="AX42" i="11"/>
  <c r="AX43" i="11"/>
  <c r="AX44" i="11"/>
  <c r="AX45" i="11"/>
  <c r="AX46" i="11"/>
  <c r="AX47" i="11"/>
  <c r="AX48" i="11"/>
  <c r="AX49" i="11"/>
  <c r="AX50" i="11"/>
  <c r="AX51" i="11"/>
  <c r="AX52" i="11"/>
  <c r="AJ53" i="11"/>
  <c r="AJ9" i="14" s="1"/>
  <c r="AJ23" i="14" s="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C31" i="11"/>
  <c r="AC32" i="11"/>
  <c r="AC33" i="11"/>
  <c r="AC34" i="11"/>
  <c r="AC35" i="11"/>
  <c r="AC36" i="11"/>
  <c r="AC37" i="11"/>
  <c r="AC38" i="11"/>
  <c r="AC39" i="11"/>
  <c r="AC40" i="11"/>
  <c r="AC41" i="11"/>
  <c r="AC42" i="11"/>
  <c r="AC43" i="11"/>
  <c r="AC44" i="11"/>
  <c r="AC45" i="11"/>
  <c r="AC46" i="11"/>
  <c r="AC47" i="11"/>
  <c r="AC48" i="11"/>
  <c r="AC49" i="11"/>
  <c r="AC50" i="11"/>
  <c r="AC51" i="11"/>
  <c r="AC52" i="11"/>
  <c r="V53" i="11"/>
  <c r="V9" i="14" s="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N17" i="13"/>
  <c r="M17" i="13"/>
  <c r="L17" i="13"/>
  <c r="K17" i="13"/>
  <c r="J17" i="13"/>
  <c r="I17" i="13"/>
  <c r="N16" i="13"/>
  <c r="M16" i="13"/>
  <c r="L16" i="13"/>
  <c r="K16" i="13"/>
  <c r="J16" i="13"/>
  <c r="I16" i="13"/>
  <c r="N15" i="13"/>
  <c r="M15" i="13"/>
  <c r="L15" i="13"/>
  <c r="K15" i="13"/>
  <c r="J15" i="13"/>
  <c r="I15" i="13"/>
  <c r="N14" i="13"/>
  <c r="M14" i="13"/>
  <c r="L14" i="13"/>
  <c r="K14" i="13"/>
  <c r="J14" i="13"/>
  <c r="I14" i="13"/>
  <c r="N13" i="13"/>
  <c r="M13" i="13"/>
  <c r="L13" i="13"/>
  <c r="K13" i="13"/>
  <c r="J13" i="13"/>
  <c r="I13" i="13"/>
  <c r="N12" i="13"/>
  <c r="M12" i="13"/>
  <c r="L12" i="13"/>
  <c r="K12" i="13"/>
  <c r="J12" i="13"/>
  <c r="I12" i="13"/>
  <c r="N11" i="13"/>
  <c r="M11" i="13"/>
  <c r="L11" i="13"/>
  <c r="K11" i="13"/>
  <c r="J11" i="13"/>
  <c r="I11" i="13"/>
  <c r="N10" i="13"/>
  <c r="M10" i="13"/>
  <c r="L10" i="13"/>
  <c r="K10" i="13"/>
  <c r="J10" i="13"/>
  <c r="I10" i="13"/>
  <c r="N9" i="13"/>
  <c r="M9" i="13"/>
  <c r="L9" i="13"/>
  <c r="K9" i="13"/>
  <c r="J9" i="13"/>
  <c r="I9" i="13"/>
  <c r="N8" i="13"/>
  <c r="M8" i="13"/>
  <c r="L8" i="13"/>
  <c r="K8" i="13"/>
  <c r="J8" i="13"/>
  <c r="I8" i="13"/>
  <c r="N7" i="13"/>
  <c r="M7" i="13"/>
  <c r="L7" i="13"/>
  <c r="K7" i="13"/>
  <c r="J7" i="13"/>
  <c r="I7" i="13"/>
  <c r="N17" i="12"/>
  <c r="M17" i="12"/>
  <c r="L17" i="12"/>
  <c r="K17" i="12"/>
  <c r="J17" i="12"/>
  <c r="I17" i="12"/>
  <c r="N16" i="12"/>
  <c r="M16" i="12"/>
  <c r="L16" i="12"/>
  <c r="K16" i="12"/>
  <c r="J16" i="12"/>
  <c r="I16" i="12"/>
  <c r="N15" i="12"/>
  <c r="M15" i="12"/>
  <c r="L15" i="12"/>
  <c r="K15" i="12"/>
  <c r="J15" i="12"/>
  <c r="I15" i="12"/>
  <c r="N14" i="12"/>
  <c r="M14" i="12"/>
  <c r="L14" i="12"/>
  <c r="K14" i="12"/>
  <c r="J14" i="12"/>
  <c r="I14" i="12"/>
  <c r="N13" i="12"/>
  <c r="M13" i="12"/>
  <c r="L13" i="12"/>
  <c r="K13" i="12"/>
  <c r="J13" i="12"/>
  <c r="I13" i="12"/>
  <c r="N12" i="12"/>
  <c r="M12" i="12"/>
  <c r="L12" i="12"/>
  <c r="K12" i="12"/>
  <c r="J12" i="12"/>
  <c r="I12" i="12"/>
  <c r="N11" i="12"/>
  <c r="M11" i="12"/>
  <c r="L11" i="12"/>
  <c r="K11" i="12"/>
  <c r="J11" i="12"/>
  <c r="I11" i="12"/>
  <c r="N10" i="12"/>
  <c r="M10" i="12"/>
  <c r="L10" i="12"/>
  <c r="K10" i="12"/>
  <c r="J10" i="12"/>
  <c r="I10" i="12"/>
  <c r="N9" i="12"/>
  <c r="M9" i="12"/>
  <c r="L9" i="12"/>
  <c r="K9" i="12"/>
  <c r="J9" i="12"/>
  <c r="I9" i="12"/>
  <c r="N8" i="12"/>
  <c r="M8" i="12"/>
  <c r="L8" i="12"/>
  <c r="K8" i="12"/>
  <c r="J8" i="12"/>
  <c r="I8" i="12"/>
  <c r="N7" i="12"/>
  <c r="M7" i="12"/>
  <c r="L7" i="12"/>
  <c r="K7" i="12"/>
  <c r="J7" i="12"/>
  <c r="I7" i="12"/>
  <c r="N52" i="11"/>
  <c r="M52" i="11"/>
  <c r="L52" i="11"/>
  <c r="K52" i="11"/>
  <c r="J52" i="11"/>
  <c r="I52" i="11"/>
  <c r="N51" i="11"/>
  <c r="M51" i="11"/>
  <c r="L51" i="11"/>
  <c r="K51" i="11"/>
  <c r="J51" i="11"/>
  <c r="I51" i="11"/>
  <c r="N50" i="11"/>
  <c r="M50" i="11"/>
  <c r="L50" i="11"/>
  <c r="K50" i="11"/>
  <c r="J50" i="11"/>
  <c r="I50" i="11"/>
  <c r="N49" i="11"/>
  <c r="M49" i="11"/>
  <c r="L49" i="11"/>
  <c r="K49" i="11"/>
  <c r="J49" i="11"/>
  <c r="I49" i="11"/>
  <c r="N48" i="11"/>
  <c r="M48" i="11"/>
  <c r="L48" i="11"/>
  <c r="K48" i="11"/>
  <c r="J48" i="11"/>
  <c r="I48" i="11"/>
  <c r="N47" i="11"/>
  <c r="M47" i="11"/>
  <c r="L47" i="11"/>
  <c r="K47" i="11"/>
  <c r="J47" i="11"/>
  <c r="I47" i="11"/>
  <c r="N46" i="11"/>
  <c r="M46" i="11"/>
  <c r="L46" i="11"/>
  <c r="K46" i="11"/>
  <c r="J46" i="11"/>
  <c r="I46" i="11"/>
  <c r="N45" i="11"/>
  <c r="M45" i="11"/>
  <c r="L45" i="11"/>
  <c r="K45" i="11"/>
  <c r="J45" i="11"/>
  <c r="I45" i="11"/>
  <c r="N44" i="11"/>
  <c r="M44" i="11"/>
  <c r="L44" i="11"/>
  <c r="K44" i="11"/>
  <c r="J44" i="11"/>
  <c r="I44" i="11"/>
  <c r="N43" i="11"/>
  <c r="M43" i="11"/>
  <c r="L43" i="11"/>
  <c r="K43" i="11"/>
  <c r="J43" i="11"/>
  <c r="I43" i="11"/>
  <c r="N42" i="11"/>
  <c r="M42" i="11"/>
  <c r="L42" i="11"/>
  <c r="K42" i="11"/>
  <c r="J42" i="11"/>
  <c r="I42" i="11"/>
  <c r="N41" i="11"/>
  <c r="M41" i="11"/>
  <c r="L41" i="11"/>
  <c r="K41" i="11"/>
  <c r="J41" i="11"/>
  <c r="I41" i="11"/>
  <c r="N40" i="11"/>
  <c r="M40" i="11"/>
  <c r="L40" i="11"/>
  <c r="K40" i="11"/>
  <c r="J40" i="11"/>
  <c r="I40" i="11"/>
  <c r="N39" i="11"/>
  <c r="M39" i="11"/>
  <c r="L39" i="11"/>
  <c r="K39" i="11"/>
  <c r="J39" i="11"/>
  <c r="I39" i="11"/>
  <c r="N38" i="11"/>
  <c r="M38" i="11"/>
  <c r="L38" i="11"/>
  <c r="K38" i="11"/>
  <c r="J38" i="11"/>
  <c r="I38" i="11"/>
  <c r="N37" i="11"/>
  <c r="M37" i="11"/>
  <c r="L37" i="11"/>
  <c r="K37" i="11"/>
  <c r="J37" i="11"/>
  <c r="I37" i="11"/>
  <c r="N36" i="11"/>
  <c r="M36" i="11"/>
  <c r="L36" i="11"/>
  <c r="K36" i="11"/>
  <c r="J36" i="11"/>
  <c r="I36" i="11"/>
  <c r="N35" i="11"/>
  <c r="M35" i="11"/>
  <c r="L35" i="11"/>
  <c r="K35" i="11"/>
  <c r="J35" i="11"/>
  <c r="I35" i="11"/>
  <c r="N34" i="11"/>
  <c r="M34" i="11"/>
  <c r="L34" i="11"/>
  <c r="K34" i="11"/>
  <c r="J34" i="11"/>
  <c r="I34" i="11"/>
  <c r="N33" i="11"/>
  <c r="M33" i="11"/>
  <c r="L33" i="11"/>
  <c r="K33" i="11"/>
  <c r="J33" i="11"/>
  <c r="I33" i="11"/>
  <c r="N32" i="11"/>
  <c r="M32" i="11"/>
  <c r="L32" i="11"/>
  <c r="K32" i="11"/>
  <c r="J32" i="11"/>
  <c r="I32" i="11"/>
  <c r="N31" i="11"/>
  <c r="M31" i="11"/>
  <c r="L31" i="11"/>
  <c r="K31" i="11"/>
  <c r="J31" i="11"/>
  <c r="I31" i="11"/>
  <c r="N30" i="11"/>
  <c r="M30" i="11"/>
  <c r="L30" i="11"/>
  <c r="K30" i="11"/>
  <c r="J30" i="11"/>
  <c r="I30" i="11"/>
  <c r="N29" i="11"/>
  <c r="M29" i="11"/>
  <c r="L29" i="11"/>
  <c r="K29" i="11"/>
  <c r="J29" i="11"/>
  <c r="I29" i="11"/>
  <c r="N28" i="11"/>
  <c r="M28" i="11"/>
  <c r="L28" i="11"/>
  <c r="K28" i="11"/>
  <c r="J28" i="11"/>
  <c r="I28" i="11"/>
  <c r="N27" i="11"/>
  <c r="M27" i="11"/>
  <c r="L27" i="11"/>
  <c r="K27" i="11"/>
  <c r="J27" i="11"/>
  <c r="I27" i="11"/>
  <c r="N26" i="11"/>
  <c r="M26" i="11"/>
  <c r="L26" i="11"/>
  <c r="K26" i="11"/>
  <c r="J26" i="11"/>
  <c r="I26" i="11"/>
  <c r="N25" i="11"/>
  <c r="M25" i="11"/>
  <c r="L25" i="11"/>
  <c r="K25" i="11"/>
  <c r="J25" i="11"/>
  <c r="I25" i="11"/>
  <c r="N24" i="11"/>
  <c r="M24" i="11"/>
  <c r="L24" i="11"/>
  <c r="K24" i="11"/>
  <c r="J24" i="11"/>
  <c r="I24" i="11"/>
  <c r="N23" i="11"/>
  <c r="M23" i="11"/>
  <c r="L23" i="11"/>
  <c r="K23" i="11"/>
  <c r="J23" i="11"/>
  <c r="I23" i="11"/>
  <c r="N22" i="11"/>
  <c r="M22" i="11"/>
  <c r="L22" i="11"/>
  <c r="K22" i="11"/>
  <c r="J22" i="11"/>
  <c r="I22" i="11"/>
  <c r="N21" i="11"/>
  <c r="M21" i="11"/>
  <c r="L21" i="11"/>
  <c r="K21" i="11"/>
  <c r="J21" i="11"/>
  <c r="I21" i="11"/>
  <c r="N20" i="11"/>
  <c r="M20" i="11"/>
  <c r="L20" i="11"/>
  <c r="K20" i="11"/>
  <c r="J20" i="11"/>
  <c r="I20" i="11"/>
  <c r="N19" i="11"/>
  <c r="M19" i="11"/>
  <c r="L19" i="11"/>
  <c r="K19" i="11"/>
  <c r="J19" i="11"/>
  <c r="I19" i="11"/>
  <c r="N18" i="11"/>
  <c r="M18" i="11"/>
  <c r="L18" i="11"/>
  <c r="K18" i="11"/>
  <c r="J18" i="11"/>
  <c r="I18" i="11"/>
  <c r="N17" i="11"/>
  <c r="M17" i="11"/>
  <c r="L17" i="11"/>
  <c r="K17" i="11"/>
  <c r="J17" i="11"/>
  <c r="I17" i="11"/>
  <c r="N16" i="11"/>
  <c r="M16" i="11"/>
  <c r="L16" i="11"/>
  <c r="K16" i="11"/>
  <c r="J16" i="11"/>
  <c r="I16" i="11"/>
  <c r="N15" i="11"/>
  <c r="M15" i="11"/>
  <c r="L15" i="11"/>
  <c r="K15" i="11"/>
  <c r="J15" i="11"/>
  <c r="I15" i="11"/>
  <c r="N14" i="11"/>
  <c r="M14" i="11"/>
  <c r="L14" i="11"/>
  <c r="K14" i="11"/>
  <c r="J14" i="11"/>
  <c r="I14" i="11"/>
  <c r="N13" i="11"/>
  <c r="M13" i="11"/>
  <c r="L13" i="11"/>
  <c r="K13" i="11"/>
  <c r="J13" i="11"/>
  <c r="I13" i="11"/>
  <c r="N12" i="11"/>
  <c r="M12" i="11"/>
  <c r="L12" i="11"/>
  <c r="K12" i="11"/>
  <c r="J12" i="11"/>
  <c r="I12" i="11"/>
  <c r="N11" i="11"/>
  <c r="M11" i="11"/>
  <c r="L11" i="11"/>
  <c r="K11" i="11"/>
  <c r="J11" i="11"/>
  <c r="I11" i="11"/>
  <c r="N10" i="11"/>
  <c r="M10" i="11"/>
  <c r="L10" i="11"/>
  <c r="K10" i="11"/>
  <c r="J10" i="11"/>
  <c r="I10" i="11"/>
  <c r="N9" i="11"/>
  <c r="M9" i="11"/>
  <c r="L9" i="11"/>
  <c r="K9" i="11"/>
  <c r="J9" i="11"/>
  <c r="I9" i="11"/>
  <c r="N8" i="11"/>
  <c r="M8" i="11"/>
  <c r="L8" i="11"/>
  <c r="K8" i="11"/>
  <c r="J8" i="11"/>
  <c r="I8" i="11"/>
  <c r="N7" i="11"/>
  <c r="M7" i="11"/>
  <c r="L7" i="11"/>
  <c r="K7" i="11"/>
  <c r="J7" i="11"/>
  <c r="I7" i="11"/>
  <c r="N28" i="10"/>
  <c r="M28" i="10"/>
  <c r="L28" i="10"/>
  <c r="K28" i="10"/>
  <c r="J28" i="10"/>
  <c r="I28" i="10"/>
  <c r="N27" i="10"/>
  <c r="M27" i="10"/>
  <c r="L27" i="10"/>
  <c r="K27" i="10"/>
  <c r="J27" i="10"/>
  <c r="I27" i="10"/>
  <c r="N24" i="10"/>
  <c r="M24" i="10"/>
  <c r="L24" i="10"/>
  <c r="K24" i="10"/>
  <c r="J24" i="10"/>
  <c r="I24" i="10"/>
  <c r="N23" i="10"/>
  <c r="M23" i="10"/>
  <c r="L23" i="10"/>
  <c r="K23" i="10"/>
  <c r="J23" i="10"/>
  <c r="I23" i="10"/>
  <c r="N22" i="10"/>
  <c r="M22" i="10"/>
  <c r="L22" i="10"/>
  <c r="K22" i="10"/>
  <c r="J22" i="10"/>
  <c r="I22" i="10"/>
  <c r="N21" i="10"/>
  <c r="M21" i="10"/>
  <c r="L21" i="10"/>
  <c r="K21" i="10"/>
  <c r="J21" i="10"/>
  <c r="I21" i="10"/>
  <c r="N20" i="10"/>
  <c r="M20" i="10"/>
  <c r="L20" i="10"/>
  <c r="K20" i="10"/>
  <c r="J20" i="10"/>
  <c r="I20" i="10"/>
  <c r="N19" i="10"/>
  <c r="M19" i="10"/>
  <c r="L19" i="10"/>
  <c r="K19" i="10"/>
  <c r="J19" i="10"/>
  <c r="I19" i="10"/>
  <c r="N18" i="10"/>
  <c r="M18" i="10"/>
  <c r="L18" i="10"/>
  <c r="K18" i="10"/>
  <c r="J18" i="10"/>
  <c r="I18" i="10"/>
  <c r="N17" i="10"/>
  <c r="M17" i="10"/>
  <c r="L17" i="10"/>
  <c r="K17" i="10"/>
  <c r="J17" i="10"/>
  <c r="I17" i="10"/>
  <c r="N16" i="10"/>
  <c r="M16" i="10"/>
  <c r="L16" i="10"/>
  <c r="K16" i="10"/>
  <c r="J16" i="10"/>
  <c r="I16" i="10"/>
  <c r="N15" i="10"/>
  <c r="M15" i="10"/>
  <c r="L15" i="10"/>
  <c r="K15" i="10"/>
  <c r="J15" i="10"/>
  <c r="I15" i="10"/>
  <c r="N14" i="10"/>
  <c r="M14" i="10"/>
  <c r="L14" i="10"/>
  <c r="K14" i="10"/>
  <c r="J14" i="10"/>
  <c r="I14" i="10"/>
  <c r="N13" i="10"/>
  <c r="M13" i="10"/>
  <c r="L13" i="10"/>
  <c r="K13" i="10"/>
  <c r="J13" i="10"/>
  <c r="I13" i="10"/>
  <c r="N12" i="10"/>
  <c r="M12" i="10"/>
  <c r="L12" i="10"/>
  <c r="K12" i="10"/>
  <c r="J12" i="10"/>
  <c r="I12" i="10"/>
  <c r="N11" i="10"/>
  <c r="M11" i="10"/>
  <c r="L11" i="10"/>
  <c r="K11" i="10"/>
  <c r="J11" i="10"/>
  <c r="I11" i="10"/>
  <c r="N10" i="10"/>
  <c r="M10" i="10"/>
  <c r="L10" i="10"/>
  <c r="K10" i="10"/>
  <c r="J10" i="10"/>
  <c r="I10" i="10"/>
  <c r="N9" i="10"/>
  <c r="M9" i="10"/>
  <c r="L9" i="10"/>
  <c r="K9" i="10"/>
  <c r="J9" i="10"/>
  <c r="I9" i="10"/>
  <c r="N8" i="10"/>
  <c r="M8" i="10"/>
  <c r="L8" i="10"/>
  <c r="K8" i="10"/>
  <c r="J8" i="10"/>
  <c r="I8" i="10"/>
  <c r="N7" i="10"/>
  <c r="M7" i="10"/>
  <c r="L7" i="10"/>
  <c r="K7" i="10"/>
  <c r="J7" i="10"/>
  <c r="I7" i="10"/>
  <c r="N15" i="9"/>
  <c r="M15" i="9"/>
  <c r="L15" i="9"/>
  <c r="K15" i="9"/>
  <c r="J15" i="9"/>
  <c r="I15" i="9"/>
  <c r="N14" i="9"/>
  <c r="M14" i="9"/>
  <c r="L14" i="9"/>
  <c r="K14" i="9"/>
  <c r="J14" i="9"/>
  <c r="I14" i="9"/>
  <c r="N13" i="9"/>
  <c r="M13" i="9"/>
  <c r="L13" i="9"/>
  <c r="K13" i="9"/>
  <c r="J13" i="9"/>
  <c r="I13" i="9"/>
  <c r="N12" i="9"/>
  <c r="M12" i="9"/>
  <c r="L12" i="9"/>
  <c r="K12" i="9"/>
  <c r="J12" i="9"/>
  <c r="I12" i="9"/>
  <c r="N11" i="9"/>
  <c r="M11" i="9"/>
  <c r="L11" i="9"/>
  <c r="K11" i="9"/>
  <c r="J11" i="9"/>
  <c r="I11" i="9"/>
  <c r="N10" i="9"/>
  <c r="M10" i="9"/>
  <c r="L10" i="9"/>
  <c r="K10" i="9"/>
  <c r="J10" i="9"/>
  <c r="I10" i="9"/>
  <c r="N9" i="9"/>
  <c r="M9" i="9"/>
  <c r="L9" i="9"/>
  <c r="K9" i="9"/>
  <c r="J9" i="9"/>
  <c r="I9" i="9"/>
  <c r="N8" i="9"/>
  <c r="M8" i="9"/>
  <c r="L8" i="9"/>
  <c r="K8" i="9"/>
  <c r="J8" i="9"/>
  <c r="I8" i="9"/>
  <c r="N7" i="9"/>
  <c r="M7" i="9"/>
  <c r="L7" i="9"/>
  <c r="K7" i="9"/>
  <c r="J7" i="9"/>
  <c r="I7" i="9"/>
  <c r="N6" i="9"/>
  <c r="M6" i="9"/>
  <c r="L6" i="9"/>
  <c r="K6" i="9"/>
  <c r="J6" i="9"/>
  <c r="N6" i="10"/>
  <c r="M6" i="10"/>
  <c r="L6" i="10"/>
  <c r="K6" i="10"/>
  <c r="J6" i="10"/>
  <c r="N6" i="11"/>
  <c r="M6" i="11"/>
  <c r="L6" i="11"/>
  <c r="K6" i="11"/>
  <c r="J6" i="11"/>
  <c r="N6" i="12"/>
  <c r="M6" i="12"/>
  <c r="L6" i="12"/>
  <c r="K6" i="12"/>
  <c r="J6" i="12"/>
  <c r="N6" i="13"/>
  <c r="M6" i="13"/>
  <c r="L6" i="13"/>
  <c r="K6" i="13"/>
  <c r="J6" i="13"/>
  <c r="I6" i="9"/>
  <c r="I6" i="10"/>
  <c r="I6" i="11"/>
  <c r="I6" i="12"/>
  <c r="I6" i="13"/>
  <c r="Z10" i="14"/>
  <c r="Z24" i="14" s="1"/>
  <c r="Y10" i="14"/>
  <c r="Y24" i="14" s="1"/>
  <c r="X10" i="14"/>
  <c r="X24" i="14" s="1"/>
  <c r="W10" i="14"/>
  <c r="W24" i="14" s="1"/>
  <c r="U10" i="14"/>
  <c r="U24" i="14" s="1"/>
  <c r="T10" i="14"/>
  <c r="T24" i="14" s="1"/>
  <c r="S10" i="14"/>
  <c r="S24" i="14" s="1"/>
  <c r="R10" i="14"/>
  <c r="R24" i="14" s="1"/>
  <c r="Q10" i="14"/>
  <c r="Q24" i="14" s="1"/>
  <c r="P10" i="14"/>
  <c r="P24" i="14" s="1"/>
  <c r="S18" i="13"/>
  <c r="S11" i="14" s="1"/>
  <c r="S25" i="14" s="1"/>
  <c r="AG6" i="13"/>
  <c r="BJ32" i="14"/>
  <c r="BK32" i="14"/>
  <c r="AK6" i="13"/>
  <c r="BF6" i="13" s="1"/>
  <c r="BF32" i="14" s="1"/>
  <c r="AL6" i="13"/>
  <c r="BG6" i="13" s="1"/>
  <c r="BG32" i="14" s="1"/>
  <c r="AM6" i="13"/>
  <c r="BH6" i="13" s="1"/>
  <c r="BH32" i="14" s="1"/>
  <c r="AN6" i="13"/>
  <c r="AO18" i="13"/>
  <c r="AO11" i="14" s="1"/>
  <c r="AO25" i="14" s="1"/>
  <c r="AP18" i="13"/>
  <c r="AP11" i="14" s="1"/>
  <c r="AP25" i="14" s="1"/>
  <c r="W6" i="13"/>
  <c r="X6" i="13"/>
  <c r="Y6" i="13"/>
  <c r="Z6" i="13"/>
  <c r="AA6" i="13"/>
  <c r="AB6" i="13"/>
  <c r="AG7" i="13"/>
  <c r="BI7" i="13" s="1"/>
  <c r="W7" i="13"/>
  <c r="X7" i="13"/>
  <c r="Y7" i="13"/>
  <c r="Z7" i="13"/>
  <c r="AA7" i="13"/>
  <c r="AB7" i="13"/>
  <c r="AR7" i="13"/>
  <c r="AY7" i="13" s="1"/>
  <c r="AS7" i="13"/>
  <c r="AT7" i="13"/>
  <c r="AU7" i="13"/>
  <c r="AV7" i="13"/>
  <c r="AW7" i="13"/>
  <c r="AG8" i="13"/>
  <c r="BI8" i="13" s="1"/>
  <c r="W8" i="13"/>
  <c r="X8" i="13"/>
  <c r="Y8" i="13"/>
  <c r="Z8" i="13"/>
  <c r="AA8" i="13"/>
  <c r="AB8" i="13"/>
  <c r="AR8" i="13"/>
  <c r="AY8" i="13" s="1"/>
  <c r="AS8" i="13"/>
  <c r="AT8" i="13"/>
  <c r="AU8" i="13"/>
  <c r="AV8" i="13"/>
  <c r="AW8" i="13"/>
  <c r="AG9" i="13"/>
  <c r="BI9" i="13" s="1"/>
  <c r="W9" i="13"/>
  <c r="X9" i="13"/>
  <c r="Y9" i="13"/>
  <c r="Z9" i="13"/>
  <c r="AA9" i="13"/>
  <c r="AB9" i="13"/>
  <c r="AR9" i="13"/>
  <c r="AS9" i="13"/>
  <c r="AT9" i="13"/>
  <c r="AU9" i="13"/>
  <c r="AV9" i="13"/>
  <c r="AW9" i="13"/>
  <c r="AG10" i="13"/>
  <c r="BI10" i="13" s="1"/>
  <c r="W10" i="13"/>
  <c r="X10" i="13"/>
  <c r="Y10" i="13"/>
  <c r="Z10" i="13"/>
  <c r="AA10" i="13"/>
  <c r="AB10" i="13"/>
  <c r="AR10" i="13"/>
  <c r="BE10" i="13" s="1"/>
  <c r="AS10" i="13"/>
  <c r="AT10" i="13"/>
  <c r="AU10" i="13"/>
  <c r="AV10" i="13"/>
  <c r="AW10" i="13"/>
  <c r="AG11" i="13"/>
  <c r="BI11" i="13" s="1"/>
  <c r="W11" i="13"/>
  <c r="X11" i="13"/>
  <c r="Y11" i="13"/>
  <c r="Z11" i="13"/>
  <c r="AA11" i="13"/>
  <c r="AB11" i="13"/>
  <c r="AR11" i="13"/>
  <c r="BE11" i="13" s="1"/>
  <c r="AS11" i="13"/>
  <c r="AT11" i="13"/>
  <c r="AU11" i="13"/>
  <c r="AV11" i="13"/>
  <c r="AW11" i="13"/>
  <c r="AG12" i="13"/>
  <c r="BI12" i="13" s="1"/>
  <c r="W12" i="13"/>
  <c r="X12" i="13"/>
  <c r="Y12" i="13"/>
  <c r="Z12" i="13"/>
  <c r="AA12" i="13"/>
  <c r="AB12" i="13"/>
  <c r="AR12" i="13"/>
  <c r="BE12" i="13" s="1"/>
  <c r="AS12" i="13"/>
  <c r="AT12" i="13"/>
  <c r="AU12" i="13"/>
  <c r="AV12" i="13"/>
  <c r="AW12" i="13"/>
  <c r="AG13" i="13"/>
  <c r="BI13" i="13" s="1"/>
  <c r="W13" i="13"/>
  <c r="X13" i="13"/>
  <c r="Y13" i="13"/>
  <c r="Z13" i="13"/>
  <c r="AA13" i="13"/>
  <c r="AB13" i="13"/>
  <c r="AR13" i="13"/>
  <c r="BE13" i="13" s="1"/>
  <c r="AS13" i="13"/>
  <c r="AT13" i="13"/>
  <c r="AU13" i="13"/>
  <c r="AV13" i="13"/>
  <c r="AW13" i="13"/>
  <c r="AG14" i="13"/>
  <c r="BI14" i="13" s="1"/>
  <c r="W14" i="13"/>
  <c r="X14" i="13"/>
  <c r="Y14" i="13"/>
  <c r="Z14" i="13"/>
  <c r="AA14" i="13"/>
  <c r="AB14" i="13"/>
  <c r="AR14" i="13"/>
  <c r="AY14" i="13" s="1"/>
  <c r="AS14" i="13"/>
  <c r="AT14" i="13"/>
  <c r="AU14" i="13"/>
  <c r="AV14" i="13"/>
  <c r="AW14" i="13"/>
  <c r="AG15" i="13"/>
  <c r="BI15" i="13" s="1"/>
  <c r="W15" i="13"/>
  <c r="X15" i="13"/>
  <c r="Y15" i="13"/>
  <c r="Z15" i="13"/>
  <c r="AA15" i="13"/>
  <c r="AB15" i="13"/>
  <c r="AR15" i="13"/>
  <c r="AY15" i="13" s="1"/>
  <c r="AS15" i="13"/>
  <c r="AT15" i="13"/>
  <c r="AU15" i="13"/>
  <c r="AV15" i="13"/>
  <c r="AW15" i="13"/>
  <c r="AG16" i="13"/>
  <c r="BI16" i="13" s="1"/>
  <c r="W16" i="13"/>
  <c r="X16" i="13"/>
  <c r="Y16" i="13"/>
  <c r="Z16" i="13"/>
  <c r="AA16" i="13"/>
  <c r="AB16" i="13"/>
  <c r="AR16" i="13"/>
  <c r="BE16" i="13" s="1"/>
  <c r="AS16" i="13"/>
  <c r="AT16" i="13"/>
  <c r="AU16" i="13"/>
  <c r="AV16" i="13"/>
  <c r="AW16" i="13"/>
  <c r="AG17" i="13"/>
  <c r="BI17" i="13" s="1"/>
  <c r="W17" i="13"/>
  <c r="X17" i="13"/>
  <c r="Y17" i="13"/>
  <c r="Z17" i="13"/>
  <c r="AA17" i="13"/>
  <c r="AB17" i="13"/>
  <c r="AR17" i="13"/>
  <c r="BE17" i="13" s="1"/>
  <c r="AS17" i="13"/>
  <c r="AT17" i="13"/>
  <c r="AU17" i="13"/>
  <c r="AV17" i="13"/>
  <c r="AW17" i="13"/>
  <c r="B18" i="13"/>
  <c r="B11" i="14" s="1"/>
  <c r="B25" i="14" s="1"/>
  <c r="I25" i="14" s="1"/>
  <c r="C18" i="13"/>
  <c r="C11" i="14" s="1"/>
  <c r="C25" i="14" s="1"/>
  <c r="D18" i="13"/>
  <c r="D11" i="14" s="1"/>
  <c r="D25" i="14" s="1"/>
  <c r="E18" i="13"/>
  <c r="F18" i="13"/>
  <c r="F11" i="14" s="1"/>
  <c r="F25" i="14" s="1"/>
  <c r="G18" i="13"/>
  <c r="P18" i="13"/>
  <c r="P11" i="14" s="1"/>
  <c r="P25" i="14" s="1"/>
  <c r="Q18" i="13"/>
  <c r="Q11" i="14" s="1"/>
  <c r="Q25" i="14" s="1"/>
  <c r="R18" i="13"/>
  <c r="R11" i="14" s="1"/>
  <c r="R25" i="14" s="1"/>
  <c r="T18" i="13"/>
  <c r="U18" i="13"/>
  <c r="AD18" i="13"/>
  <c r="AE18" i="13"/>
  <c r="AF18" i="13"/>
  <c r="BM18" i="13"/>
  <c r="BN18" i="13"/>
  <c r="BO18" i="13"/>
  <c r="BQ18" i="13"/>
  <c r="BQ11" i="14" s="1"/>
  <c r="BR18" i="13"/>
  <c r="BR11" i="14" s="1"/>
  <c r="BT18" i="13"/>
  <c r="BT11" i="14" s="1"/>
  <c r="BT25" i="14" s="1"/>
  <c r="BU18" i="13"/>
  <c r="BU11" i="14" s="1"/>
  <c r="BU25" i="14" s="1"/>
  <c r="BV18" i="13"/>
  <c r="BV11" i="14" s="1"/>
  <c r="BV25" i="14" s="1"/>
  <c r="BW18" i="13"/>
  <c r="BW11" i="14" s="1"/>
  <c r="BW25" i="14" s="1"/>
  <c r="BX18" i="13"/>
  <c r="BX11" i="14" s="1"/>
  <c r="BX25" i="14" s="1"/>
  <c r="BY18" i="13"/>
  <c r="BY11" i="14" s="1"/>
  <c r="BY25" i="14" s="1"/>
  <c r="BI6" i="13" l="1"/>
  <c r="AF11" i="14"/>
  <c r="AF25" i="14" s="1"/>
  <c r="E11" i="14"/>
  <c r="E25" i="14" s="1"/>
  <c r="L25" i="14" s="1"/>
  <c r="L18" i="13"/>
  <c r="T11" i="14"/>
  <c r="T25" i="14" s="1"/>
  <c r="AA18" i="13"/>
  <c r="AA11" i="14" s="1"/>
  <c r="AA25" i="14" s="1"/>
  <c r="U11" i="14"/>
  <c r="U25" i="14" s="1"/>
  <c r="AB18" i="13"/>
  <c r="AB11" i="14" s="1"/>
  <c r="AB25" i="14" s="1"/>
  <c r="AC18" i="13"/>
  <c r="AC11" i="14" s="1"/>
  <c r="AC25" i="14" s="1"/>
  <c r="BS24" i="14"/>
  <c r="BS21" i="14"/>
  <c r="AJ6" i="14"/>
  <c r="AJ20" i="14" s="1"/>
  <c r="BL7" i="8"/>
  <c r="BL6" i="14" s="1"/>
  <c r="AX20" i="14"/>
  <c r="BS20" i="14"/>
  <c r="BS22" i="14"/>
  <c r="BL20" i="14"/>
  <c r="BL23" i="14"/>
  <c r="BL22" i="14"/>
  <c r="M25" i="14"/>
  <c r="O25" i="14"/>
  <c r="K25" i="14"/>
  <c r="J25" i="14"/>
  <c r="AV25" i="14"/>
  <c r="AX25" i="14"/>
  <c r="H26" i="14"/>
  <c r="AU25" i="14"/>
  <c r="AX22" i="14"/>
  <c r="V12" i="14"/>
  <c r="V23" i="14"/>
  <c r="V26" i="14" s="1"/>
  <c r="AX23" i="14"/>
  <c r="AQ26" i="14"/>
  <c r="BZ12" i="14"/>
  <c r="BZ23" i="14"/>
  <c r="BZ26" i="14" s="1"/>
  <c r="AJ26" i="14"/>
  <c r="BS10" i="14"/>
  <c r="O11" i="14"/>
  <c r="AJ12" i="14"/>
  <c r="H12" i="14"/>
  <c r="AQ12" i="14"/>
  <c r="AX53" i="11"/>
  <c r="AX9" i="14" s="1"/>
  <c r="AZ10" i="13"/>
  <c r="AM18" i="13"/>
  <c r="AM11" i="14" s="1"/>
  <c r="AM25" i="14" s="1"/>
  <c r="BO25" i="14" s="1"/>
  <c r="AN18" i="13"/>
  <c r="AN11" i="14" s="1"/>
  <c r="AN25" i="14" s="1"/>
  <c r="AS6" i="13"/>
  <c r="AR6" i="13"/>
  <c r="AY6" i="13" s="1"/>
  <c r="BO11" i="14"/>
  <c r="BN11" i="14"/>
  <c r="BM11" i="14"/>
  <c r="BE7" i="13"/>
  <c r="BE8" i="13"/>
  <c r="BA15" i="13"/>
  <c r="AZ15" i="13"/>
  <c r="BA8" i="13"/>
  <c r="AY9" i="13"/>
  <c r="BE9" i="13"/>
  <c r="BE14" i="13"/>
  <c r="AZ11" i="13"/>
  <c r="BE15" i="13"/>
  <c r="BA11" i="13"/>
  <c r="AZ14" i="13"/>
  <c r="BA14" i="13"/>
  <c r="AZ9" i="13"/>
  <c r="BB7" i="13"/>
  <c r="BA7" i="13"/>
  <c r="O18" i="13"/>
  <c r="BB16" i="13"/>
  <c r="BD14" i="13"/>
  <c r="BA13" i="13"/>
  <c r="BC9" i="13"/>
  <c r="BA16" i="13"/>
  <c r="BC14" i="13"/>
  <c r="BB9" i="13"/>
  <c r="BD7" i="13"/>
  <c r="AZ16" i="13"/>
  <c r="BB14" i="13"/>
  <c r="BD12" i="13"/>
  <c r="BC11" i="13"/>
  <c r="BA9" i="13"/>
  <c r="BC7" i="13"/>
  <c r="AZ7" i="13"/>
  <c r="BC12" i="13"/>
  <c r="BC17" i="13"/>
  <c r="BD10" i="13"/>
  <c r="BD15" i="13"/>
  <c r="BC10" i="13"/>
  <c r="BC15" i="13"/>
  <c r="BD17" i="13"/>
  <c r="AZ17" i="13"/>
  <c r="BB15" i="13"/>
  <c r="BA10" i="13"/>
  <c r="AY11" i="13"/>
  <c r="BC16" i="13"/>
  <c r="BD9" i="13"/>
  <c r="BD8" i="13"/>
  <c r="BD13" i="13"/>
  <c r="BB12" i="13"/>
  <c r="BC8" i="13"/>
  <c r="BB17" i="13"/>
  <c r="BC13" i="13"/>
  <c r="BB8" i="13"/>
  <c r="N18" i="13"/>
  <c r="BB13" i="13"/>
  <c r="BD11" i="13"/>
  <c r="BB10" i="13"/>
  <c r="AZ8" i="13"/>
  <c r="AY17" i="13"/>
  <c r="BD16" i="13"/>
  <c r="AY13" i="13"/>
  <c r="AZ13" i="13"/>
  <c r="BA17" i="13"/>
  <c r="BB11" i="13"/>
  <c r="I18" i="13"/>
  <c r="AY10" i="13"/>
  <c r="AY12" i="13"/>
  <c r="AY16" i="13"/>
  <c r="J18" i="13"/>
  <c r="AZ12" i="13"/>
  <c r="K18" i="13"/>
  <c r="BA12" i="13"/>
  <c r="M18" i="13"/>
  <c r="BL9" i="14"/>
  <c r="BS53" i="11"/>
  <c r="BS9" i="14" s="1"/>
  <c r="AW6" i="13"/>
  <c r="AV18" i="13"/>
  <c r="AV11" i="14" s="1"/>
  <c r="BI32" i="14"/>
  <c r="AW18" i="13"/>
  <c r="AW11" i="14" s="1"/>
  <c r="G11" i="14"/>
  <c r="AE11" i="14"/>
  <c r="AE25" i="14" s="1"/>
  <c r="AD11" i="14"/>
  <c r="AD25" i="14" s="1"/>
  <c r="I11" i="14"/>
  <c r="J11" i="14"/>
  <c r="K11" i="14"/>
  <c r="L11" i="14"/>
  <c r="M11" i="14"/>
  <c r="X18" i="13"/>
  <c r="X11" i="14" s="1"/>
  <c r="X25" i="14" s="1"/>
  <c r="W18" i="13"/>
  <c r="W11" i="14" s="1"/>
  <c r="W25" i="14" s="1"/>
  <c r="Y18" i="13"/>
  <c r="Y11" i="14" s="1"/>
  <c r="Y25" i="14" s="1"/>
  <c r="AI18" i="13"/>
  <c r="BK18" i="13" s="1"/>
  <c r="Z18" i="13"/>
  <c r="Z11" i="14" s="1"/>
  <c r="Z25" i="14" s="1"/>
  <c r="AL18" i="13"/>
  <c r="AL11" i="14" s="1"/>
  <c r="AL25" i="14" s="1"/>
  <c r="AS25" i="14" s="1"/>
  <c r="AK18" i="13"/>
  <c r="AK11" i="14" s="1"/>
  <c r="AK25" i="14" s="1"/>
  <c r="AH18" i="13"/>
  <c r="BJ18" i="13" s="1"/>
  <c r="AV6" i="13"/>
  <c r="BC6" i="13" s="1"/>
  <c r="AU6" i="13"/>
  <c r="BB6" i="13" s="1"/>
  <c r="AT6" i="13"/>
  <c r="AG18" i="13"/>
  <c r="BI18" i="13" s="1"/>
  <c r="BG18" i="13" l="1"/>
  <c r="BG11" i="14" s="1"/>
  <c r="BH18" i="13"/>
  <c r="BH11" i="14" s="1"/>
  <c r="BF18" i="13"/>
  <c r="BF11" i="14" s="1"/>
  <c r="BH25" i="14"/>
  <c r="AT18" i="13"/>
  <c r="AT11" i="14" s="1"/>
  <c r="AT25" i="14"/>
  <c r="BA25" i="14" s="1"/>
  <c r="AZ6" i="13"/>
  <c r="AR25" i="14"/>
  <c r="AY25" i="14" s="1"/>
  <c r="BM25" i="14"/>
  <c r="BG25" i="14"/>
  <c r="BN25" i="14"/>
  <c r="BS23" i="14"/>
  <c r="BF25" i="14"/>
  <c r="AX26" i="14"/>
  <c r="N11" i="14"/>
  <c r="G25" i="14"/>
  <c r="BS12" i="14"/>
  <c r="BL26" i="14"/>
  <c r="BS26" i="14"/>
  <c r="AX12" i="14"/>
  <c r="BL12" i="14"/>
  <c r="BA6" i="13"/>
  <c r="BD6" i="13"/>
  <c r="BE6" i="13"/>
  <c r="BP18" i="13"/>
  <c r="AU18" i="13"/>
  <c r="AU11" i="14" s="1"/>
  <c r="BK11" i="14"/>
  <c r="AI11" i="14"/>
  <c r="AI25" i="14" s="1"/>
  <c r="BI11" i="14"/>
  <c r="AG11" i="14"/>
  <c r="AG25" i="14" s="1"/>
  <c r="AR18" i="13"/>
  <c r="AR11" i="14" s="1"/>
  <c r="BE11" i="14" s="1"/>
  <c r="BJ11" i="14"/>
  <c r="AH11" i="14"/>
  <c r="AH25" i="14" s="1"/>
  <c r="AS18" i="13"/>
  <c r="AS11" i="14" s="1"/>
  <c r="AR6" i="12"/>
  <c r="AS6" i="12"/>
  <c r="AT6" i="12"/>
  <c r="AU6" i="12"/>
  <c r="AV6" i="12"/>
  <c r="AW6" i="12"/>
  <c r="AR7" i="12"/>
  <c r="AS7" i="12"/>
  <c r="AZ7" i="12" s="1"/>
  <c r="AT7" i="12"/>
  <c r="AU7" i="12"/>
  <c r="AV7" i="12"/>
  <c r="AW7" i="12"/>
  <c r="AR8" i="12"/>
  <c r="AS8" i="12"/>
  <c r="AT8" i="12"/>
  <c r="AU8" i="12"/>
  <c r="AV8" i="12"/>
  <c r="AW8" i="12"/>
  <c r="AR9" i="12"/>
  <c r="AS9" i="12"/>
  <c r="AZ9" i="12" s="1"/>
  <c r="AT9" i="12"/>
  <c r="AU9" i="12"/>
  <c r="AV9" i="12"/>
  <c r="AW9" i="12"/>
  <c r="AR10" i="12"/>
  <c r="AS10" i="12"/>
  <c r="AT10" i="12"/>
  <c r="AU10" i="12"/>
  <c r="AV10" i="12"/>
  <c r="AW10" i="12"/>
  <c r="AR11" i="12"/>
  <c r="AS11" i="12"/>
  <c r="AZ11" i="12" s="1"/>
  <c r="AT11" i="12"/>
  <c r="AU11" i="12"/>
  <c r="AV11" i="12"/>
  <c r="AW11" i="12"/>
  <c r="AR12" i="12"/>
  <c r="AS12" i="12"/>
  <c r="AT12" i="12"/>
  <c r="AU12" i="12"/>
  <c r="AV12" i="12"/>
  <c r="AW12" i="12"/>
  <c r="AR13" i="12"/>
  <c r="AS13" i="12"/>
  <c r="AZ13" i="12" s="1"/>
  <c r="AT13" i="12"/>
  <c r="AU13" i="12"/>
  <c r="AV13" i="12"/>
  <c r="AW13" i="12"/>
  <c r="AR14" i="12"/>
  <c r="AS14" i="12"/>
  <c r="AT14" i="12"/>
  <c r="AU14" i="12"/>
  <c r="AV14" i="12"/>
  <c r="AW14" i="12"/>
  <c r="AR15" i="12"/>
  <c r="AS15" i="12"/>
  <c r="AT15" i="12"/>
  <c r="AU15" i="12"/>
  <c r="AV15" i="12"/>
  <c r="AW15" i="12"/>
  <c r="AR16" i="12"/>
  <c r="AS16" i="12"/>
  <c r="AZ16" i="12" s="1"/>
  <c r="AT16" i="12"/>
  <c r="BA16" i="12" s="1"/>
  <c r="AU16" i="12"/>
  <c r="AV16" i="12"/>
  <c r="AW16" i="12"/>
  <c r="BF31" i="14"/>
  <c r="BG31" i="14"/>
  <c r="BH31" i="14"/>
  <c r="BI31" i="14"/>
  <c r="BJ31" i="14"/>
  <c r="BK31" i="14"/>
  <c r="AR17" i="12"/>
  <c r="AS17" i="12"/>
  <c r="AT17" i="12"/>
  <c r="BA17" i="12" s="1"/>
  <c r="AU17" i="12"/>
  <c r="AV17" i="12"/>
  <c r="AW17" i="12"/>
  <c r="B18" i="12"/>
  <c r="O18" i="12" s="1"/>
  <c r="C18" i="12"/>
  <c r="D18" i="12"/>
  <c r="E18" i="12"/>
  <c r="F18" i="12"/>
  <c r="G18" i="12"/>
  <c r="AD18" i="12"/>
  <c r="AE18" i="12"/>
  <c r="AF18" i="12"/>
  <c r="AG18" i="12"/>
  <c r="AH18" i="12"/>
  <c r="BJ18" i="12" s="1"/>
  <c r="AI18" i="12"/>
  <c r="BK18" i="12" s="1"/>
  <c r="AK18" i="12"/>
  <c r="AK10" i="14" s="1"/>
  <c r="AK24" i="14" s="1"/>
  <c r="AL18" i="12"/>
  <c r="AL10" i="14" s="1"/>
  <c r="AL24" i="14" s="1"/>
  <c r="AM18" i="12"/>
  <c r="AM10" i="14" s="1"/>
  <c r="AM24" i="14" s="1"/>
  <c r="AN18" i="12"/>
  <c r="AN10" i="14" s="1"/>
  <c r="AN24" i="14" s="1"/>
  <c r="AO18" i="12"/>
  <c r="AO10" i="14" s="1"/>
  <c r="AO24" i="14" s="1"/>
  <c r="AP18" i="12"/>
  <c r="AP10" i="14" s="1"/>
  <c r="AP24" i="14" s="1"/>
  <c r="BT18" i="12"/>
  <c r="BT10" i="14" s="1"/>
  <c r="BT24" i="14" s="1"/>
  <c r="BU18" i="12"/>
  <c r="BU10" i="14" s="1"/>
  <c r="BU24" i="14" s="1"/>
  <c r="BV18" i="12"/>
  <c r="BV10" i="14" s="1"/>
  <c r="BV24" i="14" s="1"/>
  <c r="BW18" i="12"/>
  <c r="BW10" i="14" s="1"/>
  <c r="BW24" i="14" s="1"/>
  <c r="BX18" i="12"/>
  <c r="BX10" i="14" s="1"/>
  <c r="BX24" i="14" s="1"/>
  <c r="BY18" i="12"/>
  <c r="BY10" i="14" s="1"/>
  <c r="BY24" i="14" s="1"/>
  <c r="BC25" i="14" l="1"/>
  <c r="BE25" i="14"/>
  <c r="AZ25" i="14"/>
  <c r="BB25" i="14"/>
  <c r="AF10" i="14"/>
  <c r="AF24" i="14" s="1"/>
  <c r="BH18" i="12"/>
  <c r="AE10" i="14"/>
  <c r="AE24" i="14" s="1"/>
  <c r="BG24" i="14" s="1"/>
  <c r="BG18" i="12"/>
  <c r="AG10" i="14"/>
  <c r="AG24" i="14" s="1"/>
  <c r="BI18" i="12"/>
  <c r="BF18" i="12"/>
  <c r="BF10" i="14" s="1"/>
  <c r="AD10" i="14"/>
  <c r="AD24" i="14" s="1"/>
  <c r="BM24" i="14" s="1"/>
  <c r="AC18" i="12"/>
  <c r="AC10" i="14" s="1"/>
  <c r="AC24" i="14" s="1"/>
  <c r="BD16" i="12"/>
  <c r="BI24" i="14"/>
  <c r="BP24" i="14"/>
  <c r="BN24" i="14"/>
  <c r="BI25" i="14"/>
  <c r="BP25" i="14"/>
  <c r="BJ25" i="14"/>
  <c r="BQ25" i="14"/>
  <c r="BH24" i="14"/>
  <c r="BO24" i="14"/>
  <c r="BK25" i="14"/>
  <c r="BR25" i="14"/>
  <c r="N25" i="14"/>
  <c r="AW25" i="14"/>
  <c r="BD25" i="14" s="1"/>
  <c r="AI10" i="14"/>
  <c r="AI24" i="14" s="1"/>
  <c r="BK24" i="14" s="1"/>
  <c r="AB18" i="12"/>
  <c r="AB10" i="14" s="1"/>
  <c r="AB24" i="14" s="1"/>
  <c r="AH10" i="14"/>
  <c r="AH24" i="14" s="1"/>
  <c r="BJ24" i="14" s="1"/>
  <c r="AA18" i="12"/>
  <c r="AA10" i="14" s="1"/>
  <c r="AA24" i="14" s="1"/>
  <c r="BP11" i="14"/>
  <c r="AY18" i="13"/>
  <c r="BE18" i="13"/>
  <c r="BB18" i="13"/>
  <c r="BD18" i="13"/>
  <c r="BC18" i="13"/>
  <c r="BA18" i="13"/>
  <c r="AZ18" i="13"/>
  <c r="AY17" i="12"/>
  <c r="BE17" i="12"/>
  <c r="AY12" i="12"/>
  <c r="BE12" i="12"/>
  <c r="AY10" i="12"/>
  <c r="BE10" i="12"/>
  <c r="AY8" i="12"/>
  <c r="BE8" i="12"/>
  <c r="AY6" i="12"/>
  <c r="BE6" i="12"/>
  <c r="AY15" i="12"/>
  <c r="BE15" i="12"/>
  <c r="AY13" i="12"/>
  <c r="BE13" i="12"/>
  <c r="AY11" i="12"/>
  <c r="BE11" i="12"/>
  <c r="AY9" i="12"/>
  <c r="BE9" i="12"/>
  <c r="AY7" i="12"/>
  <c r="BE7" i="12"/>
  <c r="AY16" i="12"/>
  <c r="BE16" i="12"/>
  <c r="AY14" i="12"/>
  <c r="BE14" i="12"/>
  <c r="BC16" i="12"/>
  <c r="BB16" i="12"/>
  <c r="BB17" i="12"/>
  <c r="BC15" i="12"/>
  <c r="BD13" i="12"/>
  <c r="BD11" i="12"/>
  <c r="BD9" i="12"/>
  <c r="BD7" i="12"/>
  <c r="BB15" i="12"/>
  <c r="BC13" i="12"/>
  <c r="BC11" i="12"/>
  <c r="BC9" i="12"/>
  <c r="BC7" i="12"/>
  <c r="BA15" i="12"/>
  <c r="BB13" i="12"/>
  <c r="BB11" i="12"/>
  <c r="BB9" i="12"/>
  <c r="BB7" i="12"/>
  <c r="AZ15" i="12"/>
  <c r="BA13" i="12"/>
  <c r="BA11" i="12"/>
  <c r="BA9" i="12"/>
  <c r="BA7" i="12"/>
  <c r="BD14" i="12"/>
  <c r="BC14" i="12"/>
  <c r="BB14" i="12"/>
  <c r="BA14" i="12"/>
  <c r="AZ14" i="12"/>
  <c r="BC17" i="12"/>
  <c r="BD15" i="12"/>
  <c r="AZ6" i="12"/>
  <c r="AZ17" i="12"/>
  <c r="G10" i="14"/>
  <c r="G24" i="14" s="1"/>
  <c r="N18" i="12"/>
  <c r="F10" i="14"/>
  <c r="F24" i="14" s="1"/>
  <c r="M18" i="12"/>
  <c r="BD12" i="12"/>
  <c r="D10" i="14"/>
  <c r="D24" i="14" s="1"/>
  <c r="K18" i="12"/>
  <c r="BC12" i="12"/>
  <c r="BC10" i="12"/>
  <c r="C10" i="14"/>
  <c r="C24" i="14" s="1"/>
  <c r="J18" i="12"/>
  <c r="BB12" i="12"/>
  <c r="BB10" i="12"/>
  <c r="BB8" i="12"/>
  <c r="B10" i="14"/>
  <c r="B24" i="14" s="1"/>
  <c r="I18" i="12"/>
  <c r="BA12" i="12"/>
  <c r="BA10" i="12"/>
  <c r="BA8" i="12"/>
  <c r="E10" i="14"/>
  <c r="E24" i="14" s="1"/>
  <c r="L18" i="12"/>
  <c r="BD10" i="12"/>
  <c r="BD8" i="12"/>
  <c r="BC8" i="12"/>
  <c r="BD17" i="12"/>
  <c r="AZ12" i="12"/>
  <c r="AZ10" i="12"/>
  <c r="AZ8" i="12"/>
  <c r="BD6" i="12"/>
  <c r="BC6" i="12"/>
  <c r="BB6" i="12"/>
  <c r="BA6" i="12"/>
  <c r="AS18" i="12"/>
  <c r="AS10" i="14" s="1"/>
  <c r="AR18" i="12"/>
  <c r="BI10" i="14"/>
  <c r="BH10" i="14"/>
  <c r="AV18" i="12"/>
  <c r="AV10" i="14" s="1"/>
  <c r="BG10" i="14"/>
  <c r="AR20" i="13"/>
  <c r="AV20" i="13"/>
  <c r="AU20" i="13"/>
  <c r="AT20" i="13"/>
  <c r="AW20" i="13"/>
  <c r="AU18" i="12"/>
  <c r="AU10" i="14" s="1"/>
  <c r="AS20" i="13"/>
  <c r="AT18" i="12"/>
  <c r="AT10" i="14" s="1"/>
  <c r="AW18" i="12"/>
  <c r="AW10" i="14" s="1"/>
  <c r="BO10" i="14"/>
  <c r="BN10" i="14"/>
  <c r="BM10" i="14"/>
  <c r="BK10" i="14"/>
  <c r="BJ10" i="14"/>
  <c r="BR10" i="14"/>
  <c r="BQ10" i="14"/>
  <c r="BP10" i="14"/>
  <c r="W6" i="11"/>
  <c r="X6" i="11"/>
  <c r="Y6" i="11"/>
  <c r="Z6" i="11"/>
  <c r="AA6" i="11"/>
  <c r="AB6" i="11"/>
  <c r="AR6" i="11"/>
  <c r="AS6" i="11"/>
  <c r="AT6" i="11"/>
  <c r="AU6" i="11"/>
  <c r="AV6" i="11"/>
  <c r="AW6" i="11"/>
  <c r="W7" i="11"/>
  <c r="X7" i="11"/>
  <c r="Y7" i="11"/>
  <c r="Z7" i="11"/>
  <c r="AA7" i="11"/>
  <c r="AB7" i="11"/>
  <c r="AR7" i="11"/>
  <c r="AS7" i="11"/>
  <c r="AT7" i="11"/>
  <c r="AU7" i="11"/>
  <c r="AV7" i="11"/>
  <c r="AW7" i="11"/>
  <c r="W8" i="11"/>
  <c r="X8" i="11"/>
  <c r="Y8" i="11"/>
  <c r="Z8" i="11"/>
  <c r="AA8" i="11"/>
  <c r="AB8" i="11"/>
  <c r="AR8" i="11"/>
  <c r="AS8" i="11"/>
  <c r="AT8" i="11"/>
  <c r="AU8" i="11"/>
  <c r="AV8" i="11"/>
  <c r="AW8" i="11"/>
  <c r="W9" i="11"/>
  <c r="X9" i="11"/>
  <c r="Y9" i="11"/>
  <c r="Z9" i="11"/>
  <c r="AA9" i="11"/>
  <c r="AB9" i="11"/>
  <c r="AR9" i="11"/>
  <c r="AS9" i="11"/>
  <c r="AT9" i="11"/>
  <c r="AU9" i="11"/>
  <c r="AV9" i="11"/>
  <c r="AW9" i="11"/>
  <c r="W10" i="11"/>
  <c r="X10" i="11"/>
  <c r="Y10" i="11"/>
  <c r="Z10" i="11"/>
  <c r="AA10" i="11"/>
  <c r="AB10" i="11"/>
  <c r="AR10" i="11"/>
  <c r="AS10" i="11"/>
  <c r="AT10" i="11"/>
  <c r="AU10" i="11"/>
  <c r="AV10" i="11"/>
  <c r="AW10" i="11"/>
  <c r="W11" i="11"/>
  <c r="X11" i="11"/>
  <c r="Y11" i="11"/>
  <c r="Z11" i="11"/>
  <c r="AA11" i="11"/>
  <c r="AB11" i="11"/>
  <c r="AR11" i="11"/>
  <c r="AS11" i="11"/>
  <c r="AT11" i="11"/>
  <c r="AU11" i="11"/>
  <c r="AV11" i="11"/>
  <c r="AW11" i="11"/>
  <c r="W12" i="11"/>
  <c r="X12" i="11"/>
  <c r="Y12" i="11"/>
  <c r="Z12" i="11"/>
  <c r="AA12" i="11"/>
  <c r="AB12" i="11"/>
  <c r="AR12" i="11"/>
  <c r="AS12" i="11"/>
  <c r="AT12" i="11"/>
  <c r="AU12" i="11"/>
  <c r="AV12" i="11"/>
  <c r="AW12" i="11"/>
  <c r="W13" i="11"/>
  <c r="X13" i="11"/>
  <c r="Y13" i="11"/>
  <c r="Z13" i="11"/>
  <c r="AA13" i="11"/>
  <c r="AB13" i="11"/>
  <c r="AR13" i="11"/>
  <c r="AS13" i="11"/>
  <c r="AT13" i="11"/>
  <c r="AU13" i="11"/>
  <c r="AV13" i="11"/>
  <c r="AW13" i="11"/>
  <c r="W14" i="11"/>
  <c r="X14" i="11"/>
  <c r="Y14" i="11"/>
  <c r="Z14" i="11"/>
  <c r="AA14" i="11"/>
  <c r="AB14" i="11"/>
  <c r="AR14" i="11"/>
  <c r="AS14" i="11"/>
  <c r="AT14" i="11"/>
  <c r="AU14" i="11"/>
  <c r="AV14" i="11"/>
  <c r="AW14" i="11"/>
  <c r="W15" i="11"/>
  <c r="X15" i="11"/>
  <c r="Y15" i="11"/>
  <c r="Z15" i="11"/>
  <c r="AA15" i="11"/>
  <c r="AB15" i="11"/>
  <c r="AR15" i="11"/>
  <c r="AS15" i="11"/>
  <c r="AT15" i="11"/>
  <c r="AU15" i="11"/>
  <c r="AV15" i="11"/>
  <c r="AW15" i="11"/>
  <c r="W16" i="11"/>
  <c r="X16" i="11"/>
  <c r="Y16" i="11"/>
  <c r="Z16" i="11"/>
  <c r="AA16" i="11"/>
  <c r="AB16" i="11"/>
  <c r="AR16" i="11"/>
  <c r="AS16" i="11"/>
  <c r="AT16" i="11"/>
  <c r="AU16" i="11"/>
  <c r="AV16" i="11"/>
  <c r="AW16" i="11"/>
  <c r="W17" i="11"/>
  <c r="X17" i="11"/>
  <c r="Y17" i="11"/>
  <c r="Z17" i="11"/>
  <c r="AA17" i="11"/>
  <c r="AB17" i="11"/>
  <c r="AR17" i="11"/>
  <c r="AS17" i="11"/>
  <c r="AT17" i="11"/>
  <c r="AU17" i="11"/>
  <c r="AV17" i="11"/>
  <c r="AW17" i="11"/>
  <c r="W18" i="11"/>
  <c r="X18" i="11"/>
  <c r="Y18" i="11"/>
  <c r="Z18" i="11"/>
  <c r="AA18" i="11"/>
  <c r="AB18" i="11"/>
  <c r="AR18" i="11"/>
  <c r="AS18" i="11"/>
  <c r="AT18" i="11"/>
  <c r="AU18" i="11"/>
  <c r="AV18" i="11"/>
  <c r="AW18" i="11"/>
  <c r="W19" i="11"/>
  <c r="X19" i="11"/>
  <c r="Y19" i="11"/>
  <c r="Z19" i="11"/>
  <c r="AA19" i="11"/>
  <c r="AB19" i="11"/>
  <c r="AR19" i="11"/>
  <c r="AS19" i="11"/>
  <c r="AT19" i="11"/>
  <c r="AU19" i="11"/>
  <c r="AV19" i="11"/>
  <c r="AW19" i="11"/>
  <c r="W20" i="11"/>
  <c r="X20" i="11"/>
  <c r="Y20" i="11"/>
  <c r="Z20" i="11"/>
  <c r="AA20" i="11"/>
  <c r="AB20" i="11"/>
  <c r="AR20" i="11"/>
  <c r="AS20" i="11"/>
  <c r="AT20" i="11"/>
  <c r="AU20" i="11"/>
  <c r="AV20" i="11"/>
  <c r="AW20" i="11"/>
  <c r="W21" i="11"/>
  <c r="X21" i="11"/>
  <c r="Y21" i="11"/>
  <c r="Z21" i="11"/>
  <c r="AA21" i="11"/>
  <c r="AB21" i="11"/>
  <c r="AR21" i="11"/>
  <c r="AS21" i="11"/>
  <c r="AT21" i="11"/>
  <c r="AU21" i="11"/>
  <c r="AV21" i="11"/>
  <c r="AW21" i="11"/>
  <c r="W22" i="11"/>
  <c r="X22" i="11"/>
  <c r="Y22" i="11"/>
  <c r="Z22" i="11"/>
  <c r="AA22" i="11"/>
  <c r="AB22" i="11"/>
  <c r="AR22" i="11"/>
  <c r="AS22" i="11"/>
  <c r="AT22" i="11"/>
  <c r="AU22" i="11"/>
  <c r="AV22" i="11"/>
  <c r="AW22" i="11"/>
  <c r="W23" i="11"/>
  <c r="X23" i="11"/>
  <c r="Y23" i="11"/>
  <c r="Z23" i="11"/>
  <c r="AA23" i="11"/>
  <c r="AB23" i="11"/>
  <c r="AR23" i="11"/>
  <c r="AS23" i="11"/>
  <c r="AT23" i="11"/>
  <c r="AU23" i="11"/>
  <c r="AV23" i="11"/>
  <c r="AW23" i="11"/>
  <c r="W24" i="11"/>
  <c r="X24" i="11"/>
  <c r="Y24" i="11"/>
  <c r="Z24" i="11"/>
  <c r="AA24" i="11"/>
  <c r="AB24" i="11"/>
  <c r="AR24" i="11"/>
  <c r="AS24" i="11"/>
  <c r="AT24" i="11"/>
  <c r="AU24" i="11"/>
  <c r="AV24" i="11"/>
  <c r="AW24" i="11"/>
  <c r="W25" i="11"/>
  <c r="X25" i="11"/>
  <c r="Y25" i="11"/>
  <c r="Z25" i="11"/>
  <c r="AA25" i="11"/>
  <c r="AB25" i="11"/>
  <c r="AR25" i="11"/>
  <c r="AS25" i="11"/>
  <c r="AT25" i="11"/>
  <c r="AU25" i="11"/>
  <c r="AV25" i="11"/>
  <c r="AW25" i="11"/>
  <c r="W26" i="11"/>
  <c r="X26" i="11"/>
  <c r="Y26" i="11"/>
  <c r="Z26" i="11"/>
  <c r="AA26" i="11"/>
  <c r="AB26" i="11"/>
  <c r="AR26" i="11"/>
  <c r="AS26" i="11"/>
  <c r="AT26" i="11"/>
  <c r="AU26" i="11"/>
  <c r="AV26" i="11"/>
  <c r="AW26" i="11"/>
  <c r="W27" i="11"/>
  <c r="X27" i="11"/>
  <c r="Y27" i="11"/>
  <c r="Z27" i="11"/>
  <c r="AA27" i="11"/>
  <c r="AB27" i="11"/>
  <c r="AR27" i="11"/>
  <c r="AS27" i="11"/>
  <c r="AT27" i="11"/>
  <c r="AU27" i="11"/>
  <c r="AV27" i="11"/>
  <c r="AW27" i="11"/>
  <c r="W28" i="11"/>
  <c r="X28" i="11"/>
  <c r="Y28" i="11"/>
  <c r="Z28" i="11"/>
  <c r="AA28" i="11"/>
  <c r="AB28" i="11"/>
  <c r="AR28" i="11"/>
  <c r="AS28" i="11"/>
  <c r="AT28" i="11"/>
  <c r="AU28" i="11"/>
  <c r="AV28" i="11"/>
  <c r="AW28" i="11"/>
  <c r="W29" i="11"/>
  <c r="X29" i="11"/>
  <c r="Y29" i="11"/>
  <c r="Z29" i="11"/>
  <c r="AA29" i="11"/>
  <c r="AB29" i="11"/>
  <c r="AR29" i="11"/>
  <c r="AS29" i="11"/>
  <c r="AT29" i="11"/>
  <c r="AU29" i="11"/>
  <c r="AV29" i="11"/>
  <c r="AW29" i="11"/>
  <c r="W30" i="11"/>
  <c r="X30" i="11"/>
  <c r="Y30" i="11"/>
  <c r="Z30" i="11"/>
  <c r="AA30" i="11"/>
  <c r="AB30" i="11"/>
  <c r="AR30" i="11"/>
  <c r="AS30" i="11"/>
  <c r="AT30" i="11"/>
  <c r="AU30" i="11"/>
  <c r="AV30" i="11"/>
  <c r="AW30" i="11"/>
  <c r="W31" i="11"/>
  <c r="X31" i="11"/>
  <c r="Y31" i="11"/>
  <c r="Z31" i="11"/>
  <c r="AA31" i="11"/>
  <c r="AB31" i="11"/>
  <c r="AR31" i="11"/>
  <c r="AS31" i="11"/>
  <c r="AT31" i="11"/>
  <c r="AU31" i="11"/>
  <c r="AV31" i="11"/>
  <c r="AW31" i="11"/>
  <c r="W32" i="11"/>
  <c r="X32" i="11"/>
  <c r="Y32" i="11"/>
  <c r="Z32" i="11"/>
  <c r="AA32" i="11"/>
  <c r="AB32" i="11"/>
  <c r="AR32" i="11"/>
  <c r="AS32" i="11"/>
  <c r="AT32" i="11"/>
  <c r="AU32" i="11"/>
  <c r="AV32" i="11"/>
  <c r="AW32" i="11"/>
  <c r="W33" i="11"/>
  <c r="X33" i="11"/>
  <c r="Y33" i="11"/>
  <c r="Z33" i="11"/>
  <c r="AA33" i="11"/>
  <c r="AB33" i="11"/>
  <c r="AR33" i="11"/>
  <c r="AS33" i="11"/>
  <c r="AT33" i="11"/>
  <c r="AU33" i="11"/>
  <c r="AV33" i="11"/>
  <c r="AW33" i="11"/>
  <c r="BF29" i="14"/>
  <c r="BG29" i="14"/>
  <c r="BH29" i="14"/>
  <c r="BI29" i="14"/>
  <c r="BJ29" i="14"/>
  <c r="BK29" i="14"/>
  <c r="W34" i="11"/>
  <c r="X34" i="11"/>
  <c r="Y34" i="11"/>
  <c r="Z34" i="11"/>
  <c r="AA34" i="11"/>
  <c r="AB34" i="11"/>
  <c r="AR34" i="11"/>
  <c r="AS34" i="11"/>
  <c r="AT34" i="11"/>
  <c r="AU34" i="11"/>
  <c r="AV34" i="11"/>
  <c r="AW34" i="11"/>
  <c r="BF30" i="14"/>
  <c r="BG30" i="14"/>
  <c r="BH30" i="14"/>
  <c r="BI30" i="14"/>
  <c r="BJ30" i="14"/>
  <c r="BK30" i="14"/>
  <c r="W35" i="11"/>
  <c r="X35" i="11"/>
  <c r="Y35" i="11"/>
  <c r="Z35" i="11"/>
  <c r="AA35" i="11"/>
  <c r="AB35" i="11"/>
  <c r="AR35" i="11"/>
  <c r="AS35" i="11"/>
  <c r="AT35" i="11"/>
  <c r="AU35" i="11"/>
  <c r="AV35" i="11"/>
  <c r="AW35" i="11"/>
  <c r="W36" i="11"/>
  <c r="X36" i="11"/>
  <c r="Y36" i="11"/>
  <c r="Z36" i="11"/>
  <c r="AA36" i="11"/>
  <c r="AB36" i="11"/>
  <c r="AR36" i="11"/>
  <c r="AS36" i="11"/>
  <c r="AT36" i="11"/>
  <c r="AU36" i="11"/>
  <c r="AV36" i="11"/>
  <c r="AW36" i="11"/>
  <c r="W37" i="11"/>
  <c r="X37" i="11"/>
  <c r="Y37" i="11"/>
  <c r="Z37" i="11"/>
  <c r="AA37" i="11"/>
  <c r="AB37" i="11"/>
  <c r="AR37" i="11"/>
  <c r="AS37" i="11"/>
  <c r="AT37" i="11"/>
  <c r="AU37" i="11"/>
  <c r="AV37" i="11"/>
  <c r="AW37" i="11"/>
  <c r="W38" i="11"/>
  <c r="X38" i="11"/>
  <c r="Y38" i="11"/>
  <c r="Z38" i="11"/>
  <c r="AA38" i="11"/>
  <c r="AB38" i="11"/>
  <c r="AR38" i="11"/>
  <c r="AS38" i="11"/>
  <c r="AZ38" i="11" s="1"/>
  <c r="AT38" i="11"/>
  <c r="AU38" i="11"/>
  <c r="AV38" i="11"/>
  <c r="AW38" i="11"/>
  <c r="W39" i="11"/>
  <c r="X39" i="11"/>
  <c r="Y39" i="11"/>
  <c r="Z39" i="11"/>
  <c r="AA39" i="11"/>
  <c r="AB39" i="11"/>
  <c r="AR39" i="11"/>
  <c r="AS39" i="11"/>
  <c r="AT39" i="11"/>
  <c r="AU39" i="11"/>
  <c r="AV39" i="11"/>
  <c r="AW39" i="11"/>
  <c r="W40" i="11"/>
  <c r="X40" i="11"/>
  <c r="Y40" i="11"/>
  <c r="Z40" i="11"/>
  <c r="AA40" i="11"/>
  <c r="AB40" i="11"/>
  <c r="AR40" i="11"/>
  <c r="AS40" i="11"/>
  <c r="AZ40" i="11" s="1"/>
  <c r="AT40" i="11"/>
  <c r="AU40" i="11"/>
  <c r="AV40" i="11"/>
  <c r="AW40" i="11"/>
  <c r="W41" i="11"/>
  <c r="X41" i="11"/>
  <c r="Y41" i="11"/>
  <c r="Z41" i="11"/>
  <c r="AA41" i="11"/>
  <c r="AB41" i="11"/>
  <c r="AR41" i="11"/>
  <c r="AS41" i="11"/>
  <c r="AT41" i="11"/>
  <c r="AU41" i="11"/>
  <c r="AV41" i="11"/>
  <c r="AW41" i="11"/>
  <c r="W42" i="11"/>
  <c r="X42" i="11"/>
  <c r="Y42" i="11"/>
  <c r="Z42" i="11"/>
  <c r="AA42" i="11"/>
  <c r="AB42" i="11"/>
  <c r="AR42" i="11"/>
  <c r="AS42" i="11"/>
  <c r="AZ42" i="11" s="1"/>
  <c r="AT42" i="11"/>
  <c r="AU42" i="11"/>
  <c r="AV42" i="11"/>
  <c r="AW42" i="11"/>
  <c r="W43" i="11"/>
  <c r="X43" i="11"/>
  <c r="Y43" i="11"/>
  <c r="Z43" i="11"/>
  <c r="AA43" i="11"/>
  <c r="AB43" i="11"/>
  <c r="AR43" i="11"/>
  <c r="AS43" i="11"/>
  <c r="AT43" i="11"/>
  <c r="AU43" i="11"/>
  <c r="AV43" i="11"/>
  <c r="AW43" i="11"/>
  <c r="W44" i="11"/>
  <c r="X44" i="11"/>
  <c r="Y44" i="11"/>
  <c r="Z44" i="11"/>
  <c r="AA44" i="11"/>
  <c r="AB44" i="11"/>
  <c r="AR44" i="11"/>
  <c r="AS44" i="11"/>
  <c r="AZ44" i="11" s="1"/>
  <c r="AT44" i="11"/>
  <c r="AU44" i="11"/>
  <c r="AV44" i="11"/>
  <c r="AW44" i="11"/>
  <c r="W45" i="11"/>
  <c r="X45" i="11"/>
  <c r="Y45" i="11"/>
  <c r="Z45" i="11"/>
  <c r="AA45" i="11"/>
  <c r="AB45" i="11"/>
  <c r="AR45" i="11"/>
  <c r="AS45" i="11"/>
  <c r="AT45" i="11"/>
  <c r="AU45" i="11"/>
  <c r="AV45" i="11"/>
  <c r="AW45" i="11"/>
  <c r="W46" i="11"/>
  <c r="X46" i="11"/>
  <c r="Y46" i="11"/>
  <c r="Z46" i="11"/>
  <c r="AA46" i="11"/>
  <c r="AB46" i="11"/>
  <c r="AR46" i="11"/>
  <c r="AS46" i="11"/>
  <c r="AZ46" i="11" s="1"/>
  <c r="AT46" i="11"/>
  <c r="AU46" i="11"/>
  <c r="AV46" i="11"/>
  <c r="AW46" i="11"/>
  <c r="W47" i="11"/>
  <c r="X47" i="11"/>
  <c r="Y47" i="11"/>
  <c r="Z47" i="11"/>
  <c r="AA47" i="11"/>
  <c r="AB47" i="11"/>
  <c r="AR47" i="11"/>
  <c r="AS47" i="11"/>
  <c r="AT47" i="11"/>
  <c r="AU47" i="11"/>
  <c r="AV47" i="11"/>
  <c r="AW47" i="11"/>
  <c r="W48" i="11"/>
  <c r="X48" i="11"/>
  <c r="Y48" i="11"/>
  <c r="Z48" i="11"/>
  <c r="AA48" i="11"/>
  <c r="AB48" i="11"/>
  <c r="AR48" i="11"/>
  <c r="AS48" i="11"/>
  <c r="AZ48" i="11" s="1"/>
  <c r="AT48" i="11"/>
  <c r="AU48" i="11"/>
  <c r="AV48" i="11"/>
  <c r="AW48" i="11"/>
  <c r="W49" i="11"/>
  <c r="X49" i="11"/>
  <c r="Y49" i="11"/>
  <c r="Z49" i="11"/>
  <c r="AA49" i="11"/>
  <c r="AB49" i="11"/>
  <c r="AR49" i="11"/>
  <c r="AS49" i="11"/>
  <c r="AT49" i="11"/>
  <c r="AU49" i="11"/>
  <c r="AV49" i="11"/>
  <c r="AW49" i="11"/>
  <c r="W50" i="11"/>
  <c r="X50" i="11"/>
  <c r="Y50" i="11"/>
  <c r="Z50" i="11"/>
  <c r="AA50" i="11"/>
  <c r="AB50" i="11"/>
  <c r="AR50" i="11"/>
  <c r="AS50" i="11"/>
  <c r="AZ50" i="11" s="1"/>
  <c r="AT50" i="11"/>
  <c r="AU50" i="11"/>
  <c r="AV50" i="11"/>
  <c r="AW50" i="11"/>
  <c r="W51" i="11"/>
  <c r="X51" i="11"/>
  <c r="Y51" i="11"/>
  <c r="Z51" i="11"/>
  <c r="AA51" i="11"/>
  <c r="AB51" i="11"/>
  <c r="AR51" i="11"/>
  <c r="AS51" i="11"/>
  <c r="AT51" i="11"/>
  <c r="AU51" i="11"/>
  <c r="AV51" i="11"/>
  <c r="AW51" i="11"/>
  <c r="W52" i="11"/>
  <c r="X52" i="11"/>
  <c r="Y52" i="11"/>
  <c r="Z52" i="11"/>
  <c r="AA52" i="11"/>
  <c r="AB52" i="11"/>
  <c r="AR52" i="11"/>
  <c r="AS52" i="11"/>
  <c r="AZ52" i="11" s="1"/>
  <c r="AT52" i="11"/>
  <c r="AU52" i="11"/>
  <c r="AV52" i="11"/>
  <c r="AW52" i="11"/>
  <c r="B53" i="11"/>
  <c r="O53" i="11" s="1"/>
  <c r="C53" i="11"/>
  <c r="D53" i="11"/>
  <c r="E53" i="11"/>
  <c r="F53" i="11"/>
  <c r="G53" i="11"/>
  <c r="P53" i="11"/>
  <c r="Q53" i="11"/>
  <c r="Q9" i="14" s="1"/>
  <c r="Q23" i="14" s="1"/>
  <c r="R53" i="11"/>
  <c r="R9" i="14" s="1"/>
  <c r="R23" i="14" s="1"/>
  <c r="S53" i="11"/>
  <c r="S9" i="14" s="1"/>
  <c r="S23" i="14" s="1"/>
  <c r="T53" i="11"/>
  <c r="T9" i="14" s="1"/>
  <c r="T23" i="14" s="1"/>
  <c r="U53" i="11"/>
  <c r="U9" i="14" s="1"/>
  <c r="U23" i="14" s="1"/>
  <c r="AD53" i="11"/>
  <c r="AD9" i="14" s="1"/>
  <c r="AD23" i="14" s="1"/>
  <c r="AE53" i="11"/>
  <c r="AE9" i="14" s="1"/>
  <c r="AE23" i="14" s="1"/>
  <c r="AF53" i="11"/>
  <c r="AF9" i="14" s="1"/>
  <c r="AF23" i="14" s="1"/>
  <c r="AG53" i="11"/>
  <c r="AG9" i="14" s="1"/>
  <c r="AG23" i="14" s="1"/>
  <c r="AH53" i="11"/>
  <c r="AH9" i="14" s="1"/>
  <c r="AH23" i="14" s="1"/>
  <c r="AI53" i="11"/>
  <c r="AI9" i="14" s="1"/>
  <c r="AI23" i="14" s="1"/>
  <c r="AK53" i="11"/>
  <c r="AK9" i="14" s="1"/>
  <c r="AL53" i="11"/>
  <c r="AL9" i="14" s="1"/>
  <c r="AM53" i="11"/>
  <c r="AM9" i="14" s="1"/>
  <c r="AN53" i="11"/>
  <c r="AN9" i="14" s="1"/>
  <c r="AO53" i="11"/>
  <c r="AO9" i="14" s="1"/>
  <c r="AO23" i="14" s="1"/>
  <c r="BQ23" i="14" s="1"/>
  <c r="AP53" i="11"/>
  <c r="AP9" i="14" s="1"/>
  <c r="AP23" i="14" s="1"/>
  <c r="BR23" i="14" s="1"/>
  <c r="BT53" i="11"/>
  <c r="BT9" i="14" s="1"/>
  <c r="BT23" i="14" s="1"/>
  <c r="BU53" i="11"/>
  <c r="BU9" i="14" s="1"/>
  <c r="BU23" i="14" s="1"/>
  <c r="BV53" i="11"/>
  <c r="BV9" i="14" s="1"/>
  <c r="BV23" i="14" s="1"/>
  <c r="BW53" i="11"/>
  <c r="BW9" i="14" s="1"/>
  <c r="BW23" i="14" s="1"/>
  <c r="BX53" i="11"/>
  <c r="BX9" i="14" s="1"/>
  <c r="BX23" i="14" s="1"/>
  <c r="BY53" i="11"/>
  <c r="BY9" i="14" s="1"/>
  <c r="BY23" i="14" s="1"/>
  <c r="BF24" i="14" l="1"/>
  <c r="BE18" i="12"/>
  <c r="AR10" i="14"/>
  <c r="BE10" i="14" s="1"/>
  <c r="BQ24" i="14"/>
  <c r="BR24" i="14"/>
  <c r="BK23" i="14"/>
  <c r="BJ23" i="14"/>
  <c r="AZ36" i="11"/>
  <c r="AZ32" i="11"/>
  <c r="AZ30" i="11"/>
  <c r="AZ28" i="11"/>
  <c r="AZ26" i="11"/>
  <c r="AZ24" i="11"/>
  <c r="AZ22" i="11"/>
  <c r="AZ20" i="11"/>
  <c r="AZ16" i="11"/>
  <c r="AZ12" i="11"/>
  <c r="AZ10" i="11"/>
  <c r="AZ51" i="11"/>
  <c r="AZ49" i="11"/>
  <c r="AZ47" i="11"/>
  <c r="AZ45" i="11"/>
  <c r="AZ43" i="11"/>
  <c r="AZ41" i="11"/>
  <c r="AZ39" i="11"/>
  <c r="AZ37" i="11"/>
  <c r="AZ35" i="11"/>
  <c r="AZ34" i="11"/>
  <c r="AZ33" i="11"/>
  <c r="AZ31" i="11"/>
  <c r="AZ29" i="11"/>
  <c r="AZ27" i="11"/>
  <c r="AZ25" i="11"/>
  <c r="AZ23" i="11"/>
  <c r="AZ21" i="11"/>
  <c r="AZ19" i="11"/>
  <c r="AZ11" i="11"/>
  <c r="AZ9" i="11"/>
  <c r="BA8" i="11"/>
  <c r="BA7" i="11"/>
  <c r="BA52" i="11"/>
  <c r="BA51" i="11"/>
  <c r="BA50" i="11"/>
  <c r="BA49" i="11"/>
  <c r="BA48" i="11"/>
  <c r="BA47" i="11"/>
  <c r="BA46" i="11"/>
  <c r="BA45" i="11"/>
  <c r="BA44" i="11"/>
  <c r="BA43" i="11"/>
  <c r="BA42" i="11"/>
  <c r="BA41" i="11"/>
  <c r="BA40" i="11"/>
  <c r="BA39" i="11"/>
  <c r="BA38" i="11"/>
  <c r="BA37" i="11"/>
  <c r="BA36" i="11"/>
  <c r="BA35" i="11"/>
  <c r="BA34" i="11"/>
  <c r="BA33" i="11"/>
  <c r="BA32" i="11"/>
  <c r="BA31" i="11"/>
  <c r="BA30" i="11"/>
  <c r="BA29" i="11"/>
  <c r="BA28" i="11"/>
  <c r="BA27" i="11"/>
  <c r="BA26" i="11"/>
  <c r="BA25" i="11"/>
  <c r="BA24" i="11"/>
  <c r="BA23" i="11"/>
  <c r="BA22" i="11"/>
  <c r="BA21" i="11"/>
  <c r="BA20" i="11"/>
  <c r="BA19" i="11"/>
  <c r="BA16" i="11"/>
  <c r="BA12" i="11"/>
  <c r="BA11" i="11"/>
  <c r="BA10" i="11"/>
  <c r="BA9" i="11"/>
  <c r="AZ8" i="11"/>
  <c r="AZ7" i="11"/>
  <c r="I24" i="14"/>
  <c r="AR24" i="14"/>
  <c r="O24" i="14"/>
  <c r="M24" i="14"/>
  <c r="N24" i="14"/>
  <c r="AV24" i="14"/>
  <c r="K24" i="14"/>
  <c r="AT24" i="14"/>
  <c r="AW24" i="14"/>
  <c r="J24" i="14"/>
  <c r="AS24" i="14"/>
  <c r="L24" i="14"/>
  <c r="AU24" i="14"/>
  <c r="AN23" i="14"/>
  <c r="AK23" i="14"/>
  <c r="AM23" i="14"/>
  <c r="AL23" i="14"/>
  <c r="I10" i="14"/>
  <c r="O10" i="14"/>
  <c r="AZ11" i="14"/>
  <c r="K10" i="14"/>
  <c r="N10" i="14"/>
  <c r="J10" i="14"/>
  <c r="L10" i="14"/>
  <c r="AZ18" i="12"/>
  <c r="BD18" i="12"/>
  <c r="BA18" i="12"/>
  <c r="BC18" i="12"/>
  <c r="M10" i="14"/>
  <c r="AY10" i="14"/>
  <c r="AY18" i="12"/>
  <c r="BB18" i="12"/>
  <c r="AZ17" i="11"/>
  <c r="AY51" i="11"/>
  <c r="BE51" i="11"/>
  <c r="AY47" i="11"/>
  <c r="BE47" i="11"/>
  <c r="AY18" i="11"/>
  <c r="BE18" i="11"/>
  <c r="AY17" i="11"/>
  <c r="BE17" i="11"/>
  <c r="BA18" i="11"/>
  <c r="BA17" i="11"/>
  <c r="AZ18" i="11"/>
  <c r="AY52" i="11"/>
  <c r="BE52" i="11"/>
  <c r="AY50" i="11"/>
  <c r="BE50" i="11"/>
  <c r="AY49" i="11"/>
  <c r="BE49" i="11"/>
  <c r="AY48" i="11"/>
  <c r="BE48" i="11"/>
  <c r="AY46" i="11"/>
  <c r="BE46" i="11"/>
  <c r="AY45" i="11"/>
  <c r="BE45" i="11"/>
  <c r="AY44" i="11"/>
  <c r="BE44" i="11"/>
  <c r="AY43" i="11"/>
  <c r="BE43" i="11"/>
  <c r="AY42" i="11"/>
  <c r="BE42" i="11"/>
  <c r="AY41" i="11"/>
  <c r="BE41" i="11"/>
  <c r="AY40" i="11"/>
  <c r="BE40" i="11"/>
  <c r="AY39" i="11"/>
  <c r="BE39" i="11"/>
  <c r="AY38" i="11"/>
  <c r="BE38" i="11"/>
  <c r="AY37" i="11"/>
  <c r="BE37" i="11"/>
  <c r="AY36" i="11"/>
  <c r="BE36" i="11"/>
  <c r="AY35" i="11"/>
  <c r="BE35" i="11"/>
  <c r="AY34" i="11"/>
  <c r="BE34" i="11"/>
  <c r="AY33" i="11"/>
  <c r="BE33" i="11"/>
  <c r="AY32" i="11"/>
  <c r="BE32" i="11"/>
  <c r="AY31" i="11"/>
  <c r="BE31" i="11"/>
  <c r="AY30" i="11"/>
  <c r="BE30" i="11"/>
  <c r="AY29" i="11"/>
  <c r="BE29" i="11"/>
  <c r="AY28" i="11"/>
  <c r="BE28" i="11"/>
  <c r="AY27" i="11"/>
  <c r="BE27" i="11"/>
  <c r="AY26" i="11"/>
  <c r="BE26" i="11"/>
  <c r="AY25" i="11"/>
  <c r="BE25" i="11"/>
  <c r="AY24" i="11"/>
  <c r="BE24" i="11"/>
  <c r="AY23" i="11"/>
  <c r="BE23" i="11"/>
  <c r="AY22" i="11"/>
  <c r="BE22" i="11"/>
  <c r="AY21" i="11"/>
  <c r="BE21" i="11"/>
  <c r="AY20" i="11"/>
  <c r="BE20" i="11"/>
  <c r="AY19" i="11"/>
  <c r="BE19" i="11"/>
  <c r="AY16" i="11"/>
  <c r="BE16" i="11"/>
  <c r="AY15" i="11"/>
  <c r="BE15" i="11"/>
  <c r="AY14" i="11"/>
  <c r="BE14" i="11"/>
  <c r="AY13" i="11"/>
  <c r="BE13" i="11"/>
  <c r="AY12" i="11"/>
  <c r="BE12" i="11"/>
  <c r="AY11" i="11"/>
  <c r="BE11" i="11"/>
  <c r="AY10" i="11"/>
  <c r="BE10" i="11"/>
  <c r="AY9" i="11"/>
  <c r="BE9" i="11"/>
  <c r="AY8" i="11"/>
  <c r="BE8" i="11"/>
  <c r="AY7" i="11"/>
  <c r="BE7" i="11"/>
  <c r="AY6" i="11"/>
  <c r="BE6" i="11"/>
  <c r="BD52" i="11"/>
  <c r="BD47" i="11"/>
  <c r="BD43" i="11"/>
  <c r="BD51" i="11"/>
  <c r="BD50" i="11"/>
  <c r="BD49" i="11"/>
  <c r="BD48" i="11"/>
  <c r="BD46" i="11"/>
  <c r="BD45" i="11"/>
  <c r="BD44" i="11"/>
  <c r="BD42" i="11"/>
  <c r="BD41" i="11"/>
  <c r="BD40" i="11"/>
  <c r="BD39" i="11"/>
  <c r="BD38" i="11"/>
  <c r="BD37" i="11"/>
  <c r="BD36" i="11"/>
  <c r="BD35" i="11"/>
  <c r="BD34" i="11"/>
  <c r="BD33" i="11"/>
  <c r="BD32" i="11"/>
  <c r="BD31" i="11"/>
  <c r="BD30" i="11"/>
  <c r="BD29" i="11"/>
  <c r="BD28" i="11"/>
  <c r="BD27" i="11"/>
  <c r="BD26" i="11"/>
  <c r="BD25" i="11"/>
  <c r="BD24" i="11"/>
  <c r="BD23" i="11"/>
  <c r="BD22" i="11"/>
  <c r="BD21" i="11"/>
  <c r="BD20" i="11"/>
  <c r="BD19" i="11"/>
  <c r="BD18" i="11"/>
  <c r="BD17" i="11"/>
  <c r="BD16" i="11"/>
  <c r="BD15" i="11"/>
  <c r="BD14" i="11"/>
  <c r="BD13" i="11"/>
  <c r="BD12" i="11"/>
  <c r="BD11" i="11"/>
  <c r="BD10" i="11"/>
  <c r="BD9" i="11"/>
  <c r="BD8" i="11"/>
  <c r="BD7" i="11"/>
  <c r="BC52" i="11"/>
  <c r="BC51" i="11"/>
  <c r="BC50" i="11"/>
  <c r="BC49" i="11"/>
  <c r="BC48" i="11"/>
  <c r="BC47" i="11"/>
  <c r="BC46" i="11"/>
  <c r="BC45" i="11"/>
  <c r="BC44" i="11"/>
  <c r="BC43" i="11"/>
  <c r="BC42" i="11"/>
  <c r="BC41" i="11"/>
  <c r="BC40" i="11"/>
  <c r="BC39" i="11"/>
  <c r="BC38" i="11"/>
  <c r="BC37" i="11"/>
  <c r="BC36" i="11"/>
  <c r="BC35" i="11"/>
  <c r="BA15" i="11"/>
  <c r="BA14" i="11"/>
  <c r="BA13" i="11"/>
  <c r="AZ15" i="11"/>
  <c r="AZ14" i="11"/>
  <c r="AZ13" i="11"/>
  <c r="P9" i="14"/>
  <c r="P23" i="14" s="1"/>
  <c r="AC53" i="11"/>
  <c r="AC9" i="14" s="1"/>
  <c r="AC23" i="14" s="1"/>
  <c r="BC34" i="11"/>
  <c r="BC33" i="11"/>
  <c r="BC32" i="11"/>
  <c r="BC31" i="11"/>
  <c r="BC30" i="11"/>
  <c r="BC29" i="11"/>
  <c r="BC28" i="11"/>
  <c r="BC27" i="11"/>
  <c r="BC26" i="11"/>
  <c r="BC25" i="11"/>
  <c r="BC24" i="11"/>
  <c r="BC23" i="11"/>
  <c r="BC22" i="11"/>
  <c r="BC21" i="11"/>
  <c r="BC20" i="11"/>
  <c r="BC19" i="11"/>
  <c r="BC18" i="11"/>
  <c r="BC17" i="11"/>
  <c r="BC16" i="11"/>
  <c r="BC15" i="11"/>
  <c r="BC14" i="11"/>
  <c r="BC13" i="11"/>
  <c r="BC12" i="11"/>
  <c r="BC11" i="11"/>
  <c r="BC10" i="11"/>
  <c r="BC9" i="11"/>
  <c r="BC8" i="11"/>
  <c r="BC7" i="11"/>
  <c r="BC6" i="11"/>
  <c r="BB52" i="11"/>
  <c r="BB51" i="11"/>
  <c r="BB50" i="11"/>
  <c r="BB49" i="11"/>
  <c r="BB48" i="11"/>
  <c r="BB47" i="11"/>
  <c r="BB46" i="11"/>
  <c r="BB45" i="11"/>
  <c r="BB44" i="11"/>
  <c r="BB43" i="11"/>
  <c r="BB42" i="11"/>
  <c r="BB41" i="11"/>
  <c r="BB40" i="11"/>
  <c r="BB39" i="11"/>
  <c r="BB38" i="11"/>
  <c r="BB37" i="11"/>
  <c r="BB36" i="11"/>
  <c r="BB35" i="11"/>
  <c r="BB34" i="11"/>
  <c r="BB33" i="11"/>
  <c r="BB32" i="11"/>
  <c r="BB31" i="11"/>
  <c r="BB30" i="11"/>
  <c r="BB29" i="11"/>
  <c r="BB28" i="11"/>
  <c r="BB27" i="11"/>
  <c r="BB26" i="11"/>
  <c r="BB25" i="11"/>
  <c r="BB24" i="11"/>
  <c r="BB23" i="11"/>
  <c r="BB22" i="11"/>
  <c r="BB21" i="11"/>
  <c r="BB20" i="11"/>
  <c r="BB19" i="11"/>
  <c r="BB18" i="11"/>
  <c r="BB17" i="11"/>
  <c r="BB16" i="11"/>
  <c r="BB15" i="11"/>
  <c r="BB14" i="11"/>
  <c r="BB13" i="11"/>
  <c r="BB12" i="11"/>
  <c r="BB11" i="11"/>
  <c r="BB10" i="11"/>
  <c r="BB9" i="11"/>
  <c r="BB8" i="11"/>
  <c r="BB7" i="11"/>
  <c r="BB6" i="11"/>
  <c r="F9" i="14"/>
  <c r="F23" i="14" s="1"/>
  <c r="AV23" i="14" s="1"/>
  <c r="M53" i="11"/>
  <c r="E9" i="14"/>
  <c r="E23" i="14" s="1"/>
  <c r="L53" i="11"/>
  <c r="G9" i="14"/>
  <c r="G23" i="14" s="1"/>
  <c r="N53" i="11"/>
  <c r="D9" i="14"/>
  <c r="D23" i="14" s="1"/>
  <c r="K53" i="11"/>
  <c r="B9" i="14"/>
  <c r="B23" i="14" s="1"/>
  <c r="I53" i="11"/>
  <c r="C9" i="14"/>
  <c r="C23" i="14" s="1"/>
  <c r="J53" i="11"/>
  <c r="BD6" i="11"/>
  <c r="AZ6" i="11"/>
  <c r="BA6" i="11"/>
  <c r="BI9" i="14"/>
  <c r="Y53" i="11"/>
  <c r="Y9" i="14" s="1"/>
  <c r="Y23" i="14" s="1"/>
  <c r="W53" i="11"/>
  <c r="W9" i="14" s="1"/>
  <c r="W23" i="14" s="1"/>
  <c r="X53" i="11"/>
  <c r="X9" i="14" s="1"/>
  <c r="X23" i="14" s="1"/>
  <c r="BK9" i="14"/>
  <c r="BJ9" i="14"/>
  <c r="AW53" i="11"/>
  <c r="AW9" i="14" s="1"/>
  <c r="BR53" i="11"/>
  <c r="BR9" i="14" s="1"/>
  <c r="AU53" i="11"/>
  <c r="AU9" i="14" s="1"/>
  <c r="BP53" i="11"/>
  <c r="BP9" i="14" s="1"/>
  <c r="BB11" i="14"/>
  <c r="BC11" i="14"/>
  <c r="BD11" i="14"/>
  <c r="BA11" i="14"/>
  <c r="AY11" i="14"/>
  <c r="AV53" i="11"/>
  <c r="AV9" i="14" s="1"/>
  <c r="BQ53" i="11"/>
  <c r="BQ9" i="14" s="1"/>
  <c r="BH9" i="14"/>
  <c r="AT53" i="11"/>
  <c r="AT9" i="14" s="1"/>
  <c r="BO53" i="11"/>
  <c r="BO9" i="14" s="1"/>
  <c r="AS53" i="11"/>
  <c r="AS9" i="14" s="1"/>
  <c r="BN53" i="11"/>
  <c r="BN9" i="14" s="1"/>
  <c r="BG9" i="14"/>
  <c r="AR53" i="11"/>
  <c r="AR9" i="14" s="1"/>
  <c r="BE9" i="14" s="1"/>
  <c r="BM53" i="11"/>
  <c r="BM9" i="14" s="1"/>
  <c r="AB53" i="11"/>
  <c r="AB9" i="14" s="1"/>
  <c r="AB23" i="14" s="1"/>
  <c r="BF9" i="14"/>
  <c r="AA53" i="11"/>
  <c r="AA9" i="14" s="1"/>
  <c r="AA23" i="14" s="1"/>
  <c r="Z53" i="11"/>
  <c r="Z9" i="14" s="1"/>
  <c r="Z23" i="14" s="1"/>
  <c r="W6" i="10"/>
  <c r="X6" i="10"/>
  <c r="Y6" i="10"/>
  <c r="Z6" i="10"/>
  <c r="AR6" i="10"/>
  <c r="AS6" i="10"/>
  <c r="AT6" i="10"/>
  <c r="AU6" i="10"/>
  <c r="AV6" i="10"/>
  <c r="AW6" i="10"/>
  <c r="W7" i="10"/>
  <c r="X7" i="10"/>
  <c r="Y7" i="10"/>
  <c r="Z7" i="10"/>
  <c r="AR7" i="10"/>
  <c r="AS7" i="10"/>
  <c r="AT7" i="10"/>
  <c r="BA7" i="10" s="1"/>
  <c r="AU7" i="10"/>
  <c r="AV7" i="10"/>
  <c r="AW7" i="10"/>
  <c r="W8" i="10"/>
  <c r="X8" i="10"/>
  <c r="Y8" i="10"/>
  <c r="Z8" i="10"/>
  <c r="AR8" i="10"/>
  <c r="AS8" i="10"/>
  <c r="AT8" i="10"/>
  <c r="AU8" i="10"/>
  <c r="AV8" i="10"/>
  <c r="AW8" i="10"/>
  <c r="W9" i="10"/>
  <c r="X9" i="10"/>
  <c r="Y9" i="10"/>
  <c r="Z9" i="10"/>
  <c r="AR9" i="10"/>
  <c r="AS9" i="10"/>
  <c r="AT9" i="10"/>
  <c r="AU9" i="10"/>
  <c r="AV9" i="10"/>
  <c r="AW9" i="10"/>
  <c r="W10" i="10"/>
  <c r="X10" i="10"/>
  <c r="Y10" i="10"/>
  <c r="Z10" i="10"/>
  <c r="AR10" i="10"/>
  <c r="AS10" i="10"/>
  <c r="AT10" i="10"/>
  <c r="AU10" i="10"/>
  <c r="AV10" i="10"/>
  <c r="AW10" i="10"/>
  <c r="BD10" i="10" s="1"/>
  <c r="W11" i="10"/>
  <c r="X11" i="10"/>
  <c r="Y11" i="10"/>
  <c r="Z11" i="10"/>
  <c r="AR11" i="10"/>
  <c r="AS11" i="10"/>
  <c r="AT11" i="10"/>
  <c r="AU11" i="10"/>
  <c r="AV11" i="10"/>
  <c r="AW11" i="10"/>
  <c r="W12" i="10"/>
  <c r="X12" i="10"/>
  <c r="Y12" i="10"/>
  <c r="Z12" i="10"/>
  <c r="AR12" i="10"/>
  <c r="AS12" i="10"/>
  <c r="AT12" i="10"/>
  <c r="AU12" i="10"/>
  <c r="AV12" i="10"/>
  <c r="AW12" i="10"/>
  <c r="W13" i="10"/>
  <c r="X13" i="10"/>
  <c r="Y13" i="10"/>
  <c r="Z13" i="10"/>
  <c r="AR13" i="10"/>
  <c r="AS13" i="10"/>
  <c r="AT13" i="10"/>
  <c r="BA13" i="10" s="1"/>
  <c r="AU13" i="10"/>
  <c r="AV13" i="10"/>
  <c r="AW13" i="10"/>
  <c r="W14" i="10"/>
  <c r="X14" i="10"/>
  <c r="Y14" i="10"/>
  <c r="Z14" i="10"/>
  <c r="AR14" i="10"/>
  <c r="AS14" i="10"/>
  <c r="AT14" i="10"/>
  <c r="AU14" i="10"/>
  <c r="AV14" i="10"/>
  <c r="AW14" i="10"/>
  <c r="W15" i="10"/>
  <c r="X15" i="10"/>
  <c r="Y15" i="10"/>
  <c r="Z15" i="10"/>
  <c r="AR15" i="10"/>
  <c r="AS15" i="10"/>
  <c r="AT15" i="10"/>
  <c r="AU15" i="10"/>
  <c r="AV15" i="10"/>
  <c r="AW15" i="10"/>
  <c r="W16" i="10"/>
  <c r="X16" i="10"/>
  <c r="Y16" i="10"/>
  <c r="Z16" i="10"/>
  <c r="AR16" i="10"/>
  <c r="AS16" i="10"/>
  <c r="AT16" i="10"/>
  <c r="AU16" i="10"/>
  <c r="AV16" i="10"/>
  <c r="AW16" i="10"/>
  <c r="BD16" i="10" s="1"/>
  <c r="W17" i="10"/>
  <c r="X17" i="10"/>
  <c r="Y17" i="10"/>
  <c r="Z17" i="10"/>
  <c r="AR17" i="10"/>
  <c r="AS17" i="10"/>
  <c r="AT17" i="10"/>
  <c r="AU17" i="10"/>
  <c r="AV17" i="10"/>
  <c r="AW17" i="10"/>
  <c r="W18" i="10"/>
  <c r="X18" i="10"/>
  <c r="Y18" i="10"/>
  <c r="Z18" i="10"/>
  <c r="AR18" i="10"/>
  <c r="AS18" i="10"/>
  <c r="AT18" i="10"/>
  <c r="AU18" i="10"/>
  <c r="AV18" i="10"/>
  <c r="AW18" i="10"/>
  <c r="W19" i="10"/>
  <c r="X19" i="10"/>
  <c r="Y19" i="10"/>
  <c r="Z19" i="10"/>
  <c r="AR19" i="10"/>
  <c r="AS19" i="10"/>
  <c r="AZ19" i="10" s="1"/>
  <c r="AT19" i="10"/>
  <c r="AU19" i="10"/>
  <c r="AV19" i="10"/>
  <c r="AW19" i="10"/>
  <c r="W20" i="10"/>
  <c r="X20" i="10"/>
  <c r="Y20" i="10"/>
  <c r="Z20" i="10"/>
  <c r="AR20" i="10"/>
  <c r="AS20" i="10"/>
  <c r="AT20" i="10"/>
  <c r="AU20" i="10"/>
  <c r="AV20" i="10"/>
  <c r="AW20" i="10"/>
  <c r="W21" i="10"/>
  <c r="X21" i="10"/>
  <c r="Y21" i="10"/>
  <c r="Z21" i="10"/>
  <c r="AR21" i="10"/>
  <c r="AS21" i="10"/>
  <c r="AT21" i="10"/>
  <c r="AU21" i="10"/>
  <c r="AV21" i="10"/>
  <c r="AW21" i="10"/>
  <c r="W22" i="10"/>
  <c r="X22" i="10"/>
  <c r="Y22" i="10"/>
  <c r="Z22" i="10"/>
  <c r="AR22" i="10"/>
  <c r="AS22" i="10"/>
  <c r="AT22" i="10"/>
  <c r="AU22" i="10"/>
  <c r="AV22" i="10"/>
  <c r="AW22" i="10"/>
  <c r="BD22" i="10" s="1"/>
  <c r="W23" i="10"/>
  <c r="X23" i="10"/>
  <c r="Y23" i="10"/>
  <c r="Z23" i="10"/>
  <c r="AR23" i="10"/>
  <c r="AS23" i="10"/>
  <c r="AT23" i="10"/>
  <c r="AU23" i="10"/>
  <c r="AV23" i="10"/>
  <c r="AW23" i="10"/>
  <c r="BF28" i="14"/>
  <c r="BG28" i="14"/>
  <c r="BH28" i="14"/>
  <c r="BI28" i="14"/>
  <c r="BJ28" i="14"/>
  <c r="BK28" i="14"/>
  <c r="W24" i="10"/>
  <c r="X24" i="10"/>
  <c r="Y24" i="10"/>
  <c r="Z24" i="10"/>
  <c r="AR24" i="10"/>
  <c r="AS24" i="10"/>
  <c r="AT24" i="10"/>
  <c r="AU24" i="10"/>
  <c r="AV24" i="10"/>
  <c r="AW24" i="10"/>
  <c r="BF25" i="10"/>
  <c r="BJ25" i="10"/>
  <c r="BK25" i="10"/>
  <c r="W25" i="10"/>
  <c r="X25" i="10"/>
  <c r="Y25" i="10"/>
  <c r="Z25" i="10"/>
  <c r="AA25" i="10"/>
  <c r="AB25" i="10"/>
  <c r="AR25" i="10"/>
  <c r="AS25" i="10"/>
  <c r="AT25" i="10"/>
  <c r="AU25" i="10"/>
  <c r="AV25" i="10"/>
  <c r="AW25" i="10"/>
  <c r="B26" i="10"/>
  <c r="O26" i="10" s="1"/>
  <c r="C26" i="10"/>
  <c r="D26" i="10"/>
  <c r="E26" i="10"/>
  <c r="E29" i="10" s="1"/>
  <c r="F26" i="10"/>
  <c r="G26" i="10"/>
  <c r="P26" i="10"/>
  <c r="AC26" i="10" s="1"/>
  <c r="AC8" i="14" s="1"/>
  <c r="AC22" i="14" s="1"/>
  <c r="Q26" i="10"/>
  <c r="R26" i="10"/>
  <c r="S26" i="10"/>
  <c r="AD26" i="10"/>
  <c r="AE26" i="10"/>
  <c r="AF26" i="10"/>
  <c r="AG26" i="10"/>
  <c r="AH26" i="10"/>
  <c r="AI26" i="10"/>
  <c r="AK26" i="10"/>
  <c r="AK8" i="14" s="1"/>
  <c r="AK22" i="14" s="1"/>
  <c r="AL26" i="10"/>
  <c r="AL8" i="14" s="1"/>
  <c r="AL22" i="14" s="1"/>
  <c r="AM26" i="10"/>
  <c r="AM8" i="14" s="1"/>
  <c r="AM22" i="14" s="1"/>
  <c r="AN26" i="10"/>
  <c r="AN8" i="14" s="1"/>
  <c r="AN22" i="14" s="1"/>
  <c r="AO26" i="10"/>
  <c r="AO8" i="14" s="1"/>
  <c r="AO22" i="14" s="1"/>
  <c r="AP26" i="10"/>
  <c r="AP8" i="14" s="1"/>
  <c r="AP22" i="14" s="1"/>
  <c r="BT26" i="10"/>
  <c r="BT8" i="14" s="1"/>
  <c r="BT22" i="14" s="1"/>
  <c r="BU26" i="10"/>
  <c r="BU8" i="14" s="1"/>
  <c r="BU22" i="14" s="1"/>
  <c r="BV26" i="10"/>
  <c r="BV8" i="14" s="1"/>
  <c r="BV22" i="14" s="1"/>
  <c r="BW26" i="10"/>
  <c r="BX26" i="10"/>
  <c r="BY26" i="10"/>
  <c r="BF27" i="10"/>
  <c r="BG27" i="10"/>
  <c r="BH27" i="10"/>
  <c r="BI27" i="10"/>
  <c r="BJ27" i="10"/>
  <c r="BK27" i="10"/>
  <c r="W27" i="10"/>
  <c r="X27" i="10"/>
  <c r="Y27" i="10"/>
  <c r="Z27" i="10"/>
  <c r="AR27" i="10"/>
  <c r="AS27" i="10"/>
  <c r="AT27" i="10"/>
  <c r="AU27" i="10"/>
  <c r="AV27" i="10"/>
  <c r="AW27" i="10"/>
  <c r="BF28" i="10"/>
  <c r="BG28" i="10"/>
  <c r="BH28" i="10"/>
  <c r="BI28" i="10"/>
  <c r="BJ28" i="10"/>
  <c r="BK28" i="10"/>
  <c r="W28" i="10"/>
  <c r="X28" i="10"/>
  <c r="Y28" i="10"/>
  <c r="Z28" i="10"/>
  <c r="AR28" i="10"/>
  <c r="AS28" i="10"/>
  <c r="AT28" i="10"/>
  <c r="AU28" i="10"/>
  <c r="AV28" i="10"/>
  <c r="AW28" i="10"/>
  <c r="AZ20" i="10" l="1"/>
  <c r="AZ14" i="10"/>
  <c r="AZ8" i="10"/>
  <c r="BI26" i="10"/>
  <c r="BJ26" i="10"/>
  <c r="BK26" i="10"/>
  <c r="AF8" i="14"/>
  <c r="AF22" i="14" s="1"/>
  <c r="BO22" i="14" s="1"/>
  <c r="BH26" i="10"/>
  <c r="AE8" i="14"/>
  <c r="AE22" i="14" s="1"/>
  <c r="BG22" i="14" s="1"/>
  <c r="BG26" i="10"/>
  <c r="BG8" i="14" s="1"/>
  <c r="AD8" i="14"/>
  <c r="AD22" i="14" s="1"/>
  <c r="BM22" i="14" s="1"/>
  <c r="BF26" i="10"/>
  <c r="BF8" i="14" s="1"/>
  <c r="BC14" i="10"/>
  <c r="BC8" i="10"/>
  <c r="BB20" i="10"/>
  <c r="BB14" i="10"/>
  <c r="BB8" i="10"/>
  <c r="BA20" i="10"/>
  <c r="BA14" i="10"/>
  <c r="BH23" i="14"/>
  <c r="BO23" i="14"/>
  <c r="BF23" i="14"/>
  <c r="BM23" i="14"/>
  <c r="BH22" i="14"/>
  <c r="BI23" i="14"/>
  <c r="BP23" i="14"/>
  <c r="BG23" i="14"/>
  <c r="BN23" i="14"/>
  <c r="AZ24" i="14"/>
  <c r="BB24" i="14"/>
  <c r="BD24" i="14"/>
  <c r="AY24" i="14"/>
  <c r="BE24" i="14"/>
  <c r="BA24" i="14"/>
  <c r="BC24" i="14"/>
  <c r="N23" i="14"/>
  <c r="AR23" i="14"/>
  <c r="AU23" i="14"/>
  <c r="AT23" i="14"/>
  <c r="J23" i="14"/>
  <c r="K23" i="14"/>
  <c r="L23" i="14"/>
  <c r="AS23" i="14"/>
  <c r="M23" i="14"/>
  <c r="I23" i="14"/>
  <c r="O23" i="14"/>
  <c r="AW23" i="14"/>
  <c r="I9" i="14"/>
  <c r="O9" i="14"/>
  <c r="BB10" i="14"/>
  <c r="BC10" i="14"/>
  <c r="BD10" i="14"/>
  <c r="AZ10" i="14"/>
  <c r="BA10" i="14"/>
  <c r="BD21" i="10"/>
  <c r="BD15" i="10"/>
  <c r="BD9" i="10"/>
  <c r="BC21" i="10"/>
  <c r="BC15" i="10"/>
  <c r="BC9" i="10"/>
  <c r="AY7" i="10"/>
  <c r="BE7" i="10"/>
  <c r="AY6" i="10"/>
  <c r="BE6" i="10"/>
  <c r="AY8" i="10"/>
  <c r="BE8" i="10"/>
  <c r="AY9" i="10"/>
  <c r="BE9" i="10"/>
  <c r="BO8" i="14"/>
  <c r="BN8" i="14"/>
  <c r="BM8" i="14"/>
  <c r="AY10" i="10"/>
  <c r="BE10" i="10"/>
  <c r="BB21" i="10"/>
  <c r="BB15" i="10"/>
  <c r="AY18" i="10"/>
  <c r="BE18" i="10"/>
  <c r="AY19" i="10"/>
  <c r="BE19" i="10"/>
  <c r="AY21" i="10"/>
  <c r="BE21" i="10"/>
  <c r="AY15" i="10"/>
  <c r="BE15" i="10"/>
  <c r="AY23" i="10"/>
  <c r="BE23" i="10"/>
  <c r="AY17" i="10"/>
  <c r="BE17" i="10"/>
  <c r="AY11" i="10"/>
  <c r="BE11" i="10"/>
  <c r="AY24" i="10"/>
  <c r="BE24" i="10"/>
  <c r="AY12" i="10"/>
  <c r="BE12" i="10"/>
  <c r="AY13" i="10"/>
  <c r="BE13" i="10"/>
  <c r="AY20" i="10"/>
  <c r="BE20" i="10"/>
  <c r="AY14" i="10"/>
  <c r="BE14" i="10"/>
  <c r="AY22" i="10"/>
  <c r="BE22" i="10"/>
  <c r="AY16" i="10"/>
  <c r="BE16" i="10"/>
  <c r="AZ13" i="10"/>
  <c r="AZ7" i="10"/>
  <c r="BC7" i="10"/>
  <c r="BD14" i="10"/>
  <c r="BB13" i="10"/>
  <c r="BD8" i="10"/>
  <c r="BB7" i="10"/>
  <c r="BB9" i="10"/>
  <c r="BA21" i="10"/>
  <c r="AZ21" i="10"/>
  <c r="AZ15" i="10"/>
  <c r="AZ12" i="10"/>
  <c r="AZ6" i="10"/>
  <c r="BA8" i="10"/>
  <c r="BC22" i="10"/>
  <c r="BC16" i="10"/>
  <c r="BB22" i="10"/>
  <c r="BB16" i="10"/>
  <c r="AZ10" i="10"/>
  <c r="BA15" i="10"/>
  <c r="BC10" i="10"/>
  <c r="BD23" i="10"/>
  <c r="BD17" i="10"/>
  <c r="BB10" i="10"/>
  <c r="BC23" i="10"/>
  <c r="BC17" i="10"/>
  <c r="BB23" i="10"/>
  <c r="BB17" i="10"/>
  <c r="BA17" i="10"/>
  <c r="AZ23" i="10"/>
  <c r="AZ17" i="10"/>
  <c r="BD11" i="10"/>
  <c r="BC11" i="10"/>
  <c r="BB11" i="10"/>
  <c r="BA11" i="10"/>
  <c r="BA22" i="10"/>
  <c r="BA16" i="10"/>
  <c r="N26" i="10"/>
  <c r="BD24" i="10"/>
  <c r="AZ22" i="10"/>
  <c r="BD18" i="10"/>
  <c r="AZ16" i="10"/>
  <c r="BA10" i="10"/>
  <c r="BC24" i="10"/>
  <c r="BB24" i="10"/>
  <c r="BB18" i="10"/>
  <c r="M26" i="10"/>
  <c r="BC18" i="10"/>
  <c r="BA24" i="10"/>
  <c r="BA18" i="10"/>
  <c r="BA9" i="10"/>
  <c r="BA23" i="10"/>
  <c r="AZ9" i="10"/>
  <c r="E8" i="14"/>
  <c r="E22" i="14" s="1"/>
  <c r="L26" i="10"/>
  <c r="BD12" i="10"/>
  <c r="D8" i="14"/>
  <c r="D22" i="14" s="1"/>
  <c r="K26" i="10"/>
  <c r="BC19" i="10"/>
  <c r="BC12" i="10"/>
  <c r="J26" i="10"/>
  <c r="AZ24" i="10"/>
  <c r="BD20" i="10"/>
  <c r="BB19" i="10"/>
  <c r="AZ18" i="10"/>
  <c r="BD13" i="10"/>
  <c r="BB12" i="10"/>
  <c r="AZ11" i="10"/>
  <c r="BD19" i="10"/>
  <c r="B8" i="14"/>
  <c r="B22" i="14" s="1"/>
  <c r="I26" i="10"/>
  <c r="BC20" i="10"/>
  <c r="BA19" i="10"/>
  <c r="BC13" i="10"/>
  <c r="BA12" i="10"/>
  <c r="BD7" i="10"/>
  <c r="BB6" i="10"/>
  <c r="AY53" i="11"/>
  <c r="BE53" i="11"/>
  <c r="N9" i="14"/>
  <c r="M9" i="14"/>
  <c r="K9" i="14"/>
  <c r="L9" i="14"/>
  <c r="J9" i="14"/>
  <c r="BD53" i="11"/>
  <c r="BC53" i="11"/>
  <c r="BA53" i="11"/>
  <c r="BB53" i="11"/>
  <c r="AZ53" i="11"/>
  <c r="BA6" i="10"/>
  <c r="BD6" i="10"/>
  <c r="BC6" i="10"/>
  <c r="AF29" i="10"/>
  <c r="BH8" i="14"/>
  <c r="BI8" i="14"/>
  <c r="AE29" i="10"/>
  <c r="AO29" i="10"/>
  <c r="D29" i="10"/>
  <c r="BU29" i="10"/>
  <c r="BT29" i="10"/>
  <c r="B29" i="10"/>
  <c r="AV26" i="10"/>
  <c r="AV8" i="14" s="1"/>
  <c r="G29" i="10"/>
  <c r="G8" i="14"/>
  <c r="G22" i="14" s="1"/>
  <c r="BV29" i="10"/>
  <c r="AP29" i="10"/>
  <c r="BW29" i="10"/>
  <c r="BW8" i="14"/>
  <c r="BW22" i="14" s="1"/>
  <c r="BP8" i="14"/>
  <c r="AV55" i="11"/>
  <c r="R29" i="10"/>
  <c r="R8" i="14"/>
  <c r="R22" i="14" s="1"/>
  <c r="S29" i="10"/>
  <c r="AA18" i="10" s="1"/>
  <c r="S8" i="14"/>
  <c r="S22" i="14" s="1"/>
  <c r="AM29" i="10"/>
  <c r="AS55" i="11"/>
  <c r="AS26" i="10"/>
  <c r="AS8" i="14" s="1"/>
  <c r="Y26" i="10"/>
  <c r="Y8" i="14" s="1"/>
  <c r="Y22" i="14" s="1"/>
  <c r="AR26" i="10"/>
  <c r="F29" i="10"/>
  <c r="F8" i="14"/>
  <c r="F22" i="14" s="1"/>
  <c r="AN29" i="10"/>
  <c r="AU29" i="10" s="1"/>
  <c r="AR55" i="11"/>
  <c r="AY9" i="14"/>
  <c r="AW26" i="10"/>
  <c r="AW8" i="14" s="1"/>
  <c r="Q29" i="10"/>
  <c r="Q8" i="14"/>
  <c r="Q22" i="14" s="1"/>
  <c r="AD29" i="10"/>
  <c r="Z26" i="10"/>
  <c r="Z8" i="14" s="1"/>
  <c r="Z22" i="14" s="1"/>
  <c r="X26" i="10"/>
  <c r="X8" i="14" s="1"/>
  <c r="X22" i="14" s="1"/>
  <c r="AI29" i="10"/>
  <c r="AI8" i="14"/>
  <c r="AI22" i="14" s="1"/>
  <c r="BK22" i="14" s="1"/>
  <c r="AU55" i="11"/>
  <c r="BY29" i="10"/>
  <c r="BY8" i="14"/>
  <c r="BY22" i="14" s="1"/>
  <c r="BR8" i="14"/>
  <c r="AG29" i="10"/>
  <c r="AG8" i="14"/>
  <c r="AG22" i="14" s="1"/>
  <c r="C29" i="10"/>
  <c r="C8" i="14"/>
  <c r="C22" i="14" s="1"/>
  <c r="P29" i="10"/>
  <c r="P8" i="14"/>
  <c r="P22" i="14" s="1"/>
  <c r="AT55" i="11"/>
  <c r="W26" i="10"/>
  <c r="W8" i="14" s="1"/>
  <c r="W22" i="14" s="1"/>
  <c r="BJ8" i="14"/>
  <c r="AH8" i="14"/>
  <c r="AH22" i="14" s="1"/>
  <c r="BJ22" i="14" s="1"/>
  <c r="BX29" i="10"/>
  <c r="BX8" i="14"/>
  <c r="BX22" i="14" s="1"/>
  <c r="BQ8" i="14"/>
  <c r="AW55" i="11"/>
  <c r="AL29" i="10"/>
  <c r="AU26" i="10"/>
  <c r="AU8" i="14" s="1"/>
  <c r="AK29" i="10"/>
  <c r="AT26" i="10"/>
  <c r="AT8" i="14" s="1"/>
  <c r="AH29" i="10"/>
  <c r="BK8" i="14"/>
  <c r="BF22" i="14" l="1"/>
  <c r="BN22" i="14"/>
  <c r="N22" i="14"/>
  <c r="BE26" i="10"/>
  <c r="AR8" i="14"/>
  <c r="BE8" i="14" s="1"/>
  <c r="BQ22" i="14"/>
  <c r="BR22" i="14"/>
  <c r="BI22" i="14"/>
  <c r="BP22" i="14"/>
  <c r="M22" i="14"/>
  <c r="BA23" i="14"/>
  <c r="BB23" i="14"/>
  <c r="AZ23" i="14"/>
  <c r="J22" i="14"/>
  <c r="AS22" i="14"/>
  <c r="K22" i="14"/>
  <c r="AT22" i="14"/>
  <c r="BD23" i="14"/>
  <c r="AV22" i="14"/>
  <c r="L22" i="14"/>
  <c r="AU22" i="14"/>
  <c r="AW22" i="14"/>
  <c r="O22" i="14"/>
  <c r="I22" i="14"/>
  <c r="AR22" i="14"/>
  <c r="AY23" i="14"/>
  <c r="BE23" i="14"/>
  <c r="BC23" i="14"/>
  <c r="I8" i="14"/>
  <c r="O8" i="14"/>
  <c r="L8" i="14"/>
  <c r="W29" i="10"/>
  <c r="AC29" i="10"/>
  <c r="I29" i="10"/>
  <c r="O29" i="10"/>
  <c r="N29" i="10"/>
  <c r="BH29" i="10"/>
  <c r="K8" i="14"/>
  <c r="M8" i="14"/>
  <c r="L29" i="10"/>
  <c r="M29" i="10"/>
  <c r="N8" i="14"/>
  <c r="BB26" i="10"/>
  <c r="AY8" i="14"/>
  <c r="AY26" i="10"/>
  <c r="AZ26" i="10"/>
  <c r="J8" i="14"/>
  <c r="K29" i="10"/>
  <c r="J29" i="10"/>
  <c r="BA26" i="10"/>
  <c r="BC26" i="10"/>
  <c r="BD26" i="10"/>
  <c r="AW29" i="10"/>
  <c r="BB9" i="14"/>
  <c r="BG29" i="10"/>
  <c r="AV29" i="10"/>
  <c r="AA6" i="10"/>
  <c r="X29" i="10"/>
  <c r="AA19" i="10"/>
  <c r="AB18" i="10"/>
  <c r="AB9" i="10"/>
  <c r="AB23" i="10"/>
  <c r="AB19" i="10"/>
  <c r="AA20" i="10"/>
  <c r="AB6" i="10"/>
  <c r="AA11" i="10"/>
  <c r="AB20" i="10"/>
  <c r="AA8" i="10"/>
  <c r="AB7" i="10"/>
  <c r="AA23" i="10"/>
  <c r="AB15" i="10"/>
  <c r="Z29" i="10"/>
  <c r="AB12" i="10"/>
  <c r="AA7" i="10"/>
  <c r="AB10" i="10"/>
  <c r="AA27" i="10"/>
  <c r="BJ29" i="10"/>
  <c r="AA15" i="10"/>
  <c r="AB8" i="10"/>
  <c r="AA12" i="10"/>
  <c r="BI29" i="10"/>
  <c r="AT29" i="10"/>
  <c r="AB22" i="10"/>
  <c r="AA17" i="10"/>
  <c r="AA14" i="10"/>
  <c r="AB17" i="10"/>
  <c r="AA13" i="10"/>
  <c r="AB14" i="10"/>
  <c r="AA24" i="10"/>
  <c r="AB11" i="10"/>
  <c r="AA16" i="10"/>
  <c r="BK29" i="10"/>
  <c r="AA10" i="10"/>
  <c r="AR29" i="10"/>
  <c r="AB27" i="10"/>
  <c r="AB21" i="10"/>
  <c r="AA9" i="10"/>
  <c r="AZ9" i="14"/>
  <c r="AS29" i="10"/>
  <c r="Y29" i="10"/>
  <c r="BF29" i="10"/>
  <c r="AB16" i="10"/>
  <c r="AB28" i="10"/>
  <c r="AB13" i="10"/>
  <c r="AA21" i="10"/>
  <c r="BD9" i="14"/>
  <c r="BA9" i="14"/>
  <c r="AA22" i="10"/>
  <c r="AA28" i="10"/>
  <c r="AB24" i="10"/>
  <c r="BC9" i="14"/>
  <c r="BA22" i="14" l="1"/>
  <c r="BB22" i="14"/>
  <c r="BC22" i="14"/>
  <c r="AZ22" i="14"/>
  <c r="AY22" i="14"/>
  <c r="BE22" i="14"/>
  <c r="BD22" i="14"/>
  <c r="AY29" i="10"/>
  <c r="BE29" i="10"/>
  <c r="BD8" i="14"/>
  <c r="BB8" i="14"/>
  <c r="BC29" i="10"/>
  <c r="BD29" i="10"/>
  <c r="AZ8" i="14"/>
  <c r="AZ29" i="10"/>
  <c r="BB29" i="10"/>
  <c r="BA8" i="14"/>
  <c r="BC8" i="14"/>
  <c r="BA29" i="10"/>
  <c r="U26" i="10"/>
  <c r="T26" i="10"/>
  <c r="W6" i="9"/>
  <c r="X6" i="9"/>
  <c r="Y6" i="9"/>
  <c r="Z6" i="9"/>
  <c r="AA6" i="9"/>
  <c r="AB6" i="9"/>
  <c r="AR6" i="9"/>
  <c r="AS6" i="9"/>
  <c r="AT6" i="9"/>
  <c r="AU6" i="9"/>
  <c r="AV6" i="9"/>
  <c r="AW6" i="9"/>
  <c r="W7" i="9"/>
  <c r="X7" i="9"/>
  <c r="Y7" i="9"/>
  <c r="Z7" i="9"/>
  <c r="AA7" i="9"/>
  <c r="AB7" i="9"/>
  <c r="AR7" i="9"/>
  <c r="AS7" i="9"/>
  <c r="AT7" i="9"/>
  <c r="AU7" i="9"/>
  <c r="AV7" i="9"/>
  <c r="AW7" i="9"/>
  <c r="W8" i="9"/>
  <c r="X8" i="9"/>
  <c r="Y8" i="9"/>
  <c r="Z8" i="9"/>
  <c r="AA8" i="9"/>
  <c r="AB8" i="9"/>
  <c r="AR8" i="9"/>
  <c r="AS8" i="9"/>
  <c r="AT8" i="9"/>
  <c r="AU8" i="9"/>
  <c r="AV8" i="9"/>
  <c r="AW8" i="9"/>
  <c r="W9" i="9"/>
  <c r="X9" i="9"/>
  <c r="Y9" i="9"/>
  <c r="Z9" i="9"/>
  <c r="AA9" i="9"/>
  <c r="AB9" i="9"/>
  <c r="AR9" i="9"/>
  <c r="AS9" i="9"/>
  <c r="AT9" i="9"/>
  <c r="AU9" i="9"/>
  <c r="AV9" i="9"/>
  <c r="AW9" i="9"/>
  <c r="W10" i="9"/>
  <c r="X10" i="9"/>
  <c r="Y10" i="9"/>
  <c r="Z10" i="9"/>
  <c r="AA10" i="9"/>
  <c r="AB10" i="9"/>
  <c r="AR10" i="9"/>
  <c r="AS10" i="9"/>
  <c r="AT10" i="9"/>
  <c r="AU10" i="9"/>
  <c r="AV10" i="9"/>
  <c r="AW10" i="9"/>
  <c r="W11" i="9"/>
  <c r="X11" i="9"/>
  <c r="Y11" i="9"/>
  <c r="Z11" i="9"/>
  <c r="AA11" i="9"/>
  <c r="AB11" i="9"/>
  <c r="AR11" i="9"/>
  <c r="AS11" i="9"/>
  <c r="AT11" i="9"/>
  <c r="AU11" i="9"/>
  <c r="AV11" i="9"/>
  <c r="AW11" i="9"/>
  <c r="W12" i="9"/>
  <c r="X12" i="9"/>
  <c r="Y12" i="9"/>
  <c r="Z12" i="9"/>
  <c r="AA12" i="9"/>
  <c r="AB12" i="9"/>
  <c r="AR12" i="9"/>
  <c r="AS12" i="9"/>
  <c r="AT12" i="9"/>
  <c r="AU12" i="9"/>
  <c r="AV12" i="9"/>
  <c r="AW12" i="9"/>
  <c r="W13" i="9"/>
  <c r="X13" i="9"/>
  <c r="Y13" i="9"/>
  <c r="Z13" i="9"/>
  <c r="AA13" i="9"/>
  <c r="AB13" i="9"/>
  <c r="AR13" i="9"/>
  <c r="AS13" i="9"/>
  <c r="AT13" i="9"/>
  <c r="AU13" i="9"/>
  <c r="AV13" i="9"/>
  <c r="AW13" i="9"/>
  <c r="W14" i="9"/>
  <c r="X14" i="9"/>
  <c r="Y14" i="9"/>
  <c r="Z14" i="9"/>
  <c r="AA14" i="9"/>
  <c r="AB14" i="9"/>
  <c r="AR14" i="9"/>
  <c r="AS14" i="9"/>
  <c r="AT14" i="9"/>
  <c r="AU14" i="9"/>
  <c r="AV14" i="9"/>
  <c r="AW14" i="9"/>
  <c r="W15" i="9"/>
  <c r="X15" i="9"/>
  <c r="Y15" i="9"/>
  <c r="Z15" i="9"/>
  <c r="AA15" i="9"/>
  <c r="AB15" i="9"/>
  <c r="AR15" i="9"/>
  <c r="AS15" i="9"/>
  <c r="AT15" i="9"/>
  <c r="AU15" i="9"/>
  <c r="AV15" i="9"/>
  <c r="AW15" i="9"/>
  <c r="B16" i="9"/>
  <c r="O16" i="9" s="1"/>
  <c r="C16" i="9"/>
  <c r="D16" i="9"/>
  <c r="E16" i="9"/>
  <c r="F16" i="9"/>
  <c r="G16" i="9"/>
  <c r="P16" i="9"/>
  <c r="W16" i="9" s="1"/>
  <c r="Q16" i="9"/>
  <c r="R16" i="9"/>
  <c r="S16" i="9"/>
  <c r="T16" i="9"/>
  <c r="U16" i="9"/>
  <c r="U7" i="14" s="1"/>
  <c r="U21" i="14" s="1"/>
  <c r="AD16" i="9"/>
  <c r="BF16" i="9" s="1"/>
  <c r="AE16" i="9"/>
  <c r="BG16" i="9" s="1"/>
  <c r="AF7" i="14"/>
  <c r="AF21" i="14" s="1"/>
  <c r="AG16" i="9"/>
  <c r="AH16" i="9"/>
  <c r="AI16" i="9"/>
  <c r="AK16" i="9"/>
  <c r="AK7" i="14" s="1"/>
  <c r="AK21" i="14" s="1"/>
  <c r="AL16" i="9"/>
  <c r="AL7" i="14" s="1"/>
  <c r="AL21" i="14" s="1"/>
  <c r="AM16" i="9"/>
  <c r="AN16" i="9"/>
  <c r="AN7" i="14" s="1"/>
  <c r="AN21" i="14" s="1"/>
  <c r="AO16" i="9"/>
  <c r="AO7" i="14" s="1"/>
  <c r="AO21" i="14" s="1"/>
  <c r="AP16" i="9"/>
  <c r="AP7" i="14" s="1"/>
  <c r="AP21" i="14" s="1"/>
  <c r="BM7" i="14"/>
  <c r="BN7" i="14"/>
  <c r="BO7" i="14"/>
  <c r="BP7" i="14"/>
  <c r="BQ7" i="14"/>
  <c r="BR7" i="14"/>
  <c r="BT16" i="9"/>
  <c r="BT7" i="14" s="1"/>
  <c r="BT21" i="14" s="1"/>
  <c r="BU16" i="9"/>
  <c r="BU7" i="14" s="1"/>
  <c r="BU21" i="14" s="1"/>
  <c r="BV16" i="9"/>
  <c r="BV7" i="14" s="1"/>
  <c r="BV21" i="14" s="1"/>
  <c r="BW16" i="9"/>
  <c r="BW7" i="14" s="1"/>
  <c r="BW21" i="14" s="1"/>
  <c r="BX16" i="9"/>
  <c r="BX7" i="14" s="1"/>
  <c r="BX21" i="14" s="1"/>
  <c r="BY16" i="9"/>
  <c r="BY7" i="14" s="1"/>
  <c r="BY21" i="14" s="1"/>
  <c r="AM7" i="14" l="1"/>
  <c r="AM21" i="14" s="1"/>
  <c r="BH16" i="9"/>
  <c r="BK16" i="9"/>
  <c r="BJ16" i="9"/>
  <c r="BI16" i="9"/>
  <c r="AE7" i="14"/>
  <c r="AE21" i="14" s="1"/>
  <c r="AE18" i="9"/>
  <c r="AD7" i="14"/>
  <c r="AD21" i="14" s="1"/>
  <c r="AF18" i="9"/>
  <c r="AJ18" i="9"/>
  <c r="AG7" i="14"/>
  <c r="AG21" i="14" s="1"/>
  <c r="BI21" i="14" s="1"/>
  <c r="AG18" i="9"/>
  <c r="AI7" i="14"/>
  <c r="AI21" i="14" s="1"/>
  <c r="AI18" i="9"/>
  <c r="AH7" i="14"/>
  <c r="AH21" i="14" s="1"/>
  <c r="BQ21" i="14" s="1"/>
  <c r="AH18" i="9"/>
  <c r="BH21" i="14"/>
  <c r="BO21" i="14"/>
  <c r="BG21" i="14"/>
  <c r="BN21" i="14"/>
  <c r="BR21" i="14"/>
  <c r="BF21" i="14"/>
  <c r="BM21" i="14"/>
  <c r="BK21" i="14"/>
  <c r="BJ21" i="14"/>
  <c r="AB26" i="10"/>
  <c r="AB8" i="14" s="1"/>
  <c r="AB22" i="14" s="1"/>
  <c r="U29" i="10"/>
  <c r="AB29" i="10" s="1"/>
  <c r="AA26" i="10"/>
  <c r="AA8" i="14" s="1"/>
  <c r="AA22" i="14" s="1"/>
  <c r="T29" i="10"/>
  <c r="AA29" i="10" s="1"/>
  <c r="BD14" i="9"/>
  <c r="BD12" i="9"/>
  <c r="BD10" i="9"/>
  <c r="BD8" i="9"/>
  <c r="BD6" i="9"/>
  <c r="BC14" i="9"/>
  <c r="BC12" i="9"/>
  <c r="BC10" i="9"/>
  <c r="BC8" i="9"/>
  <c r="BC6" i="9"/>
  <c r="BB14" i="9"/>
  <c r="BB12" i="9"/>
  <c r="BB10" i="9"/>
  <c r="AY15" i="9"/>
  <c r="BE15" i="9"/>
  <c r="AY11" i="9"/>
  <c r="BE11" i="9"/>
  <c r="AY14" i="9"/>
  <c r="BE14" i="9"/>
  <c r="AY12" i="9"/>
  <c r="BE12" i="9"/>
  <c r="AY10" i="9"/>
  <c r="BE10" i="9"/>
  <c r="AY8" i="9"/>
  <c r="BE8" i="9"/>
  <c r="AY6" i="9"/>
  <c r="BE6" i="9"/>
  <c r="AY9" i="9"/>
  <c r="BE9" i="9"/>
  <c r="AY13" i="9"/>
  <c r="BE13" i="9"/>
  <c r="AY7" i="9"/>
  <c r="BE7" i="9"/>
  <c r="P7" i="14"/>
  <c r="P21" i="14" s="1"/>
  <c r="AC16" i="9"/>
  <c r="AC7" i="14" s="1"/>
  <c r="AC21" i="14" s="1"/>
  <c r="BB8" i="9"/>
  <c r="BB6" i="9"/>
  <c r="E7" i="14"/>
  <c r="E21" i="14" s="1"/>
  <c r="L16" i="9"/>
  <c r="BA15" i="9"/>
  <c r="BA11" i="9"/>
  <c r="BA9" i="9"/>
  <c r="BA7" i="9"/>
  <c r="AZ15" i="9"/>
  <c r="AZ13" i="9"/>
  <c r="AZ11" i="9"/>
  <c r="AZ9" i="9"/>
  <c r="AZ7" i="9"/>
  <c r="D7" i="14"/>
  <c r="D21" i="14" s="1"/>
  <c r="K16" i="9"/>
  <c r="BA14" i="9"/>
  <c r="BA12" i="9"/>
  <c r="BA10" i="9"/>
  <c r="BA8" i="9"/>
  <c r="BA6" i="9"/>
  <c r="C7" i="14"/>
  <c r="C21" i="14" s="1"/>
  <c r="J16" i="9"/>
  <c r="AZ14" i="9"/>
  <c r="AZ12" i="9"/>
  <c r="AZ10" i="9"/>
  <c r="AZ8" i="9"/>
  <c r="AZ6" i="9"/>
  <c r="G7" i="14"/>
  <c r="G21" i="14" s="1"/>
  <c r="AW21" i="14" s="1"/>
  <c r="N16" i="9"/>
  <c r="F7" i="14"/>
  <c r="F21" i="14" s="1"/>
  <c r="M16" i="9"/>
  <c r="BD15" i="9"/>
  <c r="BD13" i="9"/>
  <c r="BD11" i="9"/>
  <c r="BD9" i="9"/>
  <c r="BD7" i="9"/>
  <c r="U8" i="14"/>
  <c r="U22" i="14" s="1"/>
  <c r="BC15" i="9"/>
  <c r="BC13" i="9"/>
  <c r="BC11" i="9"/>
  <c r="BC9" i="9"/>
  <c r="BC7" i="9"/>
  <c r="BB15" i="9"/>
  <c r="BB13" i="9"/>
  <c r="BB11" i="9"/>
  <c r="BB9" i="9"/>
  <c r="BB7" i="9"/>
  <c r="B7" i="14"/>
  <c r="B21" i="14" s="1"/>
  <c r="I16" i="9"/>
  <c r="BA13" i="9"/>
  <c r="T8" i="14"/>
  <c r="T22" i="14" s="1"/>
  <c r="BG7" i="14"/>
  <c r="BF7" i="14"/>
  <c r="AS16" i="9"/>
  <c r="AS7" i="14" s="1"/>
  <c r="AR16" i="9"/>
  <c r="BI7" i="14"/>
  <c r="AU16" i="9"/>
  <c r="AU7" i="14" s="1"/>
  <c r="Z16" i="9"/>
  <c r="Z7" i="14" s="1"/>
  <c r="Z21" i="14" s="1"/>
  <c r="S7" i="14"/>
  <c r="S21" i="14" s="1"/>
  <c r="X16" i="9"/>
  <c r="X7" i="14" s="1"/>
  <c r="X21" i="14" s="1"/>
  <c r="Q7" i="14"/>
  <c r="Q21" i="14" s="1"/>
  <c r="BJ7" i="14"/>
  <c r="AV16" i="9"/>
  <c r="AV7" i="14" s="1"/>
  <c r="AA16" i="9"/>
  <c r="AA7" i="14" s="1"/>
  <c r="AA21" i="14" s="1"/>
  <c r="T7" i="14"/>
  <c r="T21" i="14" s="1"/>
  <c r="BH7" i="14"/>
  <c r="AT16" i="9"/>
  <c r="AT7" i="14" s="1"/>
  <c r="Y16" i="9"/>
  <c r="Y7" i="14" s="1"/>
  <c r="Y21" i="14" s="1"/>
  <c r="R7" i="14"/>
  <c r="R21" i="14" s="1"/>
  <c r="AB16" i="9"/>
  <c r="AB7" i="14" s="1"/>
  <c r="AB21" i="14" s="1"/>
  <c r="W7" i="14"/>
  <c r="W21" i="14" s="1"/>
  <c r="BK7" i="14"/>
  <c r="AW16" i="9"/>
  <c r="AW7" i="14" s="1"/>
  <c r="AF6" i="8"/>
  <c r="AL6" i="8"/>
  <c r="X6" i="8"/>
  <c r="X7" i="8" s="1"/>
  <c r="Z6" i="8"/>
  <c r="Z7" i="8" s="1"/>
  <c r="AT6" i="8"/>
  <c r="AU6" i="8"/>
  <c r="AW6" i="8"/>
  <c r="D7" i="8"/>
  <c r="E7" i="8"/>
  <c r="F7" i="8"/>
  <c r="G7" i="8"/>
  <c r="P7" i="8"/>
  <c r="Q7" i="8"/>
  <c r="R7" i="8"/>
  <c r="S7" i="8"/>
  <c r="T7" i="8"/>
  <c r="U7" i="8"/>
  <c r="AD7" i="8"/>
  <c r="BF7" i="8" s="1"/>
  <c r="AE7" i="8"/>
  <c r="AG7" i="8"/>
  <c r="BI7" i="8" s="1"/>
  <c r="AI7" i="8"/>
  <c r="AK7" i="8"/>
  <c r="AK6" i="14" s="1"/>
  <c r="AM7" i="8"/>
  <c r="AM6" i="14" s="1"/>
  <c r="AN7" i="8"/>
  <c r="AN6" i="14" s="1"/>
  <c r="AP7" i="8"/>
  <c r="AP6" i="14" s="1"/>
  <c r="BT7" i="8"/>
  <c r="BT6" i="14" s="1"/>
  <c r="BU7" i="8"/>
  <c r="BU6" i="14" s="1"/>
  <c r="BV7" i="8"/>
  <c r="BV6" i="14" s="1"/>
  <c r="BW7" i="8"/>
  <c r="BW6" i="14" s="1"/>
  <c r="BX7" i="8"/>
  <c r="BX6" i="14" s="1"/>
  <c r="BY7" i="8"/>
  <c r="BY6" i="14" s="1"/>
  <c r="BE16" i="9" l="1"/>
  <c r="AR7" i="14"/>
  <c r="BE7" i="14" s="1"/>
  <c r="BP21" i="14"/>
  <c r="AI6" i="14"/>
  <c r="BK7" i="8"/>
  <c r="AE6" i="14"/>
  <c r="AE12" i="14" s="1"/>
  <c r="BG7" i="8"/>
  <c r="BG6" i="8"/>
  <c r="BH6" i="8"/>
  <c r="AN20" i="14"/>
  <c r="AN26" i="14" s="1"/>
  <c r="AN12" i="14"/>
  <c r="AM20" i="14"/>
  <c r="AM26" i="14" s="1"/>
  <c r="AM12" i="14"/>
  <c r="AK20" i="14"/>
  <c r="AK26" i="14" s="1"/>
  <c r="AK12" i="14"/>
  <c r="M21" i="14"/>
  <c r="N21" i="14"/>
  <c r="J21" i="14"/>
  <c r="AS21" i="14"/>
  <c r="AI12" i="14"/>
  <c r="AI20" i="14"/>
  <c r="L21" i="14"/>
  <c r="AU21" i="14"/>
  <c r="BT12" i="14"/>
  <c r="BT20" i="14"/>
  <c r="AP12" i="14"/>
  <c r="AP20" i="14"/>
  <c r="K21" i="14"/>
  <c r="AT21" i="14"/>
  <c r="BU12" i="14"/>
  <c r="BU20" i="14"/>
  <c r="BY12" i="14"/>
  <c r="BY20" i="14"/>
  <c r="BX12" i="14"/>
  <c r="BX20" i="14"/>
  <c r="BX26" i="14" s="1"/>
  <c r="BV12" i="14"/>
  <c r="BV20" i="14"/>
  <c r="BW12" i="14"/>
  <c r="BW20" i="14"/>
  <c r="BW26" i="14" s="1"/>
  <c r="I21" i="14"/>
  <c r="O21" i="14"/>
  <c r="AR21" i="14"/>
  <c r="AV21" i="14"/>
  <c r="BC21" i="14" s="1"/>
  <c r="I7" i="14"/>
  <c r="O7" i="14"/>
  <c r="BA16" i="9"/>
  <c r="BB16" i="9"/>
  <c r="J7" i="14"/>
  <c r="K7" i="14"/>
  <c r="AL7" i="8"/>
  <c r="AL6" i="14" s="1"/>
  <c r="M7" i="14"/>
  <c r="BC16" i="9"/>
  <c r="N7" i="14"/>
  <c r="AY7" i="14"/>
  <c r="AY16" i="9"/>
  <c r="BD16" i="9"/>
  <c r="AZ16" i="9"/>
  <c r="L7" i="14"/>
  <c r="G6" i="14"/>
  <c r="F6" i="14"/>
  <c r="BR7" i="8"/>
  <c r="BR6" i="14" s="1"/>
  <c r="BR12" i="14" s="1"/>
  <c r="BP7" i="8"/>
  <c r="BP6" i="14" s="1"/>
  <c r="BP12" i="14" s="1"/>
  <c r="AO7" i="8"/>
  <c r="AO6" i="14" s="1"/>
  <c r="X6" i="14"/>
  <c r="X20" i="14" s="1"/>
  <c r="Q6" i="14"/>
  <c r="R6" i="14"/>
  <c r="AG6" i="14"/>
  <c r="AT7" i="8"/>
  <c r="AT6" i="14" s="1"/>
  <c r="D6" i="14"/>
  <c r="D20" i="14" s="1"/>
  <c r="BM7" i="8"/>
  <c r="BM6" i="14" s="1"/>
  <c r="BM12" i="14" s="1"/>
  <c r="AT18" i="9"/>
  <c r="AU7" i="8"/>
  <c r="AU6" i="14" s="1"/>
  <c r="E6" i="14"/>
  <c r="E20" i="14" s="1"/>
  <c r="AW7" i="8"/>
  <c r="AW6" i="14" s="1"/>
  <c r="AU18" i="9"/>
  <c r="AW18" i="9"/>
  <c r="Z6" i="14"/>
  <c r="Z20" i="14" s="1"/>
  <c r="S6" i="14"/>
  <c r="W6" i="14"/>
  <c r="W20" i="14" s="1"/>
  <c r="P6" i="14"/>
  <c r="BQ7" i="8"/>
  <c r="BQ6" i="14" s="1"/>
  <c r="BQ12" i="14" s="1"/>
  <c r="AH7" i="8"/>
  <c r="BJ7" i="8" s="1"/>
  <c r="AD6" i="14"/>
  <c r="AB6" i="14"/>
  <c r="AB20" i="14" s="1"/>
  <c r="U6" i="14"/>
  <c r="AV6" i="8"/>
  <c r="AV18" i="9"/>
  <c r="AA6" i="14"/>
  <c r="AA20" i="14" s="1"/>
  <c r="T6" i="14"/>
  <c r="AS18" i="9"/>
  <c r="BO7" i="8"/>
  <c r="BO6" i="14" s="1"/>
  <c r="BO12" i="14" s="1"/>
  <c r="AF7" i="8"/>
  <c r="Y6" i="8"/>
  <c r="Y7" i="8" s="1"/>
  <c r="Y6" i="14" s="1"/>
  <c r="Y20" i="14" s="1"/>
  <c r="AE20" i="14" l="1"/>
  <c r="AF6" i="14"/>
  <c r="BH7" i="8"/>
  <c r="BR20" i="14"/>
  <c r="AL20" i="14"/>
  <c r="AL26" i="14" s="1"/>
  <c r="AL12" i="14"/>
  <c r="BK20" i="14"/>
  <c r="BG20" i="14"/>
  <c r="BN20" i="14"/>
  <c r="BT26" i="14"/>
  <c r="S12" i="14"/>
  <c r="S20" i="14"/>
  <c r="S26" i="14" s="1"/>
  <c r="U12" i="14"/>
  <c r="U20" i="14"/>
  <c r="U26" i="14" s="1"/>
  <c r="AO12" i="14"/>
  <c r="AO20" i="14"/>
  <c r="AY21" i="14"/>
  <c r="BE21" i="14"/>
  <c r="BY26" i="14"/>
  <c r="BB21" i="14"/>
  <c r="T12" i="14"/>
  <c r="T20" i="14"/>
  <c r="T26" i="14" s="1"/>
  <c r="G12" i="14"/>
  <c r="AW12" i="14" s="1"/>
  <c r="G20" i="14"/>
  <c r="AG12" i="14"/>
  <c r="AG20" i="14"/>
  <c r="R12" i="14"/>
  <c r="R20" i="14"/>
  <c r="R26" i="14" s="1"/>
  <c r="Q12" i="14"/>
  <c r="Q20" i="14"/>
  <c r="Q26" i="14" s="1"/>
  <c r="AF12" i="14"/>
  <c r="BH12" i="14" s="1"/>
  <c r="AF20" i="14"/>
  <c r="AU20" i="14"/>
  <c r="E26" i="14"/>
  <c r="AD12" i="14"/>
  <c r="BF12" i="14" s="1"/>
  <c r="AD20" i="14"/>
  <c r="BF20" i="14" s="1"/>
  <c r="BU26" i="14"/>
  <c r="AI26" i="14"/>
  <c r="BV26" i="14"/>
  <c r="AZ21" i="14"/>
  <c r="BK12" i="14"/>
  <c r="BA21" i="14"/>
  <c r="P12" i="14"/>
  <c r="P20" i="14"/>
  <c r="P26" i="14" s="1"/>
  <c r="AP26" i="14"/>
  <c r="AT20" i="14"/>
  <c r="D26" i="14"/>
  <c r="F12" i="14"/>
  <c r="F20" i="14"/>
  <c r="AE26" i="14"/>
  <c r="BD21" i="14"/>
  <c r="BC7" i="14"/>
  <c r="BD7" i="14"/>
  <c r="BA7" i="14"/>
  <c r="BB7" i="14"/>
  <c r="AZ7" i="14"/>
  <c r="BK6" i="14"/>
  <c r="BI6" i="14"/>
  <c r="AV7" i="8"/>
  <c r="AV6" i="14" s="1"/>
  <c r="BJ6" i="14"/>
  <c r="AH6" i="14"/>
  <c r="D12" i="14"/>
  <c r="AT12" i="14" s="1"/>
  <c r="BF6" i="14"/>
  <c r="E12" i="14"/>
  <c r="AU12" i="14" s="1"/>
  <c r="BH6" i="14"/>
  <c r="BN7" i="8"/>
  <c r="BN6" i="14" s="1"/>
  <c r="BN12" i="14" s="1"/>
  <c r="BI20" i="14" l="1"/>
  <c r="BP20" i="14"/>
  <c r="BH20" i="14"/>
  <c r="BO20" i="14"/>
  <c r="BM20" i="14"/>
  <c r="AV12" i="14"/>
  <c r="BI12" i="14"/>
  <c r="AD26" i="14"/>
  <c r="AH12" i="14"/>
  <c r="BJ12" i="14" s="1"/>
  <c r="AH20" i="14"/>
  <c r="BJ20" i="14" s="1"/>
  <c r="AV20" i="14"/>
  <c r="AO26" i="14"/>
  <c r="AG26" i="14"/>
  <c r="BI26" i="14" s="1"/>
  <c r="BK26" i="14"/>
  <c r="G26" i="14"/>
  <c r="AW26" i="14" s="1"/>
  <c r="F26" i="14"/>
  <c r="AF26" i="14"/>
  <c r="BO26" i="14"/>
  <c r="AW20" i="14"/>
  <c r="BM26" i="14"/>
  <c r="AT26" i="14"/>
  <c r="AU26" i="14"/>
  <c r="BP26" i="14"/>
  <c r="BR26" i="14"/>
  <c r="BG6" i="14"/>
  <c r="BQ20" i="14" l="1"/>
  <c r="AV26" i="14"/>
  <c r="BF26" i="14"/>
  <c r="BG12" i="14"/>
  <c r="BH26" i="14"/>
  <c r="AH26" i="14"/>
  <c r="BJ26" i="14" s="1"/>
  <c r="BQ26" i="14"/>
  <c r="C7" i="8"/>
  <c r="AS6" i="8"/>
  <c r="J6" i="8"/>
  <c r="BN26" i="14" l="1"/>
  <c r="C6" i="14"/>
  <c r="C20" i="14" s="1"/>
  <c r="AS7" i="8"/>
  <c r="AS6" i="14" s="1"/>
  <c r="L6" i="8"/>
  <c r="B7" i="8"/>
  <c r="M7" i="8" s="1"/>
  <c r="N6" i="8"/>
  <c r="O6" i="8"/>
  <c r="M6" i="8"/>
  <c r="AR6" i="8"/>
  <c r="I6" i="8"/>
  <c r="K6" i="8"/>
  <c r="AS20" i="14" l="1"/>
  <c r="C26" i="14"/>
  <c r="BG26" i="14"/>
  <c r="AY6" i="8"/>
  <c r="BE6" i="8"/>
  <c r="BA6" i="8"/>
  <c r="BB6" i="8"/>
  <c r="BD6" i="8"/>
  <c r="BC6" i="8"/>
  <c r="O7" i="8"/>
  <c r="B6" i="14"/>
  <c r="AR7" i="8"/>
  <c r="AR6" i="14" s="1"/>
  <c r="BE6" i="14" s="1"/>
  <c r="L7" i="8"/>
  <c r="N7" i="8"/>
  <c r="K7" i="8"/>
  <c r="I7" i="8"/>
  <c r="J7" i="8"/>
  <c r="C12" i="14"/>
  <c r="AS12" i="14" s="1"/>
  <c r="AZ6" i="8"/>
  <c r="AS26" i="14" l="1"/>
  <c r="O6" i="14"/>
  <c r="B20" i="14"/>
  <c r="BA7" i="8"/>
  <c r="BC7" i="8"/>
  <c r="BE7" i="8"/>
  <c r="AZ6" i="14"/>
  <c r="AY7" i="8"/>
  <c r="BB7" i="8"/>
  <c r="BD7" i="8"/>
  <c r="L6" i="14"/>
  <c r="K6" i="14"/>
  <c r="M6" i="14"/>
  <c r="N6" i="14"/>
  <c r="B12" i="14"/>
  <c r="I6" i="14"/>
  <c r="J6" i="14"/>
  <c r="AZ7" i="8"/>
  <c r="I20" i="14" l="1"/>
  <c r="AR20" i="14"/>
  <c r="O20" i="14"/>
  <c r="B26" i="14"/>
  <c r="K20" i="14"/>
  <c r="L20" i="14"/>
  <c r="M20" i="14"/>
  <c r="N20" i="14"/>
  <c r="J20" i="14"/>
  <c r="AR12" i="14"/>
  <c r="BE12" i="14" s="1"/>
  <c r="M12" i="14"/>
  <c r="J12" i="14"/>
  <c r="O12" i="14"/>
  <c r="AY6" i="14"/>
  <c r="BB6" i="14"/>
  <c r="BC6" i="14"/>
  <c r="BD6" i="14"/>
  <c r="BA6" i="14"/>
  <c r="K12" i="14"/>
  <c r="I12" i="14"/>
  <c r="L12" i="14"/>
  <c r="N12" i="14"/>
  <c r="AR26" i="14" l="1"/>
  <c r="I26" i="14"/>
  <c r="O26" i="14"/>
  <c r="L26" i="14"/>
  <c r="K26" i="14"/>
  <c r="N26" i="14"/>
  <c r="M26" i="14"/>
  <c r="J26" i="14"/>
  <c r="AZ20" i="14"/>
  <c r="AY20" i="14"/>
  <c r="BE20" i="14"/>
  <c r="BA20" i="14"/>
  <c r="BB20" i="14"/>
  <c r="BD20" i="14"/>
  <c r="BC20" i="14"/>
  <c r="BA12" i="14"/>
  <c r="BD12" i="14"/>
  <c r="BC12" i="14"/>
  <c r="AY12" i="14"/>
  <c r="BB12" i="14"/>
  <c r="AZ12" i="14"/>
  <c r="AY26" i="14" l="1"/>
  <c r="BE26" i="14"/>
  <c r="BD26" i="14"/>
  <c r="BB26" i="14"/>
  <c r="BC26" i="14"/>
  <c r="BA26" i="14"/>
  <c r="AZ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tc={CB13832B-C842-4DEA-A2AC-CBA5B979D225}</author>
    <author>tc={36CC41D3-2551-4173-8F75-80AB64DD2024}</author>
    <author>tc={7A440AF0-84E7-4C51-984C-ED9AABB3F964}</author>
  </authors>
  <commentList>
    <comment ref="A7" authorId="0" shapeId="0" xr:uid="{CB13832B-C842-4DEA-A2AC-CBA5B979D225}">
      <text>
        <t>[Trådet kommentar]
Din version af Excel lader dig læse denne trådede kommentar. Eventuelle ændringer vil dog blive fjernet, hvis filen åbnes i en nyere version af Excel. Få mere at vide: https://go.microsoft.com/fwlink/?linkid=870924
Kommentar:
    Har gratis lokalruter til børn og unge op til 16 år</t>
      </text>
    </comment>
    <comment ref="A9" authorId="1" shapeId="0" xr:uid="{36CC41D3-2551-4173-8F75-80AB64DD2024}">
      <text>
        <t>[Trådet kommentar]
Din version af Excel lader dig læse denne trådede kommentar. Eventuelle ændringer vil dog blive fjernet, hvis filen åbnes i en nyere version af Excel. Få mere at vide: https://go.microsoft.com/fwlink/?linkid=870924
Kommentar:
    Indført gratis lokalruter for børn og unge op til 16 år i 2023</t>
      </text>
    </comment>
    <comment ref="A14" authorId="2" shapeId="0" xr:uid="{7A440AF0-84E7-4C51-984C-ED9AABB3F964}">
      <text>
        <t>[Trådet kommentar]
Din version af Excel lader dig læse denne trådede kommentar. Eventuelle ændringer vil dog blive fjernet, hvis filen åbnes i en nyere version af Excel. Få mere at vide: https://go.microsoft.com/fwlink/?linkid=870924
Kommentar:
    Odense Letbane overtag en rute af bybusserne juni 2022</t>
      </text>
    </comment>
  </commentList>
</comments>
</file>

<file path=xl/sharedStrings.xml><?xml version="1.0" encoding="utf-8"?>
<sst xmlns="http://schemas.openxmlformats.org/spreadsheetml/2006/main" count="1110" uniqueCount="247">
  <si>
    <t>NT</t>
  </si>
  <si>
    <t>Køreplantimer</t>
  </si>
  <si>
    <t>Antal passagerer</t>
  </si>
  <si>
    <t>Passagerindtægter mDKK)</t>
  </si>
  <si>
    <t>Operatørudgifter (mDKK)</t>
  </si>
  <si>
    <t>Reduktioner i serviceniveau (mDKK)</t>
  </si>
  <si>
    <t>Statskompensation (mDKK)</t>
  </si>
  <si>
    <t>Passagertal indeks ift. 2019</t>
  </si>
  <si>
    <t>Operatørudgift pr. køreplantime</t>
  </si>
  <si>
    <t>Kommune / Region</t>
  </si>
  <si>
    <t>R 2019</t>
  </si>
  <si>
    <t>R 2020</t>
  </si>
  <si>
    <t>R 2021</t>
  </si>
  <si>
    <t>R 2022</t>
  </si>
  <si>
    <t>Brønderslev Kommune</t>
  </si>
  <si>
    <t>n/a</t>
  </si>
  <si>
    <t>Frederikshavn Kommune</t>
  </si>
  <si>
    <t>Hjørring Kommune</t>
  </si>
  <si>
    <t>Jammerbugt Kommune</t>
  </si>
  <si>
    <t>Læsø Kommune</t>
  </si>
  <si>
    <t>Mariagerfjord Kommune</t>
  </si>
  <si>
    <t>Morsø Kommune</t>
  </si>
  <si>
    <t>Rebild Kommune</t>
  </si>
  <si>
    <t>Thisted Kommune</t>
  </si>
  <si>
    <t>Vesthimmerland Kommune</t>
  </si>
  <si>
    <t>Aalborg Kommune</t>
  </si>
  <si>
    <t>Region Nordjylland</t>
  </si>
  <si>
    <t>Total</t>
  </si>
  <si>
    <t>Noter:</t>
  </si>
  <si>
    <t>Note 1: I budget og forecast estimeres ikke med antal passagerer. I regnskaber fordeles antal passagerer ikke mellem kommuner og region.</t>
  </si>
  <si>
    <t>Note 2: Indeks er beregnet på baggrund af udvikling i passagerindtægter og ikke i udvikling i antal passagerer. Desuden er kollektiv trafik (buskørsel) gratis i Morsø Kommune og Læsø Kommune.</t>
  </si>
  <si>
    <t>MIDTTRAFIK</t>
  </si>
  <si>
    <t>MOVIA</t>
  </si>
  <si>
    <t>Passagerindtægter (mDKK)</t>
  </si>
  <si>
    <t>Favrskov</t>
  </si>
  <si>
    <t>Hedensted</t>
  </si>
  <si>
    <t>Herning</t>
  </si>
  <si>
    <t>Holstebro</t>
  </si>
  <si>
    <t>Horsens</t>
  </si>
  <si>
    <t>Ikast-Brande</t>
  </si>
  <si>
    <t>Lemvig</t>
  </si>
  <si>
    <t>Norddjurs</t>
  </si>
  <si>
    <t>Odder</t>
  </si>
  <si>
    <t>Randers</t>
  </si>
  <si>
    <t>Ringkøbing-Skjern</t>
  </si>
  <si>
    <t>Silkeborg</t>
  </si>
  <si>
    <t>Skanderborg</t>
  </si>
  <si>
    <t>Skive</t>
  </si>
  <si>
    <t>Struer</t>
  </si>
  <si>
    <t>Syddjurs</t>
  </si>
  <si>
    <t>Viborg</t>
  </si>
  <si>
    <t>Aarhus</t>
  </si>
  <si>
    <t>Region Midtjylland</t>
  </si>
  <si>
    <t>Direkte henførbart til Staten</t>
  </si>
  <si>
    <t>Total for Midttrafik</t>
  </si>
  <si>
    <t>MT kørsel i NT</t>
  </si>
  <si>
    <t>MT kørsel i Sydtrafik</t>
  </si>
  <si>
    <t>Total inkl. kørsel i NT og Sydtrafk</t>
  </si>
  <si>
    <t>SYDTRAFIK</t>
  </si>
  <si>
    <t>Region Syddanmark</t>
  </si>
  <si>
    <t>Billund Kommune</t>
  </si>
  <si>
    <t>Esbjerg Kommune</t>
  </si>
  <si>
    <t>Fredericia Kommune</t>
  </si>
  <si>
    <t>Haderslev Kommune</t>
  </si>
  <si>
    <t>Kolding Kommune</t>
  </si>
  <si>
    <t>Sønderborg Kommune</t>
  </si>
  <si>
    <t>Tønder Kommune</t>
  </si>
  <si>
    <t>Varde Kommune</t>
  </si>
  <si>
    <t>Vejen Kommune</t>
  </si>
  <si>
    <t>Vejle Kommune</t>
  </si>
  <si>
    <t>Aabenraa Kommune</t>
  </si>
  <si>
    <t>Note 1</t>
  </si>
  <si>
    <t>Note 2</t>
  </si>
  <si>
    <t>Operatørudgift pr time indekseret</t>
  </si>
  <si>
    <t>Note 1: ST budgetterer ikke på passagertal</t>
  </si>
  <si>
    <t>Note 2: Overordnet budget på passagertal baseret på jan-nov 2023. Forventning om samme niveau i 2024</t>
  </si>
  <si>
    <t>FYNBUS</t>
  </si>
  <si>
    <t>Busudgifter</t>
  </si>
  <si>
    <t>Ejerbidrag inkl. kompensation</t>
  </si>
  <si>
    <t>Kun vedr. busdrift</t>
  </si>
  <si>
    <t>Passagerindtægter (mio)</t>
  </si>
  <si>
    <t>Assens</t>
  </si>
  <si>
    <t>Faaborg-Midtfyn</t>
  </si>
  <si>
    <t>Kerteminde</t>
  </si>
  <si>
    <t>Langeland</t>
  </si>
  <si>
    <t>Middelfart</t>
  </si>
  <si>
    <t>Nordfyn</t>
  </si>
  <si>
    <t>Nyborg</t>
  </si>
  <si>
    <t xml:space="preserve">Odense </t>
  </si>
  <si>
    <t>Svendborg</t>
  </si>
  <si>
    <t xml:space="preserve">Note 1: Reduktionen i 2023 er videreført til 2024, og dertil en besparelse på 6 mio. kr. i 2024 (halvårseffekt). Dertil er der i løbet af 2023 arbejdet med mindre justeringer af rutenettet. </t>
  </si>
  <si>
    <t xml:space="preserve">Note 2: Dertil er der i løbet af 2023 arbejdet med mindre justeringer af rutenettet.  </t>
  </si>
  <si>
    <t>København</t>
  </si>
  <si>
    <t>Frederiksberg</t>
  </si>
  <si>
    <t>Albertslund</t>
  </si>
  <si>
    <t>Ballerup</t>
  </si>
  <si>
    <t>Brøndby</t>
  </si>
  <si>
    <t>Dragør</t>
  </si>
  <si>
    <t>Gentofte</t>
  </si>
  <si>
    <t>Gladsaxe</t>
  </si>
  <si>
    <t>Glostrup</t>
  </si>
  <si>
    <t>Herlev</t>
  </si>
  <si>
    <t>Hvidovre</t>
  </si>
  <si>
    <t>Høje-Taastrup</t>
  </si>
  <si>
    <t>Ishøj</t>
  </si>
  <si>
    <t>Egedal</t>
  </si>
  <si>
    <t>Lyngby-Taarbæk</t>
  </si>
  <si>
    <t>Rødovre</t>
  </si>
  <si>
    <t>Rudersdal</t>
  </si>
  <si>
    <t>Tårnby</t>
  </si>
  <si>
    <t>Vallensbæk</t>
  </si>
  <si>
    <t>Furesø</t>
  </si>
  <si>
    <t>Allerød</t>
  </si>
  <si>
    <t>Fredensborg</t>
  </si>
  <si>
    <t>Frederikssund</t>
  </si>
  <si>
    <t>Halsnæs</t>
  </si>
  <si>
    <t>Gribskov</t>
  </si>
  <si>
    <t>Helsingør</t>
  </si>
  <si>
    <t>Hillerød</t>
  </si>
  <si>
    <t>Hørsholm</t>
  </si>
  <si>
    <t>REGION HOVEDSTADEN</t>
  </si>
  <si>
    <t>REGION SJÆLLAND</t>
  </si>
  <si>
    <t>Lejre</t>
  </si>
  <si>
    <t>Greve</t>
  </si>
  <si>
    <t>Køge</t>
  </si>
  <si>
    <t>Roskilde</t>
  </si>
  <si>
    <t>Solrød</t>
  </si>
  <si>
    <t>Stevns</t>
  </si>
  <si>
    <t>Kalundborg</t>
  </si>
  <si>
    <t>Sorø</t>
  </si>
  <si>
    <t>Odsherred</t>
  </si>
  <si>
    <t>Næstved</t>
  </si>
  <si>
    <t>Slagelse</t>
  </si>
  <si>
    <t>Faxe</t>
  </si>
  <si>
    <t>Holbæk</t>
  </si>
  <si>
    <t>Ringsted</t>
  </si>
  <si>
    <t>Lolland</t>
  </si>
  <si>
    <t>Vordingborg</t>
  </si>
  <si>
    <t>Guldborgsund</t>
  </si>
  <si>
    <t>Se note</t>
  </si>
  <si>
    <t>BAT</t>
  </si>
  <si>
    <t>Antal passagerer*</t>
  </si>
  <si>
    <t>Passagertal indeks ift. 2019*</t>
  </si>
  <si>
    <t>Bornholms Regionskommune</t>
  </si>
  <si>
    <t>*) BAT har ikke passagertællingssystem i årene 2019-2023. Passagerindeks på baggrund af indtægtsniveua</t>
  </si>
  <si>
    <t>Midttrafik</t>
  </si>
  <si>
    <t>Sydtrafik</t>
  </si>
  <si>
    <t>Movia</t>
  </si>
  <si>
    <t>Odense Letbane overtog 40-gruppen juni 2022. Er ikke korrigeret</t>
  </si>
  <si>
    <t>Odense</t>
  </si>
  <si>
    <t>Indførte gratis buskørsel for børn og unge fra januar 2023</t>
  </si>
  <si>
    <t>Indførte gratis buskørsel for børn og unge fra august 2022</t>
  </si>
  <si>
    <t>Assens:</t>
  </si>
  <si>
    <t xml:space="preserve">Note 2.  </t>
  </si>
  <si>
    <t>Fynbus</t>
  </si>
  <si>
    <t>Operatørudgift pr. køreplantime - indeks (2019=100)</t>
  </si>
  <si>
    <t>Køreplantimer - indeks (2019=100)</t>
  </si>
  <si>
    <t>R 2023</t>
  </si>
  <si>
    <t>FC 2024</t>
  </si>
  <si>
    <t>B2025</t>
  </si>
  <si>
    <t xml:space="preserve">Note 3: Indtægterne i 2025 og 2026 nedskrives med hhv. 4  mio.kr. og 8 mio.kr. grundet gratis buskørsel i Fredericia fra medio 2025.  </t>
  </si>
  <si>
    <t>FC2024 er lige Forventet Regnskab 2024 efter 3 kvartal</t>
  </si>
  <si>
    <t>Samlede udgifter er busudgifter og fællesudgifter. Fællesudgifter er driftsrelaterede, salgsrelaterede, administrative udgifter, rejsekort udgifter og anlægsudgifter. Ved Odense er fællesudgifter til letbanen også indeholdt.</t>
  </si>
  <si>
    <t>Busudgifter - operatørudgifter er bruttoudgifter til buskørsel, som indeholder entreprenøromkostninger, dubleringskørsel, direkte henførebare drifts- eller salgsrelaterede udgifter mm.</t>
  </si>
  <si>
    <t>Væsentlige justeringer i kørselsomfang</t>
  </si>
  <si>
    <t>Reduktionen i kørselsimfang i 2023 er videreført til 2024 og 2025. Desuden er udvalgt weekendkørsel købt af 5 kommuner (Odense, Faaborg-Midtfyn, Assens, Kerteminde og Nyborg) i 2023 og permanent i 2025.</t>
  </si>
  <si>
    <t xml:space="preserve">Letbanen blev taget i drift medio 2022. Dertil er der i løbet af 2023 og 2024 arbejdet med mindre justeringer af rutenettet.  </t>
  </si>
  <si>
    <t>Gratis buskørsel (som kan påvirke opgørelse af passagertallet)</t>
  </si>
  <si>
    <t>Indførte gratis buskørsel for børn og unge fra januar 2023. Fra januar 2024 for alle</t>
  </si>
  <si>
    <t>Gratis lokalruter siden 2007</t>
  </si>
  <si>
    <t>Indførte gratis buskørsel for børn og unge fra april 2024</t>
  </si>
  <si>
    <t>Indførte gratis buskørsel for børn og unge fra 2025</t>
  </si>
  <si>
    <t>Gratis bybusser i weekender og helligdage, fra 2022</t>
  </si>
  <si>
    <t>Selvfin.graden er ikke øget så meget de sidste år, som også skyldes at nogle kommuner vælger at indføre gratis buskørsel.
Hvis der alene ses på den regional buskørsel, Odense bybuskørsel og Svendborg buskørsel, ses en selvfin.grad på 33 %</t>
  </si>
  <si>
    <t>RM</t>
  </si>
  <si>
    <t>RH, Movia</t>
  </si>
  <si>
    <t>RS, Movia</t>
  </si>
  <si>
    <t>RN</t>
  </si>
  <si>
    <t>RSD, ST</t>
  </si>
  <si>
    <t>Region/Odense</t>
  </si>
  <si>
    <t>Estimeret årstælling fordelt efter R 2024</t>
  </si>
  <si>
    <t xml:space="preserve"> </t>
  </si>
  <si>
    <t>Regioner / amter</t>
  </si>
  <si>
    <t>(ny pl)</t>
  </si>
  <si>
    <t>inkl. overførsler</t>
  </si>
  <si>
    <t>ekskl. overførsler</t>
  </si>
  <si>
    <t>service ekskl. overførsler</t>
  </si>
  <si>
    <t>anlæg</t>
  </si>
  <si>
    <t>inkl. medicin</t>
  </si>
  <si>
    <t>ekskl. medicin</t>
  </si>
  <si>
    <t>sundhed ekskl. medicin</t>
  </si>
  <si>
    <t>regional udvikling</t>
  </si>
  <si>
    <t>regional anlæg</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</si>
  <si>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</si>
  <si>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</si>
  <si>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</si>
  <si>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</si>
  <si>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</si>
  <si>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</si>
  <si>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</si>
  <si>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</si>
  <si>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</si>
  <si>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</si>
  <si>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</si>
  <si>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</si>
  <si>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</si>
  <si>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</si>
  <si>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</si>
  <si>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</si>
  <si>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</si>
  <si>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 xml:space="preserve">2006-2007 </t>
  </si>
  <si>
    <t>2007-2008</t>
  </si>
  <si>
    <t xml:space="preserve">2008-2009 </t>
  </si>
  <si>
    <t xml:space="preserve">2009-2010 </t>
  </si>
  <si>
    <t>2010-2011</t>
  </si>
  <si>
    <t>2011-2012</t>
  </si>
  <si>
    <t>2012-2013</t>
  </si>
  <si>
    <t>2013-2014</t>
  </si>
  <si>
    <t>2014-2015</t>
  </si>
  <si>
    <t>2015-2016</t>
  </si>
  <si>
    <t>2016-2017</t>
  </si>
  <si>
    <t>2017-2018</t>
  </si>
  <si>
    <t>2018-2019</t>
  </si>
  <si>
    <t>2019-2020</t>
  </si>
  <si>
    <t>2020-2021</t>
  </si>
  <si>
    <t>2021-2022</t>
  </si>
  <si>
    <t>2022-2023</t>
  </si>
  <si>
    <t>2023-2024**</t>
  </si>
  <si>
    <t>2024-2025**</t>
  </si>
  <si>
    <t>** Skøn fra ØA25</t>
  </si>
  <si>
    <t>Kommuner</t>
  </si>
  <si>
    <t>2006-2007</t>
  </si>
  <si>
    <t>2023-2024*</t>
  </si>
  <si>
    <t>2024-2025*</t>
  </si>
  <si>
    <t>* Skøn fra kommende skrivelse G.1-3, Budgetvejledning 2025</t>
  </si>
  <si>
    <t>Det er kun fra 1997 og frem, der er opgørelser af pl ekskl. overførsler og medicin, før er det inkl. disse</t>
  </si>
  <si>
    <t>Fra og med 2009-2010 indførtes der nye pl, fx på hhv. service og anlæg</t>
  </si>
  <si>
    <t>Akkumuleret PL</t>
  </si>
  <si>
    <t>Pris og lønstigning fra KL akkumuleret</t>
  </si>
  <si>
    <t>Note: I trafikselskabernes indeksregulering af operatørbetalingerne har brændstof (diesel, el, gas mv.) højere vægt end i den generelle PL for kommuner og regioner - I fx 2022 hvor priserne på brændstof steg meget, er trafikselskabernes indeks derfor steget mere end PL. Modsat i 2020, hvor brændstofpriserne var lave, steg PL mere end trafikselskabernes indeks</t>
  </si>
  <si>
    <t>Note: I efteråret 2019 åbnede MetroCity ringen, og sommer 2024 åbnede Metroforlængelsen til Sydhavnen - Begge metroudvidelser betød en tilpasning af busdriften, med færre bustimer og passageroverflytning til Metroen</t>
  </si>
  <si>
    <t>Note: Der er herunder brugt pris og lønstigning fra KL til at omregne til faste priser. I trafikselskabernes indeksregulering af operatørbetalingerne har brændstof (diesel, el, gas mv.) højere vægt end i den generelle PL for kommuner og regioner - I fx 2022 hvor priserne på brændstof steg meget, er trafikselskabernes indeks derfor steget mere end PL. Modsat i 2020, hvor brændstofpriserne var lave, steg PL mere end trafikselskabernes indeks.</t>
  </si>
  <si>
    <t>Indtægter delt med operatørudgifter</t>
  </si>
  <si>
    <t>Operatørudgifter minus indtægter minus statskompensation (mDKK)</t>
  </si>
  <si>
    <t>Statskompensation Bus (mDKK)</t>
  </si>
  <si>
    <t>ØKONOMISKE NØGLETAL FOR TRAFIKSELSKABERNE - SAMLET BUS (LØBENDE PRISER)</t>
  </si>
  <si>
    <r>
      <t xml:space="preserve">ØKONOMISKE NØGLETAL FOR TRAFIKSELSKABERNE - HERUNDER SAMLET BUS (I </t>
    </r>
    <r>
      <rPr>
        <b/>
        <u/>
        <sz val="12"/>
        <color theme="1"/>
        <rFont val="Calibri"/>
        <family val="2"/>
      </rPr>
      <t>FASTE 2019-PRISER)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</si>
</sst>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_-* #,##0_-;\-* #,##0_-;_-* &quot;-&quot;??_-;_-@_-"/>
    <numFmt numFmtId="166" formatCode="#,##0_);\-#,##0_);\-_);@"/>
    <numFmt numFmtId="167" formatCode="#,##0.0_);\-#,##0.0_);\-_);@"/>
    <numFmt numFmtId="168" formatCode="#,##0.0_ ;\-#,##0.0\ "/>
    <numFmt numFmtId="169" formatCode="0.0"/>
    <numFmt numFmtId="170" formatCode="_-* #,##0.000_-;\-* #,##0.000_-;_-* &quot;-&quot;??_-;_-@_-"/>
  </numFmts>
  <fonts count="21" x14ac:knownFonts="1">
    <font>
      <sz val="11"/>
      <color theme="1"/>
      <name val="Arial"/>
      <family val="2"/>
      <scheme val="minor"/>
    </font>
    <font>
      <sz val="12"/>
      <color theme="1"/>
      <name val="Calibri"/>
      <family val="2"/>
    </font>
    <font>
      <b/>
      <sz val="12"/>
      <color theme="1"/>
      <name val="Calibri"/>
      <family val="2"/>
    </font>
    <font>
      <sz val="11"/>
      <color theme="1"/>
      <name val="Arial"/>
      <family val="2"/>
      <scheme val="minor"/>
    </font>
    <font>
      <sz val="12"/>
      <name val="Calibri"/>
      <family val="2"/>
    </font>
    <font>
      <b/>
      <sz val="12"/>
      <name val="Calibri"/>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2"/>
      <color theme="0" tint="-0.499984740745262"/>
      <name val="Calibri"/>
      <family val="2"/>
    </font>
    <font>
      <sz val="11"/>
      <color theme="1"/>
      <name val="Aptos"/>
      <family val="2"/>
    </font>
    <font>
      <sz val="10"/>
      <name val="Arial"/>
      <family val="2"/>
    </font>
    <font>
      <b/>
      <sz val="10"/>
      <name val="Arial"/>
      <family val="2"/>
    </font>
    <font>
      <b/>
      <u/>
      <sz val="12"/>
      <color theme="1"/>
      <name val="Calibri"/>
      <family val="2"/>
    </font>
    <font>
      <sz val="8"/>
      <name val="Arial"/>
      <family val="2"/>
      <scheme val="minor"/>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BED7A5"/>
        <bgColor indexed="64"/>
      </patternFill>
    </fill>
    <fill>
      <patternFill patternType="solid">
        <fgColor theme="8" tint="0.79998168889431442"/>
        <bgColor indexed="64"/>
      </patternFill>
    </fill>
    <fill>
      <patternFill patternType="solid">
        <fgColor rgb="FF92D050"/>
        <bgColor indexed="64"/>
      </patternFill>
    </fill>
    <fill>
      <patternFill patternType="solid">
        <fgColor indexed="22"/>
        <bgColor indexed="64"/>
      </patternFill>
    </fill>
    <fill>
      <patternFill patternType="solid">
        <fgColor theme="0" tint="-4.9989318521683403E-2"/>
        <bgColor indexed="64"/>
      </patternFill>
    </fill>
    <fill>
      <patternFill patternType="solid">
        <fgColor theme="2"/>
        <bgColor indexed="64"/>
      </patternFill>
    </fill>
  </fills>
  <borders count="21">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59">
    <xf numFmtId="0" fontId="0" fillId="0" borderId="0"/>
    <xf numFmtId="43" fontId="3" fillId="0" borderId="0" applyFont="0" applyFill="0" applyBorder="0" applyAlignment="0" applyProtection="0"/>
    <xf numFmtId="9" fontId="3" fillId="0" borderId="0" applyFont="0" applyFill="0" applyBorder="0" applyAlignment="0" applyProtection="0"/>
    <xf numFmtId="0" fontId="6" fillId="0" borderId="11" applyNumberFormat="0" applyFill="0" applyProtection="0">
      <alignment horizontal="center" vertical="center"/>
    </xf>
    <xf numFmtId="3" fontId="7" fillId="0" borderId="12" applyFont="0" applyFill="0" applyAlignment="0" applyProtection="0"/>
    <xf numFmtId="3" fontId="7" fillId="0" borderId="12" applyFont="0" applyFill="0" applyAlignment="0" applyProtection="0"/>
    <xf numFmtId="3" fontId="7" fillId="0" borderId="12" applyFont="0" applyFill="0" applyAlignment="0" applyProtection="0"/>
    <xf numFmtId="3" fontId="7" fillId="0" borderId="12" applyFont="0" applyFill="0" applyAlignment="0" applyProtection="0"/>
    <xf numFmtId="3" fontId="7" fillId="0" borderId="12" applyFont="0" applyFill="0" applyAlignment="0" applyProtection="0"/>
    <xf numFmtId="3" fontId="7" fillId="0" borderId="12" applyFont="0" applyFill="0" applyAlignment="0" applyProtection="0"/>
    <xf numFmtId="3" fontId="7" fillId="0" borderId="12" applyFont="0" applyFill="0" applyAlignment="0" applyProtection="0"/>
    <xf numFmtId="3" fontId="7" fillId="0" borderId="12" applyFont="0" applyFill="0" applyAlignment="0" applyProtection="0"/>
    <xf numFmtId="3" fontId="6" fillId="0" borderId="11" applyNumberFormat="0" applyFill="0" applyAlignment="0" applyProtection="0"/>
    <xf numFmtId="0" fontId="6" fillId="0" borderId="11" applyNumberFormat="0" applyFill="0" applyAlignment="0" applyProtection="0"/>
    <xf numFmtId="3" fontId="6" fillId="0" borderId="11" applyNumberFormat="0" applyFill="0" applyAlignment="0" applyProtection="0"/>
    <xf numFmtId="0" fontId="6" fillId="0" borderId="11" applyNumberFormat="0" applyFill="0" applyAlignment="0" applyProtection="0"/>
    <xf numFmtId="0" fontId="6" fillId="0" borderId="11" applyNumberFormat="0" applyFill="0" applyAlignment="0" applyProtection="0"/>
    <xf numFmtId="0" fontId="6" fillId="0" borderId="11" applyNumberFormat="0" applyFill="0" applyAlignment="0" applyProtection="0"/>
    <xf numFmtId="0" fontId="6" fillId="0" borderId="11" applyNumberFormat="0" applyFill="0" applyAlignment="0" applyProtection="0"/>
    <xf numFmtId="0" fontId="6" fillId="0" borderId="11" applyNumberFormat="0" applyFill="0" applyAlignment="0" applyProtection="0"/>
    <xf numFmtId="3" fontId="7" fillId="0" borderId="0" applyNumberFormat="0" applyBorder="0" applyAlignment="0" applyProtection="0"/>
    <xf numFmtId="3" fontId="7" fillId="0" borderId="0" applyNumberFormat="0" applyBorder="0" applyAlignment="0" applyProtection="0"/>
    <xf numFmtId="3" fontId="7" fillId="0" borderId="0" applyNumberFormat="0" applyBorder="0" applyAlignment="0" applyProtection="0"/>
    <xf numFmtId="3" fontId="7" fillId="0" borderId="0" applyNumberFormat="0" applyBorder="0" applyAlignment="0" applyProtection="0"/>
    <xf numFmtId="3" fontId="7" fillId="0" borderId="0" applyNumberFormat="0" applyBorder="0" applyAlignment="0" applyProtection="0"/>
    <xf numFmtId="3" fontId="7" fillId="0" borderId="12" applyNumberFormat="0" applyBorder="0" applyAlignment="0" applyProtection="0"/>
    <xf numFmtId="3" fontId="7" fillId="0" borderId="12" applyNumberFormat="0" applyBorder="0" applyAlignment="0" applyProtection="0"/>
    <xf numFmtId="3" fontId="7" fillId="0" borderId="12" applyNumberFormat="0" applyBorder="0" applyAlignment="0" applyProtection="0"/>
    <xf numFmtId="0" fontId="7" fillId="0" borderId="12" applyNumberFormat="0" applyFill="0" applyAlignment="0" applyProtection="0"/>
    <xf numFmtId="0" fontId="7" fillId="0" borderId="12" applyNumberFormat="0" applyFill="0" applyAlignment="0" applyProtection="0"/>
    <xf numFmtId="0" fontId="7" fillId="0" borderId="12">
      <alignment horizontal="right" vertical="center"/>
    </xf>
    <xf numFmtId="3" fontId="7" fillId="4" borderId="12">
      <alignment horizontal="center" vertical="center"/>
    </xf>
    <xf numFmtId="0" fontId="7" fillId="4" borderId="12">
      <alignment horizontal="right" vertical="center"/>
    </xf>
    <xf numFmtId="0" fontId="6" fillId="0" borderId="13">
      <alignment horizontal="left" vertical="center"/>
    </xf>
    <xf numFmtId="0" fontId="6" fillId="0" borderId="14">
      <alignment horizontal="center" vertical="center"/>
    </xf>
    <xf numFmtId="0" fontId="8" fillId="0" borderId="15">
      <alignment horizontal="center" vertical="center"/>
    </xf>
    <xf numFmtId="0" fontId="7" fillId="5" borderId="12"/>
    <xf numFmtId="3" fontId="9" fillId="0" borderId="12"/>
    <xf numFmtId="3" fontId="10" fillId="0" borderId="12"/>
    <xf numFmtId="0" fontId="6" fillId="0" borderId="14">
      <alignment horizontal="left" vertical="top"/>
    </xf>
    <xf numFmtId="0" fontId="11" fillId="0" borderId="12"/>
    <xf numFmtId="0" fontId="6" fillId="0" borderId="14">
      <alignment horizontal="left" vertical="center"/>
    </xf>
    <xf numFmtId="0" fontId="7" fillId="4" borderId="16"/>
    <xf numFmtId="3" fontId="7" fillId="0" borderId="12">
      <alignment horizontal="right" vertical="center"/>
    </xf>
    <xf numFmtId="0" fontId="6" fillId="0" borderId="14">
      <alignment horizontal="right" vertical="center"/>
    </xf>
    <xf numFmtId="0" fontId="7" fillId="0" borderId="15">
      <alignment horizontal="center" vertical="center"/>
    </xf>
    <xf numFmtId="3" fontId="7" fillId="0" borderId="12"/>
    <xf numFmtId="3" fontId="7" fillId="0" borderId="12"/>
    <xf numFmtId="0" fontId="7" fillId="0" borderId="15">
      <alignment horizontal="center" vertical="center" wrapText="1"/>
    </xf>
    <xf numFmtId="0" fontId="12" fillId="0" borderId="15">
      <alignment horizontal="left" vertical="center" indent="1"/>
    </xf>
    <xf numFmtId="0" fontId="13" fillId="0" borderId="12"/>
    <xf numFmtId="0" fontId="6" fillId="0" borderId="13">
      <alignment horizontal="left" vertical="center"/>
    </xf>
    <xf numFmtId="3" fontId="7" fillId="0" borderId="12">
      <alignment horizontal="center" vertical="center"/>
    </xf>
    <xf numFmtId="0" fontId="6" fillId="0" borderId="14">
      <alignment horizontal="center" vertical="center"/>
    </xf>
    <xf numFmtId="0" fontId="6" fillId="0" borderId="14">
      <alignment horizontal="center" vertical="center"/>
    </xf>
    <xf numFmtId="0" fontId="6" fillId="0" borderId="13">
      <alignment horizontal="left" vertical="center"/>
    </xf>
    <xf numFmtId="0" fontId="6" fillId="0" borderId="13">
      <alignment horizontal="left" vertical="center"/>
    </xf>
    <xf numFmtId="0" fontId="14" fillId="0" borderId="12"/>
    <xf numFmtId="43" fontId="3" fillId="0" borderId="0" applyFont="0" applyFill="0" applyBorder="0" applyAlignment="0" applyProtection="0"/>
  </cellStyleXfs>
  <cellXfs count="219">
    <xf numFmtId="0" fontId="0" fillId="0" borderId="0" xfId="0"/>
    <xf numFmtId="0" fontId="1" fillId="0" borderId="0" xfId="0" applyFont="1"/>
    <xf numFmtId="0" fontId="2" fillId="0" borderId="0" xfId="0" applyFont="1"/>
    <xf numFmtId="0" fontId="1" fillId="0" borderId="1" xfId="0" applyFont="1" applyBorder="1"/>
    <xf numFmtId="0" fontId="2" fillId="2" borderId="0" xfId="0" applyFont="1" applyFill="1"/>
    <xf numFmtId="0" fontId="2" fillId="0" borderId="1" xfId="0" applyFont="1" applyBorder="1" applyAlignment="1">
      <alignment wrapText="1"/>
    </xf>
    <xf numFmtId="0" fontId="1" fillId="0" borderId="0" xfId="0" applyFont="1" applyAlignment="1">
      <alignment wrapText="1"/>
    </xf>
    <xf numFmtId="0" fontId="2" fillId="0" borderId="7" xfId="0" applyFont="1" applyBorder="1"/>
    <xf numFmtId="0" fontId="2" fillId="0" borderId="3" xfId="0" applyFont="1" applyBorder="1" applyAlignment="1">
      <alignment horizontal="center"/>
    </xf>
    <xf numFmtId="0" fontId="2" fillId="0" borderId="8" xfId="0" applyFont="1" applyBorder="1"/>
    <xf numFmtId="0" fontId="2" fillId="0" borderId="8" xfId="0" applyFont="1" applyBorder="1" applyAlignment="1">
      <alignment horizontal="center"/>
    </xf>
    <xf numFmtId="0" fontId="2" fillId="0" borderId="7" xfId="0" applyFont="1" applyBorder="1" applyAlignment="1">
      <alignment horizontal="center"/>
    </xf>
    <xf numFmtId="3" fontId="1" fillId="0" borderId="2" xfId="0" applyNumberFormat="1" applyFont="1" applyBorder="1"/>
    <xf numFmtId="3" fontId="1" fillId="0" borderId="0" xfId="0" applyNumberFormat="1" applyFont="1"/>
    <xf numFmtId="3" fontId="1" fillId="0" borderId="10" xfId="0" applyNumberFormat="1" applyFont="1" applyBorder="1"/>
    <xf numFmtId="3" fontId="1" fillId="0" borderId="6" xfId="0" applyNumberFormat="1" applyFont="1" applyBorder="1"/>
    <xf numFmtId="165" fontId="1" fillId="0" borderId="0" xfId="1" applyNumberFormat="1" applyFont="1"/>
    <xf numFmtId="164" fontId="1" fillId="0" borderId="0" xfId="0" applyNumberFormat="1" applyFont="1"/>
    <xf numFmtId="164" fontId="1" fillId="0" borderId="1" xfId="0" applyNumberFormat="1" applyFont="1" applyBorder="1"/>
    <xf numFmtId="164" fontId="1" fillId="0" borderId="10" xfId="0" applyNumberFormat="1" applyFont="1" applyBorder="1"/>
    <xf numFmtId="164" fontId="1" fillId="0" borderId="6" xfId="0" applyNumberFormat="1" applyFont="1" applyBorder="1"/>
    <xf numFmtId="9" fontId="1" fillId="0" borderId="0" xfId="2" applyFont="1" applyBorder="1"/>
    <xf numFmtId="9" fontId="1" fillId="0" borderId="6" xfId="2" applyFont="1" applyBorder="1"/>
    <xf numFmtId="3" fontId="1" fillId="0" borderId="1" xfId="0" applyNumberFormat="1" applyFont="1" applyBorder="1"/>
    <xf numFmtId="9" fontId="1" fillId="0" borderId="1" xfId="2" applyFont="1" applyBorder="1"/>
    <xf numFmtId="0" fontId="2" fillId="0" borderId="4" xfId="0" applyFont="1" applyBorder="1"/>
    <xf numFmtId="3" fontId="2" fillId="0" borderId="5" xfId="0" applyNumberFormat="1" applyFont="1" applyBorder="1"/>
    <xf numFmtId="3" fontId="2" fillId="0" borderId="4" xfId="0" applyNumberFormat="1" applyFont="1" applyBorder="1"/>
    <xf numFmtId="164" fontId="2" fillId="0" borderId="5" xfId="0" applyNumberFormat="1" applyFont="1" applyBorder="1"/>
    <xf numFmtId="164" fontId="2" fillId="0" borderId="4" xfId="0" applyNumberFormat="1" applyFont="1" applyBorder="1"/>
    <xf numFmtId="9" fontId="2" fillId="0" borderId="5" xfId="2" applyFont="1" applyBorder="1"/>
    <xf numFmtId="9" fontId="2" fillId="0" borderId="4" xfId="2" applyFont="1" applyBorder="1"/>
    <xf numFmtId="0" fontId="1" fillId="0" borderId="0" xfId="0" applyFont="1" applyAlignment="1">
      <alignment vertical="center" wrapText="1"/>
    </xf>
    <xf numFmtId="3" fontId="1" fillId="0" borderId="0" xfId="2" applyNumberFormat="1" applyFont="1" applyFill="1" applyBorder="1" applyAlignment="1">
      <alignment vertical="center"/>
    </xf>
    <xf numFmtId="0" fontId="1" fillId="0" borderId="0" xfId="0" applyFont="1" applyAlignment="1">
      <alignment horizontal="left" wrapText="1"/>
    </xf>
    <xf numFmtId="164" fontId="2" fillId="0" borderId="0" xfId="0" applyNumberFormat="1" applyFont="1"/>
    <xf numFmtId="164" fontId="2" fillId="0" borderId="8" xfId="0" applyNumberFormat="1" applyFont="1" applyBorder="1"/>
    <xf numFmtId="164" fontId="2" fillId="0" borderId="8" xfId="0" applyNumberFormat="1" applyFont="1" applyBorder="1" applyAlignment="1">
      <alignment horizontal="center"/>
    </xf>
    <xf numFmtId="164" fontId="2" fillId="0" borderId="7" xfId="0" applyNumberFormat="1" applyFont="1" applyBorder="1" applyAlignment="1">
      <alignment horizontal="center"/>
    </xf>
    <xf numFmtId="4" fontId="1" fillId="0" borderId="0" xfId="0" applyNumberFormat="1" applyFont="1"/>
    <xf numFmtId="0" fontId="1" fillId="2" borderId="0" xfId="0" applyFont="1" applyFill="1"/>
    <xf numFmtId="9" fontId="1" fillId="0" borderId="0" xfId="2" applyFont="1"/>
    <xf numFmtId="164" fontId="1" fillId="0" borderId="2" xfId="0" applyNumberFormat="1" applyFont="1" applyBorder="1"/>
    <xf numFmtId="164" fontId="2" fillId="0" borderId="9" xfId="0" applyNumberFormat="1" applyFont="1" applyBorder="1"/>
    <xf numFmtId="3" fontId="1" fillId="2" borderId="0" xfId="0" applyNumberFormat="1" applyFont="1" applyFill="1"/>
    <xf numFmtId="165" fontId="1" fillId="0" borderId="2" xfId="1" applyNumberFormat="1" applyFont="1" applyBorder="1"/>
    <xf numFmtId="9" fontId="1" fillId="0" borderId="2" xfId="2" applyFont="1" applyBorder="1"/>
    <xf numFmtId="9" fontId="2" fillId="0" borderId="9" xfId="2" applyFont="1" applyBorder="1"/>
    <xf numFmtId="0" fontId="1" fillId="0" borderId="2" xfId="0" applyFont="1" applyBorder="1"/>
    <xf numFmtId="167" fontId="4" fillId="0" borderId="0" xfId="0" applyNumberFormat="1" applyFont="1"/>
    <xf numFmtId="167" fontId="4" fillId="0" borderId="1" xfId="0" applyNumberFormat="1" applyFont="1" applyBorder="1"/>
    <xf numFmtId="0" fontId="4" fillId="0" borderId="0" xfId="0" applyFont="1"/>
    <xf numFmtId="0" fontId="5" fillId="0" borderId="0" xfId="0" applyFont="1"/>
    <xf numFmtId="0" fontId="5" fillId="0" borderId="1" xfId="0" applyFont="1" applyBorder="1" applyAlignment="1">
      <alignment wrapText="1"/>
    </xf>
    <xf numFmtId="0" fontId="4" fillId="0" borderId="0" xfId="0" applyFont="1" applyAlignment="1">
      <alignment wrapText="1"/>
    </xf>
    <xf numFmtId="0" fontId="5" fillId="0" borderId="7" xfId="0" applyFont="1" applyBorder="1"/>
    <xf numFmtId="0" fontId="5" fillId="0" borderId="3" xfId="0" applyFont="1" applyBorder="1" applyAlignment="1">
      <alignment horizontal="center"/>
    </xf>
    <xf numFmtId="0" fontId="5" fillId="0" borderId="8" xfId="0" applyFont="1" applyBorder="1"/>
    <xf numFmtId="0" fontId="5" fillId="0" borderId="8" xfId="0" applyFont="1" applyBorder="1" applyAlignment="1">
      <alignment horizontal="center"/>
    </xf>
    <xf numFmtId="0" fontId="5" fillId="0" borderId="7" xfId="0" applyFont="1" applyBorder="1" applyAlignment="1">
      <alignment horizontal="center"/>
    </xf>
    <xf numFmtId="0" fontId="4" fillId="0" borderId="1" xfId="0" applyFont="1" applyBorder="1"/>
    <xf numFmtId="166" fontId="4" fillId="0" borderId="0" xfId="0" applyNumberFormat="1" applyFont="1"/>
    <xf numFmtId="166" fontId="4" fillId="0" borderId="10" xfId="0" applyNumberFormat="1" applyFont="1" applyBorder="1"/>
    <xf numFmtId="166" fontId="4" fillId="0" borderId="6" xfId="0" applyNumberFormat="1" applyFont="1" applyBorder="1"/>
    <xf numFmtId="167" fontId="4" fillId="0" borderId="10" xfId="0" applyNumberFormat="1" applyFont="1" applyBorder="1"/>
    <xf numFmtId="167" fontId="4" fillId="0" borderId="6" xfId="0" applyNumberFormat="1" applyFont="1" applyBorder="1"/>
    <xf numFmtId="166" fontId="4" fillId="0" borderId="1" xfId="0" applyNumberFormat="1" applyFont="1" applyBorder="1"/>
    <xf numFmtId="0" fontId="5" fillId="0" borderId="4" xfId="0" applyFont="1" applyBorder="1"/>
    <xf numFmtId="166" fontId="5" fillId="0" borderId="5" xfId="0" applyNumberFormat="1" applyFont="1" applyBorder="1"/>
    <xf numFmtId="166" fontId="5" fillId="0" borderId="4" xfId="0" applyNumberFormat="1" applyFont="1" applyBorder="1"/>
    <xf numFmtId="166" fontId="5" fillId="0" borderId="9" xfId="0" applyNumberFormat="1" applyFont="1" applyBorder="1"/>
    <xf numFmtId="167" fontId="5" fillId="0" borderId="5" xfId="0" applyNumberFormat="1" applyFont="1" applyBorder="1"/>
    <xf numFmtId="167" fontId="5" fillId="0" borderId="4" xfId="0" applyNumberFormat="1" applyFont="1" applyBorder="1"/>
    <xf numFmtId="0" fontId="4" fillId="2" borderId="0" xfId="0" applyFont="1" applyFill="1"/>
    <xf numFmtId="0" fontId="4" fillId="0" borderId="0" xfId="0" applyFont="1" applyAlignment="1">
      <alignment horizontal="center"/>
    </xf>
    <xf numFmtId="0" fontId="5" fillId="3" borderId="3" xfId="0" applyFont="1" applyFill="1" applyBorder="1" applyAlignment="1">
      <alignment horizontal="center"/>
    </xf>
    <xf numFmtId="0" fontId="5" fillId="3" borderId="8" xfId="0" applyFont="1" applyFill="1" applyBorder="1" applyAlignment="1">
      <alignment horizontal="center"/>
    </xf>
    <xf numFmtId="0" fontId="2" fillId="3" borderId="3" xfId="0" applyFont="1" applyFill="1" applyBorder="1" applyAlignment="1">
      <alignment horizontal="center"/>
    </xf>
    <xf numFmtId="0" fontId="2" fillId="3" borderId="8" xfId="0" applyFont="1" applyFill="1" applyBorder="1"/>
    <xf numFmtId="0" fontId="2" fillId="3" borderId="8" xfId="0" applyFont="1" applyFill="1" applyBorder="1" applyAlignment="1">
      <alignment horizontal="center"/>
    </xf>
    <xf numFmtId="0" fontId="2" fillId="3" borderId="7" xfId="0" applyFont="1" applyFill="1" applyBorder="1" applyAlignment="1">
      <alignment horizontal="center"/>
    </xf>
    <xf numFmtId="164" fontId="2" fillId="3" borderId="3" xfId="0" applyNumberFormat="1" applyFont="1" applyFill="1" applyBorder="1" applyAlignment="1">
      <alignment horizontal="center"/>
    </xf>
    <xf numFmtId="164" fontId="2" fillId="3" borderId="8" xfId="0" applyNumberFormat="1" applyFont="1" applyFill="1" applyBorder="1"/>
    <xf numFmtId="164" fontId="2" fillId="3" borderId="8" xfId="0" applyNumberFormat="1" applyFont="1" applyFill="1" applyBorder="1" applyAlignment="1">
      <alignment horizontal="center"/>
    </xf>
    <xf numFmtId="164" fontId="2" fillId="3" borderId="7" xfId="0" applyNumberFormat="1" applyFont="1" applyFill="1" applyBorder="1" applyAlignment="1">
      <alignment horizontal="center"/>
    </xf>
    <xf numFmtId="0" fontId="5" fillId="3" borderId="8" xfId="0" applyFont="1" applyFill="1" applyBorder="1"/>
    <xf numFmtId="166" fontId="4" fillId="0" borderId="2" xfId="0" applyNumberFormat="1" applyFont="1" applyBorder="1"/>
    <xf numFmtId="3" fontId="1" fillId="0" borderId="2" xfId="1" applyNumberFormat="1" applyFont="1" applyBorder="1"/>
    <xf numFmtId="3" fontId="1" fillId="0" borderId="0" xfId="1" applyNumberFormat="1" applyFont="1"/>
    <xf numFmtId="164" fontId="1" fillId="0" borderId="2" xfId="1" applyNumberFormat="1" applyFont="1" applyBorder="1"/>
    <xf numFmtId="164" fontId="1" fillId="0" borderId="0" xfId="1" applyNumberFormat="1" applyFont="1"/>
    <xf numFmtId="0" fontId="5" fillId="0" borderId="0" xfId="0" applyFont="1" applyAlignment="1">
      <alignment horizontal="center" wrapText="1"/>
    </xf>
    <xf numFmtId="0" fontId="5" fillId="0" borderId="0" xfId="0" applyFont="1" applyAlignment="1">
      <alignment horizontal="center"/>
    </xf>
    <xf numFmtId="167" fontId="5" fillId="0" borderId="0" xfId="0" applyNumberFormat="1" applyFont="1"/>
    <xf numFmtId="9" fontId="4" fillId="0" borderId="0" xfId="2" applyFont="1"/>
    <xf numFmtId="9" fontId="4" fillId="0" borderId="10" xfId="2" applyFont="1" applyBorder="1"/>
    <xf numFmtId="9" fontId="4" fillId="0" borderId="1" xfId="2" applyFont="1" applyBorder="1"/>
    <xf numFmtId="9" fontId="4" fillId="0" borderId="0" xfId="2" applyFont="1" applyBorder="1"/>
    <xf numFmtId="9" fontId="5" fillId="0" borderId="5" xfId="2" applyFont="1" applyBorder="1"/>
    <xf numFmtId="9" fontId="1" fillId="0" borderId="10" xfId="2" applyFont="1" applyBorder="1"/>
    <xf numFmtId="9" fontId="4" fillId="0" borderId="6" xfId="2" applyFont="1" applyBorder="1"/>
    <xf numFmtId="9" fontId="5" fillId="0" borderId="4" xfId="2" applyFont="1" applyBorder="1"/>
    <xf numFmtId="0" fontId="2" fillId="0" borderId="1" xfId="0" applyFont="1" applyBorder="1" applyAlignment="1">
      <alignment horizontal="center"/>
    </xf>
    <xf numFmtId="3" fontId="2" fillId="0" borderId="0" xfId="0" applyNumberFormat="1" applyFont="1"/>
    <xf numFmtId="168" fontId="4" fillId="0" borderId="0" xfId="0" applyNumberFormat="1" applyFont="1"/>
    <xf numFmtId="166" fontId="5" fillId="0" borderId="4" xfId="1" applyNumberFormat="1" applyFont="1" applyBorder="1"/>
    <xf numFmtId="3" fontId="2" fillId="6" borderId="5" xfId="0" applyNumberFormat="1" applyFont="1" applyFill="1" applyBorder="1"/>
    <xf numFmtId="164" fontId="2" fillId="6" borderId="5" xfId="0" applyNumberFormat="1" applyFont="1" applyFill="1" applyBorder="1"/>
    <xf numFmtId="164" fontId="1" fillId="2" borderId="0" xfId="0" applyNumberFormat="1" applyFont="1" applyFill="1"/>
    <xf numFmtId="164" fontId="2" fillId="6" borderId="9" xfId="0" applyNumberFormat="1" applyFont="1" applyFill="1" applyBorder="1"/>
    <xf numFmtId="3" fontId="2" fillId="6" borderId="4" xfId="0" applyNumberFormat="1" applyFont="1" applyFill="1" applyBorder="1"/>
    <xf numFmtId="164" fontId="2" fillId="6" borderId="4" xfId="0" applyNumberFormat="1" applyFont="1" applyFill="1" applyBorder="1"/>
    <xf numFmtId="9" fontId="1" fillId="2" borderId="1" xfId="2" applyFont="1" applyFill="1" applyBorder="1"/>
    <xf numFmtId="9" fontId="1" fillId="2" borderId="0" xfId="2" applyFont="1" applyFill="1" applyBorder="1"/>
    <xf numFmtId="0" fontId="15" fillId="0" borderId="0" xfId="0" applyFont="1"/>
    <xf numFmtId="1" fontId="1" fillId="0" borderId="0" xfId="0" applyNumberFormat="1" applyFont="1"/>
    <xf numFmtId="9" fontId="4" fillId="0" borderId="0" xfId="0" applyNumberFormat="1" applyFont="1"/>
    <xf numFmtId="0" fontId="16" fillId="0" borderId="0" xfId="0" applyFont="1" applyAlignment="1">
      <alignment vertical="center"/>
    </xf>
    <xf numFmtId="167" fontId="4" fillId="0" borderId="2" xfId="0" applyNumberFormat="1" applyFont="1" applyBorder="1"/>
    <xf numFmtId="167" fontId="5" fillId="0" borderId="9" xfId="0" applyNumberFormat="1" applyFont="1" applyBorder="1"/>
    <xf numFmtId="43" fontId="1" fillId="0" borderId="0" xfId="1" applyFont="1"/>
    <xf numFmtId="0" fontId="17" fillId="0" borderId="0" xfId="0" applyFont="1"/>
    <xf numFmtId="0" fontId="18" fillId="0" borderId="0" xfId="0" applyFont="1"/>
    <xf numFmtId="169" fontId="0" fillId="0" borderId="0" xfId="0" applyNumberFormat="1" applyAlignment="1">
      <alignment horizontal="center"/>
    </xf>
    <xf numFmtId="169" fontId="0" fillId="7" borderId="0" xfId="0" applyNumberFormat="1" applyFill="1" applyAlignment="1">
      <alignment horizontal="center"/>
    </xf>
    <xf numFmtId="0" fontId="0" fillId="0" borderId="0" xfId="0" applyAlignment="1">
      <alignment horizontal="center"/>
    </xf>
    <xf numFmtId="0" fontId="0" fillId="7" borderId="0" xfId="0" applyFill="1" applyAlignment="1">
      <alignment horizontal="center"/>
    </xf>
    <xf numFmtId="0" fontId="0" fillId="7" borderId="0" xfId="0" applyFill="1"/>
    <xf numFmtId="169" fontId="17" fillId="0" borderId="0" xfId="0" applyNumberFormat="1" applyFont="1" applyAlignment="1">
      <alignment horizontal="center"/>
    </xf>
    <xf numFmtId="170" fontId="0" fillId="0" borderId="0" xfId="1" applyNumberFormat="1" applyFont="1"/>
    <xf numFmtId="170" fontId="4" fillId="0" borderId="0" xfId="1" applyNumberFormat="1" applyFont="1"/>
    <xf numFmtId="170" fontId="4" fillId="0" borderId="0" xfId="0" applyNumberFormat="1" applyFont="1"/>
    <xf numFmtId="0" fontId="2" fillId="8" borderId="0" xfId="0" applyFont="1" applyFill="1"/>
    <xf numFmtId="0" fontId="4" fillId="8" borderId="0" xfId="0" applyFont="1" applyFill="1"/>
    <xf numFmtId="0" fontId="5" fillId="8" borderId="1" xfId="0" applyFont="1" applyFill="1" applyBorder="1" applyAlignment="1">
      <alignment wrapText="1"/>
    </xf>
    <xf numFmtId="0" fontId="5" fillId="8" borderId="7" xfId="0" applyFont="1" applyFill="1" applyBorder="1" applyAlignment="1">
      <alignment horizontal="center"/>
    </xf>
    <xf numFmtId="0" fontId="5" fillId="8" borderId="3" xfId="0" applyFont="1" applyFill="1" applyBorder="1" applyAlignment="1">
      <alignment horizontal="center"/>
    </xf>
    <xf numFmtId="0" fontId="5" fillId="8" borderId="8" xfId="0" applyFont="1" applyFill="1" applyBorder="1" applyAlignment="1">
      <alignment horizontal="center"/>
    </xf>
    <xf numFmtId="0" fontId="2" fillId="8" borderId="8" xfId="0" applyFont="1" applyFill="1" applyBorder="1" applyAlignment="1">
      <alignment horizontal="center"/>
    </xf>
    <xf numFmtId="0" fontId="2" fillId="8" borderId="7" xfId="0" applyFont="1" applyFill="1" applyBorder="1" applyAlignment="1">
      <alignment horizontal="center"/>
    </xf>
    <xf numFmtId="0" fontId="4" fillId="8" borderId="1" xfId="0" applyFont="1" applyFill="1" applyBorder="1"/>
    <xf numFmtId="166" fontId="4" fillId="8" borderId="2" xfId="0" applyNumberFormat="1" applyFont="1" applyFill="1" applyBorder="1"/>
    <xf numFmtId="166" fontId="4" fillId="8" borderId="0" xfId="0" applyNumberFormat="1" applyFont="1" applyFill="1"/>
    <xf numFmtId="166" fontId="4" fillId="8" borderId="1" xfId="0" applyNumberFormat="1" applyFont="1" applyFill="1" applyBorder="1"/>
    <xf numFmtId="166" fontId="4" fillId="8" borderId="10" xfId="0" applyNumberFormat="1" applyFont="1" applyFill="1" applyBorder="1"/>
    <xf numFmtId="166" fontId="4" fillId="8" borderId="6" xfId="0" applyNumberFormat="1" applyFont="1" applyFill="1" applyBorder="1"/>
    <xf numFmtId="167" fontId="4" fillId="8" borderId="17" xfId="0" applyNumberFormat="1" applyFont="1" applyFill="1" applyBorder="1"/>
    <xf numFmtId="167" fontId="4" fillId="8" borderId="10" xfId="0" applyNumberFormat="1" applyFont="1" applyFill="1" applyBorder="1"/>
    <xf numFmtId="167" fontId="4" fillId="8" borderId="6" xfId="0" applyNumberFormat="1" applyFont="1" applyFill="1" applyBorder="1"/>
    <xf numFmtId="167" fontId="4" fillId="8" borderId="2" xfId="0" applyNumberFormat="1" applyFont="1" applyFill="1" applyBorder="1"/>
    <xf numFmtId="167" fontId="4" fillId="8" borderId="0" xfId="0" applyNumberFormat="1" applyFont="1" applyFill="1"/>
    <xf numFmtId="167" fontId="4" fillId="8" borderId="1" xfId="0" applyNumberFormat="1" applyFont="1" applyFill="1" applyBorder="1"/>
    <xf numFmtId="9" fontId="4" fillId="8" borderId="2" xfId="2" applyFont="1" applyFill="1" applyBorder="1"/>
    <xf numFmtId="9" fontId="4" fillId="8" borderId="0" xfId="2" applyFont="1" applyFill="1" applyBorder="1"/>
    <xf numFmtId="9" fontId="4" fillId="8" borderId="1" xfId="2" applyFont="1" applyFill="1" applyBorder="1"/>
    <xf numFmtId="167" fontId="4" fillId="8" borderId="3" xfId="0" applyNumberFormat="1" applyFont="1" applyFill="1" applyBorder="1"/>
    <xf numFmtId="167" fontId="4" fillId="8" borderId="8" xfId="0" applyNumberFormat="1" applyFont="1" applyFill="1" applyBorder="1"/>
    <xf numFmtId="167" fontId="4" fillId="8" borderId="7" xfId="0" applyNumberFormat="1" applyFont="1" applyFill="1" applyBorder="1"/>
    <xf numFmtId="0" fontId="5" fillId="8" borderId="4" xfId="0" applyFont="1" applyFill="1" applyBorder="1"/>
    <xf numFmtId="166" fontId="5" fillId="8" borderId="9" xfId="0" applyNumberFormat="1" applyFont="1" applyFill="1" applyBorder="1"/>
    <xf numFmtId="166" fontId="5" fillId="8" borderId="5" xfId="0" applyNumberFormat="1" applyFont="1" applyFill="1" applyBorder="1"/>
    <xf numFmtId="166" fontId="5" fillId="8" borderId="4" xfId="0" applyNumberFormat="1" applyFont="1" applyFill="1" applyBorder="1"/>
    <xf numFmtId="166" fontId="5" fillId="8" borderId="4" xfId="1" applyNumberFormat="1" applyFont="1" applyFill="1" applyBorder="1"/>
    <xf numFmtId="167" fontId="5" fillId="8" borderId="5" xfId="0" applyNumberFormat="1" applyFont="1" applyFill="1" applyBorder="1"/>
    <xf numFmtId="167" fontId="5" fillId="8" borderId="4" xfId="0" applyNumberFormat="1" applyFont="1" applyFill="1" applyBorder="1"/>
    <xf numFmtId="167" fontId="5" fillId="8" borderId="9" xfId="0" applyNumberFormat="1" applyFont="1" applyFill="1" applyBorder="1"/>
    <xf numFmtId="164" fontId="1" fillId="0" borderId="7" xfId="0" applyNumberFormat="1" applyFont="1" applyBorder="1"/>
    <xf numFmtId="164" fontId="1" fillId="0" borderId="8" xfId="0" applyNumberFormat="1" applyFont="1" applyBorder="1"/>
    <xf numFmtId="164" fontId="1" fillId="0" borderId="17" xfId="0" applyNumberFormat="1" applyFont="1" applyBorder="1"/>
    <xf numFmtId="164" fontId="1" fillId="0" borderId="3" xfId="0" applyNumberFormat="1" applyFont="1" applyBorder="1"/>
    <xf numFmtId="0" fontId="5" fillId="8" borderId="2" xfId="0" applyFont="1" applyFill="1" applyBorder="1" applyAlignment="1">
      <alignment horizontal="center"/>
    </xf>
    <xf numFmtId="0" fontId="5" fillId="8" borderId="0" xfId="0" applyFont="1" applyFill="1" applyAlignment="1">
      <alignment horizontal="center"/>
    </xf>
    <xf numFmtId="0" fontId="2" fillId="8" borderId="0" xfId="0" applyFont="1" applyFill="1" applyAlignment="1">
      <alignment horizontal="center"/>
    </xf>
    <xf numFmtId="0" fontId="2" fillId="8" borderId="1" xfId="0" applyFont="1" applyFill="1" applyBorder="1" applyAlignment="1">
      <alignment horizontal="center"/>
    </xf>
    <xf numFmtId="9" fontId="5" fillId="8" borderId="18" xfId="2" applyFont="1" applyFill="1" applyBorder="1"/>
    <xf numFmtId="9" fontId="5" fillId="8" borderId="19" xfId="2" applyFont="1" applyFill="1" applyBorder="1"/>
    <xf numFmtId="9" fontId="5" fillId="8" borderId="20" xfId="2" applyFont="1" applyFill="1" applyBorder="1"/>
    <xf numFmtId="9" fontId="4" fillId="8" borderId="17" xfId="2" applyFont="1" applyFill="1" applyBorder="1"/>
    <xf numFmtId="9" fontId="4" fillId="8" borderId="10" xfId="2" applyFont="1" applyFill="1" applyBorder="1"/>
    <xf numFmtId="9" fontId="4" fillId="8" borderId="6" xfId="2" applyFont="1" applyFill="1" applyBorder="1"/>
    <xf numFmtId="9" fontId="4" fillId="8" borderId="3" xfId="2" applyFont="1" applyFill="1" applyBorder="1"/>
    <xf numFmtId="9" fontId="4" fillId="8" borderId="8" xfId="2" applyFont="1" applyFill="1" applyBorder="1"/>
    <xf numFmtId="9" fontId="4" fillId="8" borderId="7" xfId="2" applyFont="1" applyFill="1" applyBorder="1"/>
    <xf numFmtId="165" fontId="1" fillId="8" borderId="0" xfId="1" applyNumberFormat="1" applyFont="1" applyFill="1"/>
    <xf numFmtId="9" fontId="4" fillId="0" borderId="2" xfId="2" applyFont="1" applyBorder="1"/>
    <xf numFmtId="9" fontId="5" fillId="0" borderId="9" xfId="2" applyFont="1" applyBorder="1"/>
    <xf numFmtId="0" fontId="2" fillId="0" borderId="1" xfId="0" applyFont="1" applyBorder="1" applyAlignment="1">
      <alignment vertical="center" wrapText="1"/>
    </xf>
    <xf numFmtId="3" fontId="2" fillId="0" borderId="9" xfId="0" applyNumberFormat="1" applyFont="1" applyBorder="1"/>
    <xf numFmtId="0" fontId="5" fillId="0" borderId="2" xfId="0" applyFont="1" applyBorder="1" applyAlignment="1">
      <alignment horizontal="center" wrapText="1"/>
    </xf>
    <xf numFmtId="0" fontId="5" fillId="0" borderId="0" xfId="0" applyFont="1" applyAlignment="1">
      <alignment horizontal="center" wrapText="1"/>
    </xf>
    <xf numFmtId="0" fontId="5" fillId="0" borderId="1" xfId="0" applyFont="1" applyBorder="1" applyAlignment="1">
      <alignment horizontal="center" wrapText="1"/>
    </xf>
    <xf numFmtId="164" fontId="2" fillId="0" borderId="0" xfId="0" applyNumberFormat="1" applyFont="1" applyAlignment="1">
      <alignment horizontal="center"/>
    </xf>
    <xf numFmtId="164" fontId="2" fillId="0" borderId="1" xfId="0" applyNumberFormat="1" applyFont="1" applyBorder="1" applyAlignment="1">
      <alignment horizontal="center"/>
    </xf>
    <xf numFmtId="0" fontId="5" fillId="3" borderId="2" xfId="0" applyFont="1" applyFill="1" applyBorder="1" applyAlignment="1">
      <alignment horizontal="center" wrapText="1"/>
    </xf>
    <xf numFmtId="0" fontId="5" fillId="3" borderId="0" xfId="0" applyFont="1" applyFill="1" applyAlignment="1">
      <alignment horizontal="center" wrapText="1"/>
    </xf>
    <xf numFmtId="0" fontId="5" fillId="3" borderId="1" xfId="0" applyFont="1" applyFill="1" applyBorder="1" applyAlignment="1">
      <alignment horizontal="center" wrapText="1"/>
    </xf>
    <xf numFmtId="0" fontId="2" fillId="2" borderId="0" xfId="0" applyFont="1" applyFill="1" applyAlignment="1">
      <alignment horizontal="center" wrapText="1"/>
    </xf>
    <xf numFmtId="0" fontId="2" fillId="2" borderId="1" xfId="0" applyFont="1" applyFill="1" applyBorder="1" applyAlignment="1">
      <alignment horizontal="center" wrapText="1"/>
    </xf>
    <xf numFmtId="0" fontId="5" fillId="8" borderId="2" xfId="0" applyFont="1" applyFill="1" applyBorder="1" applyAlignment="1">
      <alignment horizontal="center" wrapText="1"/>
    </xf>
    <xf numFmtId="0" fontId="5" fillId="8" borderId="0" xfId="0" applyFont="1" applyFill="1" applyAlignment="1">
      <alignment horizontal="center" wrapText="1"/>
    </xf>
    <xf numFmtId="0" fontId="5" fillId="8" borderId="1" xfId="0" applyFont="1" applyFill="1" applyBorder="1" applyAlignment="1">
      <alignment horizontal="center" wrapText="1"/>
    </xf>
    <xf numFmtId="0" fontId="2" fillId="0" borderId="2" xfId="0" applyFont="1" applyBorder="1" applyAlignment="1">
      <alignment horizontal="center" wrapText="1"/>
    </xf>
    <xf numFmtId="0" fontId="2" fillId="0" borderId="0" xfId="0" applyFont="1" applyAlignment="1">
      <alignment horizontal="center" wrapText="1"/>
    </xf>
    <xf numFmtId="0" fontId="2" fillId="0" borderId="1" xfId="0" applyFont="1" applyBorder="1" applyAlignment="1">
      <alignment horizontal="center" wrapText="1"/>
    </xf>
    <xf numFmtId="0" fontId="2" fillId="3" borderId="2" xfId="0" applyFont="1" applyFill="1" applyBorder="1" applyAlignment="1">
      <alignment horizontal="center" wrapText="1"/>
    </xf>
    <xf numFmtId="0" fontId="2" fillId="3" borderId="0" xfId="0" applyFont="1" applyFill="1" applyAlignment="1">
      <alignment horizontal="center" wrapText="1"/>
    </xf>
    <xf numFmtId="0" fontId="2" fillId="3" borderId="1" xfId="0" applyFont="1" applyFill="1" applyBorder="1" applyAlignment="1">
      <alignment horizontal="center" wrapText="1"/>
    </xf>
    <xf numFmtId="0" fontId="1" fillId="9" borderId="0" xfId="0" applyFont="1" applyFill="1" applyAlignment="1">
      <alignment horizontal="left" vertical="top" wrapText="1"/>
    </xf>
    <xf numFmtId="164" fontId="2" fillId="3" borderId="2" xfId="0" applyNumberFormat="1" applyFont="1" applyFill="1" applyBorder="1" applyAlignment="1">
      <alignment horizontal="center" wrapText="1"/>
    </xf>
    <xf numFmtId="164" fontId="2" fillId="3" borderId="0" xfId="0" applyNumberFormat="1" applyFont="1" applyFill="1" applyAlignment="1">
      <alignment horizontal="center" wrapText="1"/>
    </xf>
    <xf numFmtId="164" fontId="2" fillId="3" borderId="1" xfId="0" applyNumberFormat="1" applyFont="1" applyFill="1" applyBorder="1" applyAlignment="1">
      <alignment horizontal="center" wrapText="1"/>
    </xf>
    <xf numFmtId="164" fontId="2" fillId="0" borderId="0" xfId="0" applyNumberFormat="1" applyFont="1" applyAlignment="1">
      <alignment horizontal="center" wrapText="1"/>
    </xf>
    <xf numFmtId="164" fontId="2" fillId="0" borderId="1" xfId="0" applyNumberFormat="1" applyFont="1" applyBorder="1" applyAlignment="1">
      <alignment horizont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 xfId="0" applyFont="1" applyFill="1" applyBorder="1" applyAlignment="1">
      <alignment horizontal="center" vertical="center" wrapText="1"/>
    </xf>
  </cellXfs>
  <cellStyles count="59">
    <cellStyle name="AF Column - IBM Cognos" xfId="3" xr:uid="{315CF938-000C-4963-8D04-EED359C5CC0D}"/>
    <cellStyle name="AF Data - IBM Cognos" xfId="4" xr:uid="{797459C5-2F8F-4996-B00D-BFEBA47687F7}"/>
    <cellStyle name="AF Data 0 - IBM Cognos" xfId="5" xr:uid="{BD96230A-8FED-4303-A130-527B54F198A9}"/>
    <cellStyle name="AF Data 1 - IBM Cognos" xfId="6" xr:uid="{BD8B354B-9228-4F34-8459-7CCFAB96E504}"/>
    <cellStyle name="AF Data 2 - IBM Cognos" xfId="7" xr:uid="{70D25098-6E77-437F-84DF-4EFC3797D21A}"/>
    <cellStyle name="AF Data 3 - IBM Cognos" xfId="8" xr:uid="{86CD3BF4-843B-4AFA-96B4-88A7589BE706}"/>
    <cellStyle name="AF Data 4 - IBM Cognos" xfId="9" xr:uid="{C74BD414-6B0D-4F0F-BB30-4A423E0F8F69}"/>
    <cellStyle name="AF Data 5 - IBM Cognos" xfId="10" xr:uid="{CC1E00A9-DDEC-49C5-A68B-564257656216}"/>
    <cellStyle name="AF Data Leaf - IBM Cognos" xfId="11" xr:uid="{FC5C8BFB-861F-4E06-B594-7EEE69FBC493}"/>
    <cellStyle name="AF Header - IBM Cognos" xfId="12" xr:uid="{B4043A00-7A31-4D51-90D3-35AC7CED60B5}"/>
    <cellStyle name="AF Header 0 - IBM Cognos" xfId="13" xr:uid="{F92D001F-8095-4E70-ABD9-2BE595FCB500}"/>
    <cellStyle name="AF Header 1 - IBM Cognos" xfId="14" xr:uid="{EE696AE5-5A58-4014-9CE9-B49C357DF064}"/>
    <cellStyle name="AF Header 2 - IBM Cognos" xfId="15" xr:uid="{CF26A7C2-158F-4092-8906-6B13EF365878}"/>
    <cellStyle name="AF Header 3 - IBM Cognos" xfId="16" xr:uid="{3FAA0DA0-8F7E-425D-94B9-2D29883A6C7D}"/>
    <cellStyle name="AF Header 4 - IBM Cognos" xfId="17" xr:uid="{73395518-7ABB-4ED2-B5CD-8BA5FC21B78E}"/>
    <cellStyle name="AF Header 5 - IBM Cognos" xfId="18" xr:uid="{DD25DE5D-1DED-46F9-ACBF-04BEDCC0D449}"/>
    <cellStyle name="AF Header Leaf - IBM Cognos" xfId="19" xr:uid="{7187EE69-2FC3-4A39-ACE0-3C7A869C57C1}"/>
    <cellStyle name="AF Row - IBM Cognos" xfId="20" xr:uid="{C1531089-72E1-4A3D-96C5-BBE8F2DEC001}"/>
    <cellStyle name="AF Row 0 - IBM Cognos" xfId="21" xr:uid="{BB9C3D3E-7682-4F88-B5DA-A0CABCDD69FF}"/>
    <cellStyle name="AF Row 1 - IBM Cognos" xfId="22" xr:uid="{834EBEAC-C38F-47E8-BB57-03DE16F5E369}"/>
    <cellStyle name="AF Row 2 - IBM Cognos" xfId="23" xr:uid="{B3C94DBC-2A63-45F6-8510-15B659AF7150}"/>
    <cellStyle name="AF Row 3 - IBM Cognos" xfId="24" xr:uid="{C52F141B-5AD5-452A-98E3-CDBEBF5EB8DF}"/>
    <cellStyle name="AF Row 4 - IBM Cognos" xfId="25" xr:uid="{09E6BF02-3D26-43E5-97EA-FF693D53E221}"/>
    <cellStyle name="AF Row 5 - IBM Cognos" xfId="26" xr:uid="{04128610-FA3D-4F06-B759-2A60C1D225E8}"/>
    <cellStyle name="AF Row Leaf - IBM Cognos" xfId="27" xr:uid="{BA8A5588-2D1B-4E59-86BB-000440BECAD8}"/>
    <cellStyle name="AF Subnm - IBM Cognos" xfId="28" xr:uid="{EB9985E1-6392-49C7-AF96-1692867323E3}"/>
    <cellStyle name="AF Title - IBM Cognos" xfId="29" xr:uid="{5D03DA5C-68C4-46A8-B613-30984BC56440}"/>
    <cellStyle name="Calculated Column - IBM Cognos" xfId="30" xr:uid="{BFCA8E9A-0CA2-4F82-9F3D-97285A32C2C2}"/>
    <cellStyle name="Calculated Column Name - IBM Cognos" xfId="31" xr:uid="{43F94515-2F45-4B29-992F-734EF6A41C20}"/>
    <cellStyle name="Calculated Row - IBM Cognos" xfId="32" xr:uid="{567FF461-1756-48B9-93F8-F1A44E464D28}"/>
    <cellStyle name="Calculated Row Name - IBM Cognos" xfId="33" xr:uid="{1B52145B-C1C3-40A5-81AF-39791514946B}"/>
    <cellStyle name="Column Name - IBM Cognos" xfId="34" xr:uid="{17B2CB7C-2B71-4C78-9B4B-D89FAB8684F3}"/>
    <cellStyle name="Column Template - IBM Cognos" xfId="35" xr:uid="{8C93B2A6-82E4-4C33-9278-0CE305B3E786}"/>
    <cellStyle name="Differs From Base - IBM Cognos" xfId="36" xr:uid="{4DA118F0-7079-419F-B96B-F1C2AA7A8CF5}"/>
    <cellStyle name="Edit - IBM Cognos" xfId="37" xr:uid="{D793A285-6615-48DA-A3D6-B997DB688195}"/>
    <cellStyle name="Formula - IBM Cognos" xfId="38" xr:uid="{DE131175-B6C7-479D-926A-A91C0E4297C9}"/>
    <cellStyle name="Group Name - IBM Cognos" xfId="39" xr:uid="{628444CF-C80F-45E4-9FC3-B3D127D9B3DA}"/>
    <cellStyle name="Hold Values - IBM Cognos" xfId="40" xr:uid="{35C75799-F3F2-47D8-99D6-EAB3026A4613}"/>
    <cellStyle name="Komma" xfId="1" builtinId="3"/>
    <cellStyle name="Komma 2" xfId="58" xr:uid="{9790E846-FD3A-4FD9-91B4-5989AB0D0BE4}"/>
    <cellStyle name="List Name - IBM Cognos" xfId="41" xr:uid="{199D83EC-A27F-49D9-876F-A0B97EFB1E9B}"/>
    <cellStyle name="Locked - IBM Cognos" xfId="42" xr:uid="{6C6DAF47-2A17-4AA1-80DF-53012FF8C37D}"/>
    <cellStyle name="Measure - IBM Cognos" xfId="43" xr:uid="{3686BB6F-609F-4397-ADA1-651A64FA8FB6}"/>
    <cellStyle name="Measure Header - IBM Cognos" xfId="44" xr:uid="{53F50B38-FB75-4C15-9F3D-FF659CE63E56}"/>
    <cellStyle name="Measure Name - IBM Cognos" xfId="45" xr:uid="{5E3902B9-C052-41CA-A8D4-A2A7176ED114}"/>
    <cellStyle name="Measure Summary - IBM Cognos" xfId="46" xr:uid="{3B3C1A78-A68E-4FB4-B141-A82C1239E94F}"/>
    <cellStyle name="Measure Summary TM1 - IBM Cognos" xfId="47" xr:uid="{4E5DA0CD-4954-4C0B-84B9-569B3C0B919C}"/>
    <cellStyle name="Measure Template - IBM Cognos" xfId="48" xr:uid="{6538F78B-616B-40A9-A2E8-61F7EE2ABC16}"/>
    <cellStyle name="More - IBM Cognos" xfId="49" xr:uid="{302CDE46-5BF2-4F89-B342-A0400E461300}"/>
    <cellStyle name="Normal" xfId="0" builtinId="0" customBuiltin="1"/>
    <cellStyle name="Pending Change - IBM Cognos" xfId="50" xr:uid="{77733CEE-B6AD-4DA0-A8C2-E4132B2BA2D7}"/>
    <cellStyle name="Procent" xfId="2" builtinId="5"/>
    <cellStyle name="Row Name - IBM Cognos" xfId="51" xr:uid="{35CD41BB-B733-473A-82D0-11920C66E20D}"/>
    <cellStyle name="Row Template - IBM Cognos" xfId="52" xr:uid="{4BE8B66C-B90E-4136-A935-2DBF8B595365}"/>
    <cellStyle name="Summary Column Name - IBM Cognos" xfId="53" xr:uid="{B0B24250-DC21-4A56-B132-26145C724C86}"/>
    <cellStyle name="Summary Column Name TM1 - IBM Cognos" xfId="54" xr:uid="{46238AD2-2336-46AB-A48B-2A8F5B272345}"/>
    <cellStyle name="Summary Row Name - IBM Cognos" xfId="55" xr:uid="{690EA848-F6B5-4EF2-8F4B-C2F1E657C816}"/>
    <cellStyle name="Summary Row Name TM1 - IBM Cognos" xfId="56" xr:uid="{3A5077A8-228E-4D63-AEFE-75F877E10606}"/>
    <cellStyle name="Unsaved Change - IBM Cognos" xfId="57" xr:uid="{2E2541C3-2E54-4383-B263-C0FEE22429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Indtægter</a:t>
            </a:r>
            <a:r>
              <a:rPr lang="da-DK" baseline="0"/>
              <a:t> delt med operatørudgifter</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'Bus Samlet'!$BF$5</c:f>
              <c:strCache>
                <c:ptCount val="1"/>
                <c:pt idx="0">
                  <c:v>R 2019</c:v>
                </c:pt>
              </c:strCache>
            </c:strRef>
          </c:tx>
          <c:spPr>
            <a:solidFill>
              <a:schemeClr val="accent1"/>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Samlet'!$BF$6:$BF$11</c:f>
              <c:numCache>
                <c:formatCode>0%</c:formatCode>
                <c:ptCount val="6"/>
                <c:pt idx="0">
                  <c:v>0.55831739961759086</c:v>
                </c:pt>
                <c:pt idx="1">
                  <c:v>0.40174294264216315</c:v>
                </c:pt>
                <c:pt idx="2">
                  <c:v>0.49281741973741827</c:v>
                </c:pt>
                <c:pt idx="3">
                  <c:v>0.5453217201094871</c:v>
                </c:pt>
                <c:pt idx="4">
                  <c:v>0.4279241101225707</c:v>
                </c:pt>
                <c:pt idx="5">
                  <c:v>0.40257808626673275</c:v>
                </c:pt>
              </c:numCache>
            </c:numRef>
          </c:val>
          <c:extLst>
            <c:ext xmlns:c16="http://schemas.microsoft.com/office/drawing/2014/chart" uri="{C3380CC4-5D6E-409C-BE32-E72D297353CC}">
              <c16:uniqueId val="{00000000-018B-4C80-995B-BA25A6CF1D57}"/>
            </c:ext>
          </c:extLst>
        </c:ser>
        <c:ser>
          <c:idx val="1"/>
          <c:order val="1"/>
          <c:tx>
            <c:strRef>
              <c:f>'Bus Samlet'!$BG$5</c:f>
              <c:strCache>
                <c:ptCount val="1"/>
                <c:pt idx="0">
                  <c:v>R 2020</c:v>
                </c:pt>
              </c:strCache>
            </c:strRef>
          </c:tx>
          <c:spPr>
            <a:solidFill>
              <a:schemeClr val="accent2"/>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Samlet'!$BG$6:$BG$11</c:f>
              <c:numCache>
                <c:formatCode>0%</c:formatCode>
                <c:ptCount val="6"/>
                <c:pt idx="0">
                  <c:v>0.4678609062170706</c:v>
                </c:pt>
                <c:pt idx="1">
                  <c:v>0.26787435585616731</c:v>
                </c:pt>
                <c:pt idx="2">
                  <c:v>0.35522700977786925</c:v>
                </c:pt>
                <c:pt idx="3">
                  <c:v>0.36467631569139181</c:v>
                </c:pt>
                <c:pt idx="4">
                  <c:v>0.30534669152463445</c:v>
                </c:pt>
                <c:pt idx="5">
                  <c:v>0.31549439347604485</c:v>
                </c:pt>
              </c:numCache>
            </c:numRef>
          </c:val>
          <c:extLst>
            <c:ext xmlns:c16="http://schemas.microsoft.com/office/drawing/2014/chart" uri="{C3380CC4-5D6E-409C-BE32-E72D297353CC}">
              <c16:uniqueId val="{00000001-018B-4C80-995B-BA25A6CF1D57}"/>
            </c:ext>
          </c:extLst>
        </c:ser>
        <c:ser>
          <c:idx val="2"/>
          <c:order val="2"/>
          <c:tx>
            <c:strRef>
              <c:f>'Bus Samlet'!$BH$5</c:f>
              <c:strCache>
                <c:ptCount val="1"/>
                <c:pt idx="0">
                  <c:v>R 2021</c:v>
                </c:pt>
              </c:strCache>
            </c:strRef>
          </c:tx>
          <c:spPr>
            <a:solidFill>
              <a:schemeClr val="accent3"/>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Samlet'!$BH$6:$BH$11</c:f>
              <c:numCache>
                <c:formatCode>0%</c:formatCode>
                <c:ptCount val="6"/>
                <c:pt idx="0">
                  <c:v>0.44153225806451607</c:v>
                </c:pt>
                <c:pt idx="1">
                  <c:v>0.29394203040226785</c:v>
                </c:pt>
                <c:pt idx="2">
                  <c:v>0.33119552272351738</c:v>
                </c:pt>
                <c:pt idx="3">
                  <c:v>0.37978888134114969</c:v>
                </c:pt>
                <c:pt idx="4">
                  <c:v>0.29083565073085499</c:v>
                </c:pt>
                <c:pt idx="5">
                  <c:v>0.27045840407470284</c:v>
                </c:pt>
              </c:numCache>
            </c:numRef>
          </c:val>
          <c:extLst>
            <c:ext xmlns:c16="http://schemas.microsoft.com/office/drawing/2014/chart" uri="{C3380CC4-5D6E-409C-BE32-E72D297353CC}">
              <c16:uniqueId val="{00000002-018B-4C80-995B-BA25A6CF1D57}"/>
            </c:ext>
          </c:extLst>
        </c:ser>
        <c:ser>
          <c:idx val="3"/>
          <c:order val="3"/>
          <c:tx>
            <c:strRef>
              <c:f>'Bus Samlet'!$BI$5</c:f>
              <c:strCache>
                <c:ptCount val="1"/>
                <c:pt idx="0">
                  <c:v>R 2022</c:v>
                </c:pt>
              </c:strCache>
            </c:strRef>
          </c:tx>
          <c:spPr>
            <a:solidFill>
              <a:schemeClr val="accent4"/>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Samlet'!$BI$6:$BI$11</c:f>
              <c:numCache>
                <c:formatCode>0%</c:formatCode>
                <c:ptCount val="6"/>
                <c:pt idx="0">
                  <c:v>0.44058500914076781</c:v>
                </c:pt>
                <c:pt idx="1">
                  <c:v>0.28599227861602544</c:v>
                </c:pt>
                <c:pt idx="2">
                  <c:v>0.4071166217814689</c:v>
                </c:pt>
                <c:pt idx="3">
                  <c:v>0.41707922579217394</c:v>
                </c:pt>
                <c:pt idx="4">
                  <c:v>0.3301858787423087</c:v>
                </c:pt>
                <c:pt idx="5">
                  <c:v>0.35275786849485818</c:v>
                </c:pt>
              </c:numCache>
            </c:numRef>
          </c:val>
          <c:extLst>
            <c:ext xmlns:c16="http://schemas.microsoft.com/office/drawing/2014/chart" uri="{C3380CC4-5D6E-409C-BE32-E72D297353CC}">
              <c16:uniqueId val="{00000003-018B-4C80-995B-BA25A6CF1D57}"/>
            </c:ext>
          </c:extLst>
        </c:ser>
        <c:ser>
          <c:idx val="4"/>
          <c:order val="4"/>
          <c:tx>
            <c:strRef>
              <c:f>'Bus Samlet'!$BJ$5</c:f>
              <c:strCache>
                <c:ptCount val="1"/>
                <c:pt idx="0">
                  <c:v>R 2023</c:v>
                </c:pt>
              </c:strCache>
            </c:strRef>
          </c:tx>
          <c:spPr>
            <a:solidFill>
              <a:schemeClr val="accent5"/>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Samlet'!$BJ$6:$BJ$11</c:f>
              <c:numCache>
                <c:formatCode>0%</c:formatCode>
                <c:ptCount val="6"/>
                <c:pt idx="0">
                  <c:v>0.49311688311688312</c:v>
                </c:pt>
                <c:pt idx="1">
                  <c:v>0.30678966535583679</c:v>
                </c:pt>
                <c:pt idx="2">
                  <c:v>0.46655726929231839</c:v>
                </c:pt>
                <c:pt idx="3">
                  <c:v>0.47374506616800827</c:v>
                </c:pt>
                <c:pt idx="4">
                  <c:v>0.39427053036406057</c:v>
                </c:pt>
                <c:pt idx="5">
                  <c:v>0.3701065169367867</c:v>
                </c:pt>
              </c:numCache>
            </c:numRef>
          </c:val>
          <c:extLst>
            <c:ext xmlns:c16="http://schemas.microsoft.com/office/drawing/2014/chart" uri="{C3380CC4-5D6E-409C-BE32-E72D297353CC}">
              <c16:uniqueId val="{00000004-018B-4C80-995B-BA25A6CF1D57}"/>
            </c:ext>
          </c:extLst>
        </c:ser>
        <c:ser>
          <c:idx val="5"/>
          <c:order val="5"/>
          <c:tx>
            <c:strRef>
              <c:f>'Bus Samlet'!$BK$5</c:f>
              <c:strCache>
                <c:ptCount val="1"/>
                <c:pt idx="0">
                  <c:v>FC 2024</c:v>
                </c:pt>
              </c:strCache>
            </c:strRef>
          </c:tx>
          <c:spPr>
            <a:solidFill>
              <a:schemeClr val="accent6"/>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Samlet'!$BK$6:$BK$11</c:f>
              <c:numCache>
                <c:formatCode>0%</c:formatCode>
                <c:ptCount val="6"/>
                <c:pt idx="0">
                  <c:v>0.42903752039151716</c:v>
                </c:pt>
                <c:pt idx="1">
                  <c:v>0.31486739238666789</c:v>
                </c:pt>
                <c:pt idx="2">
                  <c:v>0.49615960859831998</c:v>
                </c:pt>
                <c:pt idx="3">
                  <c:v>0.54670082525233554</c:v>
                </c:pt>
                <c:pt idx="4">
                  <c:v>0.45253016679914349</c:v>
                </c:pt>
                <c:pt idx="5">
                  <c:v>0.3779535829134707</c:v>
                </c:pt>
              </c:numCache>
            </c:numRef>
          </c:val>
          <c:extLst>
            <c:ext xmlns:c16="http://schemas.microsoft.com/office/drawing/2014/chart" uri="{C3380CC4-5D6E-409C-BE32-E72D297353CC}">
              <c16:uniqueId val="{00000005-018B-4C80-995B-BA25A6CF1D57}"/>
            </c:ext>
          </c:extLst>
        </c:ser>
        <c:ser>
          <c:idx val="6"/>
          <c:order val="6"/>
          <c:tx>
            <c:strRef>
              <c:f>'Bus Samlet'!$BL$5</c:f>
              <c:strCache>
                <c:ptCount val="1"/>
                <c:pt idx="0">
                  <c:v>B2025</c:v>
                </c:pt>
              </c:strCache>
            </c:strRef>
          </c:tx>
          <c:spPr>
            <a:solidFill>
              <a:schemeClr val="accent1">
                <a:lumMod val="60000"/>
              </a:schemeClr>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Samlet'!$BL$6:$BL$11</c:f>
              <c:numCache>
                <c:formatCode>0%</c:formatCode>
                <c:ptCount val="6"/>
                <c:pt idx="0">
                  <c:v>0.49046793760831886</c:v>
                </c:pt>
                <c:pt idx="1">
                  <c:v>0.33184536342963028</c:v>
                </c:pt>
                <c:pt idx="2">
                  <c:v>0.48184814692607103</c:v>
                </c:pt>
                <c:pt idx="3">
                  <c:v>0.53118262683322903</c:v>
                </c:pt>
                <c:pt idx="4">
                  <c:v>0.43192933824431246</c:v>
                </c:pt>
                <c:pt idx="5">
                  <c:v>0.36412438644816209</c:v>
                </c:pt>
              </c:numCache>
            </c:numRef>
          </c:val>
          <c:extLst>
            <c:ext xmlns:c16="http://schemas.microsoft.com/office/drawing/2014/chart" uri="{C3380CC4-5D6E-409C-BE32-E72D297353CC}">
              <c16:uniqueId val="{00000000-FF10-4477-9BC7-D72BD5C6D9AE}"/>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 val="autoZero"/>
        <c:auto val="1"/>
        <c:lblAlgn val="ctr"/>
        <c:lblOffset val="100"/>
        <c:noMultiLvlLbl val="0"/>
      </c:catAx>
      <c:valAx>
        <c:axId val="2228944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Operatørudgift pr. køreplantime - 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'Bus Samlet'!$AY$5</c:f>
              <c:strCache>
                <c:ptCount val="1"/>
                <c:pt idx="0">
                  <c:v>R 2019</c:v>
                </c:pt>
              </c:strCache>
            </c:strRef>
          </c:tx>
          <c:spPr>
            <a:solidFill>
              <a:schemeClr val="accent1"/>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Samlet'!$AY$6:$AY$11</c:f>
              <c:numCache>
                <c:formatCode>#,##0_);\-#,##0_);\-_);@</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F47E-4405-A881-26D636E528E7}"/>
            </c:ext>
          </c:extLst>
        </c:ser>
        <c:ser>
          <c:idx val="1"/>
          <c:order val="1"/>
          <c:tx>
            <c:strRef>
              <c:f>'Bus Samlet'!$AZ$5</c:f>
              <c:strCache>
                <c:ptCount val="1"/>
                <c:pt idx="0">
                  <c:v>R 2020</c:v>
                </c:pt>
              </c:strCache>
            </c:strRef>
          </c:tx>
          <c:spPr>
            <a:solidFill>
              <a:schemeClr val="accent2"/>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Samlet'!$AZ$6:$AZ$11</c:f>
              <c:numCache>
                <c:formatCode>#,##0_);\-#,##0_);\-_);@</c:formatCode>
                <c:ptCount val="6"/>
                <c:pt idx="0">
                  <c:v>90.726577437858495</c:v>
                </c:pt>
                <c:pt idx="1">
                  <c:v>101.10728445845234</c:v>
                </c:pt>
                <c:pt idx="2">
                  <c:v>99.000979274805843</c:v>
                </c:pt>
                <c:pt idx="3">
                  <c:v>101.95544180232059</c:v>
                </c:pt>
                <c:pt idx="4">
                  <c:v>102.23556824816696</c:v>
                </c:pt>
                <c:pt idx="5">
                  <c:v>98.22269114826959</c:v>
                </c:pt>
              </c:numCache>
            </c:numRef>
          </c:val>
          <c:extLst>
            <c:ext xmlns:c16="http://schemas.microsoft.com/office/drawing/2014/chart" uri="{C3380CC4-5D6E-409C-BE32-E72D297353CC}">
              <c16:uniqueId val="{00000001-F47E-4405-A881-26D636E528E7}"/>
            </c:ext>
          </c:extLst>
        </c:ser>
        <c:ser>
          <c:idx val="2"/>
          <c:order val="2"/>
          <c:tx>
            <c:strRef>
              <c:f>'Bus Samlet'!$BA$5</c:f>
              <c:strCache>
                <c:ptCount val="1"/>
                <c:pt idx="0">
                  <c:v>R 2021</c:v>
                </c:pt>
              </c:strCache>
            </c:strRef>
          </c:tx>
          <c:spPr>
            <a:solidFill>
              <a:schemeClr val="accent3"/>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Samlet'!$BA$6:$BA$11</c:f>
              <c:numCache>
                <c:formatCode>#,##0_);\-#,##0_);\-_);@</c:formatCode>
                <c:ptCount val="6"/>
                <c:pt idx="0">
                  <c:v>106.90770033026247</c:v>
                </c:pt>
                <c:pt idx="1">
                  <c:v>105.02744173901615</c:v>
                </c:pt>
                <c:pt idx="2">
                  <c:v>101.76678536909868</c:v>
                </c:pt>
                <c:pt idx="3">
                  <c:v>105.88454916511398</c:v>
                </c:pt>
                <c:pt idx="4">
                  <c:v>106.90161195996097</c:v>
                </c:pt>
                <c:pt idx="5">
                  <c:v>101.8678281616054</c:v>
                </c:pt>
              </c:numCache>
            </c:numRef>
          </c:val>
          <c:extLst>
            <c:ext xmlns:c16="http://schemas.microsoft.com/office/drawing/2014/chart" uri="{C3380CC4-5D6E-409C-BE32-E72D297353CC}">
              <c16:uniqueId val="{00000002-F47E-4405-A881-26D636E528E7}"/>
            </c:ext>
          </c:extLst>
        </c:ser>
        <c:ser>
          <c:idx val="3"/>
          <c:order val="3"/>
          <c:tx>
            <c:strRef>
              <c:f>'Bus Samlet'!$BB$5</c:f>
              <c:strCache>
                <c:ptCount val="1"/>
                <c:pt idx="0">
                  <c:v>R 2022</c:v>
                </c:pt>
              </c:strCache>
            </c:strRef>
          </c:tx>
          <c:spPr>
            <a:solidFill>
              <a:schemeClr val="accent4"/>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Samlet'!$BB$6:$BB$11</c:f>
              <c:numCache>
                <c:formatCode>#,##0_);\-#,##0_);\-_);@</c:formatCode>
                <c:ptCount val="6"/>
                <c:pt idx="0">
                  <c:v>117.90022596905962</c:v>
                </c:pt>
                <c:pt idx="1">
                  <c:v>115.41359552341954</c:v>
                </c:pt>
                <c:pt idx="2">
                  <c:v>111.2222612503585</c:v>
                </c:pt>
                <c:pt idx="3">
                  <c:v>114.96796677564203</c:v>
                </c:pt>
                <c:pt idx="4">
                  <c:v>118.45669528522455</c:v>
                </c:pt>
                <c:pt idx="5">
                  <c:v>112.17024062213356</c:v>
                </c:pt>
              </c:numCache>
            </c:numRef>
          </c:val>
          <c:extLst>
            <c:ext xmlns:c16="http://schemas.microsoft.com/office/drawing/2014/chart" uri="{C3380CC4-5D6E-409C-BE32-E72D297353CC}">
              <c16:uniqueId val="{00000003-F47E-4405-A881-26D636E528E7}"/>
            </c:ext>
          </c:extLst>
        </c:ser>
        <c:ser>
          <c:idx val="4"/>
          <c:order val="4"/>
          <c:tx>
            <c:strRef>
              <c:f>'Bus Samlet'!$BC$5</c:f>
              <c:strCache>
                <c:ptCount val="1"/>
                <c:pt idx="0">
                  <c:v>R 2023</c:v>
                </c:pt>
              </c:strCache>
            </c:strRef>
          </c:tx>
          <c:spPr>
            <a:solidFill>
              <a:schemeClr val="accent5"/>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Samlet'!$BC$6:$BC$11</c:f>
              <c:numCache>
                <c:formatCode>#,##0_);\-#,##0_);\-_);@</c:formatCode>
                <c:ptCount val="6"/>
                <c:pt idx="0">
                  <c:v>108.14535346311278</c:v>
                </c:pt>
                <c:pt idx="1">
                  <c:v>118.36810869803524</c:v>
                </c:pt>
                <c:pt idx="2">
                  <c:v>110.09876194474879</c:v>
                </c:pt>
                <c:pt idx="3">
                  <c:v>116.15697581981412</c:v>
                </c:pt>
                <c:pt idx="4">
                  <c:v>119.00172036531971</c:v>
                </c:pt>
                <c:pt idx="5">
                  <c:v>113.30532179151713</c:v>
                </c:pt>
              </c:numCache>
            </c:numRef>
          </c:val>
          <c:extLst>
            <c:ext xmlns:c16="http://schemas.microsoft.com/office/drawing/2014/chart" uri="{C3380CC4-5D6E-409C-BE32-E72D297353CC}">
              <c16:uniqueId val="{00000004-F47E-4405-A881-26D636E528E7}"/>
            </c:ext>
          </c:extLst>
        </c:ser>
        <c:ser>
          <c:idx val="5"/>
          <c:order val="5"/>
          <c:tx>
            <c:strRef>
              <c:f>'Bus Samlet'!$BD$5</c:f>
              <c:strCache>
                <c:ptCount val="1"/>
                <c:pt idx="0">
                  <c:v>FC 2024</c:v>
                </c:pt>
              </c:strCache>
            </c:strRef>
          </c:tx>
          <c:spPr>
            <a:solidFill>
              <a:schemeClr val="accent6"/>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Samlet'!$BD$6:$BD$11</c:f>
              <c:numCache>
                <c:formatCode>#,##0_);\-#,##0_);\-_);@</c:formatCode>
                <c:ptCount val="6"/>
                <c:pt idx="0">
                  <c:v>129.42858747318385</c:v>
                </c:pt>
                <c:pt idx="1">
                  <c:v>119.75273442407257</c:v>
                </c:pt>
                <c:pt idx="2">
                  <c:v>115.34979030618248</c:v>
                </c:pt>
                <c:pt idx="3">
                  <c:v>113.81191998299944</c:v>
                </c:pt>
                <c:pt idx="4">
                  <c:v>116.21953146805164</c:v>
                </c:pt>
                <c:pt idx="5">
                  <c:v>116.19204314823889</c:v>
                </c:pt>
              </c:numCache>
            </c:numRef>
          </c:val>
          <c:extLst>
            <c:ext xmlns:c16="http://schemas.microsoft.com/office/drawing/2014/chart" uri="{C3380CC4-5D6E-409C-BE32-E72D297353CC}">
              <c16:uniqueId val="{00000005-F47E-4405-A881-26D636E528E7}"/>
            </c:ext>
          </c:extLst>
        </c:ser>
        <c:ser>
          <c:idx val="6"/>
          <c:order val="6"/>
          <c:tx>
            <c:strRef>
              <c:f>'Bus Samlet'!$BE$5</c:f>
              <c:strCache>
                <c:ptCount val="1"/>
                <c:pt idx="0">
                  <c:v>B2025</c:v>
                </c:pt>
              </c:strCache>
            </c:strRef>
          </c:tx>
          <c:spPr>
            <a:solidFill>
              <a:schemeClr val="accent1">
                <a:lumMod val="60000"/>
              </a:schemeClr>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Samlet'!$BE$6:$BE$11</c:f>
              <c:numCache>
                <c:formatCode>#,##0_);\-#,##0_);\-_);@</c:formatCode>
                <c:ptCount val="6"/>
                <c:pt idx="0">
                  <c:v>131.29113271249187</c:v>
                </c:pt>
                <c:pt idx="1">
                  <c:v>122.59122579733631</c:v>
                </c:pt>
                <c:pt idx="2">
                  <c:v>121.68073778095486</c:v>
                </c:pt>
                <c:pt idx="3">
                  <c:v>119.93044246141918</c:v>
                </c:pt>
                <c:pt idx="4">
                  <c:v>125.27457556397958</c:v>
                </c:pt>
                <c:pt idx="5">
                  <c:v>120.33839638870951</c:v>
                </c:pt>
              </c:numCache>
            </c:numRef>
          </c:val>
          <c:extLst>
            <c:ext xmlns:c16="http://schemas.microsoft.com/office/drawing/2014/chart" uri="{C3380CC4-5D6E-409C-BE32-E72D297353CC}">
              <c16:uniqueId val="{00000000-36B6-4A2F-91B3-9892C8E37F68}"/>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At val="100"/>
        <c:auto val="1"/>
        <c:lblAlgn val="ctr"/>
        <c:lblOffset val="100"/>
        <c:noMultiLvlLbl val="0"/>
      </c:catAx>
      <c:valAx>
        <c:axId val="222894479"/>
        <c:scaling>
          <c:orientation val="minMax"/>
          <c:max val="125"/>
          <c:min val="90"/>
        </c:scaling>
        <c:delete val="0"/>
        <c:axPos val="l"/>
        <c:majorGridlines>
          <c:spPr>
            <a:ln w="9525"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Passagerindeks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'Bus Samlet'!$W$5</c:f>
              <c:strCache>
                <c:ptCount val="1"/>
                <c:pt idx="0">
                  <c:v>R 2019</c:v>
                </c:pt>
              </c:strCache>
            </c:strRef>
          </c:tx>
          <c:spPr>
            <a:solidFill>
              <a:schemeClr val="accent1"/>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Samlet'!$W$7:$W$11</c:f>
              <c:numCache>
                <c:formatCode>#,##0_);\-#,##0_);\-_);@</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1A4-42D8-B947-C4E4BE95B790}"/>
            </c:ext>
          </c:extLst>
        </c:ser>
        <c:ser>
          <c:idx val="1"/>
          <c:order val="1"/>
          <c:tx>
            <c:strRef>
              <c:f>'Bus Samlet'!$X$5</c:f>
              <c:strCache>
                <c:ptCount val="1"/>
                <c:pt idx="0">
                  <c:v>R 2020</c:v>
                </c:pt>
              </c:strCache>
            </c:strRef>
          </c:tx>
          <c:spPr>
            <a:solidFill>
              <a:schemeClr val="accent2"/>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Samlet'!$X$7:$X$11</c:f>
              <c:numCache>
                <c:formatCode>#,##0_);\-#,##0_);\-_);@</c:formatCode>
                <c:ptCount val="5"/>
                <c:pt idx="0">
                  <c:v>65.229667378279728</c:v>
                </c:pt>
                <c:pt idx="1">
                  <c:v>66.049415523510945</c:v>
                </c:pt>
                <c:pt idx="2">
                  <c:v>63.363118468283794</c:v>
                </c:pt>
                <c:pt idx="3">
                  <c:v>71.138394692986338</c:v>
                </c:pt>
                <c:pt idx="4">
                  <c:v>66.379644225461846</c:v>
                </c:pt>
              </c:numCache>
            </c:numRef>
          </c:val>
          <c:extLst>
            <c:ext xmlns:c16="http://schemas.microsoft.com/office/drawing/2014/chart" uri="{C3380CC4-5D6E-409C-BE32-E72D297353CC}">
              <c16:uniqueId val="{00000001-01A4-42D8-B947-C4E4BE95B790}"/>
            </c:ext>
          </c:extLst>
        </c:ser>
        <c:ser>
          <c:idx val="2"/>
          <c:order val="2"/>
          <c:tx>
            <c:strRef>
              <c:f>'Bus Samlet'!$Y$5</c:f>
              <c:strCache>
                <c:ptCount val="1"/>
                <c:pt idx="0">
                  <c:v>R 2021</c:v>
                </c:pt>
              </c:strCache>
            </c:strRef>
          </c:tx>
          <c:spPr>
            <a:solidFill>
              <a:schemeClr val="accent3"/>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Samlet'!$Y$7:$Y$11</c:f>
              <c:numCache>
                <c:formatCode>#,##0_);\-#,##0_);\-_);@</c:formatCode>
                <c:ptCount val="5"/>
                <c:pt idx="0">
                  <c:v>61.552234694580264</c:v>
                </c:pt>
                <c:pt idx="1">
                  <c:v>62.907530429073745</c:v>
                </c:pt>
                <c:pt idx="2">
                  <c:v>62.372768342690343</c:v>
                </c:pt>
                <c:pt idx="3">
                  <c:v>69.599752852004229</c:v>
                </c:pt>
                <c:pt idx="4">
                  <c:v>60.458998485018569</c:v>
                </c:pt>
              </c:numCache>
            </c:numRef>
          </c:val>
          <c:extLst>
            <c:ext xmlns:c16="http://schemas.microsoft.com/office/drawing/2014/chart" uri="{C3380CC4-5D6E-409C-BE32-E72D297353CC}">
              <c16:uniqueId val="{00000002-01A4-42D8-B947-C4E4BE95B790}"/>
            </c:ext>
          </c:extLst>
        </c:ser>
        <c:ser>
          <c:idx val="3"/>
          <c:order val="3"/>
          <c:tx>
            <c:strRef>
              <c:f>'Bus Samlet'!$Z$5</c:f>
              <c:strCache>
                <c:ptCount val="1"/>
                <c:pt idx="0">
                  <c:v>R 2022</c:v>
                </c:pt>
              </c:strCache>
            </c:strRef>
          </c:tx>
          <c:spPr>
            <a:solidFill>
              <a:schemeClr val="accent4"/>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Samlet'!$Z$7:$Z$11</c:f>
              <c:numCache>
                <c:formatCode>#,##0_);\-#,##0_);\-_);@</c:formatCode>
                <c:ptCount val="5"/>
                <c:pt idx="0">
                  <c:v>76.867984298602025</c:v>
                </c:pt>
                <c:pt idx="1">
                  <c:v>82.980465539449995</c:v>
                </c:pt>
                <c:pt idx="2">
                  <c:v>77.96347460569767</c:v>
                </c:pt>
                <c:pt idx="3">
                  <c:v>87.259986937137015</c:v>
                </c:pt>
                <c:pt idx="4">
                  <c:v>81.743894065289496</c:v>
                </c:pt>
              </c:numCache>
            </c:numRef>
          </c:val>
          <c:extLst>
            <c:ext xmlns:c16="http://schemas.microsoft.com/office/drawing/2014/chart" uri="{C3380CC4-5D6E-409C-BE32-E72D297353CC}">
              <c16:uniqueId val="{00000003-01A4-42D8-B947-C4E4BE95B790}"/>
            </c:ext>
          </c:extLst>
        </c:ser>
        <c:ser>
          <c:idx val="4"/>
          <c:order val="4"/>
          <c:tx>
            <c:strRef>
              <c:f>'Bus Samlet'!$AA$5</c:f>
              <c:strCache>
                <c:ptCount val="1"/>
                <c:pt idx="0">
                  <c:v>R 2023</c:v>
                </c:pt>
              </c:strCache>
            </c:strRef>
          </c:tx>
          <c:spPr>
            <a:solidFill>
              <a:schemeClr val="accent5"/>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Samlet'!$AA$7:$AA$11</c:f>
              <c:numCache>
                <c:formatCode>#,##0_);\-#,##0_);\-_);@</c:formatCode>
                <c:ptCount val="5"/>
                <c:pt idx="0">
                  <c:v>76.261965429378137</c:v>
                </c:pt>
                <c:pt idx="1">
                  <c:v>87.844709657462545</c:v>
                </c:pt>
                <c:pt idx="2">
                  <c:v>83.059224838319849</c:v>
                </c:pt>
                <c:pt idx="3">
                  <c:v>103.55398726783061</c:v>
                </c:pt>
                <c:pt idx="4">
                  <c:v>83.447014213390176</c:v>
                </c:pt>
              </c:numCache>
            </c:numRef>
          </c:val>
          <c:extLst>
            <c:ext xmlns:c16="http://schemas.microsoft.com/office/drawing/2014/chart" uri="{C3380CC4-5D6E-409C-BE32-E72D297353CC}">
              <c16:uniqueId val="{00000004-01A4-42D8-B947-C4E4BE95B790}"/>
            </c:ext>
          </c:extLst>
        </c:ser>
        <c:ser>
          <c:idx val="5"/>
          <c:order val="5"/>
          <c:tx>
            <c:strRef>
              <c:f>'Bus Samlet'!$AB$5</c:f>
              <c:strCache>
                <c:ptCount val="1"/>
                <c:pt idx="0">
                  <c:v>FC 2024</c:v>
                </c:pt>
              </c:strCache>
            </c:strRef>
          </c:tx>
          <c:spPr>
            <a:solidFill>
              <a:schemeClr val="accent6"/>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Samlet'!$AB$7:$AB$11</c:f>
              <c:numCache>
                <c:formatCode>#,##0_);\-#,##0_);\-_);@</c:formatCode>
                <c:ptCount val="5"/>
                <c:pt idx="0">
                  <c:v>77.432683699469735</c:v>
                </c:pt>
                <c:pt idx="1">
                  <c:v>86.309576316005831</c:v>
                </c:pt>
                <c:pt idx="2">
                  <c:v>85.07348293739399</c:v>
                </c:pt>
                <c:pt idx="3">
                  <c:v>113.09385025013515</c:v>
                </c:pt>
                <c:pt idx="4">
                  <c:v>80.674729397436153</c:v>
                </c:pt>
              </c:numCache>
            </c:numRef>
          </c:val>
          <c:extLst>
            <c:ext xmlns:c16="http://schemas.microsoft.com/office/drawing/2014/chart" uri="{C3380CC4-5D6E-409C-BE32-E72D297353CC}">
              <c16:uniqueId val="{00000005-01A4-42D8-B947-C4E4BE95B790}"/>
            </c:ext>
          </c:extLst>
        </c:ser>
        <c:ser>
          <c:idx val="6"/>
          <c:order val="6"/>
          <c:tx>
            <c:strRef>
              <c:f>'Bus Samlet'!$AC$5</c:f>
              <c:strCache>
                <c:ptCount val="1"/>
                <c:pt idx="0">
                  <c:v>B2025</c:v>
                </c:pt>
              </c:strCache>
            </c:strRef>
          </c:tx>
          <c:spPr>
            <a:solidFill>
              <a:schemeClr val="accent1">
                <a:lumMod val="60000"/>
              </a:schemeClr>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Samlet'!$AC$7:$AC$11</c:f>
              <c:numCache>
                <c:formatCode>#,##0_);\-#,##0_);\-_);@</c:formatCode>
                <c:ptCount val="5"/>
                <c:pt idx="0">
                  <c:v>78.713587218511123</c:v>
                </c:pt>
                <c:pt idx="1">
                  <c:v>86.309576316005831</c:v>
                </c:pt>
                <c:pt idx="2">
                  <c:v>83.38716652840219</c:v>
                </c:pt>
                <c:pt idx="3">
                  <c:v>116.21787891649298</c:v>
                </c:pt>
                <c:pt idx="4">
                  <c:v>80.674729397436153</c:v>
                </c:pt>
              </c:numCache>
            </c:numRef>
          </c:val>
          <c:extLst>
            <c:ext xmlns:c16="http://schemas.microsoft.com/office/drawing/2014/chart" uri="{C3380CC4-5D6E-409C-BE32-E72D297353CC}">
              <c16:uniqueId val="{00000000-ADCE-4BAF-9794-CF7496FDDABE}"/>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At val="100"/>
        <c:auto val="1"/>
        <c:lblAlgn val="ctr"/>
        <c:lblOffset val="100"/>
        <c:noMultiLvlLbl val="0"/>
      </c:catAx>
      <c:valAx>
        <c:axId val="222894479"/>
        <c:scaling>
          <c:orientation val="minMax"/>
          <c:max val="105"/>
          <c:min val="60"/>
        </c:scaling>
        <c:delete val="0"/>
        <c:axPos val="l"/>
        <c:majorGridlines>
          <c:spPr>
            <a:ln w="9525" cap="flat" cmpd="sng" algn="ctr">
              <a:solidFill>
                <a:schemeClr val="tx1">
                  <a:lumMod val="15000"/>
                  <a:lumOff val="85000"/>
                </a:schemeClr>
              </a:solidFill>
              <a:round/>
            </a:ln>
            <a:effectLst/>
          </c:spPr>
        </c:majorGridlines>
        <c:numFmt formatCode="#,##0_);\-#,##0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Køreplantimer - 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'Bus Samlet'!$I$5</c:f>
              <c:strCache>
                <c:ptCount val="1"/>
                <c:pt idx="0">
                  <c:v>R 2019</c:v>
                </c:pt>
              </c:strCache>
            </c:strRef>
          </c:tx>
          <c:spPr>
            <a:solidFill>
              <a:schemeClr val="accent1"/>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Samlet'!$I$6:$I$11</c:f>
              <c:numCache>
                <c:formatCode>#,##0_);\-#,##0_);\-_);@</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65D1-493B-BBBF-8E028718D0B1}"/>
            </c:ext>
          </c:extLst>
        </c:ser>
        <c:ser>
          <c:idx val="1"/>
          <c:order val="1"/>
          <c:tx>
            <c:strRef>
              <c:f>'Bus Samlet'!$J$5</c:f>
              <c:strCache>
                <c:ptCount val="1"/>
                <c:pt idx="0">
                  <c:v>R 2020</c:v>
                </c:pt>
              </c:strCache>
            </c:strRef>
          </c:tx>
          <c:spPr>
            <a:solidFill>
              <a:schemeClr val="accent2"/>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Samlet'!$J$6:$J$11</c:f>
              <c:numCache>
                <c:formatCode>#,##0_);\-#,##0_);\-_);@</c:formatCode>
                <c:ptCount val="6"/>
                <c:pt idx="0">
                  <c:v>100</c:v>
                </c:pt>
                <c:pt idx="1">
                  <c:v>99.821578710674004</c:v>
                </c:pt>
                <c:pt idx="2">
                  <c:v>97.91020166719467</c:v>
                </c:pt>
                <c:pt idx="3">
                  <c:v>96.491421778650562</c:v>
                </c:pt>
                <c:pt idx="4">
                  <c:v>99.368736332924328</c:v>
                </c:pt>
                <c:pt idx="5">
                  <c:v>99.033305695395086</c:v>
                </c:pt>
              </c:numCache>
            </c:numRef>
          </c:val>
          <c:extLst>
            <c:ext xmlns:c16="http://schemas.microsoft.com/office/drawing/2014/chart" uri="{C3380CC4-5D6E-409C-BE32-E72D297353CC}">
              <c16:uniqueId val="{00000001-65D1-493B-BBBF-8E028718D0B1}"/>
            </c:ext>
          </c:extLst>
        </c:ser>
        <c:ser>
          <c:idx val="2"/>
          <c:order val="2"/>
          <c:tx>
            <c:strRef>
              <c:f>'Bus Samlet'!$K$5</c:f>
              <c:strCache>
                <c:ptCount val="1"/>
                <c:pt idx="0">
                  <c:v>R 2021</c:v>
                </c:pt>
              </c:strCache>
            </c:strRef>
          </c:tx>
          <c:spPr>
            <a:solidFill>
              <a:schemeClr val="accent3"/>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Samlet'!$K$6:$K$11</c:f>
              <c:numCache>
                <c:formatCode>#,##0_);\-#,##0_);\-_);@</c:formatCode>
                <c:ptCount val="6"/>
                <c:pt idx="0">
                  <c:v>88.709677419354833</c:v>
                </c:pt>
                <c:pt idx="1">
                  <c:v>99.952746873146538</c:v>
                </c:pt>
                <c:pt idx="2">
                  <c:v>97.907313783700246</c:v>
                </c:pt>
                <c:pt idx="3">
                  <c:v>96.335550183065109</c:v>
                </c:pt>
                <c:pt idx="4">
                  <c:v>98.688806740545772</c:v>
                </c:pt>
                <c:pt idx="5">
                  <c:v>95.554489105980011</c:v>
                </c:pt>
              </c:numCache>
            </c:numRef>
          </c:val>
          <c:extLst>
            <c:ext xmlns:c16="http://schemas.microsoft.com/office/drawing/2014/chart" uri="{C3380CC4-5D6E-409C-BE32-E72D297353CC}">
              <c16:uniqueId val="{00000002-65D1-493B-BBBF-8E028718D0B1}"/>
            </c:ext>
          </c:extLst>
        </c:ser>
        <c:ser>
          <c:idx val="3"/>
          <c:order val="3"/>
          <c:tx>
            <c:strRef>
              <c:f>'Bus Samlet'!$L$5</c:f>
              <c:strCache>
                <c:ptCount val="1"/>
                <c:pt idx="0">
                  <c:v>R 2022</c:v>
                </c:pt>
              </c:strCache>
            </c:strRef>
          </c:tx>
          <c:spPr>
            <a:solidFill>
              <a:schemeClr val="accent4"/>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Samlet'!$L$6:$L$11</c:f>
              <c:numCache>
                <c:formatCode>#,##0_);\-#,##0_);\-_);@</c:formatCode>
                <c:ptCount val="6"/>
                <c:pt idx="0">
                  <c:v>88.709677419354833</c:v>
                </c:pt>
                <c:pt idx="1">
                  <c:v>96.870213584133381</c:v>
                </c:pt>
                <c:pt idx="2">
                  <c:v>97.649692883861832</c:v>
                </c:pt>
                <c:pt idx="3">
                  <c:v>97.314254701254782</c:v>
                </c:pt>
                <c:pt idx="4">
                  <c:v>98.35334420612628</c:v>
                </c:pt>
                <c:pt idx="5">
                  <c:v>94.557266362411781</c:v>
                </c:pt>
              </c:numCache>
            </c:numRef>
          </c:val>
          <c:extLst>
            <c:ext xmlns:c16="http://schemas.microsoft.com/office/drawing/2014/chart" uri="{C3380CC4-5D6E-409C-BE32-E72D297353CC}">
              <c16:uniqueId val="{00000003-65D1-493B-BBBF-8E028718D0B1}"/>
            </c:ext>
          </c:extLst>
        </c:ser>
        <c:ser>
          <c:idx val="4"/>
          <c:order val="4"/>
          <c:tx>
            <c:strRef>
              <c:f>'Bus Samlet'!$M$5</c:f>
              <c:strCache>
                <c:ptCount val="1"/>
                <c:pt idx="0">
                  <c:v>R 2023</c:v>
                </c:pt>
              </c:strCache>
            </c:strRef>
          </c:tx>
          <c:spPr>
            <a:solidFill>
              <a:schemeClr val="accent5"/>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Samlet'!$M$6:$M$11</c:f>
              <c:numCache>
                <c:formatCode>#,##0_);\-#,##0_);\-_);@</c:formatCode>
                <c:ptCount val="6"/>
                <c:pt idx="0">
                  <c:v>95.296996239153771</c:v>
                </c:pt>
                <c:pt idx="1">
                  <c:v>90.655449752002554</c:v>
                </c:pt>
                <c:pt idx="2">
                  <c:v>94.729274462462683</c:v>
                </c:pt>
                <c:pt idx="3">
                  <c:v>97.20723095023412</c:v>
                </c:pt>
                <c:pt idx="4">
                  <c:v>94.446534041542364</c:v>
                </c:pt>
                <c:pt idx="5">
                  <c:v>93.360005131628654</c:v>
                </c:pt>
              </c:numCache>
            </c:numRef>
          </c:val>
          <c:extLst>
            <c:ext xmlns:c16="http://schemas.microsoft.com/office/drawing/2014/chart" uri="{C3380CC4-5D6E-409C-BE32-E72D297353CC}">
              <c16:uniqueId val="{00000004-65D1-493B-BBBF-8E028718D0B1}"/>
            </c:ext>
          </c:extLst>
        </c:ser>
        <c:ser>
          <c:idx val="5"/>
          <c:order val="5"/>
          <c:tx>
            <c:strRef>
              <c:f>'Bus Samlet'!$N$5</c:f>
              <c:strCache>
                <c:ptCount val="1"/>
                <c:pt idx="0">
                  <c:v>FC 2024</c:v>
                </c:pt>
              </c:strCache>
            </c:strRef>
          </c:tx>
          <c:spPr>
            <a:solidFill>
              <a:schemeClr val="accent6"/>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Samlet'!$N$6:$N$11</c:f>
              <c:numCache>
                <c:formatCode>#,##0_);\-#,##0_);\-_);@</c:formatCode>
                <c:ptCount val="6"/>
                <c:pt idx="0">
                  <c:v>90.558365265476056</c:v>
                </c:pt>
                <c:pt idx="1">
                  <c:v>89.160784467082493</c:v>
                </c:pt>
                <c:pt idx="2">
                  <c:v>90.568318637420589</c:v>
                </c:pt>
                <c:pt idx="3">
                  <c:v>95.998356420175412</c:v>
                </c:pt>
                <c:pt idx="4">
                  <c:v>92.019334921155263</c:v>
                </c:pt>
                <c:pt idx="5">
                  <c:v>92.085650683385651</c:v>
                </c:pt>
              </c:numCache>
            </c:numRef>
          </c:val>
          <c:extLst>
            <c:ext xmlns:c16="http://schemas.microsoft.com/office/drawing/2014/chart" uri="{C3380CC4-5D6E-409C-BE32-E72D297353CC}">
              <c16:uniqueId val="{00000005-65D1-493B-BBBF-8E028718D0B1}"/>
            </c:ext>
          </c:extLst>
        </c:ser>
        <c:ser>
          <c:idx val="6"/>
          <c:order val="6"/>
          <c:tx>
            <c:strRef>
              <c:f>'Bus Samlet'!$O$5</c:f>
              <c:strCache>
                <c:ptCount val="1"/>
                <c:pt idx="0">
                  <c:v>B2025</c:v>
                </c:pt>
              </c:strCache>
            </c:strRef>
          </c:tx>
          <c:spPr>
            <a:solidFill>
              <a:schemeClr val="accent1">
                <a:lumMod val="60000"/>
              </a:schemeClr>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Samlet'!$O$6:$O$11</c:f>
              <c:numCache>
                <c:formatCode>#,##0_);\-#,##0_);\-_);@</c:formatCode>
                <c:ptCount val="6"/>
                <c:pt idx="0">
                  <c:v>84.030844674592572</c:v>
                </c:pt>
                <c:pt idx="1">
                  <c:v>89.451309726322918</c:v>
                </c:pt>
                <c:pt idx="2">
                  <c:v>89.544499829691873</c:v>
                </c:pt>
                <c:pt idx="3">
                  <c:v>94.526391745516477</c:v>
                </c:pt>
                <c:pt idx="4">
                  <c:v>91.910273228561095</c:v>
                </c:pt>
                <c:pt idx="5">
                  <c:v>91.686167647457111</c:v>
                </c:pt>
              </c:numCache>
            </c:numRef>
          </c:val>
          <c:extLst>
            <c:ext xmlns:c16="http://schemas.microsoft.com/office/drawing/2014/chart" uri="{C3380CC4-5D6E-409C-BE32-E72D297353CC}">
              <c16:uniqueId val="{00000000-FA30-4FE2-9E0A-0CBF58D8D84D}"/>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At val="100"/>
        <c:auto val="1"/>
        <c:lblAlgn val="ctr"/>
        <c:lblOffset val="100"/>
        <c:noMultiLvlLbl val="0"/>
      </c:catAx>
      <c:valAx>
        <c:axId val="222894479"/>
        <c:scaling>
          <c:orientation val="minMax"/>
          <c:max val="101"/>
          <c:min val="85"/>
        </c:scaling>
        <c:delete val="0"/>
        <c:axPos val="l"/>
        <c:majorGridlines>
          <c:spPr>
            <a:ln w="9525"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Passagerindeks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'Bus Samlet'!$W$5</c:f>
              <c:strCache>
                <c:ptCount val="1"/>
                <c:pt idx="0">
                  <c:v>R 2019</c:v>
                </c:pt>
              </c:strCache>
            </c:strRef>
          </c:tx>
          <c:spPr>
            <a:solidFill>
              <a:schemeClr val="accent1"/>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Samlet'!$W$7:$W$11</c:f>
              <c:numCache>
                <c:formatCode>#,##0_);\-#,##0_);\-_);@</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11B-4FB9-AC78-3A5F5F74EDB4}"/>
            </c:ext>
          </c:extLst>
        </c:ser>
        <c:ser>
          <c:idx val="1"/>
          <c:order val="1"/>
          <c:tx>
            <c:strRef>
              <c:f>'Bus Samlet'!$X$5</c:f>
              <c:strCache>
                <c:ptCount val="1"/>
                <c:pt idx="0">
                  <c:v>R 2020</c:v>
                </c:pt>
              </c:strCache>
            </c:strRef>
          </c:tx>
          <c:spPr>
            <a:solidFill>
              <a:schemeClr val="accent2"/>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Samlet'!$X$7:$X$11</c:f>
              <c:numCache>
                <c:formatCode>#,##0_);\-#,##0_);\-_);@</c:formatCode>
                <c:ptCount val="5"/>
                <c:pt idx="0">
                  <c:v>65.229667378279728</c:v>
                </c:pt>
                <c:pt idx="1">
                  <c:v>66.049415523510945</c:v>
                </c:pt>
                <c:pt idx="2">
                  <c:v>63.363118468283794</c:v>
                </c:pt>
                <c:pt idx="3">
                  <c:v>71.138394692986338</c:v>
                </c:pt>
                <c:pt idx="4">
                  <c:v>66.379644225461846</c:v>
                </c:pt>
              </c:numCache>
            </c:numRef>
          </c:val>
          <c:extLst>
            <c:ext xmlns:c16="http://schemas.microsoft.com/office/drawing/2014/chart" uri="{C3380CC4-5D6E-409C-BE32-E72D297353CC}">
              <c16:uniqueId val="{00000001-811B-4FB9-AC78-3A5F5F74EDB4}"/>
            </c:ext>
          </c:extLst>
        </c:ser>
        <c:ser>
          <c:idx val="2"/>
          <c:order val="2"/>
          <c:tx>
            <c:strRef>
              <c:f>'Bus Samlet'!$Y$5</c:f>
              <c:strCache>
                <c:ptCount val="1"/>
                <c:pt idx="0">
                  <c:v>R 2021</c:v>
                </c:pt>
              </c:strCache>
            </c:strRef>
          </c:tx>
          <c:spPr>
            <a:solidFill>
              <a:schemeClr val="accent3"/>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Samlet'!$Y$7:$Y$11</c:f>
              <c:numCache>
                <c:formatCode>#,##0_);\-#,##0_);\-_);@</c:formatCode>
                <c:ptCount val="5"/>
                <c:pt idx="0">
                  <c:v>61.552234694580264</c:v>
                </c:pt>
                <c:pt idx="1">
                  <c:v>62.907530429073745</c:v>
                </c:pt>
                <c:pt idx="2">
                  <c:v>62.372768342690343</c:v>
                </c:pt>
                <c:pt idx="3">
                  <c:v>69.599752852004229</c:v>
                </c:pt>
                <c:pt idx="4">
                  <c:v>60.458998485018569</c:v>
                </c:pt>
              </c:numCache>
            </c:numRef>
          </c:val>
          <c:extLst>
            <c:ext xmlns:c16="http://schemas.microsoft.com/office/drawing/2014/chart" uri="{C3380CC4-5D6E-409C-BE32-E72D297353CC}">
              <c16:uniqueId val="{00000002-811B-4FB9-AC78-3A5F5F74EDB4}"/>
            </c:ext>
          </c:extLst>
        </c:ser>
        <c:ser>
          <c:idx val="3"/>
          <c:order val="3"/>
          <c:tx>
            <c:strRef>
              <c:f>'Bus Samlet'!$Z$5</c:f>
              <c:strCache>
                <c:ptCount val="1"/>
                <c:pt idx="0">
                  <c:v>R 2022</c:v>
                </c:pt>
              </c:strCache>
            </c:strRef>
          </c:tx>
          <c:spPr>
            <a:solidFill>
              <a:schemeClr val="accent4"/>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Samlet'!$Z$7:$Z$11</c:f>
              <c:numCache>
                <c:formatCode>#,##0_);\-#,##0_);\-_);@</c:formatCode>
                <c:ptCount val="5"/>
                <c:pt idx="0">
                  <c:v>76.867984298602025</c:v>
                </c:pt>
                <c:pt idx="1">
                  <c:v>82.980465539449995</c:v>
                </c:pt>
                <c:pt idx="2">
                  <c:v>77.96347460569767</c:v>
                </c:pt>
                <c:pt idx="3">
                  <c:v>87.259986937137015</c:v>
                </c:pt>
                <c:pt idx="4">
                  <c:v>81.743894065289496</c:v>
                </c:pt>
              </c:numCache>
            </c:numRef>
          </c:val>
          <c:extLst>
            <c:ext xmlns:c16="http://schemas.microsoft.com/office/drawing/2014/chart" uri="{C3380CC4-5D6E-409C-BE32-E72D297353CC}">
              <c16:uniqueId val="{00000003-811B-4FB9-AC78-3A5F5F74EDB4}"/>
            </c:ext>
          </c:extLst>
        </c:ser>
        <c:ser>
          <c:idx val="4"/>
          <c:order val="4"/>
          <c:tx>
            <c:strRef>
              <c:f>'Bus Samlet'!$AA$5</c:f>
              <c:strCache>
                <c:ptCount val="1"/>
                <c:pt idx="0">
                  <c:v>R 2023</c:v>
                </c:pt>
              </c:strCache>
            </c:strRef>
          </c:tx>
          <c:spPr>
            <a:solidFill>
              <a:schemeClr val="accent5"/>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Samlet'!$AA$7:$AA$11</c:f>
              <c:numCache>
                <c:formatCode>#,##0_);\-#,##0_);\-_);@</c:formatCode>
                <c:ptCount val="5"/>
                <c:pt idx="0">
                  <c:v>76.261965429378137</c:v>
                </c:pt>
                <c:pt idx="1">
                  <c:v>87.844709657462545</c:v>
                </c:pt>
                <c:pt idx="2">
                  <c:v>83.059224838319849</c:v>
                </c:pt>
                <c:pt idx="3">
                  <c:v>103.55398726783061</c:v>
                </c:pt>
                <c:pt idx="4">
                  <c:v>83.447014213390176</c:v>
                </c:pt>
              </c:numCache>
            </c:numRef>
          </c:val>
          <c:extLst>
            <c:ext xmlns:c16="http://schemas.microsoft.com/office/drawing/2014/chart" uri="{C3380CC4-5D6E-409C-BE32-E72D297353CC}">
              <c16:uniqueId val="{00000004-811B-4FB9-AC78-3A5F5F74EDB4}"/>
            </c:ext>
          </c:extLst>
        </c:ser>
        <c:ser>
          <c:idx val="5"/>
          <c:order val="5"/>
          <c:tx>
            <c:strRef>
              <c:f>'Bus Samlet'!$AB$5</c:f>
              <c:strCache>
                <c:ptCount val="1"/>
                <c:pt idx="0">
                  <c:v>FC 2024</c:v>
                </c:pt>
              </c:strCache>
            </c:strRef>
          </c:tx>
          <c:spPr>
            <a:solidFill>
              <a:schemeClr val="accent6"/>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Samlet'!$AB$7:$AB$11</c:f>
              <c:numCache>
                <c:formatCode>#,##0_);\-#,##0_);\-_);@</c:formatCode>
                <c:ptCount val="5"/>
                <c:pt idx="0">
                  <c:v>77.432683699469735</c:v>
                </c:pt>
                <c:pt idx="1">
                  <c:v>86.309576316005831</c:v>
                </c:pt>
                <c:pt idx="2">
                  <c:v>85.07348293739399</c:v>
                </c:pt>
                <c:pt idx="3">
                  <c:v>113.09385025013515</c:v>
                </c:pt>
                <c:pt idx="4">
                  <c:v>80.674729397436153</c:v>
                </c:pt>
              </c:numCache>
            </c:numRef>
          </c:val>
          <c:extLst>
            <c:ext xmlns:c16="http://schemas.microsoft.com/office/drawing/2014/chart" uri="{C3380CC4-5D6E-409C-BE32-E72D297353CC}">
              <c16:uniqueId val="{00000005-811B-4FB9-AC78-3A5F5F74EDB4}"/>
            </c:ext>
          </c:extLst>
        </c:ser>
        <c:ser>
          <c:idx val="6"/>
          <c:order val="6"/>
          <c:tx>
            <c:strRef>
              <c:f>'Bus Samlet'!$AC$5</c:f>
              <c:strCache>
                <c:ptCount val="1"/>
                <c:pt idx="0">
                  <c:v>B2025</c:v>
                </c:pt>
              </c:strCache>
            </c:strRef>
          </c:tx>
          <c:spPr>
            <a:solidFill>
              <a:schemeClr val="accent1">
                <a:lumMod val="60000"/>
              </a:schemeClr>
            </a:solidFill>
            <a:ln>
              <a:noFill/>
            </a:ln>
            <a:effectLst/>
          </c:spPr>
          <c:invertIfNegative val="0"/>
          <c:cat>
            <c:strRef>
              <c:f>'Bus Samlet'!$A$7:$A$11</c:f>
              <c:strCache>
                <c:ptCount val="5"/>
                <c:pt idx="0">
                  <c:v>Fynbus</c:v>
                </c:pt>
                <c:pt idx="1">
                  <c:v>Midttrafik</c:v>
                </c:pt>
                <c:pt idx="2">
                  <c:v>Movia</c:v>
                </c:pt>
                <c:pt idx="3">
                  <c:v>NT</c:v>
                </c:pt>
                <c:pt idx="4">
                  <c:v>Sydtrafik</c:v>
                </c:pt>
              </c:strCache>
            </c:strRef>
          </c:cat>
          <c:val>
            <c:numRef>
              <c:f>'Bus Samlet'!$AC$7:$AC$11</c:f>
              <c:numCache>
                <c:formatCode>#,##0_);\-#,##0_);\-_);@</c:formatCode>
                <c:ptCount val="5"/>
                <c:pt idx="0">
                  <c:v>78.713587218511123</c:v>
                </c:pt>
                <c:pt idx="1">
                  <c:v>86.309576316005831</c:v>
                </c:pt>
                <c:pt idx="2">
                  <c:v>83.38716652840219</c:v>
                </c:pt>
                <c:pt idx="3">
                  <c:v>116.21787891649298</c:v>
                </c:pt>
                <c:pt idx="4">
                  <c:v>80.674729397436153</c:v>
                </c:pt>
              </c:numCache>
            </c:numRef>
          </c:val>
          <c:extLst>
            <c:ext xmlns:c16="http://schemas.microsoft.com/office/drawing/2014/chart" uri="{C3380CC4-5D6E-409C-BE32-E72D297353CC}">
              <c16:uniqueId val="{00000000-3119-480F-B50D-F99B91835294}"/>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 val="autoZero"/>
        <c:auto val="1"/>
        <c:lblAlgn val="ctr"/>
        <c:lblOffset val="100"/>
        <c:noMultiLvlLbl val="0"/>
      </c:catAx>
      <c:valAx>
        <c:axId val="222894479"/>
        <c:scaling>
          <c:orientation val="minMax"/>
        </c:scaling>
        <c:delete val="0"/>
        <c:axPos val="l"/>
        <c:majorGridlines>
          <c:spPr>
            <a:ln w="9525"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Køreplantimer - 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'Bus Samlet'!$I$5</c:f>
              <c:strCache>
                <c:ptCount val="1"/>
                <c:pt idx="0">
                  <c:v>R 2019</c:v>
                </c:pt>
              </c:strCache>
            </c:strRef>
          </c:tx>
          <c:spPr>
            <a:solidFill>
              <a:schemeClr val="accent1"/>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Samlet'!$I$6:$I$11</c:f>
              <c:numCache>
                <c:formatCode>#,##0_);\-#,##0_);\-_);@</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D829-4D1A-BCA3-F03817DF87F8}"/>
            </c:ext>
          </c:extLst>
        </c:ser>
        <c:ser>
          <c:idx val="1"/>
          <c:order val="1"/>
          <c:tx>
            <c:strRef>
              <c:f>'Bus Samlet'!$J$5</c:f>
              <c:strCache>
                <c:ptCount val="1"/>
                <c:pt idx="0">
                  <c:v>R 2020</c:v>
                </c:pt>
              </c:strCache>
            </c:strRef>
          </c:tx>
          <c:spPr>
            <a:solidFill>
              <a:schemeClr val="accent2"/>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Samlet'!$J$6:$J$11</c:f>
              <c:numCache>
                <c:formatCode>#,##0_);\-#,##0_);\-_);@</c:formatCode>
                <c:ptCount val="6"/>
                <c:pt idx="0">
                  <c:v>100</c:v>
                </c:pt>
                <c:pt idx="1">
                  <c:v>99.821578710674004</c:v>
                </c:pt>
                <c:pt idx="2">
                  <c:v>97.91020166719467</c:v>
                </c:pt>
                <c:pt idx="3">
                  <c:v>96.491421778650562</c:v>
                </c:pt>
                <c:pt idx="4">
                  <c:v>99.368736332924328</c:v>
                </c:pt>
                <c:pt idx="5">
                  <c:v>99.033305695395086</c:v>
                </c:pt>
              </c:numCache>
            </c:numRef>
          </c:val>
          <c:extLst>
            <c:ext xmlns:c16="http://schemas.microsoft.com/office/drawing/2014/chart" uri="{C3380CC4-5D6E-409C-BE32-E72D297353CC}">
              <c16:uniqueId val="{00000001-D829-4D1A-BCA3-F03817DF87F8}"/>
            </c:ext>
          </c:extLst>
        </c:ser>
        <c:ser>
          <c:idx val="2"/>
          <c:order val="2"/>
          <c:tx>
            <c:strRef>
              <c:f>'Bus Samlet'!$K$5</c:f>
              <c:strCache>
                <c:ptCount val="1"/>
                <c:pt idx="0">
                  <c:v>R 2021</c:v>
                </c:pt>
              </c:strCache>
            </c:strRef>
          </c:tx>
          <c:spPr>
            <a:solidFill>
              <a:schemeClr val="accent3"/>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Samlet'!$K$6:$K$11</c:f>
              <c:numCache>
                <c:formatCode>#,##0_);\-#,##0_);\-_);@</c:formatCode>
                <c:ptCount val="6"/>
                <c:pt idx="0">
                  <c:v>88.709677419354833</c:v>
                </c:pt>
                <c:pt idx="1">
                  <c:v>99.952746873146538</c:v>
                </c:pt>
                <c:pt idx="2">
                  <c:v>97.907313783700246</c:v>
                </c:pt>
                <c:pt idx="3">
                  <c:v>96.335550183065109</c:v>
                </c:pt>
                <c:pt idx="4">
                  <c:v>98.688806740545772</c:v>
                </c:pt>
                <c:pt idx="5">
                  <c:v>95.554489105980011</c:v>
                </c:pt>
              </c:numCache>
            </c:numRef>
          </c:val>
          <c:extLst>
            <c:ext xmlns:c16="http://schemas.microsoft.com/office/drawing/2014/chart" uri="{C3380CC4-5D6E-409C-BE32-E72D297353CC}">
              <c16:uniqueId val="{00000002-D829-4D1A-BCA3-F03817DF87F8}"/>
            </c:ext>
          </c:extLst>
        </c:ser>
        <c:ser>
          <c:idx val="3"/>
          <c:order val="3"/>
          <c:tx>
            <c:strRef>
              <c:f>'Bus Samlet'!$L$5</c:f>
              <c:strCache>
                <c:ptCount val="1"/>
                <c:pt idx="0">
                  <c:v>R 2022</c:v>
                </c:pt>
              </c:strCache>
            </c:strRef>
          </c:tx>
          <c:spPr>
            <a:solidFill>
              <a:schemeClr val="accent4"/>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Samlet'!$L$6:$L$11</c:f>
              <c:numCache>
                <c:formatCode>#,##0_);\-#,##0_);\-_);@</c:formatCode>
                <c:ptCount val="6"/>
                <c:pt idx="0">
                  <c:v>88.709677419354833</c:v>
                </c:pt>
                <c:pt idx="1">
                  <c:v>96.870213584133381</c:v>
                </c:pt>
                <c:pt idx="2">
                  <c:v>97.649692883861832</c:v>
                </c:pt>
                <c:pt idx="3">
                  <c:v>97.314254701254782</c:v>
                </c:pt>
                <c:pt idx="4">
                  <c:v>98.35334420612628</c:v>
                </c:pt>
                <c:pt idx="5">
                  <c:v>94.557266362411781</c:v>
                </c:pt>
              </c:numCache>
            </c:numRef>
          </c:val>
          <c:extLst>
            <c:ext xmlns:c16="http://schemas.microsoft.com/office/drawing/2014/chart" uri="{C3380CC4-5D6E-409C-BE32-E72D297353CC}">
              <c16:uniqueId val="{00000003-D829-4D1A-BCA3-F03817DF87F8}"/>
            </c:ext>
          </c:extLst>
        </c:ser>
        <c:ser>
          <c:idx val="4"/>
          <c:order val="4"/>
          <c:tx>
            <c:strRef>
              <c:f>'Bus Samlet'!$M$5</c:f>
              <c:strCache>
                <c:ptCount val="1"/>
                <c:pt idx="0">
                  <c:v>R 2023</c:v>
                </c:pt>
              </c:strCache>
            </c:strRef>
          </c:tx>
          <c:spPr>
            <a:solidFill>
              <a:schemeClr val="accent5"/>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Samlet'!$M$6:$M$11</c:f>
              <c:numCache>
                <c:formatCode>#,##0_);\-#,##0_);\-_);@</c:formatCode>
                <c:ptCount val="6"/>
                <c:pt idx="0">
                  <c:v>95.296996239153771</c:v>
                </c:pt>
                <c:pt idx="1">
                  <c:v>90.655449752002554</c:v>
                </c:pt>
                <c:pt idx="2">
                  <c:v>94.729274462462683</c:v>
                </c:pt>
                <c:pt idx="3">
                  <c:v>97.20723095023412</c:v>
                </c:pt>
                <c:pt idx="4">
                  <c:v>94.446534041542364</c:v>
                </c:pt>
                <c:pt idx="5">
                  <c:v>93.360005131628654</c:v>
                </c:pt>
              </c:numCache>
            </c:numRef>
          </c:val>
          <c:extLst>
            <c:ext xmlns:c16="http://schemas.microsoft.com/office/drawing/2014/chart" uri="{C3380CC4-5D6E-409C-BE32-E72D297353CC}">
              <c16:uniqueId val="{00000004-D829-4D1A-BCA3-F03817DF87F8}"/>
            </c:ext>
          </c:extLst>
        </c:ser>
        <c:ser>
          <c:idx val="5"/>
          <c:order val="5"/>
          <c:tx>
            <c:strRef>
              <c:f>'Bus Samlet'!$N$5</c:f>
              <c:strCache>
                <c:ptCount val="1"/>
                <c:pt idx="0">
                  <c:v>FC 2024</c:v>
                </c:pt>
              </c:strCache>
            </c:strRef>
          </c:tx>
          <c:spPr>
            <a:solidFill>
              <a:schemeClr val="accent6"/>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Samlet'!$N$6:$N$11</c:f>
              <c:numCache>
                <c:formatCode>#,##0_);\-#,##0_);\-_);@</c:formatCode>
                <c:ptCount val="6"/>
                <c:pt idx="0">
                  <c:v>90.558365265476056</c:v>
                </c:pt>
                <c:pt idx="1">
                  <c:v>89.160784467082493</c:v>
                </c:pt>
                <c:pt idx="2">
                  <c:v>90.568318637420589</c:v>
                </c:pt>
                <c:pt idx="3">
                  <c:v>95.998356420175412</c:v>
                </c:pt>
                <c:pt idx="4">
                  <c:v>92.019334921155263</c:v>
                </c:pt>
                <c:pt idx="5">
                  <c:v>92.085650683385651</c:v>
                </c:pt>
              </c:numCache>
            </c:numRef>
          </c:val>
          <c:extLst>
            <c:ext xmlns:c16="http://schemas.microsoft.com/office/drawing/2014/chart" uri="{C3380CC4-5D6E-409C-BE32-E72D297353CC}">
              <c16:uniqueId val="{00000005-D829-4D1A-BCA3-F03817DF87F8}"/>
            </c:ext>
          </c:extLst>
        </c:ser>
        <c:ser>
          <c:idx val="6"/>
          <c:order val="6"/>
          <c:tx>
            <c:strRef>
              <c:f>'Bus Samlet'!$O$5</c:f>
              <c:strCache>
                <c:ptCount val="1"/>
                <c:pt idx="0">
                  <c:v>B2025</c:v>
                </c:pt>
              </c:strCache>
            </c:strRef>
          </c:tx>
          <c:spPr>
            <a:solidFill>
              <a:schemeClr val="accent1">
                <a:lumMod val="60000"/>
              </a:schemeClr>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Samlet'!$O$6:$O$11</c:f>
              <c:numCache>
                <c:formatCode>#,##0_);\-#,##0_);\-_);@</c:formatCode>
                <c:ptCount val="6"/>
                <c:pt idx="0">
                  <c:v>84.030844674592572</c:v>
                </c:pt>
                <c:pt idx="1">
                  <c:v>89.451309726322918</c:v>
                </c:pt>
                <c:pt idx="2">
                  <c:v>89.544499829691873</c:v>
                </c:pt>
                <c:pt idx="3">
                  <c:v>94.526391745516477</c:v>
                </c:pt>
                <c:pt idx="4">
                  <c:v>91.910273228561095</c:v>
                </c:pt>
                <c:pt idx="5">
                  <c:v>91.686167647457111</c:v>
                </c:pt>
              </c:numCache>
            </c:numRef>
          </c:val>
          <c:extLst>
            <c:ext xmlns:c16="http://schemas.microsoft.com/office/drawing/2014/chart" uri="{C3380CC4-5D6E-409C-BE32-E72D297353CC}">
              <c16:uniqueId val="{00000000-9A01-4544-94E3-0BB99D6BF6B2}"/>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 val="autoZero"/>
        <c:auto val="1"/>
        <c:lblAlgn val="ctr"/>
        <c:lblOffset val="100"/>
        <c:noMultiLvlLbl val="0"/>
      </c:catAx>
      <c:valAx>
        <c:axId val="222894479"/>
        <c:scaling>
          <c:orientation val="minMax"/>
          <c:max val="100"/>
          <c:min val="80"/>
        </c:scaling>
        <c:delete val="0"/>
        <c:axPos val="l"/>
        <c:majorGridlines>
          <c:spPr>
            <a:ln w="9525"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Operatørudgift pr. køreplantime - indeks (2019=100)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barChart>
        <c:barDir val="col"/>
        <c:grouping val="clustered"/>
        <c:varyColors val="0"/>
        <c:ser>
          <c:idx val="0"/>
          <c:order val="0"/>
          <c:tx>
            <c:strRef>
              <c:f>'Bus Samlet'!$AY$5</c:f>
              <c:strCache>
                <c:ptCount val="1"/>
                <c:pt idx="0">
                  <c:v>R 2019</c:v>
                </c:pt>
              </c:strCache>
            </c:strRef>
          </c:tx>
          <c:spPr>
            <a:solidFill>
              <a:schemeClr val="accent1"/>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Samlet'!$AY$6:$AY$11</c:f>
              <c:numCache>
                <c:formatCode>#,##0_);\-#,##0_);\-_);@</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BAC0-4CAD-9C13-2381C959362E}"/>
            </c:ext>
          </c:extLst>
        </c:ser>
        <c:ser>
          <c:idx val="1"/>
          <c:order val="1"/>
          <c:tx>
            <c:strRef>
              <c:f>'Bus Samlet'!$AZ$5</c:f>
              <c:strCache>
                <c:ptCount val="1"/>
                <c:pt idx="0">
                  <c:v>R 2020</c:v>
                </c:pt>
              </c:strCache>
            </c:strRef>
          </c:tx>
          <c:spPr>
            <a:solidFill>
              <a:schemeClr val="accent2"/>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Samlet'!$AZ$6:$AZ$11</c:f>
              <c:numCache>
                <c:formatCode>#,##0_);\-#,##0_);\-_);@</c:formatCode>
                <c:ptCount val="6"/>
                <c:pt idx="0">
                  <c:v>90.726577437858495</c:v>
                </c:pt>
                <c:pt idx="1">
                  <c:v>101.10728445845234</c:v>
                </c:pt>
                <c:pt idx="2">
                  <c:v>99.000979274805843</c:v>
                </c:pt>
                <c:pt idx="3">
                  <c:v>101.95544180232059</c:v>
                </c:pt>
                <c:pt idx="4">
                  <c:v>102.23556824816696</c:v>
                </c:pt>
                <c:pt idx="5">
                  <c:v>98.22269114826959</c:v>
                </c:pt>
              </c:numCache>
            </c:numRef>
          </c:val>
          <c:extLst>
            <c:ext xmlns:c16="http://schemas.microsoft.com/office/drawing/2014/chart" uri="{C3380CC4-5D6E-409C-BE32-E72D297353CC}">
              <c16:uniqueId val="{00000001-BAC0-4CAD-9C13-2381C959362E}"/>
            </c:ext>
          </c:extLst>
        </c:ser>
        <c:ser>
          <c:idx val="2"/>
          <c:order val="2"/>
          <c:tx>
            <c:strRef>
              <c:f>'Bus Samlet'!$BA$5</c:f>
              <c:strCache>
                <c:ptCount val="1"/>
                <c:pt idx="0">
                  <c:v>R 2021</c:v>
                </c:pt>
              </c:strCache>
            </c:strRef>
          </c:tx>
          <c:spPr>
            <a:solidFill>
              <a:schemeClr val="accent3"/>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Samlet'!$BA$6:$BA$11</c:f>
              <c:numCache>
                <c:formatCode>#,##0_);\-#,##0_);\-_);@</c:formatCode>
                <c:ptCount val="6"/>
                <c:pt idx="0">
                  <c:v>106.90770033026247</c:v>
                </c:pt>
                <c:pt idx="1">
                  <c:v>105.02744173901615</c:v>
                </c:pt>
                <c:pt idx="2">
                  <c:v>101.76678536909868</c:v>
                </c:pt>
                <c:pt idx="3">
                  <c:v>105.88454916511398</c:v>
                </c:pt>
                <c:pt idx="4">
                  <c:v>106.90161195996097</c:v>
                </c:pt>
                <c:pt idx="5">
                  <c:v>101.8678281616054</c:v>
                </c:pt>
              </c:numCache>
            </c:numRef>
          </c:val>
          <c:extLst>
            <c:ext xmlns:c16="http://schemas.microsoft.com/office/drawing/2014/chart" uri="{C3380CC4-5D6E-409C-BE32-E72D297353CC}">
              <c16:uniqueId val="{00000002-BAC0-4CAD-9C13-2381C959362E}"/>
            </c:ext>
          </c:extLst>
        </c:ser>
        <c:ser>
          <c:idx val="3"/>
          <c:order val="3"/>
          <c:tx>
            <c:strRef>
              <c:f>'Bus Samlet'!$BB$5</c:f>
              <c:strCache>
                <c:ptCount val="1"/>
                <c:pt idx="0">
                  <c:v>R 2022</c:v>
                </c:pt>
              </c:strCache>
            </c:strRef>
          </c:tx>
          <c:spPr>
            <a:solidFill>
              <a:schemeClr val="accent4"/>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Samlet'!$BB$6:$BB$11</c:f>
              <c:numCache>
                <c:formatCode>#,##0_);\-#,##0_);\-_);@</c:formatCode>
                <c:ptCount val="6"/>
                <c:pt idx="0">
                  <c:v>117.90022596905962</c:v>
                </c:pt>
                <c:pt idx="1">
                  <c:v>115.41359552341954</c:v>
                </c:pt>
                <c:pt idx="2">
                  <c:v>111.2222612503585</c:v>
                </c:pt>
                <c:pt idx="3">
                  <c:v>114.96796677564203</c:v>
                </c:pt>
                <c:pt idx="4">
                  <c:v>118.45669528522455</c:v>
                </c:pt>
                <c:pt idx="5">
                  <c:v>112.17024062213356</c:v>
                </c:pt>
              </c:numCache>
            </c:numRef>
          </c:val>
          <c:extLst>
            <c:ext xmlns:c16="http://schemas.microsoft.com/office/drawing/2014/chart" uri="{C3380CC4-5D6E-409C-BE32-E72D297353CC}">
              <c16:uniqueId val="{00000003-BAC0-4CAD-9C13-2381C959362E}"/>
            </c:ext>
          </c:extLst>
        </c:ser>
        <c:ser>
          <c:idx val="4"/>
          <c:order val="4"/>
          <c:tx>
            <c:strRef>
              <c:f>'Bus Samlet'!$BC$5</c:f>
              <c:strCache>
                <c:ptCount val="1"/>
                <c:pt idx="0">
                  <c:v>R 2023</c:v>
                </c:pt>
              </c:strCache>
            </c:strRef>
          </c:tx>
          <c:spPr>
            <a:solidFill>
              <a:schemeClr val="accent5"/>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Samlet'!$BC$6:$BC$11</c:f>
              <c:numCache>
                <c:formatCode>#,##0_);\-#,##0_);\-_);@</c:formatCode>
                <c:ptCount val="6"/>
                <c:pt idx="0">
                  <c:v>108.14535346311278</c:v>
                </c:pt>
                <c:pt idx="1">
                  <c:v>118.36810869803524</c:v>
                </c:pt>
                <c:pt idx="2">
                  <c:v>110.09876194474879</c:v>
                </c:pt>
                <c:pt idx="3">
                  <c:v>116.15697581981412</c:v>
                </c:pt>
                <c:pt idx="4">
                  <c:v>119.00172036531971</c:v>
                </c:pt>
                <c:pt idx="5">
                  <c:v>113.30532179151713</c:v>
                </c:pt>
              </c:numCache>
            </c:numRef>
          </c:val>
          <c:extLst>
            <c:ext xmlns:c16="http://schemas.microsoft.com/office/drawing/2014/chart" uri="{C3380CC4-5D6E-409C-BE32-E72D297353CC}">
              <c16:uniqueId val="{00000004-BAC0-4CAD-9C13-2381C959362E}"/>
            </c:ext>
          </c:extLst>
        </c:ser>
        <c:ser>
          <c:idx val="5"/>
          <c:order val="5"/>
          <c:tx>
            <c:strRef>
              <c:f>'Bus Samlet'!$BD$5</c:f>
              <c:strCache>
                <c:ptCount val="1"/>
                <c:pt idx="0">
                  <c:v>FC 2024</c:v>
                </c:pt>
              </c:strCache>
            </c:strRef>
          </c:tx>
          <c:spPr>
            <a:solidFill>
              <a:schemeClr val="accent6"/>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Samlet'!$BD$6:$BD$11</c:f>
              <c:numCache>
                <c:formatCode>#,##0_);\-#,##0_);\-_);@</c:formatCode>
                <c:ptCount val="6"/>
                <c:pt idx="0">
                  <c:v>129.42858747318385</c:v>
                </c:pt>
                <c:pt idx="1">
                  <c:v>119.75273442407257</c:v>
                </c:pt>
                <c:pt idx="2">
                  <c:v>115.34979030618248</c:v>
                </c:pt>
                <c:pt idx="3">
                  <c:v>113.81191998299944</c:v>
                </c:pt>
                <c:pt idx="4">
                  <c:v>116.21953146805164</c:v>
                </c:pt>
                <c:pt idx="5">
                  <c:v>116.19204314823889</c:v>
                </c:pt>
              </c:numCache>
            </c:numRef>
          </c:val>
          <c:extLst>
            <c:ext xmlns:c16="http://schemas.microsoft.com/office/drawing/2014/chart" uri="{C3380CC4-5D6E-409C-BE32-E72D297353CC}">
              <c16:uniqueId val="{00000005-BAC0-4CAD-9C13-2381C959362E}"/>
            </c:ext>
          </c:extLst>
        </c:ser>
        <c:ser>
          <c:idx val="6"/>
          <c:order val="6"/>
          <c:tx>
            <c:strRef>
              <c:f>'Bus Samlet'!$BE$5</c:f>
              <c:strCache>
                <c:ptCount val="1"/>
                <c:pt idx="0">
                  <c:v>B2025</c:v>
                </c:pt>
              </c:strCache>
            </c:strRef>
          </c:tx>
          <c:spPr>
            <a:solidFill>
              <a:schemeClr val="accent1">
                <a:lumMod val="60000"/>
              </a:schemeClr>
            </a:solidFill>
            <a:ln>
              <a:noFill/>
            </a:ln>
            <a:effectLst/>
          </c:spPr>
          <c:invertIfNegative val="0"/>
          <c:cat>
            <c:strRef>
              <c:f>'Bus Samlet'!$A$6:$A$11</c:f>
              <c:strCache>
                <c:ptCount val="6"/>
                <c:pt idx="0">
                  <c:v>BAT</c:v>
                </c:pt>
                <c:pt idx="1">
                  <c:v>Fynbus</c:v>
                </c:pt>
                <c:pt idx="2">
                  <c:v>Midttrafik</c:v>
                </c:pt>
                <c:pt idx="3">
                  <c:v>Movia</c:v>
                </c:pt>
                <c:pt idx="4">
                  <c:v>NT</c:v>
                </c:pt>
                <c:pt idx="5">
                  <c:v>Sydtrafik</c:v>
                </c:pt>
              </c:strCache>
            </c:strRef>
          </c:cat>
          <c:val>
            <c:numRef>
              <c:f>'Bus Samlet'!$BE$6:$BE$11</c:f>
              <c:numCache>
                <c:formatCode>#,##0_);\-#,##0_);\-_);@</c:formatCode>
                <c:ptCount val="6"/>
                <c:pt idx="0">
                  <c:v>131.29113271249187</c:v>
                </c:pt>
                <c:pt idx="1">
                  <c:v>122.59122579733631</c:v>
                </c:pt>
                <c:pt idx="2">
                  <c:v>121.68073778095486</c:v>
                </c:pt>
                <c:pt idx="3">
                  <c:v>119.93044246141918</c:v>
                </c:pt>
                <c:pt idx="4">
                  <c:v>125.27457556397958</c:v>
                </c:pt>
                <c:pt idx="5">
                  <c:v>120.33839638870951</c:v>
                </c:pt>
              </c:numCache>
            </c:numRef>
          </c:val>
          <c:extLst>
            <c:ext xmlns:c16="http://schemas.microsoft.com/office/drawing/2014/chart" uri="{C3380CC4-5D6E-409C-BE32-E72D297353CC}">
              <c16:uniqueId val="{00000000-1A22-4198-B9D7-B1796FFB9142}"/>
            </c:ext>
          </c:extLst>
        </c:ser>
        <c:dLbls>
          <c:showLegendKey val="0"/>
          <c:showVal val="0"/>
          <c:showCatName val="0"/>
          <c:showSerName val="0"/>
          <c:showPercent val="0"/>
          <c:showBubbleSize val="0"/>
        </c:dLbls>
        <c:gapWidth val="219"/>
        <c:overlap val="-27"/>
        <c:axId val="1309144591"/>
        <c:axId val="222894479"/>
      </c:barChart>
      <c:catAx>
        <c:axId val="130914459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222894479"/>
        <c:crosses val="autoZero"/>
        <c:auto val="1"/>
        <c:lblAlgn val="ctr"/>
        <c:lblOffset val="100"/>
        <c:noMultiLvlLbl val="0"/>
      </c:catAx>
      <c:valAx>
        <c:axId val="222894479"/>
        <c:scaling>
          <c:orientation val="minMax"/>
          <c:min val="80"/>
        </c:scaling>
        <c:delete val="0"/>
        <c:axPos val="l"/>
        <c:majorGridlines>
          <c:spPr>
            <a:ln w="9525" cap="flat" cmpd="sng" algn="ctr">
              <a:solidFill>
                <a:schemeClr val="tx1">
                  <a:lumMod val="15000"/>
                  <a:lumOff val="85000"/>
                </a:schemeClr>
              </a:solidFill>
              <a:round/>
            </a:ln>
            <a:effectLst/>
          </c:spPr>
        </c:majorGridlines>
        <c:numFmt formatCode="#,##0_);\-#,##0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09144591"/>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1400</xdr:colOff>
      <xdr:row>27</xdr:row>
      <xdr:rowOff>116380</xdr:rowOff>
    </xdr:from>
    <xdr:to>
      <xdr:col>10</xdr:col>
      <xdr:colOff>218642</xdr:colOff>
      <xdr:row>45</xdr:row>
      <xdr:rowOff>85673</xdr:rowOff>
    </xdr:to>
    <xdr:graphicFrame macro="">
      <xdr:nvGraphicFramePr>
        <xdr:cNvPr id="2" name="Diagram 1">
          <a:extLst>
            <a:ext uri="{FF2B5EF4-FFF2-40B4-BE49-F238E27FC236}">
              <a16:creationId xmlns:a16="http://schemas.microsoft.com/office/drawing/2014/main" id="{2093E91D-1608-42F7-9E80-A5E4E149E1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117742</xdr:colOff>
      <xdr:row>84</xdr:row>
      <xdr:rowOff>85086</xdr:rowOff>
    </xdr:from>
    <xdr:to>
      <xdr:col>10</xdr:col>
      <xdr:colOff>290161</xdr:colOff>
      <xdr:row>102</xdr:row>
      <xdr:rowOff>54381</xdr:rowOff>
    </xdr:to>
    <xdr:graphicFrame macro="">
      <xdr:nvGraphicFramePr>
        <xdr:cNvPr id="5" name="Diagram 4">
          <a:extLst>
            <a:ext uri="{FF2B5EF4-FFF2-40B4-BE49-F238E27FC236}">
              <a16:creationId xmlns:a16="http://schemas.microsoft.com/office/drawing/2014/main" id="{11BE6DA6-11C3-4E0D-8901-11B36531E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25213</xdr:colOff>
      <xdr:row>46</xdr:row>
      <xdr:rowOff>92087</xdr:rowOff>
    </xdr:from>
    <xdr:to>
      <xdr:col>10</xdr:col>
      <xdr:colOff>242455</xdr:colOff>
      <xdr:row>64</xdr:row>
      <xdr:rowOff>72587</xdr:rowOff>
    </xdr:to>
    <xdr:graphicFrame macro="">
      <xdr:nvGraphicFramePr>
        <xdr:cNvPr id="6" name="Diagram 5">
          <a:extLst>
            <a:ext uri="{FF2B5EF4-FFF2-40B4-BE49-F238E27FC236}">
              <a16:creationId xmlns:a16="http://schemas.microsoft.com/office/drawing/2014/main" id="{564CF91D-D159-446C-A42D-2BAFB651E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42902</xdr:colOff>
      <xdr:row>65</xdr:row>
      <xdr:rowOff>146999</xdr:rowOff>
    </xdr:from>
    <xdr:to>
      <xdr:col>10</xdr:col>
      <xdr:colOff>273751</xdr:colOff>
      <xdr:row>83</xdr:row>
      <xdr:rowOff>127499</xdr:rowOff>
    </xdr:to>
    <xdr:graphicFrame macro="">
      <xdr:nvGraphicFramePr>
        <xdr:cNvPr id="7" name="Diagram 6">
          <a:extLst>
            <a:ext uri="{FF2B5EF4-FFF2-40B4-BE49-F238E27FC236}">
              <a16:creationId xmlns:a16="http://schemas.microsoft.com/office/drawing/2014/main" id="{D750080D-B037-407A-B5BC-0E594AAD91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10</xdr:col>
      <xdr:colOff>381734</xdr:colOff>
      <xdr:row>46</xdr:row>
      <xdr:rowOff>44462</xdr:rowOff>
    </xdr:from>
    <xdr:to>
      <xdr:col>19</xdr:col>
      <xdr:colOff>489434</xdr:colOff>
      <xdr:row>64</xdr:row>
      <xdr:rowOff>24962</xdr:rowOff>
    </xdr:to>
    <xdr:graphicFrame macro="">
      <xdr:nvGraphicFramePr>
        <xdr:cNvPr id="3" name="Diagram 2">
          <a:extLst>
            <a:ext uri="{FF2B5EF4-FFF2-40B4-BE49-F238E27FC236}">
              <a16:creationId xmlns:a16="http://schemas.microsoft.com/office/drawing/2014/main" id="{D8589471-E8DE-485D-A4CC-AB872C4159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443648</xdr:colOff>
      <xdr:row>65</xdr:row>
      <xdr:rowOff>133392</xdr:rowOff>
    </xdr:from>
    <xdr:to>
      <xdr:col>19</xdr:col>
      <xdr:colOff>551348</xdr:colOff>
      <xdr:row>83</xdr:row>
      <xdr:rowOff>113892</xdr:rowOff>
    </xdr:to>
    <xdr:graphicFrame macro="">
      <xdr:nvGraphicFramePr>
        <xdr:cNvPr id="8" name="Diagram 7">
          <a:extLst>
            <a:ext uri="{FF2B5EF4-FFF2-40B4-BE49-F238E27FC236}">
              <a16:creationId xmlns:a16="http://schemas.microsoft.com/office/drawing/2014/main" id="{2A533574-28D1-4328-9D1F-784AA4591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10</xdr:col>
      <xdr:colOff>485829</xdr:colOff>
      <xdr:row>84</xdr:row>
      <xdr:rowOff>95972</xdr:rowOff>
    </xdr:from>
    <xdr:to>
      <xdr:col>19</xdr:col>
      <xdr:colOff>579210</xdr:colOff>
      <xdr:row>102</xdr:row>
      <xdr:rowOff>76473</xdr:rowOff>
    </xdr:to>
    <xdr:graphicFrame macro="">
      <xdr:nvGraphicFramePr>
        <xdr:cNvPr id="9" name="Diagram 8">
          <a:extLst>
            <a:ext uri="{FF2B5EF4-FFF2-40B4-BE49-F238E27FC236}">
              <a16:creationId xmlns:a16="http://schemas.microsoft.com/office/drawing/2014/main" id="{EC183BF4-6943-4BEC-A96F-155CD302A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Julia Egebæk" id="{F70F5386-2D3E-454C-88C7-FB90DFCB10E5}" userId="S::jeg@fynbus.dk::c5990ee5-ac72-4ff5-93bf-418d632c78ed" providerId="AD"/>
</personList>
</file>

<file path=xl/theme/theme1.xml><?xml version="1.0" encoding="utf-8"?>
<a:theme xmlns:a="http://schemas.openxmlformats.org/drawingml/2006/main" name="Office-tema">
  <a:themeElements>
    <a:clrScheme name="Movia">
      <a:dk1>
        <a:sysClr val="windowText" lastClr="000000"/>
      </a:dk1>
      <a:lt1>
        <a:sysClr val="window" lastClr="FFFFFF"/>
      </a:lt1>
      <a:dk2>
        <a:srgbClr val="899BBC"/>
      </a:dk2>
      <a:lt2>
        <a:srgbClr val="FFE0A8"/>
      </a:lt2>
      <a:accent1>
        <a:srgbClr val="FFB612"/>
      </a:accent1>
      <a:accent2>
        <a:srgbClr val="BFC3C6"/>
      </a:accent2>
      <a:accent3>
        <a:srgbClr val="00214D"/>
      </a:accent3>
      <a:accent4>
        <a:srgbClr val="BCB295"/>
      </a:accent4>
      <a:accent5>
        <a:srgbClr val="54B948"/>
      </a:accent5>
      <a:accent6>
        <a:srgbClr val="00A5CC"/>
      </a:accent6>
      <a:hlink>
        <a:srgbClr val="00214D"/>
      </a:hlink>
      <a:folHlink>
        <a:srgbClr val="899BBC"/>
      </a:folHlink>
    </a:clrScheme>
    <a:fontScheme name="Movia 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3-12-07T14:47:52.69" personId="{F70F5386-2D3E-454C-88C7-FB90DFCB10E5}" id="{CB13832B-C842-4DEA-A2AC-CBA5B979D225}">
    <text>Har gratis lokalruter til børn og unge op til 16 år</text>
  </threadedComment>
  <threadedComment ref="A9" dT="2023-12-08T09:37:33.33" personId="{F70F5386-2D3E-454C-88C7-FB90DFCB10E5}" id="{36CC41D3-2551-4173-8F75-80AB64DD2024}">
    <text>Indført gratis lokalruter for børn og unge op til 16 år i 2023</text>
  </threadedComment>
  <threadedComment ref="A14" dT="2023-12-08T09:51:00.65" personId="{F70F5386-2D3E-454C-88C7-FB90DFCB10E5}" id="{7A440AF0-84E7-4C51-984C-ED9AABB3F964}">
    <text>Odense Letbane overtag en rute af bybusserne juni 2022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A9C21-1AD6-4D40-A78F-CC8A1B838E07}">
  <sheetPr>
    <pageSetUpPr fitToPage="1"/>
  </sheetPr>
  <dimension ref="A2:CS32"/>
  <sheetViews>
    <sheetView showGridLines="0" tabSelected="1" zoomScale="70" zoomScaleNormal="70" workbookViewId="0">
      <pane xSplit="1" topLeftCell="B1" activePane="topRight" state="frozen"/>
      <selection activeCell="AL4" sqref="AL4:AW5"/>
      <selection pane="topRight" activeCell="AQ13" sqref="AQ13:AQ14"/>
    </sheetView>
  </sheetViews>
  <sheetFormatPr defaultColWidth="9" defaultRowHeight="15.75" outlineLevelCol="1" x14ac:dyDescent="0.25"/>
  <cols>
    <col min="1" max="1" width="27.625" style="51" customWidth="1"/>
    <col min="2" max="8" width="10.625" style="51" customWidth="1"/>
    <col min="9" max="15" width="8.625" style="51" customWidth="1"/>
    <col min="16" max="22" width="12.625" style="51" customWidth="1"/>
    <col min="23" max="36" width="8.625" style="51" customWidth="1"/>
    <col min="37" max="50" width="8.625" style="51" customWidth="1" outlineLevel="1"/>
    <col min="51" max="78" width="8.625" style="51" customWidth="1"/>
    <col min="79" max="81" width="6.75" style="51" bestFit="1" customWidth="1"/>
    <col min="82" max="82" width="7.75" style="51" bestFit="1" customWidth="1"/>
    <col min="83" max="87" width="6.75" style="51" bestFit="1" customWidth="1"/>
    <col min="88" max="88" width="7.75" style="51" bestFit="1" customWidth="1"/>
    <col min="89" max="93" width="6.75" style="51" bestFit="1" customWidth="1"/>
    <col min="94" max="94" width="7.75" style="51" bestFit="1" customWidth="1"/>
    <col min="95" max="95" width="6.75" style="51" bestFit="1" customWidth="1"/>
    <col min="96" max="97" width="2.25" style="51" bestFit="1" customWidth="1"/>
    <col min="98" max="16384" width="9" style="51"/>
  </cols>
  <sheetData>
    <row r="2" spans="1:97" x14ac:dyDescent="0.25">
      <c r="A2" s="2" t="s">
        <v>245</v>
      </c>
      <c r="B2" s="52"/>
      <c r="C2" s="52"/>
      <c r="D2" s="52"/>
    </row>
    <row r="3" spans="1:97" x14ac:dyDescent="0.25">
      <c r="A3" s="2"/>
      <c r="B3" s="52"/>
      <c r="C3" s="52"/>
      <c r="D3" s="52"/>
    </row>
    <row r="4" spans="1:97" s="54" customFormat="1" ht="40.9" customHeight="1" x14ac:dyDescent="0.25">
      <c r="A4" s="53"/>
      <c r="B4" s="188" t="s">
        <v>1</v>
      </c>
      <c r="C4" s="189"/>
      <c r="D4" s="189"/>
      <c r="E4" s="189"/>
      <c r="F4" s="189"/>
      <c r="G4" s="189"/>
      <c r="H4" s="190"/>
      <c r="I4" s="188" t="s">
        <v>156</v>
      </c>
      <c r="J4" s="189"/>
      <c r="K4" s="189"/>
      <c r="L4" s="189"/>
      <c r="M4" s="189"/>
      <c r="N4" s="189"/>
      <c r="O4" s="190"/>
      <c r="P4" s="188" t="s">
        <v>2</v>
      </c>
      <c r="Q4" s="189"/>
      <c r="R4" s="189"/>
      <c r="S4" s="189"/>
      <c r="T4" s="189"/>
      <c r="U4" s="189"/>
      <c r="V4" s="190"/>
      <c r="W4" s="188" t="s">
        <v>7</v>
      </c>
      <c r="X4" s="189"/>
      <c r="Y4" s="189"/>
      <c r="Z4" s="189"/>
      <c r="AA4" s="189"/>
      <c r="AB4" s="189"/>
      <c r="AC4" s="190"/>
      <c r="AD4" s="188" t="s">
        <v>33</v>
      </c>
      <c r="AE4" s="189"/>
      <c r="AF4" s="189"/>
      <c r="AG4" s="189"/>
      <c r="AH4" s="189"/>
      <c r="AI4" s="189"/>
      <c r="AJ4" s="190"/>
      <c r="AK4" s="193" t="s">
        <v>4</v>
      </c>
      <c r="AL4" s="194"/>
      <c r="AM4" s="194"/>
      <c r="AN4" s="194"/>
      <c r="AO4" s="194"/>
      <c r="AP4" s="194"/>
      <c r="AQ4" s="195"/>
      <c r="AR4" s="193" t="s">
        <v>8</v>
      </c>
      <c r="AS4" s="194"/>
      <c r="AT4" s="194"/>
      <c r="AU4" s="194"/>
      <c r="AV4" s="194"/>
      <c r="AW4" s="194"/>
      <c r="AX4" s="195"/>
      <c r="AY4" s="188" t="s">
        <v>155</v>
      </c>
      <c r="AZ4" s="189"/>
      <c r="BA4" s="189"/>
      <c r="BB4" s="189"/>
      <c r="BC4" s="189"/>
      <c r="BD4" s="189"/>
      <c r="BE4" s="190"/>
      <c r="BF4" s="196" t="s">
        <v>242</v>
      </c>
      <c r="BG4" s="196"/>
      <c r="BH4" s="196"/>
      <c r="BI4" s="196"/>
      <c r="BJ4" s="196"/>
      <c r="BK4" s="196"/>
      <c r="BL4" s="197"/>
      <c r="BM4" s="191" t="s">
        <v>243</v>
      </c>
      <c r="BN4" s="191"/>
      <c r="BO4" s="191"/>
      <c r="BP4" s="191"/>
      <c r="BQ4" s="191"/>
      <c r="BR4" s="191"/>
      <c r="BS4" s="192" t="s">
        <v>5</v>
      </c>
      <c r="BT4" s="188" t="s">
        <v>244</v>
      </c>
      <c r="BU4" s="189"/>
      <c r="BV4" s="189"/>
      <c r="BW4" s="189"/>
      <c r="BX4" s="189"/>
      <c r="BY4" s="189"/>
      <c r="BZ4" s="190"/>
    </row>
    <row r="5" spans="1:97" s="74" customFormat="1" x14ac:dyDescent="0.25">
      <c r="A5" s="59"/>
      <c r="B5" s="56" t="s">
        <v>10</v>
      </c>
      <c r="C5" s="58" t="s">
        <v>11</v>
      </c>
      <c r="D5" s="58" t="s">
        <v>12</v>
      </c>
      <c r="E5" s="58" t="s">
        <v>13</v>
      </c>
      <c r="F5" s="10" t="s">
        <v>157</v>
      </c>
      <c r="G5" s="10" t="s">
        <v>158</v>
      </c>
      <c r="H5" s="11" t="s">
        <v>159</v>
      </c>
      <c r="I5" s="56" t="s">
        <v>10</v>
      </c>
      <c r="J5" s="58" t="s">
        <v>11</v>
      </c>
      <c r="K5" s="58" t="s">
        <v>12</v>
      </c>
      <c r="L5" s="58" t="s">
        <v>13</v>
      </c>
      <c r="M5" s="10" t="s">
        <v>157</v>
      </c>
      <c r="N5" s="10" t="s">
        <v>158</v>
      </c>
      <c r="O5" s="11" t="s">
        <v>159</v>
      </c>
      <c r="P5" s="56" t="s">
        <v>10</v>
      </c>
      <c r="Q5" s="58" t="s">
        <v>11</v>
      </c>
      <c r="R5" s="58" t="s">
        <v>12</v>
      </c>
      <c r="S5" s="58" t="s">
        <v>13</v>
      </c>
      <c r="T5" s="10" t="s">
        <v>157</v>
      </c>
      <c r="U5" s="10" t="s">
        <v>158</v>
      </c>
      <c r="V5" s="11" t="s">
        <v>159</v>
      </c>
      <c r="W5" s="56" t="s">
        <v>10</v>
      </c>
      <c r="X5" s="58" t="s">
        <v>11</v>
      </c>
      <c r="Y5" s="58" t="s">
        <v>12</v>
      </c>
      <c r="Z5" s="58" t="s">
        <v>13</v>
      </c>
      <c r="AA5" s="10" t="s">
        <v>157</v>
      </c>
      <c r="AB5" s="10" t="s">
        <v>158</v>
      </c>
      <c r="AC5" s="11" t="s">
        <v>159</v>
      </c>
      <c r="AD5" s="56" t="s">
        <v>10</v>
      </c>
      <c r="AE5" s="58" t="s">
        <v>11</v>
      </c>
      <c r="AF5" s="58" t="s">
        <v>12</v>
      </c>
      <c r="AG5" s="58" t="s">
        <v>13</v>
      </c>
      <c r="AH5" s="10" t="s">
        <v>157</v>
      </c>
      <c r="AI5" s="10" t="s">
        <v>158</v>
      </c>
      <c r="AJ5" s="11" t="s">
        <v>159</v>
      </c>
      <c r="AK5" s="75" t="s">
        <v>10</v>
      </c>
      <c r="AL5" s="76" t="s">
        <v>11</v>
      </c>
      <c r="AM5" s="76" t="s">
        <v>12</v>
      </c>
      <c r="AN5" s="76" t="s">
        <v>13</v>
      </c>
      <c r="AO5" s="79" t="s">
        <v>157</v>
      </c>
      <c r="AP5" s="79" t="s">
        <v>158</v>
      </c>
      <c r="AQ5" s="80" t="s">
        <v>159</v>
      </c>
      <c r="AR5" s="75" t="s">
        <v>10</v>
      </c>
      <c r="AS5" s="76" t="s">
        <v>11</v>
      </c>
      <c r="AT5" s="76" t="s">
        <v>12</v>
      </c>
      <c r="AU5" s="76" t="s">
        <v>13</v>
      </c>
      <c r="AV5" s="79" t="s">
        <v>157</v>
      </c>
      <c r="AW5" s="79" t="s">
        <v>158</v>
      </c>
      <c r="AX5" s="80" t="s">
        <v>159</v>
      </c>
      <c r="AY5" s="56" t="s">
        <v>10</v>
      </c>
      <c r="AZ5" s="58" t="s">
        <v>11</v>
      </c>
      <c r="BA5" s="58" t="s">
        <v>12</v>
      </c>
      <c r="BB5" s="58" t="s">
        <v>13</v>
      </c>
      <c r="BC5" s="10" t="s">
        <v>157</v>
      </c>
      <c r="BD5" s="10" t="s">
        <v>158</v>
      </c>
      <c r="BE5" s="11" t="s">
        <v>159</v>
      </c>
      <c r="BF5" s="56" t="s">
        <v>10</v>
      </c>
      <c r="BG5" s="58" t="s">
        <v>11</v>
      </c>
      <c r="BH5" s="58" t="s">
        <v>12</v>
      </c>
      <c r="BI5" s="58" t="s">
        <v>13</v>
      </c>
      <c r="BJ5" s="10" t="s">
        <v>157</v>
      </c>
      <c r="BK5" s="10" t="s">
        <v>158</v>
      </c>
      <c r="BL5" s="11" t="s">
        <v>159</v>
      </c>
      <c r="BM5" s="56" t="s">
        <v>10</v>
      </c>
      <c r="BN5" s="58" t="s">
        <v>11</v>
      </c>
      <c r="BO5" s="58" t="s">
        <v>12</v>
      </c>
      <c r="BP5" s="58" t="s">
        <v>13</v>
      </c>
      <c r="BQ5" s="10" t="s">
        <v>157</v>
      </c>
      <c r="BR5" s="10" t="s">
        <v>158</v>
      </c>
      <c r="BS5" s="11" t="s">
        <v>159</v>
      </c>
      <c r="BT5" s="56" t="s">
        <v>10</v>
      </c>
      <c r="BU5" s="58" t="s">
        <v>11</v>
      </c>
      <c r="BV5" s="58" t="s">
        <v>12</v>
      </c>
      <c r="BW5" s="58" t="s">
        <v>13</v>
      </c>
      <c r="BX5" s="10" t="s">
        <v>157</v>
      </c>
      <c r="BY5" s="10" t="s">
        <v>158</v>
      </c>
      <c r="BZ5" s="11" t="s">
        <v>159</v>
      </c>
    </row>
    <row r="6" spans="1:97" x14ac:dyDescent="0.25">
      <c r="A6" s="60" t="s">
        <v>140</v>
      </c>
      <c r="B6" s="61">
        <f>+BAT!B7</f>
        <v>88761.454545454544</v>
      </c>
      <c r="C6" s="61">
        <f>+BAT!C7</f>
        <v>88761.454545454544</v>
      </c>
      <c r="D6" s="61">
        <f>+BAT!D7</f>
        <v>78740</v>
      </c>
      <c r="E6" s="62">
        <f>+BAT!E7</f>
        <v>78740</v>
      </c>
      <c r="F6" s="62">
        <f>+BAT!F7</f>
        <v>84587</v>
      </c>
      <c r="G6" s="62">
        <f>+BAT!G7</f>
        <v>80380.922222222231</v>
      </c>
      <c r="H6" s="63">
        <f>+BAT!H7</f>
        <v>74587</v>
      </c>
      <c r="I6" s="61">
        <f t="shared" ref="I6:O12" si="0">+B6/$B6*100</f>
        <v>100</v>
      </c>
      <c r="J6" s="61">
        <f t="shared" si="0"/>
        <v>100</v>
      </c>
      <c r="K6" s="61">
        <f t="shared" si="0"/>
        <v>88.709677419354833</v>
      </c>
      <c r="L6" s="62">
        <f t="shared" si="0"/>
        <v>88.709677419354833</v>
      </c>
      <c r="M6" s="62">
        <f t="shared" si="0"/>
        <v>95.296996239153771</v>
      </c>
      <c r="N6" s="62">
        <f t="shared" si="0"/>
        <v>90.558365265476056</v>
      </c>
      <c r="O6" s="63">
        <f t="shared" si="0"/>
        <v>84.030844674592572</v>
      </c>
      <c r="P6" s="61">
        <f>+BAT!P7</f>
        <v>0</v>
      </c>
      <c r="Q6" s="61">
        <f>+BAT!Q7</f>
        <v>0</v>
      </c>
      <c r="R6" s="61">
        <f>+BAT!R7</f>
        <v>0</v>
      </c>
      <c r="S6" s="62">
        <f>+BAT!S7</f>
        <v>0</v>
      </c>
      <c r="T6" s="62">
        <f>+BAT!T7</f>
        <v>0</v>
      </c>
      <c r="U6" s="62">
        <f>+BAT!U7</f>
        <v>0</v>
      </c>
      <c r="V6" s="63">
        <f>+BAT!V7</f>
        <v>0</v>
      </c>
      <c r="W6" s="61">
        <f>+BAT!W7</f>
        <v>100</v>
      </c>
      <c r="X6" s="61">
        <f>+BAT!X7</f>
        <v>76.027397260273972</v>
      </c>
      <c r="Y6" s="61">
        <f>+BAT!Y7</f>
        <v>73.356807511737088</v>
      </c>
      <c r="Z6" s="62">
        <f>+BAT!Z7</f>
        <v>79.267463199183609</v>
      </c>
      <c r="AA6" s="62">
        <f>+BAT!AA7</f>
        <v>84.907884477197001</v>
      </c>
      <c r="AB6" s="62">
        <f>+BAT!AB7</f>
        <v>80.015814911173393</v>
      </c>
      <c r="AC6" s="63">
        <f>+BAT!AC7</f>
        <v>81.969409516498033</v>
      </c>
      <c r="AD6" s="49">
        <f>+BAT!AD7</f>
        <v>29.2</v>
      </c>
      <c r="AE6" s="49">
        <f>+BAT!AE7</f>
        <v>22.2</v>
      </c>
      <c r="AF6" s="49">
        <f>+BAT!AF7</f>
        <v>21.9</v>
      </c>
      <c r="AG6" s="64">
        <f>+BAT!AG7</f>
        <v>24.1</v>
      </c>
      <c r="AH6" s="64">
        <f>+BAT!AH7</f>
        <v>26.579000000000001</v>
      </c>
      <c r="AI6" s="64">
        <f>+BAT!AI7</f>
        <v>26.3</v>
      </c>
      <c r="AJ6" s="65">
        <f>+BAT!AJ7</f>
        <v>28.3</v>
      </c>
      <c r="AK6" s="49">
        <f>+BAT!AK7</f>
        <v>52.3</v>
      </c>
      <c r="AL6" s="49">
        <f>+BAT!AL7</f>
        <v>47.449999999999996</v>
      </c>
      <c r="AM6" s="49">
        <f>+BAT!AM7</f>
        <v>49.6</v>
      </c>
      <c r="AN6" s="64">
        <f>+BAT!AN7</f>
        <v>54.7</v>
      </c>
      <c r="AO6" s="64">
        <f>+BAT!AO7</f>
        <v>53.9</v>
      </c>
      <c r="AP6" s="64">
        <f>+BAT!AP7</f>
        <v>61.3</v>
      </c>
      <c r="AQ6" s="65">
        <f>+BAT!AQ7</f>
        <v>57.7</v>
      </c>
      <c r="AR6" s="49">
        <f>+BAT!AR7</f>
        <v>589.21972682655041</v>
      </c>
      <c r="AS6" s="49">
        <f>+BAT!AS7</f>
        <v>534.57889173842852</v>
      </c>
      <c r="AT6" s="49">
        <f>+BAT!AT7</f>
        <v>629.9212598425197</v>
      </c>
      <c r="AU6" s="64">
        <f>+BAT!AU7</f>
        <v>694.69138938277877</v>
      </c>
      <c r="AV6" s="64">
        <f>+BAT!AV7</f>
        <v>637.2137562509605</v>
      </c>
      <c r="AW6" s="64">
        <f>+BAT!AW7</f>
        <v>762.61876954495688</v>
      </c>
      <c r="AX6" s="65">
        <f>+BAT!AX7</f>
        <v>773.59325351602831</v>
      </c>
      <c r="AY6" s="61">
        <f t="shared" ref="AY6:BE12" si="1">+AR6/$AR6*100</f>
        <v>100</v>
      </c>
      <c r="AZ6" s="61">
        <f t="shared" si="1"/>
        <v>90.726577437858495</v>
      </c>
      <c r="BA6" s="61">
        <f t="shared" si="1"/>
        <v>106.90770033026247</v>
      </c>
      <c r="BB6" s="62">
        <f t="shared" si="1"/>
        <v>117.90022596905962</v>
      </c>
      <c r="BC6" s="62">
        <f t="shared" si="1"/>
        <v>108.14535346311278</v>
      </c>
      <c r="BD6" s="62">
        <f t="shared" si="1"/>
        <v>129.42858747318385</v>
      </c>
      <c r="BE6" s="63">
        <f t="shared" si="1"/>
        <v>131.29113271249187</v>
      </c>
      <c r="BF6" s="94">
        <f>+BAT!BF7</f>
        <v>0.55831739961759086</v>
      </c>
      <c r="BG6" s="94">
        <f>+BAT!BG7</f>
        <v>0.4678609062170706</v>
      </c>
      <c r="BH6" s="94">
        <f>+BAT!BH7</f>
        <v>0.44153225806451607</v>
      </c>
      <c r="BI6" s="95">
        <f>+BAT!BI7</f>
        <v>0.44058500914076781</v>
      </c>
      <c r="BJ6" s="95">
        <f>+BAT!BJ7</f>
        <v>0.49311688311688312</v>
      </c>
      <c r="BK6" s="95">
        <f>+BAT!BK7</f>
        <v>0.42903752039151716</v>
      </c>
      <c r="BL6" s="100">
        <f>+BAT!BL7</f>
        <v>0.49046793760831886</v>
      </c>
      <c r="BM6" s="49">
        <f>+BAT!BM7</f>
        <v>23.099999999999998</v>
      </c>
      <c r="BN6" s="49">
        <f>+BAT!BN7</f>
        <v>18.049999999999997</v>
      </c>
      <c r="BO6" s="49">
        <f>+BAT!BO7</f>
        <v>18.800000000000004</v>
      </c>
      <c r="BP6" s="64">
        <f>+BAT!BP7</f>
        <v>27.5</v>
      </c>
      <c r="BQ6" s="64">
        <f>+BAT!BQ7</f>
        <v>28.320999999999998</v>
      </c>
      <c r="BR6" s="64">
        <f>+BAT!BR7</f>
        <v>35</v>
      </c>
      <c r="BS6" s="65">
        <f>+BAT!BS7</f>
        <v>29.400000000000002</v>
      </c>
      <c r="BT6" s="118">
        <f>+BAT!BT7</f>
        <v>0</v>
      </c>
      <c r="BU6" s="49">
        <f>+BAT!BU7</f>
        <v>7.2</v>
      </c>
      <c r="BV6" s="49">
        <f>+BAT!BV7</f>
        <v>8.9</v>
      </c>
      <c r="BW6" s="64">
        <f>+BAT!BW7</f>
        <v>3.1</v>
      </c>
      <c r="BX6" s="64">
        <f>+BAT!BX7</f>
        <v>-1</v>
      </c>
      <c r="BY6" s="64">
        <f>+BAT!BY7</f>
        <v>0</v>
      </c>
      <c r="BZ6" s="65">
        <f>+BAT!BZ7</f>
        <v>0</v>
      </c>
      <c r="CR6" s="61"/>
      <c r="CS6" s="61"/>
    </row>
    <row r="7" spans="1:97" x14ac:dyDescent="0.25">
      <c r="A7" s="60" t="s">
        <v>154</v>
      </c>
      <c r="B7" s="61">
        <f>+FynBus!B16</f>
        <v>613716</v>
      </c>
      <c r="C7" s="61">
        <f>+FynBus!C16</f>
        <v>612621</v>
      </c>
      <c r="D7" s="61">
        <f>+FynBus!D16</f>
        <v>613426</v>
      </c>
      <c r="E7" s="61">
        <f>+FynBus!E16</f>
        <v>594508</v>
      </c>
      <c r="F7" s="61">
        <f>+FynBus!F16</f>
        <v>556367</v>
      </c>
      <c r="G7" s="61">
        <f>+FynBus!G16</f>
        <v>547194</v>
      </c>
      <c r="H7" s="66">
        <f>+FynBus!H16</f>
        <v>548977</v>
      </c>
      <c r="I7" s="61">
        <f t="shared" si="0"/>
        <v>100</v>
      </c>
      <c r="J7" s="61">
        <f t="shared" si="0"/>
        <v>99.821578710674004</v>
      </c>
      <c r="K7" s="61">
        <f t="shared" si="0"/>
        <v>99.952746873146538</v>
      </c>
      <c r="L7" s="61">
        <f t="shared" si="0"/>
        <v>96.870213584133381</v>
      </c>
      <c r="M7" s="61">
        <f t="shared" si="0"/>
        <v>90.655449752002554</v>
      </c>
      <c r="N7" s="61">
        <f t="shared" si="0"/>
        <v>89.160784467082493</v>
      </c>
      <c r="O7" s="66">
        <f t="shared" si="0"/>
        <v>89.451309726322918</v>
      </c>
      <c r="P7" s="61">
        <f>+FynBus!P16</f>
        <v>14521000</v>
      </c>
      <c r="Q7" s="61">
        <f>+FynBus!Q16</f>
        <v>9472000</v>
      </c>
      <c r="R7" s="61">
        <f>+FynBus!R16</f>
        <v>8938000</v>
      </c>
      <c r="S7" s="61">
        <f>+FynBus!S16</f>
        <v>11162000</v>
      </c>
      <c r="T7" s="61">
        <f>+FynBus!T16</f>
        <v>11074000</v>
      </c>
      <c r="U7" s="61">
        <f>+FynBus!U16</f>
        <v>11244000</v>
      </c>
      <c r="V7" s="66">
        <f>+FynBus!V16</f>
        <v>11430000</v>
      </c>
      <c r="W7" s="61">
        <f>+FynBus!W16</f>
        <v>100</v>
      </c>
      <c r="X7" s="61">
        <f>+FynBus!X16</f>
        <v>65.229667378279728</v>
      </c>
      <c r="Y7" s="61">
        <f>+FynBus!Y16</f>
        <v>61.552234694580264</v>
      </c>
      <c r="Z7" s="61">
        <f>+FynBus!Z16</f>
        <v>76.867984298602025</v>
      </c>
      <c r="AA7" s="61">
        <f>+FynBus!AA16</f>
        <v>76.261965429378137</v>
      </c>
      <c r="AB7" s="61">
        <f>+FynBus!AB16</f>
        <v>77.432683699469735</v>
      </c>
      <c r="AC7" s="66">
        <f>+FynBus!AC16</f>
        <v>78.713587218511123</v>
      </c>
      <c r="AD7" s="49">
        <f>+FynBus!AD16</f>
        <v>195.738</v>
      </c>
      <c r="AE7" s="49">
        <f>+FynBus!AE16</f>
        <v>131.72399999999999</v>
      </c>
      <c r="AF7" s="49">
        <f>+FynBus!AF16</f>
        <v>150.34399999999997</v>
      </c>
      <c r="AG7" s="49">
        <f>+FynBus!AG16</f>
        <v>155.786</v>
      </c>
      <c r="AH7" s="49">
        <f>+FynBus!AH16</f>
        <v>160.39699999999999</v>
      </c>
      <c r="AI7" s="49">
        <f>+FynBus!AI16</f>
        <v>163.80000000000001</v>
      </c>
      <c r="AJ7" s="50">
        <f>+FynBus!AJ16</f>
        <v>177.3</v>
      </c>
      <c r="AK7" s="49">
        <f>+FynBus!AK16</f>
        <v>487.22199999999998</v>
      </c>
      <c r="AL7" s="49">
        <f>+FynBus!AL16</f>
        <v>491.73799999999994</v>
      </c>
      <c r="AM7" s="49">
        <f>+FynBus!AM16</f>
        <v>511.47500000000002</v>
      </c>
      <c r="AN7" s="49">
        <f>+FynBus!AN16</f>
        <v>544.721</v>
      </c>
      <c r="AO7" s="49">
        <f>+FynBus!AO16</f>
        <v>522.82399999999996</v>
      </c>
      <c r="AP7" s="49">
        <f>+FynBus!AP16</f>
        <v>520.21900000000005</v>
      </c>
      <c r="AQ7" s="50">
        <f>+FynBus!AQ16</f>
        <v>534.28499999999997</v>
      </c>
      <c r="AR7" s="49">
        <f>+FynBus!AR16</f>
        <v>793.88837833786306</v>
      </c>
      <c r="AS7" s="49">
        <f>+FynBus!AS16</f>
        <v>802.67898096865747</v>
      </c>
      <c r="AT7" s="49">
        <f>+FynBus!AT16</f>
        <v>833.80065403161916</v>
      </c>
      <c r="AU7" s="49">
        <f>+FynBus!AU16</f>
        <v>916.25512188229595</v>
      </c>
      <c r="AV7" s="49">
        <f>+FynBus!AV16</f>
        <v>939.71065861203112</v>
      </c>
      <c r="AW7" s="49">
        <f>+FynBus!AW16</f>
        <v>950.70304133451771</v>
      </c>
      <c r="AX7" s="50">
        <f>+FynBus!AX16</f>
        <v>973.23749446698116</v>
      </c>
      <c r="AY7" s="61">
        <f t="shared" si="1"/>
        <v>100</v>
      </c>
      <c r="AZ7" s="61">
        <f t="shared" si="1"/>
        <v>101.10728445845234</v>
      </c>
      <c r="BA7" s="61">
        <f t="shared" si="1"/>
        <v>105.02744173901615</v>
      </c>
      <c r="BB7" s="61">
        <f t="shared" si="1"/>
        <v>115.41359552341954</v>
      </c>
      <c r="BC7" s="61">
        <f t="shared" si="1"/>
        <v>118.36810869803524</v>
      </c>
      <c r="BD7" s="61">
        <f t="shared" si="1"/>
        <v>119.75273442407257</v>
      </c>
      <c r="BE7" s="66">
        <f t="shared" si="1"/>
        <v>122.59122579733631</v>
      </c>
      <c r="BF7" s="94">
        <f>+FynBus!BF16</f>
        <v>0.40174294264216315</v>
      </c>
      <c r="BG7" s="94">
        <f>+FynBus!BG16</f>
        <v>0.26787435585616731</v>
      </c>
      <c r="BH7" s="94">
        <f>+FynBus!BH16</f>
        <v>0.29394203040226785</v>
      </c>
      <c r="BI7" s="94">
        <f>+FynBus!BI16</f>
        <v>0.28599227861602544</v>
      </c>
      <c r="BJ7" s="94">
        <f>+FynBus!BJ16</f>
        <v>0.30678966535583679</v>
      </c>
      <c r="BK7" s="97">
        <f>+FynBus!BK16</f>
        <v>0.31486739238666789</v>
      </c>
      <c r="BL7" s="96">
        <f>+FynBus!BL16</f>
        <v>0.33184536342963028</v>
      </c>
      <c r="BM7" s="49">
        <f>+FynBus!BM16</f>
        <v>291.48400000000004</v>
      </c>
      <c r="BN7" s="49">
        <f>+FynBus!BN16</f>
        <v>291.72499999999997</v>
      </c>
      <c r="BO7" s="49">
        <f>+FynBus!BO16</f>
        <v>294.70300000000003</v>
      </c>
      <c r="BP7" s="49">
        <f>+FynBus!BP16</f>
        <v>370.73599999999999</v>
      </c>
      <c r="BQ7" s="49">
        <f>+FynBus!BQ16</f>
        <v>354.916</v>
      </c>
      <c r="BR7" s="49">
        <f>+FynBus!BR16</f>
        <v>356.85399999999993</v>
      </c>
      <c r="BS7" s="50">
        <f>+FynBus!BS16</f>
        <v>356.98500000000001</v>
      </c>
      <c r="BT7" s="118">
        <f>+FynBus!BT16</f>
        <v>0</v>
      </c>
      <c r="BU7" s="49">
        <f>+FynBus!BU16</f>
        <v>68.289000000000001</v>
      </c>
      <c r="BV7" s="49">
        <f>+FynBus!BV16</f>
        <v>66.427999999999997</v>
      </c>
      <c r="BW7" s="49">
        <f>+FynBus!BW16</f>
        <v>18.199000000000002</v>
      </c>
      <c r="BX7" s="49">
        <f>+FynBus!BX16</f>
        <v>7.511000000000001</v>
      </c>
      <c r="BY7" s="49">
        <f>+FynBus!BY16</f>
        <v>-0.43500000000000005</v>
      </c>
      <c r="BZ7" s="50">
        <f>+FynBus!BZ16</f>
        <v>0</v>
      </c>
      <c r="CR7" s="61"/>
      <c r="CS7" s="61"/>
    </row>
    <row r="8" spans="1:97" x14ac:dyDescent="0.25">
      <c r="A8" s="60" t="s">
        <v>145</v>
      </c>
      <c r="B8" s="61">
        <f>+'Midttrafik '!B26</f>
        <v>1858390.8900000001</v>
      </c>
      <c r="C8" s="61">
        <f>+'Midttrafik '!C26</f>
        <v>1819554.2681637742</v>
      </c>
      <c r="D8" s="61">
        <f>+'Midttrafik '!D26</f>
        <v>1819500.5999999999</v>
      </c>
      <c r="E8" s="61">
        <f>+'Midttrafik '!E26</f>
        <v>1814712.9966666666</v>
      </c>
      <c r="F8" s="61">
        <f>+'Midttrafik '!F26</f>
        <v>1760440.2067735032</v>
      </c>
      <c r="G8" s="61">
        <f>+'Midttrafik '!G26</f>
        <v>1683113.3827839964</v>
      </c>
      <c r="H8" s="66">
        <f>+'Midttrafik '!H26</f>
        <v>1664086.8273310594</v>
      </c>
      <c r="I8" s="61">
        <f t="shared" si="0"/>
        <v>100</v>
      </c>
      <c r="J8" s="61">
        <f t="shared" si="0"/>
        <v>97.91020166719467</v>
      </c>
      <c r="K8" s="61">
        <f t="shared" si="0"/>
        <v>97.907313783700246</v>
      </c>
      <c r="L8" s="61">
        <f t="shared" si="0"/>
        <v>97.649692883861832</v>
      </c>
      <c r="M8" s="61">
        <f t="shared" si="0"/>
        <v>94.729274462462683</v>
      </c>
      <c r="N8" s="61">
        <f t="shared" si="0"/>
        <v>90.568318637420589</v>
      </c>
      <c r="O8" s="66">
        <f t="shared" si="0"/>
        <v>89.544499829691873</v>
      </c>
      <c r="P8" s="61">
        <f>+'Midttrafik '!P26</f>
        <v>56080340.173126161</v>
      </c>
      <c r="Q8" s="61">
        <f>+'Midttrafik '!Q26</f>
        <v>37040736.907946534</v>
      </c>
      <c r="R8" s="61">
        <f>+'Midttrafik '!R26</f>
        <v>35278757.059137404</v>
      </c>
      <c r="S8" s="61">
        <f>+'Midttrafik '!S26</f>
        <v>46535727.351767287</v>
      </c>
      <c r="T8" s="61">
        <f>+'Midttrafik '!T26</f>
        <v>49263612</v>
      </c>
      <c r="U8" s="61">
        <f>+'Midttrafik '!U26</f>
        <v>48402704</v>
      </c>
      <c r="V8" s="66">
        <f>+'Midttrafik '!V26</f>
        <v>48402704</v>
      </c>
      <c r="W8" s="61">
        <f>+'Midttrafik '!W26</f>
        <v>100</v>
      </c>
      <c r="X8" s="61">
        <f>+'Midttrafik '!X26</f>
        <v>66.049415523510945</v>
      </c>
      <c r="Y8" s="61">
        <f>+'Midttrafik '!Y26</f>
        <v>62.907530429073745</v>
      </c>
      <c r="Z8" s="61">
        <f>+'Midttrafik '!Z26</f>
        <v>82.980465539449995</v>
      </c>
      <c r="AA8" s="61">
        <f>+'Midttrafik '!AA26</f>
        <v>87.844709657462545</v>
      </c>
      <c r="AB8" s="61">
        <f>+'Midttrafik '!AB26</f>
        <v>86.309576316005831</v>
      </c>
      <c r="AC8" s="66">
        <f>+'Midttrafik '!AC26</f>
        <v>86.309576316005831</v>
      </c>
      <c r="AD8" s="49">
        <f>+'Midttrafik '!AD26</f>
        <v>685.51131050000004</v>
      </c>
      <c r="AE8" s="49">
        <f>+'Midttrafik '!AE26</f>
        <v>478.96302700000001</v>
      </c>
      <c r="AF8" s="49">
        <f>+'Midttrafik '!AF26</f>
        <v>459.022763</v>
      </c>
      <c r="AG8" s="49">
        <f>+'Midttrafik '!AG26</f>
        <v>615.04941610428023</v>
      </c>
      <c r="AH8" s="49">
        <f>+'Midttrafik '!AH26</f>
        <v>676.86207511722432</v>
      </c>
      <c r="AI8" s="49">
        <f>+'Midttrafik '!AI26</f>
        <v>721.01299999999992</v>
      </c>
      <c r="AJ8" s="50">
        <f>+'Midttrafik '!AJ26</f>
        <v>730.29700000000003</v>
      </c>
      <c r="AK8" s="49">
        <f>+'Midttrafik '!AK26</f>
        <v>1391.0046257400002</v>
      </c>
      <c r="AL8" s="49">
        <f>+'Midttrafik '!AL26</f>
        <v>1348.32941701</v>
      </c>
      <c r="AM8" s="49">
        <f>+'Midttrafik '!AM26</f>
        <v>1385.9570299300001</v>
      </c>
      <c r="AN8" s="49">
        <f>+'Midttrafik '!AN26</f>
        <v>1510.7450376576003</v>
      </c>
      <c r="AO8" s="49">
        <f>+'Midttrafik '!AO26</f>
        <v>1450.75882355</v>
      </c>
      <c r="AP8" s="49">
        <f>+'Midttrafik '!AP26</f>
        <v>1453.18761847</v>
      </c>
      <c r="AQ8" s="50">
        <f>+'Midttrafik '!AQ26</f>
        <v>1515.6164958999998</v>
      </c>
      <c r="AR8" s="49">
        <f>+'Midttrafik '!AR26</f>
        <v>748.49948588587847</v>
      </c>
      <c r="AS8" s="49">
        <f>+'Midttrafik '!AS26</f>
        <v>741.02182089390681</v>
      </c>
      <c r="AT8" s="49">
        <f>+'Midttrafik '!AT26</f>
        <v>761.72386529028904</v>
      </c>
      <c r="AU8" s="49">
        <f>+'Midttrafik '!AU26</f>
        <v>832.49805364958195</v>
      </c>
      <c r="AV8" s="49">
        <f>+'Midttrafik '!AV26</f>
        <v>824.08866712316194</v>
      </c>
      <c r="AW8" s="49">
        <f>+'Midttrafik '!AW26</f>
        <v>863.39258741221477</v>
      </c>
      <c r="AX8" s="50">
        <f>+'Midttrafik '!AX26</f>
        <v>910.77969671259086</v>
      </c>
      <c r="AY8" s="61">
        <f t="shared" si="1"/>
        <v>100</v>
      </c>
      <c r="AZ8" s="61">
        <f t="shared" si="1"/>
        <v>99.000979274805843</v>
      </c>
      <c r="BA8" s="61">
        <f t="shared" si="1"/>
        <v>101.76678536909868</v>
      </c>
      <c r="BB8" s="61">
        <f t="shared" si="1"/>
        <v>111.2222612503585</v>
      </c>
      <c r="BC8" s="61">
        <f t="shared" si="1"/>
        <v>110.09876194474879</v>
      </c>
      <c r="BD8" s="61">
        <f t="shared" si="1"/>
        <v>115.34979030618248</v>
      </c>
      <c r="BE8" s="66">
        <f t="shared" si="1"/>
        <v>121.68073778095486</v>
      </c>
      <c r="BF8" s="94">
        <f>+'Midttrafik '!BF26</f>
        <v>0.49281741973741827</v>
      </c>
      <c r="BG8" s="94">
        <f>+'Midttrafik '!BG26</f>
        <v>0.35522700977786925</v>
      </c>
      <c r="BH8" s="94">
        <f>+'Midttrafik '!BH26</f>
        <v>0.33119552272351738</v>
      </c>
      <c r="BI8" s="94">
        <f>+'Midttrafik '!BI26</f>
        <v>0.4071166217814689</v>
      </c>
      <c r="BJ8" s="94">
        <f>+'Midttrafik '!BJ26</f>
        <v>0.46655726929231839</v>
      </c>
      <c r="BK8" s="97">
        <f>+'Midttrafik '!BK26</f>
        <v>0.49615960859831998</v>
      </c>
      <c r="BL8" s="96">
        <f>+'Midttrafik '!BL26</f>
        <v>0.48184814692607103</v>
      </c>
      <c r="BM8" s="49">
        <f>+'Midttrafik '!BM26</f>
        <v>705.49331524000013</v>
      </c>
      <c r="BN8" s="49">
        <f>+'Midttrafik '!BN26</f>
        <v>642.12373633000004</v>
      </c>
      <c r="BO8" s="49">
        <f>+'Midttrafik '!BO26</f>
        <v>696.31896427000015</v>
      </c>
      <c r="BP8" s="49">
        <f>+'Midttrafik '!BP26</f>
        <v>843.35296877760027</v>
      </c>
      <c r="BQ8" s="49">
        <f>+'Midttrafik '!BQ26</f>
        <v>744.08427880277566</v>
      </c>
      <c r="BR8" s="49">
        <f>+'Midttrafik '!BR26</f>
        <v>732.17461847000004</v>
      </c>
      <c r="BS8" s="50">
        <f>+'Midttrafik '!BS26</f>
        <v>785.31949589999977</v>
      </c>
      <c r="BT8" s="118">
        <f>+'Midttrafik '!BT26</f>
        <v>0</v>
      </c>
      <c r="BU8" s="49">
        <f>+'Midttrafik '!BU26</f>
        <v>227.24265367999999</v>
      </c>
      <c r="BV8" s="49">
        <f>+'Midttrafik '!BV26</f>
        <v>230.61530266000003</v>
      </c>
      <c r="BW8" s="49">
        <f>+'Midttrafik '!BW26</f>
        <v>52.342652775719792</v>
      </c>
      <c r="BX8" s="49">
        <f>+'Midttrafik '!BX26</f>
        <v>29.812469630000002</v>
      </c>
      <c r="BY8" s="49">
        <f>+'Midttrafik '!BY26</f>
        <v>0</v>
      </c>
      <c r="BZ8" s="50">
        <f>+'Midttrafik '!BZ26</f>
        <v>0</v>
      </c>
      <c r="CR8" s="61"/>
      <c r="CS8" s="61"/>
    </row>
    <row r="9" spans="1:97" x14ac:dyDescent="0.25">
      <c r="A9" s="60" t="s">
        <v>147</v>
      </c>
      <c r="B9" s="61">
        <f>+Movia!B53</f>
        <v>4232703.616542913</v>
      </c>
      <c r="C9" s="61">
        <f>+Movia!C53</f>
        <v>4084195.8992786179</v>
      </c>
      <c r="D9" s="61">
        <f>+Movia!D53</f>
        <v>4077598.3166151098</v>
      </c>
      <c r="E9" s="61">
        <f>+Movia!E53</f>
        <v>4119023.9781517927</v>
      </c>
      <c r="F9" s="61">
        <f>+Movia!F53</f>
        <v>4114493.9799717814</v>
      </c>
      <c r="G9" s="61">
        <f>+Movia!G53</f>
        <v>4063325.9040185204</v>
      </c>
      <c r="H9" s="66">
        <f>+Movia!H53</f>
        <v>4001022.0019999975</v>
      </c>
      <c r="I9" s="61">
        <f t="shared" si="0"/>
        <v>100</v>
      </c>
      <c r="J9" s="61">
        <f t="shared" si="0"/>
        <v>96.491421778650562</v>
      </c>
      <c r="K9" s="61">
        <f t="shared" si="0"/>
        <v>96.335550183065109</v>
      </c>
      <c r="L9" s="61">
        <f t="shared" si="0"/>
        <v>97.314254701254782</v>
      </c>
      <c r="M9" s="61">
        <f t="shared" si="0"/>
        <v>97.20723095023412</v>
      </c>
      <c r="N9" s="61">
        <f t="shared" si="0"/>
        <v>95.998356420175412</v>
      </c>
      <c r="O9" s="66">
        <f t="shared" si="0"/>
        <v>94.526391745516477</v>
      </c>
      <c r="P9" s="61">
        <f>+Movia!P53</f>
        <v>192768088.90863076</v>
      </c>
      <c r="Q9" s="61">
        <f>+Movia!Q53</f>
        <v>122143872.54422235</v>
      </c>
      <c r="R9" s="61">
        <f>+Movia!R53</f>
        <v>120234793.53361161</v>
      </c>
      <c r="S9" s="61">
        <f>+Movia!S53</f>
        <v>150288700.04416904</v>
      </c>
      <c r="T9" s="61">
        <f>+Movia!T53</f>
        <v>160111680.38315192</v>
      </c>
      <c r="U9" s="61">
        <f>+Movia!U53</f>
        <v>163994527.22642446</v>
      </c>
      <c r="V9" s="66">
        <f>+Movia!V53</f>
        <v>160743847.31185833</v>
      </c>
      <c r="W9" s="61">
        <f>+Movia!W53</f>
        <v>100</v>
      </c>
      <c r="X9" s="61">
        <f>+Movia!X53</f>
        <v>63.363118468283794</v>
      </c>
      <c r="Y9" s="61">
        <f>+Movia!Y53</f>
        <v>62.372768342690343</v>
      </c>
      <c r="Z9" s="61">
        <f>+Movia!Z53</f>
        <v>77.96347460569767</v>
      </c>
      <c r="AA9" s="61">
        <f>+Movia!AA53</f>
        <v>83.059224838319849</v>
      </c>
      <c r="AB9" s="61">
        <f>+Movia!AB53</f>
        <v>85.07348293739399</v>
      </c>
      <c r="AC9" s="66">
        <f>+Movia!AC53</f>
        <v>83.38716652840219</v>
      </c>
      <c r="AD9" s="49">
        <f>+Movia!AD53</f>
        <v>1696.3557801938475</v>
      </c>
      <c r="AE9" s="49">
        <f>+Movia!AE53</f>
        <v>1116.017030682621</v>
      </c>
      <c r="AF9" s="49">
        <f>+Movia!AF53</f>
        <v>1205.1068834021467</v>
      </c>
      <c r="AG9" s="49">
        <f>+Movia!AG53</f>
        <v>1451.5634273399983</v>
      </c>
      <c r="AH9" s="49">
        <f>+Movia!AH53</f>
        <v>1663.997676506161</v>
      </c>
      <c r="AI9" s="49">
        <f>+Movia!AI53</f>
        <v>1858.0843435441961</v>
      </c>
      <c r="AJ9" s="50">
        <f>+Movia!AJ53</f>
        <v>1873.2275033172662</v>
      </c>
      <c r="AK9" s="49">
        <f>+Movia!AK53</f>
        <v>3110.7431038200007</v>
      </c>
      <c r="AL9" s="49">
        <f>+Movia!AL53</f>
        <v>3060.2947947600005</v>
      </c>
      <c r="AM9" s="49">
        <f>+Movia!AM53</f>
        <v>3173.096798269999</v>
      </c>
      <c r="AN9" s="49">
        <f>+Movia!AN53</f>
        <v>3480.306228590001</v>
      </c>
      <c r="AO9" s="49">
        <f>+Movia!AO53</f>
        <v>3512.4327308900001</v>
      </c>
      <c r="AP9" s="49">
        <f>+Movia!AP53</f>
        <v>3398.7224048666426</v>
      </c>
      <c r="AQ9" s="50">
        <f>+Movia!AQ53</f>
        <v>3526.522534226986</v>
      </c>
      <c r="AR9" s="49">
        <f>+Movia!AR53</f>
        <v>734.93052801101146</v>
      </c>
      <c r="AS9" s="49">
        <f>+Movia!AS53</f>
        <v>749.30166677375428</v>
      </c>
      <c r="AT9" s="49">
        <f>+Movia!AT53</f>
        <v>778.17787626125119</v>
      </c>
      <c r="AU9" s="49">
        <f>+Movia!AU53</f>
        <v>844.93468526775018</v>
      </c>
      <c r="AV9" s="49">
        <f>+Movia!AV53</f>
        <v>853.67307571418291</v>
      </c>
      <c r="AW9" s="49">
        <f>+Movia!AW53</f>
        <v>836.43854447052775</v>
      </c>
      <c r="AX9" s="50">
        <f>+Movia!AX53</f>
        <v>881.40543402765024</v>
      </c>
      <c r="AY9" s="61">
        <f t="shared" si="1"/>
        <v>100</v>
      </c>
      <c r="AZ9" s="61">
        <f t="shared" si="1"/>
        <v>101.95544180232059</v>
      </c>
      <c r="BA9" s="61">
        <f t="shared" si="1"/>
        <v>105.88454916511398</v>
      </c>
      <c r="BB9" s="61">
        <f t="shared" si="1"/>
        <v>114.96796677564203</v>
      </c>
      <c r="BC9" s="61">
        <f t="shared" si="1"/>
        <v>116.15697581981412</v>
      </c>
      <c r="BD9" s="61">
        <f t="shared" si="1"/>
        <v>113.81191998299944</v>
      </c>
      <c r="BE9" s="66">
        <f t="shared" si="1"/>
        <v>119.93044246141918</v>
      </c>
      <c r="BF9" s="94">
        <f>+Movia!BF53</f>
        <v>0.5453217201094871</v>
      </c>
      <c r="BG9" s="94">
        <f>+Movia!BG53</f>
        <v>0.36467631569139181</v>
      </c>
      <c r="BH9" s="94">
        <f>+Movia!BH53</f>
        <v>0.37978888134114969</v>
      </c>
      <c r="BI9" s="94">
        <f>+Movia!BI53</f>
        <v>0.41707922579217394</v>
      </c>
      <c r="BJ9" s="94">
        <f>+Movia!BJ53</f>
        <v>0.47374506616800827</v>
      </c>
      <c r="BK9" s="97">
        <f>+Movia!BK53</f>
        <v>0.54670082525233554</v>
      </c>
      <c r="BL9" s="96">
        <f>+Movia!BL53</f>
        <v>0.53118262683322903</v>
      </c>
      <c r="BM9" s="49">
        <f>+Movia!BM53</f>
        <v>1414.3873236261536</v>
      </c>
      <c r="BN9" s="49">
        <f>+Movia!BN53</f>
        <v>1448.6167391973779</v>
      </c>
      <c r="BO9" s="49">
        <f>+Movia!BO53</f>
        <v>1522.3530226078526</v>
      </c>
      <c r="BP9" s="49">
        <f>+Movia!BP53</f>
        <v>1925.0024422300012</v>
      </c>
      <c r="BQ9" s="49">
        <f>+Movia!BQ53</f>
        <v>1786.3788335138397</v>
      </c>
      <c r="BR9" s="49">
        <f>+Movia!BR53</f>
        <v>1538.9436989975884</v>
      </c>
      <c r="BS9" s="50">
        <f>+Movia!BS53</f>
        <v>1653.2950309097198</v>
      </c>
      <c r="BT9" s="118">
        <f>+Movia!BT53</f>
        <v>0</v>
      </c>
      <c r="BU9" s="49">
        <f>+Movia!BU53</f>
        <v>495.66102487999996</v>
      </c>
      <c r="BV9" s="49">
        <f>+Movia!BV53</f>
        <v>445.63689226000002</v>
      </c>
      <c r="BW9" s="49">
        <f>+Movia!BW53</f>
        <v>103.74035902</v>
      </c>
      <c r="BX9" s="49">
        <f>+Movia!BX53</f>
        <v>62.05622086999999</v>
      </c>
      <c r="BY9" s="49">
        <f>+Movia!BY53</f>
        <v>1.6943623248569424</v>
      </c>
      <c r="BZ9" s="50">
        <f>+Movia!BZ53</f>
        <v>0</v>
      </c>
      <c r="CR9" s="61"/>
      <c r="CS9" s="61"/>
    </row>
    <row r="10" spans="1:97" x14ac:dyDescent="0.25">
      <c r="A10" s="60" t="s">
        <v>0</v>
      </c>
      <c r="B10" s="61">
        <f>+NT!B18</f>
        <v>914096.11666666646</v>
      </c>
      <c r="C10" s="61">
        <f>+NT!C18</f>
        <v>908325.76000000024</v>
      </c>
      <c r="D10" s="61">
        <f>+NT!D18</f>
        <v>902110.55000000028</v>
      </c>
      <c r="E10" s="61">
        <f>+NT!E18</f>
        <v>899044.10000000009</v>
      </c>
      <c r="F10" s="61">
        <f>+NT!F18</f>
        <v>863332.1</v>
      </c>
      <c r="G10" s="61">
        <f>+NT!G18</f>
        <v>841145.16709677398</v>
      </c>
      <c r="H10" s="66">
        <f>+NT!H18</f>
        <v>840148.23839999968</v>
      </c>
      <c r="I10" s="61">
        <f t="shared" si="0"/>
        <v>100</v>
      </c>
      <c r="J10" s="61">
        <f t="shared" si="0"/>
        <v>99.368736332924328</v>
      </c>
      <c r="K10" s="61">
        <f t="shared" si="0"/>
        <v>98.688806740545772</v>
      </c>
      <c r="L10" s="61">
        <f t="shared" si="0"/>
        <v>98.35334420612628</v>
      </c>
      <c r="M10" s="61">
        <f t="shared" si="0"/>
        <v>94.446534041542364</v>
      </c>
      <c r="N10" s="61">
        <f t="shared" si="0"/>
        <v>92.019334921155263</v>
      </c>
      <c r="O10" s="66">
        <f t="shared" si="0"/>
        <v>91.910273228561095</v>
      </c>
      <c r="P10" s="61">
        <f>+NT!P18</f>
        <v>22549745</v>
      </c>
      <c r="Q10" s="61">
        <f>+NT!Q18</f>
        <v>13774595</v>
      </c>
      <c r="R10" s="61">
        <f>+NT!R18</f>
        <v>12904203</v>
      </c>
      <c r="S10" s="61">
        <f>+NT!S18</f>
        <v>17076441</v>
      </c>
      <c r="T10" s="61">
        <f>+NT!T18</f>
        <v>19453486</v>
      </c>
      <c r="U10" s="61" t="str">
        <f>+NT!U18</f>
        <v>n/a</v>
      </c>
      <c r="V10" s="66" t="str">
        <f>+NT!V18</f>
        <v>n/a</v>
      </c>
      <c r="W10" s="61">
        <f>+NT!W18</f>
        <v>100</v>
      </c>
      <c r="X10" s="61">
        <f>+NT!X18</f>
        <v>71.138394692986338</v>
      </c>
      <c r="Y10" s="61">
        <f>+NT!Y18</f>
        <v>69.599752852004229</v>
      </c>
      <c r="Z10" s="61">
        <f>+NT!Z18</f>
        <v>87.259986937137015</v>
      </c>
      <c r="AA10" s="61">
        <f>+NT!AA18</f>
        <v>103.55398726783061</v>
      </c>
      <c r="AB10" s="61">
        <f>+NT!AB18</f>
        <v>113.09385025013515</v>
      </c>
      <c r="AC10" s="66">
        <f>+NT!AC18</f>
        <v>116.21787891649298</v>
      </c>
      <c r="AD10" s="49">
        <f>+NT!AD18</f>
        <v>292.58901439704482</v>
      </c>
      <c r="AE10" s="49">
        <f>+NT!AE18</f>
        <v>212.09784732000003</v>
      </c>
      <c r="AF10" s="49">
        <f>+NT!AF18</f>
        <v>209.79302883648847</v>
      </c>
      <c r="AG10" s="49">
        <f>+NT!AG18</f>
        <v>263.0258902600001</v>
      </c>
      <c r="AH10" s="49">
        <f>+NT!AH18</f>
        <v>302.98759071578684</v>
      </c>
      <c r="AI10" s="49">
        <f>+NT!AI18</f>
        <v>330.90018179054022</v>
      </c>
      <c r="AJ10" s="50">
        <f>+NT!AJ18</f>
        <v>340.04074647491774</v>
      </c>
      <c r="AK10" s="49">
        <f>+NT!AK18</f>
        <v>683.74042844474991</v>
      </c>
      <c r="AL10" s="49">
        <f>+NT!AL18</f>
        <v>694.61321575475006</v>
      </c>
      <c r="AM10" s="49">
        <f>+NT!AM18</f>
        <v>721.34564077440098</v>
      </c>
      <c r="AN10" s="49">
        <f>+NT!AN18</f>
        <v>796.59945259281312</v>
      </c>
      <c r="AO10" s="49">
        <f>+NT!AO18</f>
        <v>768.47638203143129</v>
      </c>
      <c r="AP10" s="49">
        <f>+NT!AP18</f>
        <v>731.22237160690986</v>
      </c>
      <c r="AQ10" s="50">
        <f>+NT!AQ18</f>
        <v>787.26012883750968</v>
      </c>
      <c r="AR10" s="49">
        <f>+NT!AR18</f>
        <v>747.99620737704345</v>
      </c>
      <c r="AS10" s="49">
        <f>+NT!AS18</f>
        <v>764.71817308665766</v>
      </c>
      <c r="AT10" s="49">
        <f>+NT!AT18</f>
        <v>799.62000308543202</v>
      </c>
      <c r="AU10" s="49">
        <f>+NT!AU18</f>
        <v>886.0515881176608</v>
      </c>
      <c r="AV10" s="49">
        <f>+NT!AV18</f>
        <v>890.12835504602617</v>
      </c>
      <c r="AW10" s="49">
        <f>+NT!AW18</f>
        <v>869.31768761239584</v>
      </c>
      <c r="AX10" s="50">
        <f>+NT!AX18</f>
        <v>937.04907402625577</v>
      </c>
      <c r="AY10" s="61">
        <f t="shared" si="1"/>
        <v>100</v>
      </c>
      <c r="AZ10" s="61">
        <f t="shared" si="1"/>
        <v>102.23556824816696</v>
      </c>
      <c r="BA10" s="61">
        <f t="shared" si="1"/>
        <v>106.90161195996097</v>
      </c>
      <c r="BB10" s="61">
        <f t="shared" si="1"/>
        <v>118.45669528522455</v>
      </c>
      <c r="BC10" s="61">
        <f t="shared" si="1"/>
        <v>119.00172036531971</v>
      </c>
      <c r="BD10" s="61">
        <f t="shared" si="1"/>
        <v>116.21953146805164</v>
      </c>
      <c r="BE10" s="66">
        <f t="shared" si="1"/>
        <v>125.27457556397958</v>
      </c>
      <c r="BF10" s="94">
        <f>+NT!BF18</f>
        <v>0.4279241101225707</v>
      </c>
      <c r="BG10" s="94">
        <f>+NT!BG18</f>
        <v>0.30534669152463445</v>
      </c>
      <c r="BH10" s="94">
        <f>+NT!BH18</f>
        <v>0.29083565073085499</v>
      </c>
      <c r="BI10" s="94">
        <f>+NT!BI18</f>
        <v>0.3301858787423087</v>
      </c>
      <c r="BJ10" s="94">
        <f>+NT!BJ18</f>
        <v>0.39427053036406057</v>
      </c>
      <c r="BK10" s="97">
        <f>+NT!BK18</f>
        <v>0.45253016679914349</v>
      </c>
      <c r="BL10" s="96">
        <f>+NT!BL18</f>
        <v>0.43192933824431246</v>
      </c>
      <c r="BM10" s="49">
        <f>+NT!BM18</f>
        <v>391.15141404770503</v>
      </c>
      <c r="BN10" s="49">
        <f>+NT!BN18</f>
        <v>369.08693229347534</v>
      </c>
      <c r="BO10" s="49">
        <f>+NT!BO18</f>
        <v>389.24130077420261</v>
      </c>
      <c r="BP10" s="49">
        <f>+NT!BP18</f>
        <v>495.63771708436553</v>
      </c>
      <c r="BQ10" s="49">
        <f>+NT!BQ18</f>
        <v>454.38785449564432</v>
      </c>
      <c r="BR10" s="49">
        <f>+NT!BR18</f>
        <v>399.75286942636967</v>
      </c>
      <c r="BS10" s="50">
        <f>+NT!BS18</f>
        <v>447.21938236259189</v>
      </c>
      <c r="BT10" s="118">
        <f>+NT!BT18</f>
        <v>0</v>
      </c>
      <c r="BU10" s="49">
        <f>+NT!BU18</f>
        <v>113.42843614127469</v>
      </c>
      <c r="BV10" s="49">
        <f>+NT!BV18</f>
        <v>122.31131116370989</v>
      </c>
      <c r="BW10" s="49">
        <f>+NT!BW18</f>
        <v>37.935845248447578</v>
      </c>
      <c r="BX10" s="49">
        <f>+NT!BX18</f>
        <v>11.100936819999999</v>
      </c>
      <c r="BY10" s="49">
        <f>+NT!BY18</f>
        <v>0.56932039000000001</v>
      </c>
      <c r="BZ10" s="50">
        <f>+NT!BZ18</f>
        <v>0</v>
      </c>
      <c r="CR10" s="61"/>
      <c r="CS10" s="61"/>
    </row>
    <row r="11" spans="1:97" x14ac:dyDescent="0.25">
      <c r="A11" s="60" t="s">
        <v>146</v>
      </c>
      <c r="B11" s="61">
        <f>+Sydtrafik!B18</f>
        <v>841838</v>
      </c>
      <c r="C11" s="61">
        <f>+Sydtrafik!C18</f>
        <v>833700</v>
      </c>
      <c r="D11" s="61">
        <f>+Sydtrafik!D18</f>
        <v>804414</v>
      </c>
      <c r="E11" s="61">
        <f>+Sydtrafik!E18</f>
        <v>796019</v>
      </c>
      <c r="F11" s="61">
        <f>+Sydtrafik!F18</f>
        <v>785940</v>
      </c>
      <c r="G11" s="61">
        <f>+Sydtrafik!G18</f>
        <v>775212</v>
      </c>
      <c r="H11" s="66">
        <f>+Sydtrafik!H18</f>
        <v>771849</v>
      </c>
      <c r="I11" s="61">
        <f t="shared" si="0"/>
        <v>100</v>
      </c>
      <c r="J11" s="61">
        <f t="shared" si="0"/>
        <v>99.033305695395086</v>
      </c>
      <c r="K11" s="61">
        <f t="shared" si="0"/>
        <v>95.554489105980011</v>
      </c>
      <c r="L11" s="61">
        <f t="shared" si="0"/>
        <v>94.557266362411781</v>
      </c>
      <c r="M11" s="61">
        <f t="shared" si="0"/>
        <v>93.360005131628654</v>
      </c>
      <c r="N11" s="61">
        <f t="shared" si="0"/>
        <v>92.085650683385651</v>
      </c>
      <c r="O11" s="66">
        <f t="shared" si="0"/>
        <v>91.686167647457111</v>
      </c>
      <c r="P11" s="61">
        <f>+Sydtrafik!P18</f>
        <v>14404797</v>
      </c>
      <c r="Q11" s="61">
        <f>+Sydtrafik!Q18</f>
        <v>9561853</v>
      </c>
      <c r="R11" s="61">
        <f>+Sydtrafik!R18</f>
        <v>8708996</v>
      </c>
      <c r="S11" s="61">
        <f>+Sydtrafik!S18</f>
        <v>11775042</v>
      </c>
      <c r="T11" s="61">
        <f>+Sydtrafik!T18</f>
        <v>12020373</v>
      </c>
      <c r="U11" s="61">
        <f>+Sydtrafik!U18</f>
        <v>11621031</v>
      </c>
      <c r="V11" s="66">
        <f>+Sydtrafik!V18</f>
        <v>11621031</v>
      </c>
      <c r="W11" s="61">
        <f>+Sydtrafik!W18</f>
        <v>100</v>
      </c>
      <c r="X11" s="61">
        <f>+Sydtrafik!X18</f>
        <v>66.379644225461846</v>
      </c>
      <c r="Y11" s="61">
        <f>+Sydtrafik!Y18</f>
        <v>60.458998485018569</v>
      </c>
      <c r="Z11" s="61">
        <f>+Sydtrafik!Z18</f>
        <v>81.743894065289496</v>
      </c>
      <c r="AA11" s="61">
        <f>+Sydtrafik!AA18</f>
        <v>83.447014213390176</v>
      </c>
      <c r="AB11" s="61">
        <f>+Sydtrafik!AB18</f>
        <v>80.674729397436153</v>
      </c>
      <c r="AC11" s="66">
        <f>+Sydtrafik!AC18</f>
        <v>80.674729397436153</v>
      </c>
      <c r="AD11" s="49">
        <f>+Sydtrafik!AD18</f>
        <v>243.6</v>
      </c>
      <c r="AE11" s="49">
        <f>+Sydtrafik!AE18</f>
        <v>185.70000000000002</v>
      </c>
      <c r="AF11" s="49">
        <f>+Sydtrafik!AF18</f>
        <v>159.30000000000001</v>
      </c>
      <c r="AG11" s="49">
        <f>+Sydtrafik!AG18</f>
        <v>226.4</v>
      </c>
      <c r="AH11" s="49">
        <f>+Sydtrafik!AH18</f>
        <v>236.9</v>
      </c>
      <c r="AI11" s="49">
        <f>+Sydtrafik!AI18</f>
        <v>244.7</v>
      </c>
      <c r="AJ11" s="50">
        <f>+Sydtrafik!AJ18</f>
        <v>243.10000000000002</v>
      </c>
      <c r="AK11" s="49">
        <f>+Sydtrafik!AK18</f>
        <v>605.1</v>
      </c>
      <c r="AL11" s="49">
        <f>+Sydtrafik!AL18</f>
        <v>588.6</v>
      </c>
      <c r="AM11" s="49">
        <f>+Sydtrafik!AM18</f>
        <v>589.00000000000011</v>
      </c>
      <c r="AN11" s="49">
        <f>+Sydtrafik!AN18</f>
        <v>641.80000000000007</v>
      </c>
      <c r="AO11" s="49">
        <f>+Sydtrafik!AO18</f>
        <v>640.0859999999999</v>
      </c>
      <c r="AP11" s="49">
        <f>+Sydtrafik!AP18</f>
        <v>647.43399999999997</v>
      </c>
      <c r="AQ11" s="50">
        <f>+Sydtrafik!AQ18</f>
        <v>667.62900000000002</v>
      </c>
      <c r="AR11" s="49">
        <f>+Sydtrafik!AR18</f>
        <v>718.78437419075874</v>
      </c>
      <c r="AS11" s="49">
        <f>+Sydtrafik!AS18</f>
        <v>706.00935588341133</v>
      </c>
      <c r="AT11" s="49">
        <f>+Sydtrafik!AT18</f>
        <v>732.21003115311282</v>
      </c>
      <c r="AU11" s="49">
        <f>+Sydtrafik!AU18</f>
        <v>806.26216208407095</v>
      </c>
      <c r="AV11" s="49">
        <f>+Sydtrafik!AV18</f>
        <v>814.42094816398185</v>
      </c>
      <c r="AW11" s="49">
        <f>+Sydtrafik!AW18</f>
        <v>835.17025020252527</v>
      </c>
      <c r="AX11" s="50">
        <f>+Sydtrafik!AX18</f>
        <v>864.97358939378034</v>
      </c>
      <c r="AY11" s="61">
        <f t="shared" si="1"/>
        <v>100</v>
      </c>
      <c r="AZ11" s="61">
        <f t="shared" si="1"/>
        <v>98.22269114826959</v>
      </c>
      <c r="BA11" s="61">
        <f t="shared" si="1"/>
        <v>101.8678281616054</v>
      </c>
      <c r="BB11" s="61">
        <f t="shared" si="1"/>
        <v>112.17024062213356</v>
      </c>
      <c r="BC11" s="61">
        <f t="shared" si="1"/>
        <v>113.30532179151713</v>
      </c>
      <c r="BD11" s="61">
        <f t="shared" si="1"/>
        <v>116.19204314823889</v>
      </c>
      <c r="BE11" s="66">
        <f t="shared" si="1"/>
        <v>120.33839638870951</v>
      </c>
      <c r="BF11" s="94">
        <f>+Sydtrafik!BF18</f>
        <v>0.40257808626673275</v>
      </c>
      <c r="BG11" s="94">
        <f>+Sydtrafik!BG18</f>
        <v>0.31549439347604485</v>
      </c>
      <c r="BH11" s="94">
        <f>+Sydtrafik!BH18</f>
        <v>0.27045840407470284</v>
      </c>
      <c r="BI11" s="94">
        <f>+Sydtrafik!BI18</f>
        <v>0.35275786849485818</v>
      </c>
      <c r="BJ11" s="94">
        <f>+Sydtrafik!BJ18</f>
        <v>0.3701065169367867</v>
      </c>
      <c r="BK11" s="97">
        <f>+Sydtrafik!BK18</f>
        <v>0.3779535829134707</v>
      </c>
      <c r="BL11" s="96">
        <f>+Sydtrafik!BL18</f>
        <v>0.36412438644816209</v>
      </c>
      <c r="BM11" s="49">
        <f>+Sydtrafik!BM18</f>
        <v>361.50000000000006</v>
      </c>
      <c r="BN11" s="49">
        <f>+Sydtrafik!BN18</f>
        <v>329.6</v>
      </c>
      <c r="BO11" s="49">
        <f>+Sydtrafik!BO18</f>
        <v>341.59999999999991</v>
      </c>
      <c r="BP11" s="49">
        <f>+Sydtrafik!BP18</f>
        <v>389.19999999999993</v>
      </c>
      <c r="BQ11" s="49">
        <f>+Sydtrafik!BQ18</f>
        <v>393.98599999999999</v>
      </c>
      <c r="BR11" s="49">
        <f>+Sydtrafik!BR18</f>
        <v>402.58199999999999</v>
      </c>
      <c r="BS11" s="50">
        <f>+Sydtrafik!BS18</f>
        <v>424.52899999999994</v>
      </c>
      <c r="BT11" s="118">
        <f>+Sydtrafik!BT18</f>
        <v>0</v>
      </c>
      <c r="BU11" s="49">
        <f>+Sydtrafik!BU18</f>
        <v>73.300000000000011</v>
      </c>
      <c r="BV11" s="49">
        <f>+Sydtrafik!BV18</f>
        <v>88.1</v>
      </c>
      <c r="BW11" s="49">
        <f>+Sydtrafik!BW18</f>
        <v>26.200000000000003</v>
      </c>
      <c r="BX11" s="49">
        <f>+Sydtrafik!BX18</f>
        <v>9.2000000000000011</v>
      </c>
      <c r="BY11" s="49">
        <f>+Sydtrafik!BY18</f>
        <v>0.15200000000000002</v>
      </c>
      <c r="BZ11" s="50">
        <f>+Sydtrafik!BZ18</f>
        <v>0</v>
      </c>
      <c r="CR11" s="61"/>
      <c r="CS11" s="61"/>
    </row>
    <row r="12" spans="1:97" ht="16.5" thickBot="1" x14ac:dyDescent="0.3">
      <c r="A12" s="67" t="s">
        <v>27</v>
      </c>
      <c r="B12" s="68">
        <f t="shared" ref="B12:AP12" si="2">SUBTOTAL(9,B6:B11)</f>
        <v>8549506.077755034</v>
      </c>
      <c r="C12" s="68">
        <f t="shared" si="2"/>
        <v>8347158.3819878474</v>
      </c>
      <c r="D12" s="68">
        <f t="shared" si="2"/>
        <v>8295789.4666151106</v>
      </c>
      <c r="E12" s="68">
        <f t="shared" si="2"/>
        <v>8302048.0748184584</v>
      </c>
      <c r="F12" s="68">
        <f t="shared" si="2"/>
        <v>8165160.2867452838</v>
      </c>
      <c r="G12" s="68">
        <f t="shared" si="2"/>
        <v>7990371.3761215126</v>
      </c>
      <c r="H12" s="69">
        <f t="shared" ref="H12" si="3">SUBTOTAL(9,H6:H11)</f>
        <v>7900670.0677310564</v>
      </c>
      <c r="I12" s="68">
        <f t="shared" si="0"/>
        <v>100</v>
      </c>
      <c r="J12" s="68">
        <f t="shared" si="0"/>
        <v>97.633223557865236</v>
      </c>
      <c r="K12" s="68">
        <f t="shared" si="0"/>
        <v>97.032382820335457</v>
      </c>
      <c r="L12" s="68">
        <f t="shared" si="0"/>
        <v>97.105587145198527</v>
      </c>
      <c r="M12" s="68">
        <f>+F12/$B12*100</f>
        <v>95.504467889557048</v>
      </c>
      <c r="N12" s="68">
        <f t="shared" si="0"/>
        <v>93.46003504122497</v>
      </c>
      <c r="O12" s="105">
        <f t="shared" si="0"/>
        <v>92.410836320566119</v>
      </c>
      <c r="P12" s="68">
        <f t="shared" si="2"/>
        <v>300323971.08175695</v>
      </c>
      <c r="Q12" s="68">
        <f t="shared" si="2"/>
        <v>191993057.45216888</v>
      </c>
      <c r="R12" s="68">
        <f t="shared" si="2"/>
        <v>186064749.592749</v>
      </c>
      <c r="S12" s="68">
        <f t="shared" si="2"/>
        <v>236837910.39593631</v>
      </c>
      <c r="T12" s="68">
        <f t="shared" si="2"/>
        <v>251923151.38315192</v>
      </c>
      <c r="U12" s="68">
        <f t="shared" si="2"/>
        <v>235262262.22642446</v>
      </c>
      <c r="V12" s="69">
        <f t="shared" ref="V12" si="4">SUBTOTAL(9,V6:V11)</f>
        <v>232197582.31185833</v>
      </c>
      <c r="W12" s="68"/>
      <c r="X12" s="68"/>
      <c r="Y12" s="68"/>
      <c r="Z12" s="68"/>
      <c r="AA12" s="68"/>
      <c r="AB12" s="68"/>
      <c r="AC12" s="69"/>
      <c r="AD12" s="71">
        <f t="shared" si="2"/>
        <v>3142.9941050908924</v>
      </c>
      <c r="AE12" s="71">
        <f t="shared" si="2"/>
        <v>2146.7019050026211</v>
      </c>
      <c r="AF12" s="71">
        <f t="shared" si="2"/>
        <v>2205.4666752386352</v>
      </c>
      <c r="AG12" s="71">
        <f t="shared" si="2"/>
        <v>2735.9247337042784</v>
      </c>
      <c r="AH12" s="71">
        <f t="shared" si="2"/>
        <v>3067.7233423391722</v>
      </c>
      <c r="AI12" s="71">
        <f t="shared" si="2"/>
        <v>3344.7975253347358</v>
      </c>
      <c r="AJ12" s="72">
        <f t="shared" ref="AJ12" si="5">SUBTOTAL(9,AJ6:AJ11)</f>
        <v>3392.265249792184</v>
      </c>
      <c r="AK12" s="71">
        <f t="shared" si="2"/>
        <v>6330.1101580047516</v>
      </c>
      <c r="AL12" s="71">
        <f t="shared" si="2"/>
        <v>6231.0254275247507</v>
      </c>
      <c r="AM12" s="71">
        <f t="shared" si="2"/>
        <v>6430.4744689743993</v>
      </c>
      <c r="AN12" s="71">
        <f t="shared" si="2"/>
        <v>7028.8717188404144</v>
      </c>
      <c r="AO12" s="71">
        <f t="shared" si="2"/>
        <v>6948.4779364714313</v>
      </c>
      <c r="AP12" s="71">
        <f t="shared" si="2"/>
        <v>6812.0853949435532</v>
      </c>
      <c r="AQ12" s="72">
        <f t="shared" ref="AQ12" si="6">SUBTOTAL(9,AQ6:AQ11)</f>
        <v>7089.0131589644961</v>
      </c>
      <c r="AR12" s="71">
        <f t="shared" ref="AR12:AX12" si="7">IFERROR(AK12*1000000/B12,"")</f>
        <v>740.40653348093053</v>
      </c>
      <c r="AS12" s="71">
        <f t="shared" si="7"/>
        <v>746.48462894516842</v>
      </c>
      <c r="AT12" s="71">
        <f t="shared" si="7"/>
        <v>775.1491880131083</v>
      </c>
      <c r="AU12" s="71">
        <f t="shared" si="7"/>
        <v>846.64310005144307</v>
      </c>
      <c r="AV12" s="71">
        <f t="shared" si="7"/>
        <v>850.99100231395039</v>
      </c>
      <c r="AW12" s="71">
        <f t="shared" si="7"/>
        <v>852.53676885417883</v>
      </c>
      <c r="AX12" s="72">
        <f t="shared" si="7"/>
        <v>897.26733279476707</v>
      </c>
      <c r="AY12" s="68">
        <f t="shared" si="1"/>
        <v>100</v>
      </c>
      <c r="AZ12" s="68">
        <f t="shared" si="1"/>
        <v>100.82091326715641</v>
      </c>
      <c r="BA12" s="68">
        <f t="shared" si="1"/>
        <v>104.69237546687215</v>
      </c>
      <c r="BB12" s="68">
        <f t="shared" si="1"/>
        <v>114.34841019987417</v>
      </c>
      <c r="BC12" s="68">
        <f t="shared" si="1"/>
        <v>114.93564195241774</v>
      </c>
      <c r="BD12" s="68">
        <f t="shared" si="1"/>
        <v>115.14441462936338</v>
      </c>
      <c r="BE12" s="69">
        <f t="shared" si="1"/>
        <v>121.18576649727477</v>
      </c>
      <c r="BF12" s="98" t="str">
        <f>IFERROR(AD12/#REF!,"")</f>
        <v/>
      </c>
      <c r="BG12" s="98" t="str">
        <f>IFERROR(AE12/#REF!,"")</f>
        <v/>
      </c>
      <c r="BH12" s="98" t="str">
        <f>IFERROR(AF12/#REF!,"")</f>
        <v/>
      </c>
      <c r="BI12" s="98" t="str">
        <f>IFERROR(AG12/#REF!,"")</f>
        <v/>
      </c>
      <c r="BJ12" s="98" t="str">
        <f>IFERROR(AH12/#REF!,"")</f>
        <v/>
      </c>
      <c r="BK12" s="98" t="str">
        <f>IFERROR(AI12/#REF!,"")</f>
        <v/>
      </c>
      <c r="BL12" s="101" t="str">
        <f>IFERROR(AJ12/#REF!,"")</f>
        <v/>
      </c>
      <c r="BM12" s="71">
        <f t="shared" ref="BM12:BY12" si="8">SUBTOTAL(9,BM6:BM11)</f>
        <v>3187.1160529138592</v>
      </c>
      <c r="BN12" s="71">
        <f t="shared" si="8"/>
        <v>3099.2024078208533</v>
      </c>
      <c r="BO12" s="71">
        <f t="shared" si="8"/>
        <v>3263.0162876520553</v>
      </c>
      <c r="BP12" s="71">
        <f t="shared" si="8"/>
        <v>4051.429128091967</v>
      </c>
      <c r="BQ12" s="71">
        <f t="shared" si="8"/>
        <v>3762.0739668122596</v>
      </c>
      <c r="BR12" s="71">
        <f t="shared" si="8"/>
        <v>3465.3071868939578</v>
      </c>
      <c r="BS12" s="72">
        <f t="shared" ref="BS12" si="9">SUBTOTAL(9,BS6:BS11)</f>
        <v>3696.7479091723112</v>
      </c>
      <c r="BT12" s="119">
        <f t="shared" si="8"/>
        <v>0</v>
      </c>
      <c r="BU12" s="71">
        <f t="shared" si="8"/>
        <v>985.12111470127456</v>
      </c>
      <c r="BV12" s="71">
        <f t="shared" si="8"/>
        <v>961.99150608370996</v>
      </c>
      <c r="BW12" s="71">
        <f t="shared" si="8"/>
        <v>241.51785704416739</v>
      </c>
      <c r="BX12" s="71">
        <f t="shared" si="8"/>
        <v>118.68062732</v>
      </c>
      <c r="BY12" s="71">
        <f t="shared" si="8"/>
        <v>1.9806827148569424</v>
      </c>
      <c r="BZ12" s="72">
        <f t="shared" ref="BZ12" si="10">SUBTOTAL(9,BZ6:BZ11)</f>
        <v>0</v>
      </c>
    </row>
    <row r="13" spans="1:97" ht="16.5" thickTop="1" x14ac:dyDescent="0.25">
      <c r="A13" s="117"/>
      <c r="AQ13" s="104"/>
      <c r="AX13" s="104"/>
      <c r="BS13" s="104"/>
    </row>
    <row r="14" spans="1:97" x14ac:dyDescent="0.25">
      <c r="A14" s="117"/>
    </row>
    <row r="15" spans="1:97" x14ac:dyDescent="0.25">
      <c r="A15" s="117" t="s">
        <v>238</v>
      </c>
      <c r="AD15" s="130">
        <f>+'PL fra KL'!M33</f>
        <v>1</v>
      </c>
      <c r="AE15" s="130">
        <f>+'PL fra KL'!M34</f>
        <v>1.0209999999999999</v>
      </c>
      <c r="AF15" s="130">
        <f>+'PL fra KL'!M35</f>
        <v>1.0383569999999998</v>
      </c>
      <c r="AG15" s="130">
        <f>+'PL fra KL'!M36</f>
        <v>1.0767762089999997</v>
      </c>
      <c r="AH15" s="130">
        <f>+'PL fra KL'!M37</f>
        <v>1.1069259428519997</v>
      </c>
      <c r="AI15" s="130">
        <f>+'PL fra KL'!M38</f>
        <v>1.1567376102803397</v>
      </c>
      <c r="AJ15" s="130">
        <f>+'PL fra KL'!M39</f>
        <v>1.201850377081273</v>
      </c>
      <c r="AK15" s="131">
        <f>+AD15</f>
        <v>1</v>
      </c>
      <c r="AL15" s="131">
        <f t="shared" ref="AL15:AQ15" si="11">+AE15</f>
        <v>1.0209999999999999</v>
      </c>
      <c r="AM15" s="131">
        <f t="shared" si="11"/>
        <v>1.0383569999999998</v>
      </c>
      <c r="AN15" s="131">
        <f t="shared" si="11"/>
        <v>1.0767762089999997</v>
      </c>
      <c r="AO15" s="131">
        <f t="shared" si="11"/>
        <v>1.1069259428519997</v>
      </c>
      <c r="AP15" s="131">
        <f t="shared" si="11"/>
        <v>1.1567376102803397</v>
      </c>
      <c r="AQ15" s="131">
        <f t="shared" si="11"/>
        <v>1.201850377081273</v>
      </c>
      <c r="BT15" s="131">
        <f>+AD15</f>
        <v>1</v>
      </c>
      <c r="BU15" s="131">
        <f t="shared" ref="BU15:BZ15" si="12">+AE15</f>
        <v>1.0209999999999999</v>
      </c>
      <c r="BV15" s="131">
        <f t="shared" si="12"/>
        <v>1.0383569999999998</v>
      </c>
      <c r="BW15" s="131">
        <f t="shared" si="12"/>
        <v>1.0767762089999997</v>
      </c>
      <c r="BX15" s="131">
        <f t="shared" si="12"/>
        <v>1.1069259428519997</v>
      </c>
      <c r="BY15" s="131">
        <f t="shared" si="12"/>
        <v>1.1567376102803397</v>
      </c>
      <c r="BZ15" s="131">
        <f t="shared" si="12"/>
        <v>1.201850377081273</v>
      </c>
    </row>
    <row r="16" spans="1:97" x14ac:dyDescent="0.25">
      <c r="A16" s="117" t="s">
        <v>241</v>
      </c>
      <c r="AD16" s="130"/>
      <c r="AE16" s="130"/>
      <c r="AF16" s="130"/>
      <c r="AG16" s="130"/>
      <c r="AH16" s="130"/>
      <c r="AI16" s="130"/>
      <c r="AJ16" s="130"/>
      <c r="AK16" s="131"/>
      <c r="AL16" s="131"/>
      <c r="AM16" s="131"/>
      <c r="AN16" s="131"/>
      <c r="AO16" s="131"/>
      <c r="AP16" s="131"/>
      <c r="AQ16" s="131"/>
      <c r="BT16" s="131"/>
      <c r="BU16" s="131"/>
      <c r="BV16" s="131"/>
      <c r="BW16" s="131"/>
      <c r="BX16" s="131"/>
      <c r="BY16" s="131"/>
      <c r="BZ16" s="131"/>
    </row>
    <row r="17" spans="1:97" x14ac:dyDescent="0.25">
      <c r="A17" s="132" t="s">
        <v>246</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row>
    <row r="18" spans="1:97" s="54" customFormat="1" ht="40.9" customHeight="1" x14ac:dyDescent="0.25">
      <c r="A18" s="134"/>
      <c r="B18" s="198" t="s">
        <v>1</v>
      </c>
      <c r="C18" s="199"/>
      <c r="D18" s="199"/>
      <c r="E18" s="199"/>
      <c r="F18" s="199"/>
      <c r="G18" s="199"/>
      <c r="H18" s="200"/>
      <c r="I18" s="199" t="s">
        <v>156</v>
      </c>
      <c r="J18" s="199"/>
      <c r="K18" s="199"/>
      <c r="L18" s="199"/>
      <c r="M18" s="199"/>
      <c r="N18" s="199"/>
      <c r="O18" s="200"/>
      <c r="P18" s="198" t="s">
        <v>2</v>
      </c>
      <c r="Q18" s="199"/>
      <c r="R18" s="199"/>
      <c r="S18" s="199"/>
      <c r="T18" s="199"/>
      <c r="U18" s="199"/>
      <c r="V18" s="200"/>
      <c r="W18" s="198" t="s">
        <v>7</v>
      </c>
      <c r="X18" s="199"/>
      <c r="Y18" s="199"/>
      <c r="Z18" s="199"/>
      <c r="AA18" s="199"/>
      <c r="AB18" s="199"/>
      <c r="AC18" s="200"/>
      <c r="AD18" s="199" t="s">
        <v>33</v>
      </c>
      <c r="AE18" s="199"/>
      <c r="AF18" s="199"/>
      <c r="AG18" s="199"/>
      <c r="AH18" s="199"/>
      <c r="AI18" s="199"/>
      <c r="AJ18" s="200"/>
      <c r="AK18" s="193" t="s">
        <v>4</v>
      </c>
      <c r="AL18" s="194"/>
      <c r="AM18" s="194"/>
      <c r="AN18" s="194"/>
      <c r="AO18" s="194"/>
      <c r="AP18" s="194"/>
      <c r="AQ18" s="195"/>
      <c r="AR18" s="193" t="s">
        <v>8</v>
      </c>
      <c r="AS18" s="194"/>
      <c r="AT18" s="194"/>
      <c r="AU18" s="194"/>
      <c r="AV18" s="194"/>
      <c r="AW18" s="194"/>
      <c r="AX18" s="195"/>
      <c r="AY18" s="199" t="s">
        <v>155</v>
      </c>
      <c r="AZ18" s="199"/>
      <c r="BA18" s="199"/>
      <c r="BB18" s="199"/>
      <c r="BC18" s="199"/>
      <c r="BD18" s="199"/>
      <c r="BE18" s="200"/>
      <c r="BF18" s="199" t="s">
        <v>242</v>
      </c>
      <c r="BG18" s="199"/>
      <c r="BH18" s="199"/>
      <c r="BI18" s="199"/>
      <c r="BJ18" s="199"/>
      <c r="BK18" s="199"/>
      <c r="BL18" s="200"/>
      <c r="BM18" s="199" t="s">
        <v>243</v>
      </c>
      <c r="BN18" s="199"/>
      <c r="BO18" s="199"/>
      <c r="BP18" s="199"/>
      <c r="BQ18" s="199"/>
      <c r="BR18" s="199"/>
      <c r="BS18" s="200" t="s">
        <v>5</v>
      </c>
      <c r="BT18" s="199" t="s">
        <v>244</v>
      </c>
      <c r="BU18" s="199"/>
      <c r="BV18" s="199"/>
      <c r="BW18" s="199"/>
      <c r="BX18" s="199"/>
      <c r="BY18" s="199"/>
      <c r="BZ18" s="200"/>
    </row>
    <row r="19" spans="1:97" s="74" customFormat="1" x14ac:dyDescent="0.25">
      <c r="A19" s="135"/>
      <c r="B19" s="136" t="s">
        <v>10</v>
      </c>
      <c r="C19" s="137" t="s">
        <v>11</v>
      </c>
      <c r="D19" s="137" t="s">
        <v>12</v>
      </c>
      <c r="E19" s="137" t="s">
        <v>13</v>
      </c>
      <c r="F19" s="138" t="s">
        <v>157</v>
      </c>
      <c r="G19" s="138" t="s">
        <v>158</v>
      </c>
      <c r="H19" s="139" t="s">
        <v>159</v>
      </c>
      <c r="I19" s="137" t="s">
        <v>10</v>
      </c>
      <c r="J19" s="137" t="s">
        <v>11</v>
      </c>
      <c r="K19" s="137" t="s">
        <v>12</v>
      </c>
      <c r="L19" s="137" t="s">
        <v>13</v>
      </c>
      <c r="M19" s="138" t="s">
        <v>157</v>
      </c>
      <c r="N19" s="138" t="s">
        <v>158</v>
      </c>
      <c r="O19" s="139" t="s">
        <v>159</v>
      </c>
      <c r="P19" s="136" t="s">
        <v>10</v>
      </c>
      <c r="Q19" s="137" t="s">
        <v>11</v>
      </c>
      <c r="R19" s="137" t="s">
        <v>12</v>
      </c>
      <c r="S19" s="137" t="s">
        <v>13</v>
      </c>
      <c r="T19" s="138" t="s">
        <v>157</v>
      </c>
      <c r="U19" s="138" t="s">
        <v>158</v>
      </c>
      <c r="V19" s="139" t="s">
        <v>159</v>
      </c>
      <c r="W19" s="136" t="s">
        <v>10</v>
      </c>
      <c r="X19" s="137" t="s">
        <v>11</v>
      </c>
      <c r="Y19" s="137" t="s">
        <v>12</v>
      </c>
      <c r="Z19" s="137" t="s">
        <v>13</v>
      </c>
      <c r="AA19" s="138" t="s">
        <v>157</v>
      </c>
      <c r="AB19" s="138" t="s">
        <v>158</v>
      </c>
      <c r="AC19" s="139" t="s">
        <v>159</v>
      </c>
      <c r="AD19" s="137" t="s">
        <v>10</v>
      </c>
      <c r="AE19" s="137" t="s">
        <v>11</v>
      </c>
      <c r="AF19" s="137" t="s">
        <v>12</v>
      </c>
      <c r="AG19" s="137" t="s">
        <v>13</v>
      </c>
      <c r="AH19" s="138" t="s">
        <v>157</v>
      </c>
      <c r="AI19" s="138" t="s">
        <v>158</v>
      </c>
      <c r="AJ19" s="139" t="s">
        <v>159</v>
      </c>
      <c r="AK19" s="75" t="s">
        <v>10</v>
      </c>
      <c r="AL19" s="76" t="s">
        <v>11</v>
      </c>
      <c r="AM19" s="76" t="s">
        <v>12</v>
      </c>
      <c r="AN19" s="76" t="s">
        <v>13</v>
      </c>
      <c r="AO19" s="79" t="s">
        <v>157</v>
      </c>
      <c r="AP19" s="79" t="s">
        <v>158</v>
      </c>
      <c r="AQ19" s="80" t="s">
        <v>159</v>
      </c>
      <c r="AR19" s="75" t="s">
        <v>10</v>
      </c>
      <c r="AS19" s="76" t="s">
        <v>11</v>
      </c>
      <c r="AT19" s="76" t="s">
        <v>12</v>
      </c>
      <c r="AU19" s="76" t="s">
        <v>13</v>
      </c>
      <c r="AV19" s="79" t="s">
        <v>157</v>
      </c>
      <c r="AW19" s="79" t="s">
        <v>158</v>
      </c>
      <c r="AX19" s="80" t="s">
        <v>159</v>
      </c>
      <c r="AY19" s="137" t="s">
        <v>10</v>
      </c>
      <c r="AZ19" s="137" t="s">
        <v>11</v>
      </c>
      <c r="BA19" s="137" t="s">
        <v>12</v>
      </c>
      <c r="BB19" s="137" t="s">
        <v>13</v>
      </c>
      <c r="BC19" s="138" t="s">
        <v>157</v>
      </c>
      <c r="BD19" s="138" t="s">
        <v>158</v>
      </c>
      <c r="BE19" s="139" t="s">
        <v>159</v>
      </c>
      <c r="BF19" s="170" t="s">
        <v>10</v>
      </c>
      <c r="BG19" s="171" t="s">
        <v>11</v>
      </c>
      <c r="BH19" s="171" t="s">
        <v>12</v>
      </c>
      <c r="BI19" s="171" t="s">
        <v>13</v>
      </c>
      <c r="BJ19" s="172" t="s">
        <v>157</v>
      </c>
      <c r="BK19" s="172" t="s">
        <v>158</v>
      </c>
      <c r="BL19" s="173" t="s">
        <v>159</v>
      </c>
      <c r="BM19" s="137" t="s">
        <v>10</v>
      </c>
      <c r="BN19" s="137" t="s">
        <v>11</v>
      </c>
      <c r="BO19" s="137" t="s">
        <v>12</v>
      </c>
      <c r="BP19" s="137" t="s">
        <v>13</v>
      </c>
      <c r="BQ19" s="138" t="s">
        <v>157</v>
      </c>
      <c r="BR19" s="138" t="s">
        <v>158</v>
      </c>
      <c r="BS19" s="139" t="s">
        <v>159</v>
      </c>
      <c r="BT19" s="136" t="s">
        <v>10</v>
      </c>
      <c r="BU19" s="137" t="s">
        <v>11</v>
      </c>
      <c r="BV19" s="137" t="s">
        <v>12</v>
      </c>
      <c r="BW19" s="137" t="s">
        <v>13</v>
      </c>
      <c r="BX19" s="138" t="s">
        <v>157</v>
      </c>
      <c r="BY19" s="138" t="s">
        <v>158</v>
      </c>
      <c r="BZ19" s="139" t="s">
        <v>159</v>
      </c>
    </row>
    <row r="20" spans="1:97" x14ac:dyDescent="0.25">
      <c r="A20" s="140" t="s">
        <v>140</v>
      </c>
      <c r="B20" s="141">
        <f>+B6</f>
        <v>88761.454545454544</v>
      </c>
      <c r="C20" s="142">
        <f t="shared" ref="C20:H20" si="13">+C6</f>
        <v>88761.454545454544</v>
      </c>
      <c r="D20" s="142">
        <f t="shared" si="13"/>
        <v>78740</v>
      </c>
      <c r="E20" s="142">
        <f t="shared" si="13"/>
        <v>78740</v>
      </c>
      <c r="F20" s="142">
        <f t="shared" si="13"/>
        <v>84587</v>
      </c>
      <c r="G20" s="142">
        <f t="shared" si="13"/>
        <v>80380.922222222231</v>
      </c>
      <c r="H20" s="143">
        <f t="shared" si="13"/>
        <v>74587</v>
      </c>
      <c r="I20" s="142">
        <f t="shared" ref="I20:I26" si="14">+B20/$B20*100</f>
        <v>100</v>
      </c>
      <c r="J20" s="142">
        <f t="shared" ref="J20:J26" si="15">+C20/$B20*100</f>
        <v>100</v>
      </c>
      <c r="K20" s="142">
        <f t="shared" ref="K20:K26" si="16">+D20/$B20*100</f>
        <v>88.709677419354833</v>
      </c>
      <c r="L20" s="144">
        <f t="shared" ref="L20:L26" si="17">+E20/$B20*100</f>
        <v>88.709677419354833</v>
      </c>
      <c r="M20" s="144">
        <f t="shared" ref="M20:M25" si="18">+F20/$B20*100</f>
        <v>95.296996239153771</v>
      </c>
      <c r="N20" s="144">
        <f t="shared" ref="N20:N26" si="19">+G20/$B20*100</f>
        <v>90.558365265476056</v>
      </c>
      <c r="O20" s="145">
        <f t="shared" ref="O20:O26" si="20">+H20/$B20*100</f>
        <v>84.030844674592572</v>
      </c>
      <c r="P20" s="141">
        <f t="shared" ref="P20:P25" si="21">+P6</f>
        <v>0</v>
      </c>
      <c r="Q20" s="142">
        <f t="shared" ref="Q20:V20" si="22">+Q6</f>
        <v>0</v>
      </c>
      <c r="R20" s="142">
        <f t="shared" si="22"/>
        <v>0</v>
      </c>
      <c r="S20" s="142">
        <f t="shared" si="22"/>
        <v>0</v>
      </c>
      <c r="T20" s="142">
        <f t="shared" si="22"/>
        <v>0</v>
      </c>
      <c r="U20" s="142">
        <f t="shared" si="22"/>
        <v>0</v>
      </c>
      <c r="V20" s="143">
        <f t="shared" si="22"/>
        <v>0</v>
      </c>
      <c r="W20" s="141">
        <f t="shared" ref="W20:W25" si="23">+W6</f>
        <v>100</v>
      </c>
      <c r="X20" s="142">
        <f t="shared" ref="X20:AC20" si="24">+X6</f>
        <v>76.027397260273972</v>
      </c>
      <c r="Y20" s="142">
        <f t="shared" si="24"/>
        <v>73.356807511737088</v>
      </c>
      <c r="Z20" s="142">
        <f t="shared" si="24"/>
        <v>79.267463199183609</v>
      </c>
      <c r="AA20" s="142">
        <f t="shared" si="24"/>
        <v>84.907884477197001</v>
      </c>
      <c r="AB20" s="142">
        <f t="shared" si="24"/>
        <v>80.015814911173393</v>
      </c>
      <c r="AC20" s="143">
        <f t="shared" si="24"/>
        <v>81.969409516498033</v>
      </c>
      <c r="AD20" s="146">
        <f t="shared" ref="AD20:AD25" si="25">+AD6/AD$15</f>
        <v>29.2</v>
      </c>
      <c r="AE20" s="147">
        <f t="shared" ref="AE20:AJ20" si="26">+AE6/AE$15</f>
        <v>21.743388834476004</v>
      </c>
      <c r="AF20" s="147">
        <f t="shared" si="26"/>
        <v>21.091012050768668</v>
      </c>
      <c r="AG20" s="147">
        <f t="shared" si="26"/>
        <v>22.381623775270473</v>
      </c>
      <c r="AH20" s="147">
        <f t="shared" si="26"/>
        <v>24.01154311328099</v>
      </c>
      <c r="AI20" s="147">
        <f t="shared" si="26"/>
        <v>22.736357637430061</v>
      </c>
      <c r="AJ20" s="148">
        <f t="shared" si="26"/>
        <v>23.547024271629667</v>
      </c>
      <c r="AK20" s="146">
        <f>+AK6/AK$15</f>
        <v>52.3</v>
      </c>
      <c r="AL20" s="147">
        <f t="shared" ref="AL20:AQ20" si="27">+AL6/AL$15</f>
        <v>46.474045053868757</v>
      </c>
      <c r="AM20" s="147">
        <f t="shared" si="27"/>
        <v>47.767771585302562</v>
      </c>
      <c r="AN20" s="147">
        <f t="shared" si="27"/>
        <v>50.799785083290246</v>
      </c>
      <c r="AO20" s="147">
        <f t="shared" si="27"/>
        <v>48.693411106732583</v>
      </c>
      <c r="AP20" s="147">
        <f t="shared" si="27"/>
        <v>52.993867801310365</v>
      </c>
      <c r="AQ20" s="148">
        <f t="shared" si="27"/>
        <v>48.009303903640699</v>
      </c>
      <c r="AR20" s="149">
        <f t="shared" ref="AR20:AX25" si="28">+AK20*1000000/B20</f>
        <v>589.21972682655041</v>
      </c>
      <c r="AS20" s="150">
        <f t="shared" si="28"/>
        <v>523.58363539513084</v>
      </c>
      <c r="AT20" s="150">
        <f t="shared" si="28"/>
        <v>606.65191243716743</v>
      </c>
      <c r="AU20" s="150">
        <f t="shared" si="28"/>
        <v>645.15856087490795</v>
      </c>
      <c r="AV20" s="150">
        <f t="shared" si="28"/>
        <v>575.66069380321539</v>
      </c>
      <c r="AW20" s="150">
        <f t="shared" si="28"/>
        <v>659.28414773349789</v>
      </c>
      <c r="AX20" s="151">
        <f t="shared" si="28"/>
        <v>643.66852003218662</v>
      </c>
      <c r="AY20" s="142">
        <f t="shared" ref="AY20:AY26" si="29">+AR20/$AR20*100</f>
        <v>100</v>
      </c>
      <c r="AZ20" s="142">
        <f t="shared" ref="AZ20:AZ26" si="30">+AS20/$AR20*100</f>
        <v>88.860506795160148</v>
      </c>
      <c r="BA20" s="142">
        <f t="shared" ref="BA20:BA26" si="31">+AT20/$AR20*100</f>
        <v>102.95852036463616</v>
      </c>
      <c r="BB20" s="144">
        <f t="shared" ref="BB20:BB26" si="32">+AU20/$AR20*100</f>
        <v>109.49371372028492</v>
      </c>
      <c r="BC20" s="144">
        <f t="shared" ref="BC20:BC26" si="33">+AV20/$AR20*100</f>
        <v>97.698815500227397</v>
      </c>
      <c r="BD20" s="144">
        <f t="shared" ref="BD20:BD26" si="34">+AW20/$AR20*100</f>
        <v>111.89105145618666</v>
      </c>
      <c r="BE20" s="144">
        <f t="shared" ref="BE20:BE26" si="35">+AX20/$AR20*100</f>
        <v>109.240829986954</v>
      </c>
      <c r="BF20" s="177">
        <f>+AD20/AK20</f>
        <v>0.55831739961759086</v>
      </c>
      <c r="BG20" s="178">
        <f t="shared" ref="BG20:BL20" si="36">+AE20/AL20</f>
        <v>0.4678609062170706</v>
      </c>
      <c r="BH20" s="178">
        <f t="shared" si="36"/>
        <v>0.44153225806451607</v>
      </c>
      <c r="BI20" s="178">
        <f t="shared" si="36"/>
        <v>0.44058500914076781</v>
      </c>
      <c r="BJ20" s="178">
        <f t="shared" si="36"/>
        <v>0.49311688311688312</v>
      </c>
      <c r="BK20" s="178">
        <f t="shared" si="36"/>
        <v>0.42903752039151716</v>
      </c>
      <c r="BL20" s="179">
        <f t="shared" si="36"/>
        <v>0.49046793760831886</v>
      </c>
      <c r="BM20" s="183">
        <f>+AK20-AD20-BT20</f>
        <v>23.099999999999998</v>
      </c>
      <c r="BN20" s="183">
        <f t="shared" ref="BN20:BS25" si="37">+AL20-AE20-BU20</f>
        <v>17.678746327130263</v>
      </c>
      <c r="BO20" s="183">
        <f t="shared" si="37"/>
        <v>18.105526326687261</v>
      </c>
      <c r="BP20" s="183">
        <f t="shared" si="37"/>
        <v>25.539197253939339</v>
      </c>
      <c r="BQ20" s="183">
        <f t="shared" si="37"/>
        <v>25.585270796916021</v>
      </c>
      <c r="BR20" s="183">
        <f t="shared" si="37"/>
        <v>30.257510163880305</v>
      </c>
      <c r="BS20" s="183">
        <f t="shared" si="37"/>
        <v>24.462279632011033</v>
      </c>
      <c r="BT20" s="146">
        <f>+BT6/BT$15</f>
        <v>0</v>
      </c>
      <c r="BU20" s="147">
        <f t="shared" ref="BU20:BZ20" si="38">+BU6/BU$15</f>
        <v>7.051909892262489</v>
      </c>
      <c r="BV20" s="147">
        <f t="shared" si="38"/>
        <v>8.57123320784663</v>
      </c>
      <c r="BW20" s="147">
        <f t="shared" si="38"/>
        <v>2.8789640540804342</v>
      </c>
      <c r="BX20" s="147">
        <f t="shared" si="38"/>
        <v>-0.90340280346442636</v>
      </c>
      <c r="BY20" s="147">
        <f t="shared" si="38"/>
        <v>0</v>
      </c>
      <c r="BZ20" s="148">
        <f t="shared" si="38"/>
        <v>0</v>
      </c>
      <c r="CR20" s="61"/>
      <c r="CS20" s="61"/>
    </row>
    <row r="21" spans="1:97" x14ac:dyDescent="0.25">
      <c r="A21" s="140" t="s">
        <v>154</v>
      </c>
      <c r="B21" s="141">
        <f t="shared" ref="B21:H21" si="39">+B7</f>
        <v>613716</v>
      </c>
      <c r="C21" s="142">
        <f t="shared" si="39"/>
        <v>612621</v>
      </c>
      <c r="D21" s="142">
        <f t="shared" si="39"/>
        <v>613426</v>
      </c>
      <c r="E21" s="142">
        <f t="shared" si="39"/>
        <v>594508</v>
      </c>
      <c r="F21" s="142">
        <f t="shared" si="39"/>
        <v>556367</v>
      </c>
      <c r="G21" s="142">
        <f t="shared" si="39"/>
        <v>547194</v>
      </c>
      <c r="H21" s="143">
        <f t="shared" si="39"/>
        <v>548977</v>
      </c>
      <c r="I21" s="142">
        <f t="shared" si="14"/>
        <v>100</v>
      </c>
      <c r="J21" s="142">
        <f t="shared" si="15"/>
        <v>99.821578710674004</v>
      </c>
      <c r="K21" s="142">
        <f t="shared" si="16"/>
        <v>99.952746873146538</v>
      </c>
      <c r="L21" s="142">
        <f t="shared" si="17"/>
        <v>96.870213584133381</v>
      </c>
      <c r="M21" s="142">
        <f t="shared" si="18"/>
        <v>90.655449752002554</v>
      </c>
      <c r="N21" s="142">
        <f t="shared" si="19"/>
        <v>89.160784467082493</v>
      </c>
      <c r="O21" s="143">
        <f t="shared" si="20"/>
        <v>89.451309726322918</v>
      </c>
      <c r="P21" s="141">
        <f t="shared" si="21"/>
        <v>14521000</v>
      </c>
      <c r="Q21" s="142">
        <f t="shared" ref="Q21:V25" si="40">+Q7</f>
        <v>9472000</v>
      </c>
      <c r="R21" s="142">
        <f t="shared" si="40"/>
        <v>8938000</v>
      </c>
      <c r="S21" s="142">
        <f t="shared" si="40"/>
        <v>11162000</v>
      </c>
      <c r="T21" s="142">
        <f t="shared" si="40"/>
        <v>11074000</v>
      </c>
      <c r="U21" s="142">
        <f t="shared" si="40"/>
        <v>11244000</v>
      </c>
      <c r="V21" s="143">
        <f t="shared" si="40"/>
        <v>11430000</v>
      </c>
      <c r="W21" s="141">
        <f t="shared" si="23"/>
        <v>100</v>
      </c>
      <c r="X21" s="142">
        <f t="shared" ref="X21:AC25" si="41">+X7</f>
        <v>65.229667378279728</v>
      </c>
      <c r="Y21" s="142">
        <f t="shared" si="41"/>
        <v>61.552234694580264</v>
      </c>
      <c r="Z21" s="142">
        <f t="shared" si="41"/>
        <v>76.867984298602025</v>
      </c>
      <c r="AA21" s="142">
        <f t="shared" si="41"/>
        <v>76.261965429378137</v>
      </c>
      <c r="AB21" s="142">
        <f t="shared" si="41"/>
        <v>77.432683699469735</v>
      </c>
      <c r="AC21" s="143">
        <f t="shared" si="41"/>
        <v>78.713587218511123</v>
      </c>
      <c r="AD21" s="149">
        <f t="shared" si="25"/>
        <v>195.738</v>
      </c>
      <c r="AE21" s="150">
        <f t="shared" ref="AE21:AJ25" si="42">+AE7/AE$15</f>
        <v>129.01469147894221</v>
      </c>
      <c r="AF21" s="150">
        <f t="shared" si="42"/>
        <v>144.7902792584824</v>
      </c>
      <c r="AG21" s="150">
        <f t="shared" si="42"/>
        <v>144.67815939644339</v>
      </c>
      <c r="AH21" s="150">
        <f t="shared" si="42"/>
        <v>144.9030994672836</v>
      </c>
      <c r="AI21" s="150">
        <f t="shared" si="42"/>
        <v>141.60514756695986</v>
      </c>
      <c r="AJ21" s="151">
        <f t="shared" si="42"/>
        <v>147.52252308692368</v>
      </c>
      <c r="AK21" s="149">
        <f t="shared" ref="AK21:AQ21" si="43">+AK7/AK$15</f>
        <v>487.22199999999998</v>
      </c>
      <c r="AL21" s="150">
        <f t="shared" si="43"/>
        <v>481.6238981390793</v>
      </c>
      <c r="AM21" s="150">
        <f t="shared" si="43"/>
        <v>492.58106797565785</v>
      </c>
      <c r="AN21" s="150">
        <f t="shared" si="43"/>
        <v>505.88134790411232</v>
      </c>
      <c r="AO21" s="150">
        <f t="shared" si="43"/>
        <v>472.32066731848522</v>
      </c>
      <c r="AP21" s="150">
        <f t="shared" si="43"/>
        <v>449.72947656981864</v>
      </c>
      <c r="AQ21" s="151">
        <f t="shared" si="43"/>
        <v>444.55200929214328</v>
      </c>
      <c r="AR21" s="149">
        <f t="shared" si="28"/>
        <v>793.88837833786306</v>
      </c>
      <c r="AS21" s="150">
        <f t="shared" si="28"/>
        <v>786.16942308389571</v>
      </c>
      <c r="AT21" s="150">
        <f t="shared" si="28"/>
        <v>802.99998365843282</v>
      </c>
      <c r="AU21" s="150">
        <f t="shared" si="28"/>
        <v>850.92437427942491</v>
      </c>
      <c r="AV21" s="150">
        <f t="shared" si="28"/>
        <v>848.9372434355115</v>
      </c>
      <c r="AW21" s="150">
        <f t="shared" si="28"/>
        <v>821.88305531460253</v>
      </c>
      <c r="AX21" s="151">
        <f t="shared" si="28"/>
        <v>809.78257612275797</v>
      </c>
      <c r="AY21" s="142">
        <f t="shared" si="29"/>
        <v>100</v>
      </c>
      <c r="AZ21" s="142">
        <f t="shared" si="30"/>
        <v>99.027702701716294</v>
      </c>
      <c r="BA21" s="142">
        <f t="shared" si="31"/>
        <v>101.14771869310475</v>
      </c>
      <c r="BB21" s="142">
        <f t="shared" si="32"/>
        <v>107.18438479487207</v>
      </c>
      <c r="BC21" s="142">
        <f t="shared" si="33"/>
        <v>106.93408123858701</v>
      </c>
      <c r="BD21" s="142">
        <f t="shared" si="34"/>
        <v>103.52627368539528</v>
      </c>
      <c r="BE21" s="142">
        <f t="shared" si="35"/>
        <v>102.00206958794031</v>
      </c>
      <c r="BF21" s="152">
        <f t="shared" ref="BF21:BF25" si="44">+AD21/AK21</f>
        <v>0.40174294264216315</v>
      </c>
      <c r="BG21" s="153">
        <f t="shared" ref="BG21:BG25" si="45">+AE21/AL21</f>
        <v>0.26787435585616731</v>
      </c>
      <c r="BH21" s="153">
        <f t="shared" ref="BH21:BH25" si="46">+AF21/AM21</f>
        <v>0.29394203040226791</v>
      </c>
      <c r="BI21" s="153">
        <f t="shared" ref="BI21:BI25" si="47">+AG21/AN21</f>
        <v>0.28599227861602544</v>
      </c>
      <c r="BJ21" s="153">
        <f t="shared" ref="BJ21:BJ25" si="48">+AH21/AO21</f>
        <v>0.30678966535583679</v>
      </c>
      <c r="BK21" s="153">
        <f t="shared" ref="BK21:BK25" si="49">+AI21/AP21</f>
        <v>0.31486739238666789</v>
      </c>
      <c r="BL21" s="154">
        <f t="shared" ref="BL21:BL25" si="50">+AJ21/AQ21</f>
        <v>0.33184536342963034</v>
      </c>
      <c r="BM21" s="183">
        <f t="shared" ref="BM21:BM25" si="51">+AK21-AD21-BT21</f>
        <v>291.48399999999998</v>
      </c>
      <c r="BN21" s="183">
        <f t="shared" si="37"/>
        <v>285.72477962781585</v>
      </c>
      <c r="BO21" s="183">
        <f t="shared" si="37"/>
        <v>283.81664494966583</v>
      </c>
      <c r="BP21" s="183">
        <f t="shared" si="37"/>
        <v>344.30181211405284</v>
      </c>
      <c r="BQ21" s="183">
        <f t="shared" si="37"/>
        <v>320.63210939438034</v>
      </c>
      <c r="BR21" s="183">
        <f t="shared" si="37"/>
        <v>308.50038662918126</v>
      </c>
      <c r="BS21" s="183">
        <f t="shared" si="37"/>
        <v>297.0294862052196</v>
      </c>
      <c r="BT21" s="149">
        <f t="shared" ref="BT21:BZ21" si="52">+BT7/BT$15</f>
        <v>0</v>
      </c>
      <c r="BU21" s="150">
        <f t="shared" si="52"/>
        <v>66.884427032321256</v>
      </c>
      <c r="BV21" s="150">
        <f t="shared" si="52"/>
        <v>63.974143767509645</v>
      </c>
      <c r="BW21" s="150">
        <f t="shared" si="52"/>
        <v>16.901376393616072</v>
      </c>
      <c r="BX21" s="150">
        <f t="shared" si="52"/>
        <v>6.7854584568213072</v>
      </c>
      <c r="BY21" s="150">
        <f t="shared" si="52"/>
        <v>-0.37605762632251249</v>
      </c>
      <c r="BZ21" s="151">
        <f t="shared" si="52"/>
        <v>0</v>
      </c>
      <c r="CR21" s="61"/>
      <c r="CS21" s="61"/>
    </row>
    <row r="22" spans="1:97" x14ac:dyDescent="0.25">
      <c r="A22" s="140" t="s">
        <v>145</v>
      </c>
      <c r="B22" s="141">
        <f t="shared" ref="B22:H22" si="53">+B8</f>
        <v>1858390.8900000001</v>
      </c>
      <c r="C22" s="142">
        <f t="shared" si="53"/>
        <v>1819554.2681637742</v>
      </c>
      <c r="D22" s="142">
        <f t="shared" si="53"/>
        <v>1819500.5999999999</v>
      </c>
      <c r="E22" s="142">
        <f t="shared" si="53"/>
        <v>1814712.9966666666</v>
      </c>
      <c r="F22" s="142">
        <f t="shared" si="53"/>
        <v>1760440.2067735032</v>
      </c>
      <c r="G22" s="142">
        <f t="shared" si="53"/>
        <v>1683113.3827839964</v>
      </c>
      <c r="H22" s="143">
        <f t="shared" si="53"/>
        <v>1664086.8273310594</v>
      </c>
      <c r="I22" s="142">
        <f t="shared" si="14"/>
        <v>100</v>
      </c>
      <c r="J22" s="142">
        <f t="shared" si="15"/>
        <v>97.91020166719467</v>
      </c>
      <c r="K22" s="142">
        <f t="shared" si="16"/>
        <v>97.907313783700246</v>
      </c>
      <c r="L22" s="142">
        <f t="shared" si="17"/>
        <v>97.649692883861832</v>
      </c>
      <c r="M22" s="142">
        <f t="shared" si="18"/>
        <v>94.729274462462683</v>
      </c>
      <c r="N22" s="142">
        <f t="shared" si="19"/>
        <v>90.568318637420589</v>
      </c>
      <c r="O22" s="143">
        <f t="shared" si="20"/>
        <v>89.544499829691873</v>
      </c>
      <c r="P22" s="141">
        <f t="shared" si="21"/>
        <v>56080340.173126161</v>
      </c>
      <c r="Q22" s="142">
        <f t="shared" si="40"/>
        <v>37040736.907946534</v>
      </c>
      <c r="R22" s="142">
        <f t="shared" si="40"/>
        <v>35278757.059137404</v>
      </c>
      <c r="S22" s="142">
        <f t="shared" si="40"/>
        <v>46535727.351767287</v>
      </c>
      <c r="T22" s="142">
        <f t="shared" si="40"/>
        <v>49263612</v>
      </c>
      <c r="U22" s="142">
        <f t="shared" si="40"/>
        <v>48402704</v>
      </c>
      <c r="V22" s="143">
        <f t="shared" si="40"/>
        <v>48402704</v>
      </c>
      <c r="W22" s="141">
        <f t="shared" si="23"/>
        <v>100</v>
      </c>
      <c r="X22" s="142">
        <f t="shared" si="41"/>
        <v>66.049415523510945</v>
      </c>
      <c r="Y22" s="142">
        <f t="shared" si="41"/>
        <v>62.907530429073745</v>
      </c>
      <c r="Z22" s="142">
        <f t="shared" si="41"/>
        <v>82.980465539449995</v>
      </c>
      <c r="AA22" s="142">
        <f t="shared" si="41"/>
        <v>87.844709657462545</v>
      </c>
      <c r="AB22" s="142">
        <f t="shared" si="41"/>
        <v>86.309576316005831</v>
      </c>
      <c r="AC22" s="143">
        <f t="shared" si="41"/>
        <v>86.309576316005831</v>
      </c>
      <c r="AD22" s="149">
        <f t="shared" si="25"/>
        <v>685.51131050000004</v>
      </c>
      <c r="AE22" s="150">
        <f t="shared" si="42"/>
        <v>469.11168168462297</v>
      </c>
      <c r="AF22" s="150">
        <f t="shared" si="42"/>
        <v>442.06642127900147</v>
      </c>
      <c r="AG22" s="150">
        <f t="shared" si="42"/>
        <v>571.19521304754278</v>
      </c>
      <c r="AH22" s="150">
        <f t="shared" si="42"/>
        <v>611.47909621964959</v>
      </c>
      <c r="AI22" s="150">
        <f t="shared" si="42"/>
        <v>623.31594787970948</v>
      </c>
      <c r="AJ22" s="151">
        <f t="shared" si="42"/>
        <v>607.64385810948158</v>
      </c>
      <c r="AK22" s="149">
        <f t="shared" ref="AK22:AQ22" si="54">+AK8/AK$15</f>
        <v>1391.0046257400002</v>
      </c>
      <c r="AL22" s="150">
        <f t="shared" si="54"/>
        <v>1320.5968824779629</v>
      </c>
      <c r="AM22" s="150">
        <f t="shared" si="54"/>
        <v>1334.7596538858991</v>
      </c>
      <c r="AN22" s="150">
        <f t="shared" si="54"/>
        <v>1403.0260188053624</v>
      </c>
      <c r="AO22" s="150">
        <f t="shared" si="54"/>
        <v>1310.6195883458231</v>
      </c>
      <c r="AP22" s="150">
        <f t="shared" si="54"/>
        <v>1256.2811181680299</v>
      </c>
      <c r="AQ22" s="151">
        <f t="shared" si="54"/>
        <v>1261.0692019589965</v>
      </c>
      <c r="AR22" s="149">
        <f t="shared" si="28"/>
        <v>748.49948588587847</v>
      </c>
      <c r="AS22" s="150">
        <f t="shared" si="28"/>
        <v>725.78043182556996</v>
      </c>
      <c r="AT22" s="150">
        <f t="shared" si="28"/>
        <v>733.58571790847395</v>
      </c>
      <c r="AU22" s="150">
        <f t="shared" si="28"/>
        <v>773.1393456609909</v>
      </c>
      <c r="AV22" s="150">
        <f t="shared" si="28"/>
        <v>744.48401218232698</v>
      </c>
      <c r="AW22" s="150">
        <f t="shared" si="28"/>
        <v>746.40314254411453</v>
      </c>
      <c r="AX22" s="151">
        <f t="shared" si="28"/>
        <v>757.81454503882981</v>
      </c>
      <c r="AY22" s="142">
        <f t="shared" si="29"/>
        <v>100</v>
      </c>
      <c r="AZ22" s="142">
        <f t="shared" si="30"/>
        <v>96.96472015162179</v>
      </c>
      <c r="BA22" s="142">
        <f t="shared" si="31"/>
        <v>98.007511259710029</v>
      </c>
      <c r="BB22" s="142">
        <f t="shared" si="32"/>
        <v>103.29190069462109</v>
      </c>
      <c r="BC22" s="142">
        <f t="shared" si="33"/>
        <v>99.463530198848559</v>
      </c>
      <c r="BD22" s="142">
        <f t="shared" si="34"/>
        <v>99.719927216879398</v>
      </c>
      <c r="BE22" s="142">
        <f t="shared" si="35"/>
        <v>101.24449773561656</v>
      </c>
      <c r="BF22" s="152">
        <f t="shared" si="44"/>
        <v>0.49281741973741827</v>
      </c>
      <c r="BG22" s="153">
        <f t="shared" si="45"/>
        <v>0.35522700977786925</v>
      </c>
      <c r="BH22" s="153">
        <f t="shared" si="46"/>
        <v>0.33119552272351738</v>
      </c>
      <c r="BI22" s="153">
        <f t="shared" si="47"/>
        <v>0.4071166217814689</v>
      </c>
      <c r="BJ22" s="153">
        <f t="shared" si="48"/>
        <v>0.46655726929231833</v>
      </c>
      <c r="BK22" s="153">
        <f t="shared" si="49"/>
        <v>0.49615960859831998</v>
      </c>
      <c r="BL22" s="154">
        <f t="shared" si="50"/>
        <v>0.48184814692607097</v>
      </c>
      <c r="BM22" s="183">
        <f t="shared" si="51"/>
        <v>705.49331524000013</v>
      </c>
      <c r="BN22" s="183">
        <f t="shared" si="37"/>
        <v>628.91649003917746</v>
      </c>
      <c r="BO22" s="183">
        <f t="shared" si="37"/>
        <v>670.5968797533028</v>
      </c>
      <c r="BP22" s="183">
        <f t="shared" si="37"/>
        <v>783.22028452023551</v>
      </c>
      <c r="BQ22" s="183">
        <f t="shared" si="37"/>
        <v>672.20782348423347</v>
      </c>
      <c r="BR22" s="183">
        <f t="shared" si="37"/>
        <v>632.96517028832045</v>
      </c>
      <c r="BS22" s="183">
        <f t="shared" si="37"/>
        <v>653.42534384951489</v>
      </c>
      <c r="BT22" s="149">
        <f t="shared" ref="BT22:BZ22" si="55">+BT8/BT$15</f>
        <v>0</v>
      </c>
      <c r="BU22" s="150">
        <f t="shared" si="55"/>
        <v>222.56871075416259</v>
      </c>
      <c r="BV22" s="150">
        <f t="shared" si="55"/>
        <v>222.09635285359474</v>
      </c>
      <c r="BW22" s="150">
        <f t="shared" si="55"/>
        <v>48.610521237584109</v>
      </c>
      <c r="BX22" s="150">
        <f t="shared" si="55"/>
        <v>26.932668641940072</v>
      </c>
      <c r="BY22" s="150">
        <f t="shared" si="55"/>
        <v>0</v>
      </c>
      <c r="BZ22" s="151">
        <f t="shared" si="55"/>
        <v>0</v>
      </c>
      <c r="CR22" s="61"/>
      <c r="CS22" s="61"/>
    </row>
    <row r="23" spans="1:97" x14ac:dyDescent="0.25">
      <c r="A23" s="140" t="s">
        <v>147</v>
      </c>
      <c r="B23" s="141">
        <f t="shared" ref="B23:H23" si="56">+B9</f>
        <v>4232703.616542913</v>
      </c>
      <c r="C23" s="142">
        <f t="shared" si="56"/>
        <v>4084195.8992786179</v>
      </c>
      <c r="D23" s="142">
        <f t="shared" si="56"/>
        <v>4077598.3166151098</v>
      </c>
      <c r="E23" s="142">
        <f t="shared" si="56"/>
        <v>4119023.9781517927</v>
      </c>
      <c r="F23" s="142">
        <f t="shared" si="56"/>
        <v>4114493.9799717814</v>
      </c>
      <c r="G23" s="142">
        <f t="shared" si="56"/>
        <v>4063325.9040185204</v>
      </c>
      <c r="H23" s="143">
        <f t="shared" si="56"/>
        <v>4001022.0019999975</v>
      </c>
      <c r="I23" s="142">
        <f t="shared" si="14"/>
        <v>100</v>
      </c>
      <c r="J23" s="142">
        <f t="shared" si="15"/>
        <v>96.491421778650562</v>
      </c>
      <c r="K23" s="142">
        <f t="shared" si="16"/>
        <v>96.335550183065109</v>
      </c>
      <c r="L23" s="142">
        <f t="shared" si="17"/>
        <v>97.314254701254782</v>
      </c>
      <c r="M23" s="142">
        <f t="shared" si="18"/>
        <v>97.20723095023412</v>
      </c>
      <c r="N23" s="142">
        <f t="shared" si="19"/>
        <v>95.998356420175412</v>
      </c>
      <c r="O23" s="143">
        <f t="shared" si="20"/>
        <v>94.526391745516477</v>
      </c>
      <c r="P23" s="141">
        <f t="shared" si="21"/>
        <v>192768088.90863076</v>
      </c>
      <c r="Q23" s="142">
        <f t="shared" si="40"/>
        <v>122143872.54422235</v>
      </c>
      <c r="R23" s="142">
        <f t="shared" si="40"/>
        <v>120234793.53361161</v>
      </c>
      <c r="S23" s="142">
        <f t="shared" si="40"/>
        <v>150288700.04416904</v>
      </c>
      <c r="T23" s="142">
        <f t="shared" si="40"/>
        <v>160111680.38315192</v>
      </c>
      <c r="U23" s="142">
        <f t="shared" si="40"/>
        <v>163994527.22642446</v>
      </c>
      <c r="V23" s="143">
        <f t="shared" si="40"/>
        <v>160743847.31185833</v>
      </c>
      <c r="W23" s="141">
        <f t="shared" si="23"/>
        <v>100</v>
      </c>
      <c r="X23" s="142">
        <f t="shared" si="41"/>
        <v>63.363118468283794</v>
      </c>
      <c r="Y23" s="142">
        <f t="shared" si="41"/>
        <v>62.372768342690343</v>
      </c>
      <c r="Z23" s="142">
        <f t="shared" si="41"/>
        <v>77.96347460569767</v>
      </c>
      <c r="AA23" s="142">
        <f t="shared" si="41"/>
        <v>83.059224838319849</v>
      </c>
      <c r="AB23" s="142">
        <f t="shared" si="41"/>
        <v>85.07348293739399</v>
      </c>
      <c r="AC23" s="143">
        <f t="shared" si="41"/>
        <v>83.38716652840219</v>
      </c>
      <c r="AD23" s="149">
        <f t="shared" si="25"/>
        <v>1696.3557801938475</v>
      </c>
      <c r="AE23" s="150">
        <f t="shared" si="42"/>
        <v>1093.0627136950256</v>
      </c>
      <c r="AF23" s="150">
        <f t="shared" si="42"/>
        <v>1160.5901278675319</v>
      </c>
      <c r="AG23" s="150">
        <f t="shared" si="42"/>
        <v>1348.0641708160165</v>
      </c>
      <c r="AH23" s="150">
        <f t="shared" si="42"/>
        <v>1503.2601659139575</v>
      </c>
      <c r="AI23" s="150">
        <f t="shared" si="42"/>
        <v>1606.3144545752968</v>
      </c>
      <c r="AJ23" s="151">
        <f t="shared" si="42"/>
        <v>1558.6195578408447</v>
      </c>
      <c r="AK23" s="149">
        <f t="shared" ref="AK23:AQ23" si="57">+AK9/AK$15</f>
        <v>3110.7431038200007</v>
      </c>
      <c r="AL23" s="150">
        <f t="shared" si="57"/>
        <v>2997.3504356121457</v>
      </c>
      <c r="AM23" s="150">
        <f t="shared" si="57"/>
        <v>3055.8823201172618</v>
      </c>
      <c r="AN23" s="150">
        <f t="shared" si="57"/>
        <v>3232.1537191299535</v>
      </c>
      <c r="AO23" s="150">
        <f t="shared" si="57"/>
        <v>3173.1415760662371</v>
      </c>
      <c r="AP23" s="150">
        <f t="shared" si="57"/>
        <v>2938.1965059845761</v>
      </c>
      <c r="AQ23" s="151">
        <f t="shared" si="57"/>
        <v>2934.244229960841</v>
      </c>
      <c r="AR23" s="149">
        <f t="shared" si="28"/>
        <v>734.93052801101146</v>
      </c>
      <c r="AS23" s="150">
        <f t="shared" si="28"/>
        <v>733.8899772514734</v>
      </c>
      <c r="AT23" s="150">
        <f t="shared" si="28"/>
        <v>749.431916249663</v>
      </c>
      <c r="AU23" s="150">
        <f t="shared" si="28"/>
        <v>784.68922159084434</v>
      </c>
      <c r="AV23" s="150">
        <f t="shared" si="28"/>
        <v>771.21064984229224</v>
      </c>
      <c r="AW23" s="150">
        <f t="shared" si="28"/>
        <v>723.10136459366413</v>
      </c>
      <c r="AX23" s="151">
        <f t="shared" si="28"/>
        <v>733.37368014824608</v>
      </c>
      <c r="AY23" s="142">
        <f t="shared" si="29"/>
        <v>100</v>
      </c>
      <c r="AZ23" s="142">
        <f t="shared" si="30"/>
        <v>99.858415085524584</v>
      </c>
      <c r="BA23" s="142">
        <f t="shared" si="31"/>
        <v>101.97316449459481</v>
      </c>
      <c r="BB23" s="142">
        <f t="shared" si="32"/>
        <v>106.77053023154419</v>
      </c>
      <c r="BC23" s="142">
        <f t="shared" si="33"/>
        <v>104.93653759756967</v>
      </c>
      <c r="BD23" s="142">
        <f t="shared" si="34"/>
        <v>98.390437875895373</v>
      </c>
      <c r="BE23" s="142">
        <f t="shared" si="35"/>
        <v>99.788163941566182</v>
      </c>
      <c r="BF23" s="152">
        <f t="shared" si="44"/>
        <v>0.5453217201094871</v>
      </c>
      <c r="BG23" s="153">
        <f t="shared" si="45"/>
        <v>0.36467631569139181</v>
      </c>
      <c r="BH23" s="153">
        <f t="shared" si="46"/>
        <v>0.37978888134114969</v>
      </c>
      <c r="BI23" s="153">
        <f t="shared" si="47"/>
        <v>0.41707922579217388</v>
      </c>
      <c r="BJ23" s="153">
        <f t="shared" si="48"/>
        <v>0.47374506616800827</v>
      </c>
      <c r="BK23" s="153">
        <f t="shared" si="49"/>
        <v>0.54670082525233565</v>
      </c>
      <c r="BL23" s="154">
        <f t="shared" si="50"/>
        <v>0.53118262683322892</v>
      </c>
      <c r="BM23" s="183">
        <f t="shared" si="51"/>
        <v>1414.3873236261531</v>
      </c>
      <c r="BN23" s="183">
        <f t="shared" si="37"/>
        <v>1418.8214879504208</v>
      </c>
      <c r="BO23" s="183">
        <f t="shared" si="37"/>
        <v>1466.11716645417</v>
      </c>
      <c r="BP23" s="183">
        <f t="shared" si="37"/>
        <v>1787.7460758700729</v>
      </c>
      <c r="BQ23" s="183">
        <f t="shared" si="37"/>
        <v>1613.8196462459139</v>
      </c>
      <c r="BR23" s="183">
        <f t="shared" si="37"/>
        <v>1330.4172746874035</v>
      </c>
      <c r="BS23" s="183">
        <f t="shared" si="37"/>
        <v>1375.6246721199964</v>
      </c>
      <c r="BT23" s="149">
        <f t="shared" ref="BT23:BZ23" si="58">+BT9/BT$15</f>
        <v>0</v>
      </c>
      <c r="BU23" s="150">
        <f t="shared" si="58"/>
        <v>485.46623396669929</v>
      </c>
      <c r="BV23" s="150">
        <f t="shared" si="58"/>
        <v>429.17502579555986</v>
      </c>
      <c r="BW23" s="150">
        <f t="shared" si="58"/>
        <v>96.343472443864172</v>
      </c>
      <c r="BX23" s="150">
        <f t="shared" si="58"/>
        <v>56.061763906365634</v>
      </c>
      <c r="BY23" s="150">
        <f t="shared" si="58"/>
        <v>1.4647767218758516</v>
      </c>
      <c r="BZ23" s="151">
        <f t="shared" si="58"/>
        <v>0</v>
      </c>
      <c r="CR23" s="61"/>
      <c r="CS23" s="61"/>
    </row>
    <row r="24" spans="1:97" x14ac:dyDescent="0.25">
      <c r="A24" s="140" t="s">
        <v>0</v>
      </c>
      <c r="B24" s="141">
        <f t="shared" ref="B24:H24" si="59">+B10</f>
        <v>914096.11666666646</v>
      </c>
      <c r="C24" s="142">
        <f t="shared" si="59"/>
        <v>908325.76000000024</v>
      </c>
      <c r="D24" s="142">
        <f t="shared" si="59"/>
        <v>902110.55000000028</v>
      </c>
      <c r="E24" s="142">
        <f t="shared" si="59"/>
        <v>899044.10000000009</v>
      </c>
      <c r="F24" s="142">
        <f t="shared" si="59"/>
        <v>863332.1</v>
      </c>
      <c r="G24" s="142">
        <f t="shared" si="59"/>
        <v>841145.16709677398</v>
      </c>
      <c r="H24" s="143">
        <f t="shared" si="59"/>
        <v>840148.23839999968</v>
      </c>
      <c r="I24" s="142">
        <f t="shared" si="14"/>
        <v>100</v>
      </c>
      <c r="J24" s="142">
        <f t="shared" si="15"/>
        <v>99.368736332924328</v>
      </c>
      <c r="K24" s="142">
        <f t="shared" si="16"/>
        <v>98.688806740545772</v>
      </c>
      <c r="L24" s="142">
        <f t="shared" si="17"/>
        <v>98.35334420612628</v>
      </c>
      <c r="M24" s="142">
        <f t="shared" si="18"/>
        <v>94.446534041542364</v>
      </c>
      <c r="N24" s="142">
        <f t="shared" si="19"/>
        <v>92.019334921155263</v>
      </c>
      <c r="O24" s="143">
        <f t="shared" si="20"/>
        <v>91.910273228561095</v>
      </c>
      <c r="P24" s="141">
        <f t="shared" si="21"/>
        <v>22549745</v>
      </c>
      <c r="Q24" s="142">
        <f t="shared" si="40"/>
        <v>13774595</v>
      </c>
      <c r="R24" s="142">
        <f t="shared" si="40"/>
        <v>12904203</v>
      </c>
      <c r="S24" s="142">
        <f t="shared" si="40"/>
        <v>17076441</v>
      </c>
      <c r="T24" s="142">
        <f t="shared" si="40"/>
        <v>19453486</v>
      </c>
      <c r="U24" s="142" t="str">
        <f t="shared" si="40"/>
        <v>n/a</v>
      </c>
      <c r="V24" s="143" t="str">
        <f t="shared" si="40"/>
        <v>n/a</v>
      </c>
      <c r="W24" s="141">
        <f t="shared" si="23"/>
        <v>100</v>
      </c>
      <c r="X24" s="142">
        <f t="shared" si="41"/>
        <v>71.138394692986338</v>
      </c>
      <c r="Y24" s="142">
        <f t="shared" si="41"/>
        <v>69.599752852004229</v>
      </c>
      <c r="Z24" s="142">
        <f t="shared" si="41"/>
        <v>87.259986937137015</v>
      </c>
      <c r="AA24" s="142">
        <f t="shared" si="41"/>
        <v>103.55398726783061</v>
      </c>
      <c r="AB24" s="142">
        <f t="shared" si="41"/>
        <v>113.09385025013515</v>
      </c>
      <c r="AC24" s="143">
        <f t="shared" si="41"/>
        <v>116.21787891649298</v>
      </c>
      <c r="AD24" s="149">
        <f t="shared" si="25"/>
        <v>292.58901439704482</v>
      </c>
      <c r="AE24" s="150">
        <f t="shared" si="42"/>
        <v>207.73540383937322</v>
      </c>
      <c r="AF24" s="150">
        <f t="shared" si="42"/>
        <v>202.04325567843094</v>
      </c>
      <c r="AG24" s="150">
        <f t="shared" si="42"/>
        <v>244.27163979065975</v>
      </c>
      <c r="AH24" s="150">
        <f t="shared" si="42"/>
        <v>273.71983886757403</v>
      </c>
      <c r="AI24" s="150">
        <f t="shared" si="42"/>
        <v>286.06330325020321</v>
      </c>
      <c r="AJ24" s="151">
        <f t="shared" si="42"/>
        <v>282.9310145084084</v>
      </c>
      <c r="AK24" s="149">
        <f t="shared" ref="AK24:AQ24" si="60">+AK10/AK$15</f>
        <v>683.74042844474991</v>
      </c>
      <c r="AL24" s="150">
        <f t="shared" si="60"/>
        <v>680.32636214960837</v>
      </c>
      <c r="AM24" s="150">
        <f t="shared" si="60"/>
        <v>694.6990686001069</v>
      </c>
      <c r="AN24" s="150">
        <f t="shared" si="60"/>
        <v>739.80038371447097</v>
      </c>
      <c r="AO24" s="150">
        <f t="shared" si="60"/>
        <v>694.24371792339457</v>
      </c>
      <c r="AP24" s="150">
        <f t="shared" si="60"/>
        <v>632.14195259864971</v>
      </c>
      <c r="AQ24" s="151">
        <f t="shared" si="60"/>
        <v>655.04004812095889</v>
      </c>
      <c r="AR24" s="149">
        <f t="shared" si="28"/>
        <v>747.99620737704345</v>
      </c>
      <c r="AS24" s="150">
        <f t="shared" si="28"/>
        <v>748.98939577537487</v>
      </c>
      <c r="AT24" s="150">
        <f t="shared" si="28"/>
        <v>770.08196900048085</v>
      </c>
      <c r="AU24" s="150">
        <f t="shared" si="28"/>
        <v>822.87441040375097</v>
      </c>
      <c r="AV24" s="150">
        <f t="shared" si="28"/>
        <v>804.14445139175825</v>
      </c>
      <c r="AW24" s="150">
        <f t="shared" si="28"/>
        <v>751.52539338779991</v>
      </c>
      <c r="AX24" s="151">
        <f t="shared" si="28"/>
        <v>779.67198903902283</v>
      </c>
      <c r="AY24" s="142">
        <f t="shared" si="29"/>
        <v>100</v>
      </c>
      <c r="AZ24" s="142">
        <f t="shared" si="30"/>
        <v>100.13277987087852</v>
      </c>
      <c r="BA24" s="142">
        <f t="shared" si="31"/>
        <v>102.95265689927551</v>
      </c>
      <c r="BB24" s="142">
        <f t="shared" si="32"/>
        <v>110.01050570687767</v>
      </c>
      <c r="BC24" s="142">
        <f t="shared" si="33"/>
        <v>107.50648779511953</v>
      </c>
      <c r="BD24" s="142">
        <f t="shared" si="34"/>
        <v>100.47181870388515</v>
      </c>
      <c r="BE24" s="142">
        <f t="shared" si="35"/>
        <v>104.23475164039336</v>
      </c>
      <c r="BF24" s="152">
        <f t="shared" si="44"/>
        <v>0.4279241101225707</v>
      </c>
      <c r="BG24" s="153">
        <f t="shared" si="45"/>
        <v>0.30534669152463445</v>
      </c>
      <c r="BH24" s="153">
        <f t="shared" si="46"/>
        <v>0.29083565073085493</v>
      </c>
      <c r="BI24" s="153">
        <f t="shared" si="47"/>
        <v>0.3301858787423087</v>
      </c>
      <c r="BJ24" s="153">
        <f t="shared" si="48"/>
        <v>0.39427053036406057</v>
      </c>
      <c r="BK24" s="153">
        <f t="shared" si="49"/>
        <v>0.45253016679914349</v>
      </c>
      <c r="BL24" s="154">
        <f t="shared" si="50"/>
        <v>0.43192933824431251</v>
      </c>
      <c r="BM24" s="183">
        <f t="shared" si="51"/>
        <v>391.15141404770509</v>
      </c>
      <c r="BN24" s="183">
        <f t="shared" si="37"/>
        <v>361.49552624238527</v>
      </c>
      <c r="BO24" s="183">
        <f t="shared" si="37"/>
        <v>374.86269247879369</v>
      </c>
      <c r="BP24" s="183">
        <f t="shared" si="37"/>
        <v>460.29779720399233</v>
      </c>
      <c r="BQ24" s="183">
        <f t="shared" si="37"/>
        <v>410.49526161155109</v>
      </c>
      <c r="BR24" s="183">
        <f t="shared" si="37"/>
        <v>345.58647170596282</v>
      </c>
      <c r="BS24" s="183">
        <f t="shared" si="37"/>
        <v>372.10903361255049</v>
      </c>
      <c r="BT24" s="149">
        <f t="shared" ref="BT24:BZ24" si="61">+BT10/BT$15</f>
        <v>0</v>
      </c>
      <c r="BU24" s="150">
        <f t="shared" si="61"/>
        <v>111.09543206784986</v>
      </c>
      <c r="BV24" s="150">
        <f t="shared" si="61"/>
        <v>117.79312044288228</v>
      </c>
      <c r="BW24" s="150">
        <f t="shared" si="61"/>
        <v>35.23094671981891</v>
      </c>
      <c r="BX24" s="150">
        <f t="shared" si="61"/>
        <v>10.028617444269473</v>
      </c>
      <c r="BY24" s="150">
        <f t="shared" si="61"/>
        <v>0.49217764248369433</v>
      </c>
      <c r="BZ24" s="151">
        <f t="shared" si="61"/>
        <v>0</v>
      </c>
      <c r="CR24" s="61"/>
      <c r="CS24" s="61"/>
    </row>
    <row r="25" spans="1:97" x14ac:dyDescent="0.25">
      <c r="A25" s="140" t="s">
        <v>146</v>
      </c>
      <c r="B25" s="141">
        <f t="shared" ref="B25:H25" si="62">+B11</f>
        <v>841838</v>
      </c>
      <c r="C25" s="142">
        <f t="shared" si="62"/>
        <v>833700</v>
      </c>
      <c r="D25" s="142">
        <f t="shared" si="62"/>
        <v>804414</v>
      </c>
      <c r="E25" s="142">
        <f t="shared" si="62"/>
        <v>796019</v>
      </c>
      <c r="F25" s="142">
        <f t="shared" si="62"/>
        <v>785940</v>
      </c>
      <c r="G25" s="142">
        <f t="shared" si="62"/>
        <v>775212</v>
      </c>
      <c r="H25" s="143">
        <f t="shared" si="62"/>
        <v>771849</v>
      </c>
      <c r="I25" s="142">
        <f t="shared" si="14"/>
        <v>100</v>
      </c>
      <c r="J25" s="142">
        <f t="shared" si="15"/>
        <v>99.033305695395086</v>
      </c>
      <c r="K25" s="142">
        <f t="shared" si="16"/>
        <v>95.554489105980011</v>
      </c>
      <c r="L25" s="142">
        <f t="shared" si="17"/>
        <v>94.557266362411781</v>
      </c>
      <c r="M25" s="142">
        <f t="shared" si="18"/>
        <v>93.360005131628654</v>
      </c>
      <c r="N25" s="142">
        <f t="shared" si="19"/>
        <v>92.085650683385651</v>
      </c>
      <c r="O25" s="143">
        <f t="shared" si="20"/>
        <v>91.686167647457111</v>
      </c>
      <c r="P25" s="141">
        <f t="shared" si="21"/>
        <v>14404797</v>
      </c>
      <c r="Q25" s="142">
        <f t="shared" si="40"/>
        <v>9561853</v>
      </c>
      <c r="R25" s="142">
        <f t="shared" si="40"/>
        <v>8708996</v>
      </c>
      <c r="S25" s="142">
        <f t="shared" si="40"/>
        <v>11775042</v>
      </c>
      <c r="T25" s="142">
        <f t="shared" si="40"/>
        <v>12020373</v>
      </c>
      <c r="U25" s="142">
        <f t="shared" si="40"/>
        <v>11621031</v>
      </c>
      <c r="V25" s="143">
        <f t="shared" si="40"/>
        <v>11621031</v>
      </c>
      <c r="W25" s="141">
        <f t="shared" si="23"/>
        <v>100</v>
      </c>
      <c r="X25" s="142">
        <f t="shared" si="41"/>
        <v>66.379644225461846</v>
      </c>
      <c r="Y25" s="142">
        <f t="shared" si="41"/>
        <v>60.458998485018569</v>
      </c>
      <c r="Z25" s="142">
        <f t="shared" si="41"/>
        <v>81.743894065289496</v>
      </c>
      <c r="AA25" s="142">
        <f t="shared" si="41"/>
        <v>83.447014213390176</v>
      </c>
      <c r="AB25" s="142">
        <f t="shared" si="41"/>
        <v>80.674729397436153</v>
      </c>
      <c r="AC25" s="143">
        <f t="shared" si="41"/>
        <v>80.674729397436153</v>
      </c>
      <c r="AD25" s="155">
        <f t="shared" si="25"/>
        <v>243.6</v>
      </c>
      <c r="AE25" s="156">
        <f t="shared" si="42"/>
        <v>181.88050930460335</v>
      </c>
      <c r="AF25" s="156">
        <f t="shared" si="42"/>
        <v>153.41544382134472</v>
      </c>
      <c r="AG25" s="156">
        <f t="shared" si="42"/>
        <v>210.25724575606785</v>
      </c>
      <c r="AH25" s="156">
        <f t="shared" si="42"/>
        <v>214.01612414072261</v>
      </c>
      <c r="AI25" s="156">
        <f t="shared" si="42"/>
        <v>211.54322106004318</v>
      </c>
      <c r="AJ25" s="157">
        <f t="shared" si="42"/>
        <v>202.2714346442817</v>
      </c>
      <c r="AK25" s="155">
        <f t="shared" ref="AK25:AQ25" si="63">+AK11/AK$15</f>
        <v>605.1</v>
      </c>
      <c r="AL25" s="156">
        <f t="shared" si="63"/>
        <v>576.4936336924585</v>
      </c>
      <c r="AM25" s="156">
        <f t="shared" si="63"/>
        <v>567.24228757546803</v>
      </c>
      <c r="AN25" s="156">
        <f t="shared" si="63"/>
        <v>596.0384290028461</v>
      </c>
      <c r="AO25" s="156">
        <f t="shared" si="63"/>
        <v>578.25548685833076</v>
      </c>
      <c r="AP25" s="156">
        <f t="shared" si="63"/>
        <v>559.70688101261953</v>
      </c>
      <c r="AQ25" s="157">
        <f t="shared" si="63"/>
        <v>555.5009281782277</v>
      </c>
      <c r="AR25" s="149">
        <f t="shared" si="28"/>
        <v>718.78437419075874</v>
      </c>
      <c r="AS25" s="150">
        <f t="shared" si="28"/>
        <v>691.48810566445786</v>
      </c>
      <c r="AT25" s="150">
        <f t="shared" si="28"/>
        <v>705.16212743123322</v>
      </c>
      <c r="AU25" s="150">
        <f t="shared" si="28"/>
        <v>748.77412348555265</v>
      </c>
      <c r="AV25" s="150">
        <f t="shared" si="28"/>
        <v>735.75016777149744</v>
      </c>
      <c r="AW25" s="150">
        <f t="shared" si="28"/>
        <v>722.00492383066762</v>
      </c>
      <c r="AX25" s="151">
        <f t="shared" si="28"/>
        <v>719.70155843724308</v>
      </c>
      <c r="AY25" s="142">
        <f t="shared" si="29"/>
        <v>100</v>
      </c>
      <c r="AZ25" s="142">
        <f t="shared" si="30"/>
        <v>96.202439910156329</v>
      </c>
      <c r="BA25" s="142">
        <f t="shared" si="31"/>
        <v>98.104821522468114</v>
      </c>
      <c r="BB25" s="142">
        <f t="shared" si="32"/>
        <v>104.17228731892756</v>
      </c>
      <c r="BC25" s="142">
        <f t="shared" si="33"/>
        <v>102.36034535389553</v>
      </c>
      <c r="BD25" s="142">
        <f t="shared" si="34"/>
        <v>100.44805504342449</v>
      </c>
      <c r="BE25" s="142">
        <f t="shared" si="35"/>
        <v>100.12760214042173</v>
      </c>
      <c r="BF25" s="180">
        <f t="shared" si="44"/>
        <v>0.40257808626673275</v>
      </c>
      <c r="BG25" s="181">
        <f t="shared" si="45"/>
        <v>0.3154943934760448</v>
      </c>
      <c r="BH25" s="181">
        <f t="shared" si="46"/>
        <v>0.27045840407470284</v>
      </c>
      <c r="BI25" s="181">
        <f t="shared" si="47"/>
        <v>0.35275786849485818</v>
      </c>
      <c r="BJ25" s="181">
        <f t="shared" si="48"/>
        <v>0.37010651693678664</v>
      </c>
      <c r="BK25" s="181">
        <f t="shared" si="49"/>
        <v>0.3779535829134707</v>
      </c>
      <c r="BL25" s="182">
        <f t="shared" si="50"/>
        <v>0.36412438644816209</v>
      </c>
      <c r="BM25" s="183">
        <f t="shared" si="51"/>
        <v>361.5</v>
      </c>
      <c r="BN25" s="183">
        <f t="shared" si="37"/>
        <v>322.82076395690507</v>
      </c>
      <c r="BO25" s="183">
        <f t="shared" si="37"/>
        <v>328.98126559555158</v>
      </c>
      <c r="BP25" s="183">
        <f t="shared" si="37"/>
        <v>361.44929349938877</v>
      </c>
      <c r="BQ25" s="183">
        <f t="shared" si="37"/>
        <v>355.92805692573546</v>
      </c>
      <c r="BR25" s="183">
        <f t="shared" si="37"/>
        <v>348.03225590843613</v>
      </c>
      <c r="BS25" s="183">
        <f t="shared" si="37"/>
        <v>353.22949353394597</v>
      </c>
      <c r="BT25" s="155">
        <f t="shared" ref="BT25:BZ25" si="64">+BT11/BT$15</f>
        <v>0</v>
      </c>
      <c r="BU25" s="156">
        <f t="shared" si="64"/>
        <v>71.792360430950069</v>
      </c>
      <c r="BV25" s="156">
        <f t="shared" si="64"/>
        <v>84.845578158571684</v>
      </c>
      <c r="BW25" s="156">
        <f t="shared" si="64"/>
        <v>24.331889747389479</v>
      </c>
      <c r="BX25" s="156">
        <f t="shared" si="64"/>
        <v>8.3113057918727229</v>
      </c>
      <c r="BY25" s="156">
        <f t="shared" si="64"/>
        <v>0.13140404414028023</v>
      </c>
      <c r="BZ25" s="157">
        <f t="shared" si="64"/>
        <v>0</v>
      </c>
      <c r="CR25" s="61"/>
      <c r="CS25" s="61"/>
    </row>
    <row r="26" spans="1:97" ht="16.5" thickBot="1" x14ac:dyDescent="0.3">
      <c r="A26" s="158" t="s">
        <v>27</v>
      </c>
      <c r="B26" s="159">
        <f t="shared" ref="B26:H26" si="65">SUBTOTAL(9,B20:B25)</f>
        <v>8549506.077755034</v>
      </c>
      <c r="C26" s="160">
        <f t="shared" si="65"/>
        <v>8347158.3819878474</v>
      </c>
      <c r="D26" s="160">
        <f t="shared" si="65"/>
        <v>8295789.4666151106</v>
      </c>
      <c r="E26" s="160">
        <f t="shared" si="65"/>
        <v>8302048.0748184584</v>
      </c>
      <c r="F26" s="160">
        <f t="shared" si="65"/>
        <v>8165160.2867452838</v>
      </c>
      <c r="G26" s="160">
        <f t="shared" si="65"/>
        <v>7990371.3761215126</v>
      </c>
      <c r="H26" s="161">
        <f t="shared" si="65"/>
        <v>7900670.0677310564</v>
      </c>
      <c r="I26" s="160">
        <f t="shared" si="14"/>
        <v>100</v>
      </c>
      <c r="J26" s="160">
        <f t="shared" si="15"/>
        <v>97.633223557865236</v>
      </c>
      <c r="K26" s="160">
        <f t="shared" si="16"/>
        <v>97.032382820335457</v>
      </c>
      <c r="L26" s="160">
        <f t="shared" si="17"/>
        <v>97.105587145198527</v>
      </c>
      <c r="M26" s="160">
        <f>+F26/$B26*100</f>
        <v>95.504467889557048</v>
      </c>
      <c r="N26" s="160">
        <f t="shared" si="19"/>
        <v>93.46003504122497</v>
      </c>
      <c r="O26" s="162">
        <f t="shared" si="20"/>
        <v>92.410836320566119</v>
      </c>
      <c r="P26" s="159">
        <f t="shared" ref="P26:V26" si="66">SUBTOTAL(9,P20:P25)</f>
        <v>300323971.08175695</v>
      </c>
      <c r="Q26" s="160">
        <f t="shared" si="66"/>
        <v>191993057.45216888</v>
      </c>
      <c r="R26" s="160">
        <f t="shared" si="66"/>
        <v>186064749.592749</v>
      </c>
      <c r="S26" s="160">
        <f t="shared" si="66"/>
        <v>236837910.39593631</v>
      </c>
      <c r="T26" s="160">
        <f t="shared" si="66"/>
        <v>251923151.38315192</v>
      </c>
      <c r="U26" s="160">
        <f t="shared" si="66"/>
        <v>235262262.22642446</v>
      </c>
      <c r="V26" s="161">
        <f t="shared" si="66"/>
        <v>232197582.31185833</v>
      </c>
      <c r="W26" s="159"/>
      <c r="X26" s="160"/>
      <c r="Y26" s="160"/>
      <c r="Z26" s="160"/>
      <c r="AA26" s="160"/>
      <c r="AB26" s="160"/>
      <c r="AC26" s="161"/>
      <c r="AD26" s="163">
        <f t="shared" ref="AD26:AQ26" si="67">SUBTOTAL(9,AD20:AD25)</f>
        <v>3142.9941050908924</v>
      </c>
      <c r="AE26" s="163">
        <f t="shared" si="67"/>
        <v>2102.5483888370436</v>
      </c>
      <c r="AF26" s="163">
        <f t="shared" si="67"/>
        <v>2123.9965399555604</v>
      </c>
      <c r="AG26" s="163">
        <f t="shared" si="67"/>
        <v>2540.8480525820005</v>
      </c>
      <c r="AH26" s="163">
        <f t="shared" si="67"/>
        <v>2771.3898677224684</v>
      </c>
      <c r="AI26" s="163">
        <f t="shared" si="67"/>
        <v>2891.5784319696431</v>
      </c>
      <c r="AJ26" s="164">
        <f t="shared" si="67"/>
        <v>2822.5354124615696</v>
      </c>
      <c r="AK26" s="163">
        <f t="shared" si="67"/>
        <v>6330.1101580047516</v>
      </c>
      <c r="AL26" s="163">
        <f t="shared" si="67"/>
        <v>6102.8652571251232</v>
      </c>
      <c r="AM26" s="163">
        <f t="shared" si="67"/>
        <v>6192.9321697396972</v>
      </c>
      <c r="AN26" s="163">
        <f t="shared" si="67"/>
        <v>6527.6996836400349</v>
      </c>
      <c r="AO26" s="163">
        <f t="shared" si="67"/>
        <v>6277.2744476190037</v>
      </c>
      <c r="AP26" s="163">
        <f t="shared" si="67"/>
        <v>5889.049802135004</v>
      </c>
      <c r="AQ26" s="164">
        <f t="shared" si="67"/>
        <v>5898.4157214148081</v>
      </c>
      <c r="AR26" s="165">
        <f t="shared" ref="AR26:AX26" si="68">IFERROR(AK26*1000000/B26,"")</f>
        <v>740.40653348093053</v>
      </c>
      <c r="AS26" s="163">
        <f t="shared" si="68"/>
        <v>731.13088045560085</v>
      </c>
      <c r="AT26" s="163">
        <f t="shared" si="68"/>
        <v>746.51510801497818</v>
      </c>
      <c r="AU26" s="163">
        <f t="shared" si="68"/>
        <v>786.2758231236545</v>
      </c>
      <c r="AV26" s="163">
        <f t="shared" si="68"/>
        <v>768.78765721342484</v>
      </c>
      <c r="AW26" s="163">
        <f t="shared" si="68"/>
        <v>737.01828424819973</v>
      </c>
      <c r="AX26" s="164">
        <f t="shared" si="68"/>
        <v>746.57157821409157</v>
      </c>
      <c r="AY26" s="160">
        <f t="shared" si="29"/>
        <v>100</v>
      </c>
      <c r="AZ26" s="160">
        <f t="shared" si="30"/>
        <v>98.747221613277588</v>
      </c>
      <c r="BA26" s="160">
        <f t="shared" si="31"/>
        <v>100.82502979887668</v>
      </c>
      <c r="BB26" s="160">
        <f t="shared" si="32"/>
        <v>106.19514922796198</v>
      </c>
      <c r="BC26" s="160">
        <f t="shared" si="33"/>
        <v>103.83318115779771</v>
      </c>
      <c r="BD26" s="160">
        <f t="shared" si="34"/>
        <v>99.542379884628872</v>
      </c>
      <c r="BE26" s="161">
        <f t="shared" si="35"/>
        <v>100.83265671686834</v>
      </c>
      <c r="BF26" s="174" t="str">
        <f>IFERROR(AD26/#REF!,"")</f>
        <v/>
      </c>
      <c r="BG26" s="175" t="str">
        <f>IFERROR(AE26/#REF!,"")</f>
        <v/>
      </c>
      <c r="BH26" s="175" t="str">
        <f>IFERROR(AF26/#REF!,"")</f>
        <v/>
      </c>
      <c r="BI26" s="175" t="str">
        <f>IFERROR(AG26/#REF!,"")</f>
        <v/>
      </c>
      <c r="BJ26" s="175" t="str">
        <f>IFERROR(AH26/#REF!,"")</f>
        <v/>
      </c>
      <c r="BK26" s="175" t="str">
        <f>IFERROR(AI26/#REF!,"")</f>
        <v/>
      </c>
      <c r="BL26" s="176" t="str">
        <f>IFERROR(AJ26/#REF!,"")</f>
        <v/>
      </c>
      <c r="BM26" s="163">
        <f t="shared" ref="BM26:BS26" si="69">SUBTOTAL(9,BM20:BM25)</f>
        <v>3187.1160529138583</v>
      </c>
      <c r="BN26" s="163">
        <f t="shared" si="69"/>
        <v>3035.4577941438351</v>
      </c>
      <c r="BO26" s="163">
        <f t="shared" si="69"/>
        <v>3142.4801755581711</v>
      </c>
      <c r="BP26" s="163">
        <f t="shared" si="69"/>
        <v>3762.5544604616816</v>
      </c>
      <c r="BQ26" s="163">
        <f t="shared" si="69"/>
        <v>3398.6681684587302</v>
      </c>
      <c r="BR26" s="163">
        <f t="shared" si="69"/>
        <v>2995.7590693831844</v>
      </c>
      <c r="BS26" s="164">
        <f t="shared" si="69"/>
        <v>3075.880308953238</v>
      </c>
      <c r="BT26" s="165">
        <f t="shared" ref="BT26:BZ26" si="70">SUBTOTAL(9,BT20:BT25)</f>
        <v>0</v>
      </c>
      <c r="BU26" s="163">
        <f t="shared" si="70"/>
        <v>964.8590741442456</v>
      </c>
      <c r="BV26" s="163">
        <f t="shared" si="70"/>
        <v>926.4554542259649</v>
      </c>
      <c r="BW26" s="163">
        <f t="shared" si="70"/>
        <v>224.29717059635317</v>
      </c>
      <c r="BX26" s="163">
        <f t="shared" si="70"/>
        <v>107.21641143780479</v>
      </c>
      <c r="BY26" s="163">
        <f t="shared" si="70"/>
        <v>1.7123007821773137</v>
      </c>
      <c r="BZ26" s="164">
        <f t="shared" si="70"/>
        <v>0</v>
      </c>
    </row>
    <row r="27" spans="1:97" ht="16.5" thickTop="1" x14ac:dyDescent="0.25">
      <c r="A27" s="117"/>
      <c r="AQ27" s="104"/>
    </row>
    <row r="28" spans="1:97" x14ac:dyDescent="0.25">
      <c r="BE28" s="51" t="s">
        <v>174</v>
      </c>
      <c r="BF28" s="116">
        <f>+'Midttrafik '!BF24</f>
        <v>0.59460336583647821</v>
      </c>
      <c r="BG28" s="116">
        <f>+'Midttrafik '!BG24</f>
        <v>0.4517673534007739</v>
      </c>
      <c r="BH28" s="116">
        <f>+'Midttrafik '!BH24</f>
        <v>0.42149256783967642</v>
      </c>
      <c r="BI28" s="116">
        <f>+'Midttrafik '!BI24</f>
        <v>0.52354900100145674</v>
      </c>
      <c r="BJ28" s="116">
        <f>+'Midttrafik '!BJ24</f>
        <v>0.6235326212632254</v>
      </c>
      <c r="BK28" s="116">
        <f>+'Midttrafik '!BK24</f>
        <v>0.68259474079563953</v>
      </c>
      <c r="BL28" s="116">
        <f>+'Midttrafik '!BL24</f>
        <v>0.65368763637792493</v>
      </c>
    </row>
    <row r="29" spans="1:97" x14ac:dyDescent="0.25">
      <c r="BE29" s="51" t="s">
        <v>175</v>
      </c>
      <c r="BF29" s="116">
        <f>+Movia!BF34</f>
        <v>0.67747149585994415</v>
      </c>
      <c r="BG29" s="116">
        <f>+Movia!BG34</f>
        <v>0.45533607557501726</v>
      </c>
      <c r="BH29" s="116">
        <f>+Movia!BH34</f>
        <v>0.47685919053033421</v>
      </c>
      <c r="BI29" s="116">
        <f>+Movia!BI34</f>
        <v>0.53640850416153518</v>
      </c>
      <c r="BJ29" s="116">
        <f>+Movia!BJ34</f>
        <v>0.59817563906345661</v>
      </c>
      <c r="BK29" s="116">
        <f>+Movia!BK34</f>
        <v>0.69698559825365503</v>
      </c>
      <c r="BL29" s="116">
        <f>+Movia!BL34</f>
        <v>0.6990516110075724</v>
      </c>
    </row>
    <row r="30" spans="1:97" x14ac:dyDescent="0.25">
      <c r="BE30" s="51" t="s">
        <v>176</v>
      </c>
      <c r="BF30" s="116">
        <f>+Movia!BF35</f>
        <v>0.48526112145659789</v>
      </c>
      <c r="BG30" s="116">
        <f>+Movia!BG35</f>
        <v>0.37665690184169465</v>
      </c>
      <c r="BH30" s="116">
        <f>+Movia!BH35</f>
        <v>0.40798116275483309</v>
      </c>
      <c r="BI30" s="116">
        <f>+Movia!BI35</f>
        <v>0.43382320147725234</v>
      </c>
      <c r="BJ30" s="116">
        <f>+Movia!BJ35</f>
        <v>0.47486679255079633</v>
      </c>
      <c r="BK30" s="116">
        <f>+Movia!BK35</f>
        <v>0.51812929361941307</v>
      </c>
      <c r="BL30" s="116">
        <f>+Movia!BL35</f>
        <v>0.51884469670336419</v>
      </c>
    </row>
    <row r="31" spans="1:97" x14ac:dyDescent="0.25">
      <c r="BE31" s="51" t="s">
        <v>177</v>
      </c>
      <c r="BF31" s="116">
        <f>+NT!BF17</f>
        <v>0.42483794129463065</v>
      </c>
      <c r="BG31" s="116">
        <f>+NT!BG17</f>
        <v>0.3258106544447556</v>
      </c>
      <c r="BH31" s="116">
        <f>+NT!BH17</f>
        <v>0.34310574234424884</v>
      </c>
      <c r="BI31" s="116">
        <f>+NT!BI17</f>
        <v>0.38356042969223858</v>
      </c>
      <c r="BJ31" s="116">
        <f>+NT!BJ17</f>
        <v>0.43880966482530365</v>
      </c>
      <c r="BK31" s="116">
        <f>+NT!BK17</f>
        <v>0.49238319827122373</v>
      </c>
      <c r="BL31" s="116">
        <f>+NT!BL17</f>
        <v>0.46617612827153004</v>
      </c>
    </row>
    <row r="32" spans="1:97" x14ac:dyDescent="0.25">
      <c r="BE32" s="51" t="s">
        <v>178</v>
      </c>
      <c r="BF32" s="116">
        <f>+Sydtrafik!BF6</f>
        <v>0.52847259180415107</v>
      </c>
      <c r="BG32" s="116">
        <f>+Sydtrafik!BG6</f>
        <v>0.3931905546403075</v>
      </c>
      <c r="BH32" s="116">
        <f>+Sydtrafik!BH6</f>
        <v>0.31622516556291391</v>
      </c>
      <c r="BI32" s="116">
        <f>+Sydtrafik!BI6</f>
        <v>0.49246753246753244</v>
      </c>
      <c r="BJ32" s="116">
        <f>+Sydtrafik!BJ6</f>
        <v>0.51004176800796364</v>
      </c>
      <c r="BK32" s="116">
        <f>+Sydtrafik!BK6</f>
        <v>0.49572767500763792</v>
      </c>
      <c r="BL32" s="116">
        <f>+Sydtrafik!BL6</f>
        <v>0.48449382270376051</v>
      </c>
    </row>
  </sheetData>
  <mergeCells count="22">
    <mergeCell ref="BM18:BS18"/>
    <mergeCell ref="BT18:BZ18"/>
    <mergeCell ref="AK18:AQ18"/>
    <mergeCell ref="AR18:AX18"/>
    <mergeCell ref="AY18:BE18"/>
    <mergeCell ref="BF18:BL18"/>
    <mergeCell ref="B18:H18"/>
    <mergeCell ref="I18:O18"/>
    <mergeCell ref="P18:V18"/>
    <mergeCell ref="W18:AC18"/>
    <mergeCell ref="AD18:AJ18"/>
    <mergeCell ref="B4:H4"/>
    <mergeCell ref="BM4:BS4"/>
    <mergeCell ref="BT4:BZ4"/>
    <mergeCell ref="I4:O4"/>
    <mergeCell ref="P4:V4"/>
    <mergeCell ref="W4:AC4"/>
    <mergeCell ref="AD4:AJ4"/>
    <mergeCell ref="AK4:AQ4"/>
    <mergeCell ref="AR4:AX4"/>
    <mergeCell ref="AY4:BE4"/>
    <mergeCell ref="BF4:BL4"/>
  </mergeCells>
  <pageMargins left="0.70866141732283472" right="0.70866141732283472" top="0.74803149606299213" bottom="0.74803149606299213" header="0.31496062992125984" footer="0.31496062992125984"/>
  <pageSetup paperSize="8" fitToWidth="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27245-9741-4515-BC4F-354AEA119D6A}">
  <sheetPr>
    <pageSetUpPr fitToPage="1"/>
  </sheetPr>
  <dimension ref="A1:BZ14"/>
  <sheetViews>
    <sheetView zoomScale="85" zoomScaleNormal="85" workbookViewId="0">
      <pane xSplit="1" ySplit="5" topLeftCell="BD6" activePane="bottomRight" state="frozen"/>
      <selection activeCell="BN14" sqref="BN14"/>
      <selection pane="topRight" activeCell="BN14" sqref="BN14"/>
      <selection pane="bottomLeft" activeCell="BN14" sqref="BN14"/>
      <selection pane="bottomRight" activeCell="BJ17" sqref="BJ17"/>
    </sheetView>
  </sheetViews>
  <sheetFormatPr defaultColWidth="9" defaultRowHeight="15.75" outlineLevelCol="1" x14ac:dyDescent="0.25"/>
  <cols>
    <col min="1" max="1" width="29.25" style="1" customWidth="1"/>
    <col min="2" max="8" width="10.625" style="1" customWidth="1"/>
    <col min="9" max="15" width="8.625" style="1" customWidth="1"/>
    <col min="16" max="22" width="9.25" style="1" customWidth="1"/>
    <col min="23" max="36" width="8.625" style="1" customWidth="1"/>
    <col min="37" max="50" width="8.625" style="1" customWidth="1" outlineLevel="1"/>
    <col min="51" max="78" width="8.625" style="1" customWidth="1"/>
    <col min="79" max="16384" width="9" style="1"/>
  </cols>
  <sheetData>
    <row r="1" spans="1:78" x14ac:dyDescent="0.25">
      <c r="BM1" s="1" t="s">
        <v>140</v>
      </c>
    </row>
    <row r="2" spans="1:78" x14ac:dyDescent="0.25">
      <c r="A2" s="2" t="s">
        <v>140</v>
      </c>
      <c r="B2" s="2"/>
      <c r="C2" s="2"/>
      <c r="D2" s="2"/>
    </row>
    <row r="4" spans="1:78" s="6" customFormat="1" ht="40.9" customHeight="1" x14ac:dyDescent="0.25">
      <c r="A4" s="5"/>
      <c r="B4" s="201" t="s">
        <v>1</v>
      </c>
      <c r="C4" s="202"/>
      <c r="D4" s="202"/>
      <c r="E4" s="202"/>
      <c r="F4" s="202"/>
      <c r="G4" s="202"/>
      <c r="H4" s="203"/>
      <c r="I4" s="201" t="s">
        <v>156</v>
      </c>
      <c r="J4" s="202"/>
      <c r="K4" s="202"/>
      <c r="L4" s="202"/>
      <c r="M4" s="202"/>
      <c r="N4" s="202"/>
      <c r="O4" s="203"/>
      <c r="P4" s="201" t="s">
        <v>141</v>
      </c>
      <c r="Q4" s="202"/>
      <c r="R4" s="202"/>
      <c r="S4" s="202"/>
      <c r="T4" s="202"/>
      <c r="U4" s="202"/>
      <c r="V4" s="203"/>
      <c r="W4" s="201" t="s">
        <v>142</v>
      </c>
      <c r="X4" s="202"/>
      <c r="Y4" s="202"/>
      <c r="Z4" s="202"/>
      <c r="AA4" s="202"/>
      <c r="AB4" s="202"/>
      <c r="AC4" s="203"/>
      <c r="AD4" s="201" t="s">
        <v>3</v>
      </c>
      <c r="AE4" s="202"/>
      <c r="AF4" s="202"/>
      <c r="AG4" s="202"/>
      <c r="AH4" s="202"/>
      <c r="AI4" s="202"/>
      <c r="AJ4" s="203"/>
      <c r="AK4" s="204" t="s">
        <v>4</v>
      </c>
      <c r="AL4" s="205"/>
      <c r="AM4" s="205"/>
      <c r="AN4" s="205"/>
      <c r="AO4" s="205"/>
      <c r="AP4" s="205"/>
      <c r="AQ4" s="206"/>
      <c r="AR4" s="204" t="s">
        <v>8</v>
      </c>
      <c r="AS4" s="205"/>
      <c r="AT4" s="205"/>
      <c r="AU4" s="205"/>
      <c r="AV4" s="205"/>
      <c r="AW4" s="205"/>
      <c r="AX4" s="206"/>
      <c r="AY4" s="201" t="s">
        <v>155</v>
      </c>
      <c r="AZ4" s="202"/>
      <c r="BA4" s="202"/>
      <c r="BB4" s="202"/>
      <c r="BC4" s="202"/>
      <c r="BD4" s="202"/>
      <c r="BE4" s="203"/>
      <c r="BF4" s="201" t="s">
        <v>242</v>
      </c>
      <c r="BG4" s="202"/>
      <c r="BH4" s="202"/>
      <c r="BI4" s="202"/>
      <c r="BJ4" s="202"/>
      <c r="BK4" s="202"/>
      <c r="BL4" s="203"/>
      <c r="BM4" s="191" t="s">
        <v>243</v>
      </c>
      <c r="BN4" s="191"/>
      <c r="BO4" s="191"/>
      <c r="BP4" s="191"/>
      <c r="BQ4" s="191"/>
      <c r="BR4" s="191"/>
      <c r="BS4" s="192" t="s">
        <v>5</v>
      </c>
      <c r="BT4" s="201" t="s">
        <v>6</v>
      </c>
      <c r="BU4" s="202"/>
      <c r="BV4" s="202"/>
      <c r="BW4" s="202"/>
      <c r="BX4" s="202"/>
      <c r="BY4" s="202"/>
      <c r="BZ4" s="203"/>
    </row>
    <row r="5" spans="1:78" x14ac:dyDescent="0.25">
      <c r="A5" s="7" t="s">
        <v>9</v>
      </c>
      <c r="B5" s="8" t="s">
        <v>10</v>
      </c>
      <c r="C5" s="9" t="s">
        <v>11</v>
      </c>
      <c r="D5" s="9" t="s">
        <v>12</v>
      </c>
      <c r="E5" s="10" t="s">
        <v>13</v>
      </c>
      <c r="F5" s="10" t="s">
        <v>157</v>
      </c>
      <c r="G5" s="10" t="s">
        <v>158</v>
      </c>
      <c r="H5" s="11" t="s">
        <v>159</v>
      </c>
      <c r="I5" s="8" t="s">
        <v>10</v>
      </c>
      <c r="J5" s="9" t="s">
        <v>11</v>
      </c>
      <c r="K5" s="9" t="s">
        <v>12</v>
      </c>
      <c r="L5" s="10" t="s">
        <v>13</v>
      </c>
      <c r="M5" s="10" t="s">
        <v>157</v>
      </c>
      <c r="N5" s="10" t="s">
        <v>158</v>
      </c>
      <c r="O5" s="11" t="s">
        <v>159</v>
      </c>
      <c r="P5" s="8" t="s">
        <v>10</v>
      </c>
      <c r="Q5" s="9" t="s">
        <v>11</v>
      </c>
      <c r="R5" s="9" t="s">
        <v>12</v>
      </c>
      <c r="S5" s="10" t="s">
        <v>13</v>
      </c>
      <c r="T5" s="10" t="s">
        <v>157</v>
      </c>
      <c r="U5" s="10" t="s">
        <v>158</v>
      </c>
      <c r="V5" s="11" t="s">
        <v>159</v>
      </c>
      <c r="W5" s="8" t="s">
        <v>10</v>
      </c>
      <c r="X5" s="9" t="s">
        <v>11</v>
      </c>
      <c r="Y5" s="9" t="s">
        <v>12</v>
      </c>
      <c r="Z5" s="10" t="s">
        <v>13</v>
      </c>
      <c r="AA5" s="10" t="s">
        <v>157</v>
      </c>
      <c r="AB5" s="10" t="s">
        <v>158</v>
      </c>
      <c r="AC5" s="11" t="s">
        <v>159</v>
      </c>
      <c r="AD5" s="8" t="s">
        <v>10</v>
      </c>
      <c r="AE5" s="9" t="s">
        <v>11</v>
      </c>
      <c r="AF5" s="9" t="s">
        <v>12</v>
      </c>
      <c r="AG5" s="10" t="s">
        <v>13</v>
      </c>
      <c r="AH5" s="10" t="s">
        <v>157</v>
      </c>
      <c r="AI5" s="10" t="s">
        <v>158</v>
      </c>
      <c r="AJ5" s="11" t="s">
        <v>159</v>
      </c>
      <c r="AK5" s="77" t="s">
        <v>10</v>
      </c>
      <c r="AL5" s="78" t="s">
        <v>11</v>
      </c>
      <c r="AM5" s="78" t="s">
        <v>12</v>
      </c>
      <c r="AN5" s="79" t="s">
        <v>13</v>
      </c>
      <c r="AO5" s="79" t="s">
        <v>157</v>
      </c>
      <c r="AP5" s="79" t="s">
        <v>158</v>
      </c>
      <c r="AQ5" s="80" t="s">
        <v>159</v>
      </c>
      <c r="AR5" s="77" t="s">
        <v>10</v>
      </c>
      <c r="AS5" s="78" t="s">
        <v>11</v>
      </c>
      <c r="AT5" s="78" t="s">
        <v>12</v>
      </c>
      <c r="AU5" s="79" t="s">
        <v>13</v>
      </c>
      <c r="AV5" s="79" t="s">
        <v>157</v>
      </c>
      <c r="AW5" s="79" t="s">
        <v>158</v>
      </c>
      <c r="AX5" s="80" t="s">
        <v>159</v>
      </c>
      <c r="AY5" s="8" t="s">
        <v>10</v>
      </c>
      <c r="AZ5" s="9" t="s">
        <v>11</v>
      </c>
      <c r="BA5" s="9" t="s">
        <v>12</v>
      </c>
      <c r="BB5" s="10" t="s">
        <v>13</v>
      </c>
      <c r="BC5" s="10" t="s">
        <v>157</v>
      </c>
      <c r="BD5" s="10" t="s">
        <v>158</v>
      </c>
      <c r="BE5" s="11" t="s">
        <v>159</v>
      </c>
      <c r="BF5" s="8" t="s">
        <v>10</v>
      </c>
      <c r="BG5" s="9" t="s">
        <v>11</v>
      </c>
      <c r="BH5" s="9" t="s">
        <v>12</v>
      </c>
      <c r="BI5" s="10" t="s">
        <v>13</v>
      </c>
      <c r="BJ5" s="10" t="s">
        <v>157</v>
      </c>
      <c r="BK5" s="10" t="s">
        <v>158</v>
      </c>
      <c r="BL5" s="11" t="s">
        <v>159</v>
      </c>
      <c r="BM5" s="37" t="s">
        <v>10</v>
      </c>
      <c r="BN5" s="36" t="s">
        <v>11</v>
      </c>
      <c r="BO5" s="36" t="s">
        <v>12</v>
      </c>
      <c r="BP5" s="37" t="s">
        <v>13</v>
      </c>
      <c r="BQ5" s="37" t="s">
        <v>157</v>
      </c>
      <c r="BR5" s="37" t="s">
        <v>158</v>
      </c>
      <c r="BS5" s="38" t="s">
        <v>159</v>
      </c>
      <c r="BT5" s="8" t="s">
        <v>10</v>
      </c>
      <c r="BU5" s="9" t="s">
        <v>11</v>
      </c>
      <c r="BV5" s="9" t="s">
        <v>12</v>
      </c>
      <c r="BW5" s="10" t="s">
        <v>13</v>
      </c>
      <c r="BX5" s="10" t="s">
        <v>157</v>
      </c>
      <c r="BY5" s="10" t="s">
        <v>158</v>
      </c>
      <c r="BZ5" s="11" t="s">
        <v>159</v>
      </c>
    </row>
    <row r="6" spans="1:78" x14ac:dyDescent="0.25">
      <c r="A6" s="3" t="s">
        <v>143</v>
      </c>
      <c r="B6" s="13">
        <v>88761.454545454544</v>
      </c>
      <c r="C6" s="13">
        <v>88761.454545454544</v>
      </c>
      <c r="D6" s="13">
        <v>78740</v>
      </c>
      <c r="E6" s="13">
        <v>78740</v>
      </c>
      <c r="F6" s="13">
        <v>84587</v>
      </c>
      <c r="G6" s="13">
        <v>80380.922222222231</v>
      </c>
      <c r="H6" s="15">
        <v>74587</v>
      </c>
      <c r="I6" s="13">
        <f t="shared" ref="I6:O7" si="0">+B6/$B6*100</f>
        <v>100</v>
      </c>
      <c r="J6" s="13">
        <f t="shared" si="0"/>
        <v>100</v>
      </c>
      <c r="K6" s="13">
        <f t="shared" si="0"/>
        <v>88.709677419354833</v>
      </c>
      <c r="L6" s="13">
        <f t="shared" si="0"/>
        <v>88.709677419354833</v>
      </c>
      <c r="M6" s="13">
        <f t="shared" si="0"/>
        <v>95.296996239153771</v>
      </c>
      <c r="N6" s="13">
        <f t="shared" si="0"/>
        <v>90.558365265476056</v>
      </c>
      <c r="O6" s="15">
        <f t="shared" si="0"/>
        <v>84.030844674592572</v>
      </c>
      <c r="P6" s="13"/>
      <c r="Q6" s="13"/>
      <c r="R6" s="13"/>
      <c r="S6" s="13"/>
      <c r="T6" s="13"/>
      <c r="U6" s="13"/>
      <c r="V6" s="15"/>
      <c r="W6" s="13">
        <v>100</v>
      </c>
      <c r="X6" s="13">
        <f>AE6/AD6*100</f>
        <v>76.027397260273972</v>
      </c>
      <c r="Y6" s="13">
        <f>AF6/($AD6*1.0224)*100</f>
        <v>73.356807511737088</v>
      </c>
      <c r="Z6" s="13">
        <f>AG6/($AD6*1.0224*1.0184)*100</f>
        <v>79.267463199183609</v>
      </c>
      <c r="AA6" s="13">
        <v>84.907884477197001</v>
      </c>
      <c r="AB6" s="13">
        <v>80.015814911173393</v>
      </c>
      <c r="AC6" s="15">
        <v>81.969409516498033</v>
      </c>
      <c r="AD6" s="17">
        <v>29.2</v>
      </c>
      <c r="AE6" s="17">
        <v>22.2</v>
      </c>
      <c r="AF6" s="17">
        <f>29.4-7.5</f>
        <v>21.9</v>
      </c>
      <c r="AG6" s="17">
        <v>24.1</v>
      </c>
      <c r="AH6" s="13">
        <v>26.579000000000001</v>
      </c>
      <c r="AI6" s="17">
        <v>26.3</v>
      </c>
      <c r="AJ6" s="20">
        <v>28.3</v>
      </c>
      <c r="AK6" s="17">
        <v>52.3</v>
      </c>
      <c r="AL6" s="17">
        <f>46.8+0.65</f>
        <v>47.449999999999996</v>
      </c>
      <c r="AM6" s="17">
        <v>49.6</v>
      </c>
      <c r="AN6" s="17">
        <v>54.7</v>
      </c>
      <c r="AO6" s="13">
        <v>53.9</v>
      </c>
      <c r="AP6" s="17">
        <v>61.3</v>
      </c>
      <c r="AQ6" s="20">
        <v>57.7</v>
      </c>
      <c r="AR6" s="17">
        <f t="shared" ref="AR6:AX7" si="1">IFERROR(AK6*1000000/B6,"")</f>
        <v>589.21972682655041</v>
      </c>
      <c r="AS6" s="17">
        <f t="shared" si="1"/>
        <v>534.57889173842852</v>
      </c>
      <c r="AT6" s="17">
        <f t="shared" si="1"/>
        <v>629.9212598425197</v>
      </c>
      <c r="AU6" s="17">
        <f t="shared" si="1"/>
        <v>694.69138938277877</v>
      </c>
      <c r="AV6" s="17">
        <f t="shared" si="1"/>
        <v>637.2137562509605</v>
      </c>
      <c r="AW6" s="17">
        <f t="shared" si="1"/>
        <v>762.61876954495688</v>
      </c>
      <c r="AX6" s="20">
        <f t="shared" si="1"/>
        <v>773.59325351602831</v>
      </c>
      <c r="AY6" s="13">
        <f t="shared" ref="AY6:BE7" si="2">AR6/$AR6*100</f>
        <v>100</v>
      </c>
      <c r="AZ6" s="13">
        <f t="shared" si="2"/>
        <v>90.726577437858495</v>
      </c>
      <c r="BA6" s="13">
        <f t="shared" si="2"/>
        <v>106.90770033026247</v>
      </c>
      <c r="BB6" s="13">
        <f t="shared" si="2"/>
        <v>117.90022596905962</v>
      </c>
      <c r="BC6" s="13">
        <f t="shared" si="2"/>
        <v>108.14535346311278</v>
      </c>
      <c r="BD6" s="13">
        <f t="shared" si="2"/>
        <v>129.42858747318385</v>
      </c>
      <c r="BE6" s="15">
        <f t="shared" si="2"/>
        <v>131.29113271249187</v>
      </c>
      <c r="BF6" s="41">
        <f>IFERROR(AD6/AK6,"")</f>
        <v>0.55831739961759086</v>
      </c>
      <c r="BG6" s="41">
        <f t="shared" ref="BG6:BL6" si="3">IFERROR(AE6/AL6,"")</f>
        <v>0.4678609062170706</v>
      </c>
      <c r="BH6" s="41">
        <f t="shared" si="3"/>
        <v>0.44153225806451607</v>
      </c>
      <c r="BI6" s="41">
        <f t="shared" si="3"/>
        <v>0.44058500914076781</v>
      </c>
      <c r="BJ6" s="41">
        <f t="shared" si="3"/>
        <v>0.49311688311688312</v>
      </c>
      <c r="BK6" s="21">
        <f t="shared" si="3"/>
        <v>0.42903752039151716</v>
      </c>
      <c r="BL6" s="22">
        <f t="shared" si="3"/>
        <v>0.49046793760831886</v>
      </c>
      <c r="BM6" s="168">
        <f t="shared" ref="BM6:BS6" si="4">+AK6-AD6-BT6</f>
        <v>23.099999999999998</v>
      </c>
      <c r="BN6" s="19">
        <f t="shared" si="4"/>
        <v>18.049999999999997</v>
      </c>
      <c r="BO6" s="19">
        <f t="shared" si="4"/>
        <v>18.800000000000004</v>
      </c>
      <c r="BP6" s="19">
        <f t="shared" si="4"/>
        <v>27.5</v>
      </c>
      <c r="BQ6" s="19">
        <f t="shared" si="4"/>
        <v>28.320999999999998</v>
      </c>
      <c r="BR6" s="19">
        <f t="shared" si="4"/>
        <v>35</v>
      </c>
      <c r="BS6" s="20">
        <f t="shared" si="4"/>
        <v>29.400000000000002</v>
      </c>
      <c r="BT6" s="17">
        <v>0</v>
      </c>
      <c r="BU6" s="17">
        <v>7.2</v>
      </c>
      <c r="BV6" s="17">
        <v>8.9</v>
      </c>
      <c r="BW6" s="17">
        <v>3.1</v>
      </c>
      <c r="BX6" s="17">
        <v>-1</v>
      </c>
      <c r="BY6" s="17">
        <v>0</v>
      </c>
      <c r="BZ6" s="20">
        <v>0</v>
      </c>
    </row>
    <row r="7" spans="1:78" ht="16.149999999999999" customHeight="1" thickBot="1" x14ac:dyDescent="0.3">
      <c r="A7" s="25" t="s">
        <v>27</v>
      </c>
      <c r="B7" s="26">
        <f t="shared" ref="B7:H7" si="5">SUM(B6:B6)</f>
        <v>88761.454545454544</v>
      </c>
      <c r="C7" s="26">
        <f t="shared" si="5"/>
        <v>88761.454545454544</v>
      </c>
      <c r="D7" s="26">
        <f t="shared" si="5"/>
        <v>78740</v>
      </c>
      <c r="E7" s="26">
        <f t="shared" si="5"/>
        <v>78740</v>
      </c>
      <c r="F7" s="26">
        <f t="shared" si="5"/>
        <v>84587</v>
      </c>
      <c r="G7" s="26">
        <f t="shared" si="5"/>
        <v>80380.922222222231</v>
      </c>
      <c r="H7" s="27">
        <f t="shared" si="5"/>
        <v>74587</v>
      </c>
      <c r="I7" s="26">
        <f t="shared" si="0"/>
        <v>100</v>
      </c>
      <c r="J7" s="26">
        <f t="shared" si="0"/>
        <v>100</v>
      </c>
      <c r="K7" s="26">
        <f t="shared" si="0"/>
        <v>88.709677419354833</v>
      </c>
      <c r="L7" s="26">
        <f t="shared" si="0"/>
        <v>88.709677419354833</v>
      </c>
      <c r="M7" s="26">
        <f>+F7/$B7*100</f>
        <v>95.296996239153771</v>
      </c>
      <c r="N7" s="26">
        <f t="shared" si="0"/>
        <v>90.558365265476056</v>
      </c>
      <c r="O7" s="27">
        <f t="shared" si="0"/>
        <v>84.030844674592572</v>
      </c>
      <c r="P7" s="26">
        <f t="shared" ref="P7:V7" si="6">SUM(P6:P6)</f>
        <v>0</v>
      </c>
      <c r="Q7" s="26">
        <f t="shared" si="6"/>
        <v>0</v>
      </c>
      <c r="R7" s="26">
        <f t="shared" si="6"/>
        <v>0</v>
      </c>
      <c r="S7" s="26">
        <f t="shared" si="6"/>
        <v>0</v>
      </c>
      <c r="T7" s="26">
        <f t="shared" si="6"/>
        <v>0</v>
      </c>
      <c r="U7" s="26">
        <f t="shared" si="6"/>
        <v>0</v>
      </c>
      <c r="V7" s="27">
        <f t="shared" si="6"/>
        <v>0</v>
      </c>
      <c r="W7" s="26">
        <f>+W6</f>
        <v>100</v>
      </c>
      <c r="X7" s="26">
        <f t="shared" ref="X7:AC7" si="7">+X6</f>
        <v>76.027397260273972</v>
      </c>
      <c r="Y7" s="26">
        <f t="shared" si="7"/>
        <v>73.356807511737088</v>
      </c>
      <c r="Z7" s="26">
        <f t="shared" si="7"/>
        <v>79.267463199183609</v>
      </c>
      <c r="AA7" s="26">
        <f t="shared" si="7"/>
        <v>84.907884477197001</v>
      </c>
      <c r="AB7" s="26">
        <f t="shared" si="7"/>
        <v>80.015814911173393</v>
      </c>
      <c r="AC7" s="26">
        <f t="shared" si="7"/>
        <v>81.969409516498033</v>
      </c>
      <c r="AD7" s="28">
        <f t="shared" ref="AD7:AP7" si="8">SUM(AD6:AD6)</f>
        <v>29.2</v>
      </c>
      <c r="AE7" s="28">
        <f t="shared" si="8"/>
        <v>22.2</v>
      </c>
      <c r="AF7" s="28">
        <f t="shared" si="8"/>
        <v>21.9</v>
      </c>
      <c r="AG7" s="28">
        <f t="shared" si="8"/>
        <v>24.1</v>
      </c>
      <c r="AH7" s="28">
        <f t="shared" si="8"/>
        <v>26.579000000000001</v>
      </c>
      <c r="AI7" s="28">
        <f t="shared" si="8"/>
        <v>26.3</v>
      </c>
      <c r="AJ7" s="28">
        <f t="shared" si="8"/>
        <v>28.3</v>
      </c>
      <c r="AK7" s="28">
        <f t="shared" si="8"/>
        <v>52.3</v>
      </c>
      <c r="AL7" s="28">
        <f t="shared" si="8"/>
        <v>47.449999999999996</v>
      </c>
      <c r="AM7" s="28">
        <f t="shared" si="8"/>
        <v>49.6</v>
      </c>
      <c r="AN7" s="28">
        <f t="shared" si="8"/>
        <v>54.7</v>
      </c>
      <c r="AO7" s="28">
        <f t="shared" si="8"/>
        <v>53.9</v>
      </c>
      <c r="AP7" s="28">
        <f t="shared" si="8"/>
        <v>61.3</v>
      </c>
      <c r="AQ7" s="29">
        <f>SUM(AQ6)</f>
        <v>57.7</v>
      </c>
      <c r="AR7" s="28">
        <f t="shared" si="1"/>
        <v>589.21972682655041</v>
      </c>
      <c r="AS7" s="28">
        <f t="shared" si="1"/>
        <v>534.57889173842852</v>
      </c>
      <c r="AT7" s="28">
        <f t="shared" si="1"/>
        <v>629.9212598425197</v>
      </c>
      <c r="AU7" s="28">
        <f t="shared" si="1"/>
        <v>694.69138938277877</v>
      </c>
      <c r="AV7" s="28">
        <f t="shared" si="1"/>
        <v>637.2137562509605</v>
      </c>
      <c r="AW7" s="28">
        <f t="shared" si="1"/>
        <v>762.61876954495688</v>
      </c>
      <c r="AX7" s="29">
        <f t="shared" si="1"/>
        <v>773.59325351602831</v>
      </c>
      <c r="AY7" s="26">
        <f t="shared" si="2"/>
        <v>100</v>
      </c>
      <c r="AZ7" s="26">
        <f t="shared" si="2"/>
        <v>90.726577437858495</v>
      </c>
      <c r="BA7" s="26">
        <f t="shared" si="2"/>
        <v>106.90770033026247</v>
      </c>
      <c r="BB7" s="26">
        <f t="shared" si="2"/>
        <v>117.90022596905962</v>
      </c>
      <c r="BC7" s="26">
        <f t="shared" si="2"/>
        <v>108.14535346311278</v>
      </c>
      <c r="BD7" s="26">
        <f t="shared" si="2"/>
        <v>129.42858747318385</v>
      </c>
      <c r="BE7" s="27">
        <f t="shared" si="2"/>
        <v>131.29113271249187</v>
      </c>
      <c r="BF7" s="30">
        <f>IFERROR(AD7/AK7,"")</f>
        <v>0.55831739961759086</v>
      </c>
      <c r="BG7" s="30">
        <f t="shared" ref="BG7" si="9">IFERROR(AE7/AL7,"")</f>
        <v>0.4678609062170706</v>
      </c>
      <c r="BH7" s="30">
        <f t="shared" ref="BH7" si="10">IFERROR(AF7/AM7,"")</f>
        <v>0.44153225806451607</v>
      </c>
      <c r="BI7" s="30">
        <f t="shared" ref="BI7" si="11">IFERROR(AG7/AN7,"")</f>
        <v>0.44058500914076781</v>
      </c>
      <c r="BJ7" s="30">
        <f t="shared" ref="BJ7" si="12">IFERROR(AH7/AO7,"")</f>
        <v>0.49311688311688312</v>
      </c>
      <c r="BK7" s="30">
        <f t="shared" ref="BK7" si="13">IFERROR(AI7/AP7,"")</f>
        <v>0.42903752039151716</v>
      </c>
      <c r="BL7" s="31">
        <f t="shared" ref="BL7" si="14">IFERROR(AJ7/AQ7,"")</f>
        <v>0.49046793760831886</v>
      </c>
      <c r="BM7" s="28">
        <f t="shared" ref="BM7:BZ7" si="15">SUM(BM6:BM6)</f>
        <v>23.099999999999998</v>
      </c>
      <c r="BN7" s="28">
        <f t="shared" si="15"/>
        <v>18.049999999999997</v>
      </c>
      <c r="BO7" s="28">
        <f t="shared" si="15"/>
        <v>18.800000000000004</v>
      </c>
      <c r="BP7" s="28">
        <f t="shared" si="15"/>
        <v>27.5</v>
      </c>
      <c r="BQ7" s="28">
        <f t="shared" si="15"/>
        <v>28.320999999999998</v>
      </c>
      <c r="BR7" s="28">
        <f t="shared" si="15"/>
        <v>35</v>
      </c>
      <c r="BS7" s="29">
        <f t="shared" ref="BS7" si="16">SUM(BS6:BS6)</f>
        <v>29.400000000000002</v>
      </c>
      <c r="BT7" s="28">
        <f t="shared" si="15"/>
        <v>0</v>
      </c>
      <c r="BU7" s="28">
        <f t="shared" si="15"/>
        <v>7.2</v>
      </c>
      <c r="BV7" s="28">
        <f t="shared" si="15"/>
        <v>8.9</v>
      </c>
      <c r="BW7" s="28">
        <f t="shared" si="15"/>
        <v>3.1</v>
      </c>
      <c r="BX7" s="28">
        <f t="shared" si="15"/>
        <v>-1</v>
      </c>
      <c r="BY7" s="28">
        <f t="shared" si="15"/>
        <v>0</v>
      </c>
      <c r="BZ7" s="29">
        <f t="shared" si="15"/>
        <v>0</v>
      </c>
    </row>
    <row r="8" spans="1:78" ht="16.5" thickTop="1" x14ac:dyDescent="0.25"/>
    <row r="9" spans="1:78" x14ac:dyDescent="0.25">
      <c r="A9" s="1" t="s">
        <v>144</v>
      </c>
    </row>
    <row r="14" spans="1:78" x14ac:dyDescent="0.25">
      <c r="B14" s="48"/>
    </row>
  </sheetData>
  <mergeCells count="11">
    <mergeCell ref="W4:AC4"/>
    <mergeCell ref="AD4:AJ4"/>
    <mergeCell ref="B4:H4"/>
    <mergeCell ref="I4:O4"/>
    <mergeCell ref="P4:V4"/>
    <mergeCell ref="BM4:BS4"/>
    <mergeCell ref="BT4:BZ4"/>
    <mergeCell ref="AK4:AQ4"/>
    <mergeCell ref="AR4:AX4"/>
    <mergeCell ref="AY4:BE4"/>
    <mergeCell ref="BF4:BL4"/>
  </mergeCells>
  <pageMargins left="0.70866141732283472" right="0.70866141732283472" top="0.74803149606299213" bottom="0.74803149606299213" header="0.31496062992125984" footer="0.31496062992125984"/>
  <pageSetup paperSize="8" scale="31"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DFA6-76B4-4EF0-B539-68C93827FABF}">
  <sheetPr>
    <pageSetUpPr fitToPage="1"/>
  </sheetPr>
  <dimension ref="A2:CR49"/>
  <sheetViews>
    <sheetView view="pageBreakPreview" zoomScaleNormal="130" zoomScaleSheetLayoutView="100" workbookViewId="0">
      <pane xSplit="1" ySplit="5" topLeftCell="B6" activePane="bottomRight" state="frozen"/>
      <selection pane="topRight" activeCell="B1" sqref="B1"/>
      <selection pane="bottomLeft" activeCell="A6" sqref="A6"/>
      <selection pane="bottomRight" activeCell="BM16" sqref="BM16:BS16"/>
    </sheetView>
  </sheetViews>
  <sheetFormatPr defaultColWidth="28.25" defaultRowHeight="15.75" outlineLevelCol="1" x14ac:dyDescent="0.25"/>
  <cols>
    <col min="1" max="1" width="21.75" style="1" customWidth="1"/>
    <col min="2" max="8" width="10.625" style="1" customWidth="1"/>
    <col min="9" max="15" width="8.625" style="1" customWidth="1"/>
    <col min="16" max="22" width="12.625" style="1" customWidth="1"/>
    <col min="23" max="36" width="8.625" style="1" customWidth="1"/>
    <col min="37" max="50" width="8.625" style="1" customWidth="1" outlineLevel="1"/>
    <col min="51" max="71" width="8.625" style="1" customWidth="1"/>
    <col min="72" max="75" width="6.75" style="1" bestFit="1" customWidth="1"/>
    <col min="76" max="76" width="7.75" style="1" bestFit="1" customWidth="1"/>
    <col min="77" max="77" width="12.5" style="1" bestFit="1" customWidth="1"/>
    <col min="78" max="78" width="6.75" style="1" customWidth="1"/>
    <col min="79" max="95" width="28.25" style="1"/>
    <col min="96" max="96" width="8" style="1" bestFit="1" customWidth="1"/>
    <col min="97" max="16384" width="28.25" style="1"/>
  </cols>
  <sheetData>
    <row r="2" spans="1:96" x14ac:dyDescent="0.25">
      <c r="A2" s="2" t="s">
        <v>76</v>
      </c>
      <c r="B2" s="2"/>
      <c r="C2" s="2"/>
      <c r="D2" s="2"/>
    </row>
    <row r="3" spans="1:96" x14ac:dyDescent="0.25">
      <c r="AN3" s="1" t="s">
        <v>77</v>
      </c>
      <c r="BO3" s="1" t="s">
        <v>78</v>
      </c>
    </row>
    <row r="4" spans="1:96" s="6" customFormat="1" ht="40.9" customHeight="1" x14ac:dyDescent="0.25">
      <c r="A4" s="5" t="s">
        <v>79</v>
      </c>
      <c r="B4" s="201" t="s">
        <v>1</v>
      </c>
      <c r="C4" s="202"/>
      <c r="D4" s="202"/>
      <c r="E4" s="202"/>
      <c r="F4" s="202"/>
      <c r="G4" s="202"/>
      <c r="H4" s="203"/>
      <c r="I4" s="201" t="s">
        <v>156</v>
      </c>
      <c r="J4" s="202"/>
      <c r="K4" s="202"/>
      <c r="L4" s="202"/>
      <c r="M4" s="202"/>
      <c r="N4" s="202"/>
      <c r="O4" s="203"/>
      <c r="P4" s="201" t="s">
        <v>2</v>
      </c>
      <c r="Q4" s="202"/>
      <c r="R4" s="202"/>
      <c r="S4" s="202"/>
      <c r="T4" s="202"/>
      <c r="U4" s="202"/>
      <c r="V4" s="203"/>
      <c r="W4" s="201" t="s">
        <v>7</v>
      </c>
      <c r="X4" s="202"/>
      <c r="Y4" s="202"/>
      <c r="Z4" s="202"/>
      <c r="AA4" s="202"/>
      <c r="AB4" s="202"/>
      <c r="AC4" s="203"/>
      <c r="AD4" s="201" t="s">
        <v>80</v>
      </c>
      <c r="AE4" s="202"/>
      <c r="AF4" s="202"/>
      <c r="AG4" s="202"/>
      <c r="AH4" s="202"/>
      <c r="AI4" s="202"/>
      <c r="AJ4" s="203"/>
      <c r="AK4" s="204" t="s">
        <v>4</v>
      </c>
      <c r="AL4" s="205"/>
      <c r="AM4" s="205"/>
      <c r="AN4" s="205"/>
      <c r="AO4" s="205"/>
      <c r="AP4" s="205"/>
      <c r="AQ4" s="206"/>
      <c r="AR4" s="204" t="s">
        <v>8</v>
      </c>
      <c r="AS4" s="205"/>
      <c r="AT4" s="205"/>
      <c r="AU4" s="205"/>
      <c r="AV4" s="205"/>
      <c r="AW4" s="205"/>
      <c r="AX4" s="206"/>
      <c r="AY4" s="201" t="s">
        <v>155</v>
      </c>
      <c r="AZ4" s="202"/>
      <c r="BA4" s="202"/>
      <c r="BB4" s="202"/>
      <c r="BC4" s="202"/>
      <c r="BD4" s="202"/>
      <c r="BE4" s="203"/>
      <c r="BF4" s="202" t="s">
        <v>242</v>
      </c>
      <c r="BG4" s="202"/>
      <c r="BH4" s="202"/>
      <c r="BI4" s="202"/>
      <c r="BJ4" s="202"/>
      <c r="BK4" s="202"/>
      <c r="BL4" s="203"/>
      <c r="BM4" s="191" t="s">
        <v>243</v>
      </c>
      <c r="BN4" s="191"/>
      <c r="BO4" s="191"/>
      <c r="BP4" s="191"/>
      <c r="BQ4" s="191"/>
      <c r="BR4" s="191"/>
      <c r="BS4" s="192" t="s">
        <v>5</v>
      </c>
      <c r="BT4" s="201" t="s">
        <v>6</v>
      </c>
      <c r="BU4" s="202"/>
      <c r="BV4" s="202"/>
      <c r="BW4" s="202"/>
      <c r="BX4" s="202"/>
      <c r="BY4" s="202"/>
      <c r="BZ4" s="203"/>
    </row>
    <row r="5" spans="1:96" x14ac:dyDescent="0.25">
      <c r="A5" s="7" t="s">
        <v>9</v>
      </c>
      <c r="B5" s="8" t="s">
        <v>10</v>
      </c>
      <c r="C5" s="9" t="s">
        <v>11</v>
      </c>
      <c r="D5" s="9" t="s">
        <v>12</v>
      </c>
      <c r="E5" s="10" t="s">
        <v>13</v>
      </c>
      <c r="F5" s="10" t="s">
        <v>157</v>
      </c>
      <c r="G5" s="10" t="s">
        <v>158</v>
      </c>
      <c r="H5" s="11" t="s">
        <v>159</v>
      </c>
      <c r="I5" s="8" t="s">
        <v>10</v>
      </c>
      <c r="J5" s="9" t="s">
        <v>11</v>
      </c>
      <c r="K5" s="9" t="s">
        <v>12</v>
      </c>
      <c r="L5" s="10" t="s">
        <v>13</v>
      </c>
      <c r="M5" s="10" t="s">
        <v>157</v>
      </c>
      <c r="N5" s="10" t="s">
        <v>158</v>
      </c>
      <c r="O5" s="11" t="s">
        <v>159</v>
      </c>
      <c r="P5" s="8" t="s">
        <v>10</v>
      </c>
      <c r="Q5" s="9" t="s">
        <v>11</v>
      </c>
      <c r="R5" s="9" t="s">
        <v>12</v>
      </c>
      <c r="S5" s="10" t="s">
        <v>13</v>
      </c>
      <c r="T5" s="10" t="s">
        <v>157</v>
      </c>
      <c r="U5" s="10" t="s">
        <v>158</v>
      </c>
      <c r="V5" s="11" t="s">
        <v>159</v>
      </c>
      <c r="W5" s="8" t="s">
        <v>10</v>
      </c>
      <c r="X5" s="9" t="s">
        <v>11</v>
      </c>
      <c r="Y5" s="9" t="s">
        <v>12</v>
      </c>
      <c r="Z5" s="10" t="s">
        <v>13</v>
      </c>
      <c r="AA5" s="10" t="s">
        <v>157</v>
      </c>
      <c r="AB5" s="10" t="s">
        <v>158</v>
      </c>
      <c r="AC5" s="11" t="s">
        <v>159</v>
      </c>
      <c r="AD5" s="8" t="s">
        <v>10</v>
      </c>
      <c r="AE5" s="9" t="s">
        <v>11</v>
      </c>
      <c r="AF5" s="9" t="s">
        <v>12</v>
      </c>
      <c r="AG5" s="10" t="s">
        <v>13</v>
      </c>
      <c r="AH5" s="10" t="s">
        <v>157</v>
      </c>
      <c r="AI5" s="10" t="s">
        <v>158</v>
      </c>
      <c r="AJ5" s="11" t="s">
        <v>159</v>
      </c>
      <c r="AK5" s="77" t="s">
        <v>10</v>
      </c>
      <c r="AL5" s="78" t="s">
        <v>11</v>
      </c>
      <c r="AM5" s="78" t="s">
        <v>12</v>
      </c>
      <c r="AN5" s="79" t="s">
        <v>13</v>
      </c>
      <c r="AO5" s="79" t="s">
        <v>157</v>
      </c>
      <c r="AP5" s="79" t="s">
        <v>158</v>
      </c>
      <c r="AQ5" s="80" t="s">
        <v>159</v>
      </c>
      <c r="AR5" s="77" t="s">
        <v>10</v>
      </c>
      <c r="AS5" s="78" t="s">
        <v>11</v>
      </c>
      <c r="AT5" s="78" t="s">
        <v>12</v>
      </c>
      <c r="AU5" s="79" t="s">
        <v>13</v>
      </c>
      <c r="AV5" s="79" t="s">
        <v>157</v>
      </c>
      <c r="AW5" s="79" t="s">
        <v>158</v>
      </c>
      <c r="AX5" s="80" t="s">
        <v>159</v>
      </c>
      <c r="AY5" s="8" t="s">
        <v>10</v>
      </c>
      <c r="AZ5" s="9" t="s">
        <v>11</v>
      </c>
      <c r="BA5" s="9" t="s">
        <v>12</v>
      </c>
      <c r="BB5" s="10" t="s">
        <v>13</v>
      </c>
      <c r="BC5" s="10" t="s">
        <v>157</v>
      </c>
      <c r="BD5" s="10" t="s">
        <v>158</v>
      </c>
      <c r="BE5" s="11" t="s">
        <v>159</v>
      </c>
      <c r="BF5" s="10" t="s">
        <v>10</v>
      </c>
      <c r="BG5" s="9" t="s">
        <v>11</v>
      </c>
      <c r="BH5" s="9" t="s">
        <v>12</v>
      </c>
      <c r="BI5" s="10" t="s">
        <v>13</v>
      </c>
      <c r="BJ5" s="10" t="s">
        <v>157</v>
      </c>
      <c r="BK5" s="10" t="s">
        <v>158</v>
      </c>
      <c r="BL5" s="11" t="s">
        <v>159</v>
      </c>
      <c r="BM5" s="37" t="s">
        <v>10</v>
      </c>
      <c r="BN5" s="36" t="s">
        <v>11</v>
      </c>
      <c r="BO5" s="36" t="s">
        <v>12</v>
      </c>
      <c r="BP5" s="37" t="s">
        <v>13</v>
      </c>
      <c r="BQ5" s="37" t="s">
        <v>157</v>
      </c>
      <c r="BR5" s="37" t="s">
        <v>158</v>
      </c>
      <c r="BS5" s="38" t="s">
        <v>159</v>
      </c>
      <c r="BT5" s="8" t="s">
        <v>10</v>
      </c>
      <c r="BU5" s="9" t="s">
        <v>11</v>
      </c>
      <c r="BV5" s="9" t="s">
        <v>12</v>
      </c>
      <c r="BW5" s="10" t="s">
        <v>13</v>
      </c>
      <c r="BX5" s="10" t="s">
        <v>157</v>
      </c>
      <c r="BY5" s="10" t="s">
        <v>158</v>
      </c>
      <c r="BZ5" s="11" t="s">
        <v>159</v>
      </c>
    </row>
    <row r="6" spans="1:96" x14ac:dyDescent="0.25">
      <c r="A6" s="3" t="s">
        <v>59</v>
      </c>
      <c r="B6" s="45">
        <v>253664</v>
      </c>
      <c r="C6" s="16">
        <v>254651</v>
      </c>
      <c r="D6" s="16">
        <v>255068</v>
      </c>
      <c r="E6" s="13">
        <v>255508</v>
      </c>
      <c r="F6" s="13">
        <v>233040</v>
      </c>
      <c r="G6" s="13">
        <v>244453</v>
      </c>
      <c r="H6" s="23">
        <v>239451</v>
      </c>
      <c r="I6" s="87">
        <f t="shared" ref="I6" si="0">+B6/$B6*100</f>
        <v>100</v>
      </c>
      <c r="J6" s="88">
        <f t="shared" ref="J6" si="1">+C6/$B6*100</f>
        <v>100.38909738867163</v>
      </c>
      <c r="K6" s="88">
        <f t="shared" ref="K6" si="2">+D6/$B6*100</f>
        <v>100.55348807871832</v>
      </c>
      <c r="L6" s="13">
        <f t="shared" ref="L6" si="3">+E6/$B6*100</f>
        <v>100.72694588116565</v>
      </c>
      <c r="M6" s="13">
        <f t="shared" ref="M6" si="4">+F6/$B6*100</f>
        <v>91.869559732559608</v>
      </c>
      <c r="N6" s="13">
        <f t="shared" ref="N6:O6" si="5">+G6/$B6*100</f>
        <v>96.368818594676426</v>
      </c>
      <c r="O6" s="23">
        <f t="shared" si="5"/>
        <v>94.396918758672882</v>
      </c>
      <c r="P6" s="87">
        <v>5452000</v>
      </c>
      <c r="Q6" s="88">
        <v>3641000</v>
      </c>
      <c r="R6" s="88">
        <v>3422000</v>
      </c>
      <c r="S6" s="13">
        <v>4688000</v>
      </c>
      <c r="T6" s="13">
        <v>4802000</v>
      </c>
      <c r="U6" s="13">
        <v>4764000</v>
      </c>
      <c r="V6" s="23">
        <v>4941000</v>
      </c>
      <c r="W6" s="87">
        <f t="shared" ref="W6:W15" si="6">IFERROR(+P6/$P6*100,"")</f>
        <v>100</v>
      </c>
      <c r="X6" s="88">
        <f t="shared" ref="X6:X16" si="7">IFERROR(+Q6/$P6*100,"")</f>
        <v>66.782831988261194</v>
      </c>
      <c r="Y6" s="88">
        <f t="shared" ref="Y6:Y16" si="8">IFERROR(+R6/$P6*100,"")</f>
        <v>62.765957446808507</v>
      </c>
      <c r="Z6" s="13">
        <f t="shared" ref="Z6:Z16" si="9">IFERROR(+S6/$P6*100,"")</f>
        <v>85.986793837123983</v>
      </c>
      <c r="AA6" s="13">
        <f t="shared" ref="AA6:AA16" si="10">IFERROR(+T6/$P6*100,"")</f>
        <v>88.077769625825383</v>
      </c>
      <c r="AB6" s="13">
        <f t="shared" ref="AB6:AC16" si="11">IFERROR(+U6/$P6*100,"")</f>
        <v>87.380777696258249</v>
      </c>
      <c r="AC6" s="13">
        <f t="shared" si="11"/>
        <v>90.627292736610414</v>
      </c>
      <c r="AD6" s="89">
        <v>105.5</v>
      </c>
      <c r="AE6" s="90">
        <v>73.150000000000006</v>
      </c>
      <c r="AF6" s="90">
        <v>81.730999999999995</v>
      </c>
      <c r="AG6" s="17">
        <v>95.775000000000006</v>
      </c>
      <c r="AH6" s="108">
        <v>97.227000000000004</v>
      </c>
      <c r="AI6" s="17">
        <v>101.9</v>
      </c>
      <c r="AJ6" s="17">
        <v>111.9</v>
      </c>
      <c r="AK6" s="89">
        <v>188.22</v>
      </c>
      <c r="AL6" s="90">
        <v>190.89699999999999</v>
      </c>
      <c r="AM6" s="90">
        <v>196.37</v>
      </c>
      <c r="AN6" s="17">
        <v>215.22399999999999</v>
      </c>
      <c r="AO6" s="17">
        <v>204.554</v>
      </c>
      <c r="AP6" s="17">
        <v>215.46299999999999</v>
      </c>
      <c r="AQ6" s="17">
        <v>208.7</v>
      </c>
      <c r="AR6" s="89">
        <f t="shared" ref="AR6:AR16" si="12">IFERROR(AK6*1000000/B6,"")</f>
        <v>742.00517219629114</v>
      </c>
      <c r="AS6" s="90">
        <f t="shared" ref="AS6:AS16" si="13">IFERROR(AL6*1000000/C6,"")</f>
        <v>749.64166643759495</v>
      </c>
      <c r="AT6" s="90">
        <f t="shared" ref="AT6:AT16" si="14">IFERROR(AM6*1000000/D6,"")</f>
        <v>769.87313187071686</v>
      </c>
      <c r="AU6" s="17">
        <f t="shared" ref="AU6:AU16" si="15">IFERROR(AN6*1000000/E6,"")</f>
        <v>842.33761760884204</v>
      </c>
      <c r="AV6" s="17">
        <f t="shared" ref="AV6:AV16" si="16">IFERROR(AO6*1000000/F6,"")</f>
        <v>877.76347408170273</v>
      </c>
      <c r="AW6" s="17">
        <f t="shared" ref="AW6:AW16" si="17">IFERROR(AP6*1000000/G6,"")</f>
        <v>881.40869615018016</v>
      </c>
      <c r="AX6" s="17">
        <f t="shared" ref="AX6:AX16" si="18">IFERROR(AQ6*1000000/H6,"")</f>
        <v>871.57706587151438</v>
      </c>
      <c r="AY6" s="89">
        <f t="shared" ref="AY6:AY16" si="19">AR6/$AR6*100</f>
        <v>100</v>
      </c>
      <c r="AZ6" s="90">
        <f t="shared" ref="AZ6:AZ16" si="20">AS6/$AR6*100</f>
        <v>101.02916994752209</v>
      </c>
      <c r="BA6" s="90">
        <f t="shared" ref="BA6:BA16" si="21">AT6/$AR6*100</f>
        <v>103.75576353355305</v>
      </c>
      <c r="BB6" s="17">
        <f t="shared" ref="BB6:BB16" si="22">AU6/$AR6*100</f>
        <v>113.52179865749086</v>
      </c>
      <c r="BC6" s="17">
        <f t="shared" ref="BC6:BC16" si="23">AV6/$AR6*100</f>
        <v>118.29613956511584</v>
      </c>
      <c r="BD6" s="17">
        <f t="shared" ref="BD6:BD16" si="24">AW6/$AR6*100</f>
        <v>118.78740596123649</v>
      </c>
      <c r="BE6" s="17">
        <f t="shared" ref="BE6:BE16" si="25">AX6/$AR6*100</f>
        <v>117.46239763958764</v>
      </c>
      <c r="BF6" s="46">
        <f>IFERROR(AD6/AK6,"")</f>
        <v>0.5605142917862076</v>
      </c>
      <c r="BG6" s="21">
        <f t="shared" ref="BG6:BL6" si="26">IFERROR(AE6/AL6,"")</f>
        <v>0.38319093542591037</v>
      </c>
      <c r="BH6" s="21">
        <f t="shared" si="26"/>
        <v>0.41620919692417374</v>
      </c>
      <c r="BI6" s="21">
        <f t="shared" si="26"/>
        <v>0.44500148682303092</v>
      </c>
      <c r="BJ6" s="21">
        <f t="shared" si="26"/>
        <v>0.47531214251493492</v>
      </c>
      <c r="BK6" s="21">
        <f t="shared" si="26"/>
        <v>0.47293502828791956</v>
      </c>
      <c r="BL6" s="24">
        <f t="shared" si="26"/>
        <v>0.53617632965979878</v>
      </c>
      <c r="BM6" s="168">
        <f t="shared" ref="BM6:BS7" si="27">+AK6-AD6-BT6</f>
        <v>82.72</v>
      </c>
      <c r="BN6" s="19">
        <f t="shared" si="27"/>
        <v>82.092999999999989</v>
      </c>
      <c r="BO6" s="19">
        <f t="shared" si="27"/>
        <v>81.607000000000014</v>
      </c>
      <c r="BP6" s="19">
        <f t="shared" si="27"/>
        <v>109.76999999999998</v>
      </c>
      <c r="BQ6" s="19">
        <f t="shared" si="27"/>
        <v>104.378</v>
      </c>
      <c r="BR6" s="19">
        <f t="shared" si="27"/>
        <v>113.72699999999999</v>
      </c>
      <c r="BS6" s="20">
        <f t="shared" si="27"/>
        <v>96.799999999999983</v>
      </c>
      <c r="BT6" s="17"/>
      <c r="BU6" s="17">
        <v>35.654000000000003</v>
      </c>
      <c r="BV6" s="17">
        <v>33.031999999999996</v>
      </c>
      <c r="BW6" s="17">
        <v>9.6790000000000003</v>
      </c>
      <c r="BX6" s="17">
        <v>2.9489999999999998</v>
      </c>
      <c r="BY6" s="17">
        <v>-0.16400000000000001</v>
      </c>
      <c r="BZ6" s="18"/>
      <c r="CR6" s="17" t="s">
        <v>71</v>
      </c>
    </row>
    <row r="7" spans="1:96" x14ac:dyDescent="0.25">
      <c r="A7" s="3" t="s">
        <v>81</v>
      </c>
      <c r="B7" s="45">
        <v>15523</v>
      </c>
      <c r="C7" s="16">
        <v>15595</v>
      </c>
      <c r="D7" s="16">
        <v>15322</v>
      </c>
      <c r="E7" s="13">
        <v>15495</v>
      </c>
      <c r="F7" s="13">
        <v>16783</v>
      </c>
      <c r="G7" s="13">
        <v>15680</v>
      </c>
      <c r="H7" s="23">
        <v>17405</v>
      </c>
      <c r="I7" s="87">
        <f t="shared" ref="I7:I16" si="28">+B7/$B7*100</f>
        <v>100</v>
      </c>
      <c r="J7" s="88">
        <f t="shared" ref="J7:J16" si="29">+C7/$B7*100</f>
        <v>100.46382786832442</v>
      </c>
      <c r="K7" s="88">
        <f t="shared" ref="K7:K16" si="30">+D7/$B7*100</f>
        <v>98.705147200927655</v>
      </c>
      <c r="L7" s="13">
        <f t="shared" ref="L7:L16" si="31">+E7/$B7*100</f>
        <v>99.819622495651615</v>
      </c>
      <c r="M7" s="13">
        <f t="shared" ref="M7:M16" si="32">+F7/$B7*100</f>
        <v>108.11698769567739</v>
      </c>
      <c r="N7" s="13">
        <f t="shared" ref="N7:O16" si="33">+G7/$B7*100</f>
        <v>101.0114024350963</v>
      </c>
      <c r="O7" s="23">
        <f t="shared" si="33"/>
        <v>112.12394511370225</v>
      </c>
      <c r="P7" s="87">
        <v>323000</v>
      </c>
      <c r="Q7" s="88">
        <v>203000</v>
      </c>
      <c r="R7" s="88">
        <v>163000</v>
      </c>
      <c r="S7" s="13">
        <v>223000</v>
      </c>
      <c r="T7" s="13">
        <v>283000</v>
      </c>
      <c r="U7" s="13">
        <v>245000</v>
      </c>
      <c r="V7" s="23">
        <v>314000</v>
      </c>
      <c r="W7" s="87">
        <f t="shared" si="6"/>
        <v>100</v>
      </c>
      <c r="X7" s="88">
        <f t="shared" si="7"/>
        <v>62.848297213622295</v>
      </c>
      <c r="Y7" s="88">
        <f t="shared" si="8"/>
        <v>50.464396284829725</v>
      </c>
      <c r="Z7" s="13">
        <f t="shared" si="9"/>
        <v>69.040247678018574</v>
      </c>
      <c r="AA7" s="13">
        <f t="shared" si="10"/>
        <v>87.616099071207429</v>
      </c>
      <c r="AB7" s="13">
        <f t="shared" si="11"/>
        <v>75.851393188854487</v>
      </c>
      <c r="AC7" s="13">
        <f t="shared" si="11"/>
        <v>97.213622291021679</v>
      </c>
      <c r="AD7" s="89">
        <v>3.4369999999999998</v>
      </c>
      <c r="AE7" s="90">
        <v>2.82</v>
      </c>
      <c r="AF7" s="90">
        <v>2.4950000000000001</v>
      </c>
      <c r="AG7" s="17">
        <v>1.024</v>
      </c>
      <c r="AH7" s="108">
        <v>1.6</v>
      </c>
      <c r="AI7" s="17">
        <v>1.2</v>
      </c>
      <c r="AJ7" s="17">
        <v>2.1</v>
      </c>
      <c r="AK7" s="89">
        <v>16.446999999999999</v>
      </c>
      <c r="AL7" s="90">
        <v>16.829999999999998</v>
      </c>
      <c r="AM7" s="90">
        <v>17.175000000000001</v>
      </c>
      <c r="AN7" s="17">
        <v>18.788</v>
      </c>
      <c r="AO7" s="17">
        <v>20.004999999999999</v>
      </c>
      <c r="AP7" s="17">
        <v>19.707999999999998</v>
      </c>
      <c r="AQ7" s="17">
        <v>21.876999999999999</v>
      </c>
      <c r="AR7" s="89">
        <f t="shared" si="12"/>
        <v>1059.5245764349675</v>
      </c>
      <c r="AS7" s="90">
        <f t="shared" si="13"/>
        <v>1079.1920487335685</v>
      </c>
      <c r="AT7" s="90">
        <f t="shared" si="14"/>
        <v>1120.9372144628639</v>
      </c>
      <c r="AU7" s="17">
        <f t="shared" si="15"/>
        <v>1212.5201677960633</v>
      </c>
      <c r="AV7" s="17">
        <f t="shared" si="16"/>
        <v>1191.979979741405</v>
      </c>
      <c r="AW7" s="17">
        <f t="shared" si="17"/>
        <v>1256.8877551020407</v>
      </c>
      <c r="AX7" s="17">
        <f t="shared" si="18"/>
        <v>1256.9376615914966</v>
      </c>
      <c r="AY7" s="89">
        <f t="shared" si="19"/>
        <v>100</v>
      </c>
      <c r="AZ7" s="90">
        <f t="shared" si="20"/>
        <v>101.8562544688465</v>
      </c>
      <c r="BA7" s="90">
        <f t="shared" si="21"/>
        <v>105.79624478693401</v>
      </c>
      <c r="BB7" s="17">
        <f t="shared" si="22"/>
        <v>114.44002288987834</v>
      </c>
      <c r="BC7" s="17">
        <f t="shared" si="23"/>
        <v>112.50139980255263</v>
      </c>
      <c r="BD7" s="17">
        <f t="shared" si="24"/>
        <v>118.62752248099335</v>
      </c>
      <c r="BE7" s="17">
        <f t="shared" si="25"/>
        <v>118.63223275299326</v>
      </c>
      <c r="BF7" s="46">
        <f t="shared" ref="BF7:BF15" si="34">IFERROR(AD7/AK7,"")</f>
        <v>0.20897428102389493</v>
      </c>
      <c r="BG7" s="21">
        <f t="shared" ref="BG7:BG15" si="35">IFERROR(AE7/AL7,"")</f>
        <v>0.16755793226381463</v>
      </c>
      <c r="BH7" s="21">
        <f t="shared" ref="BH7:BH15" si="36">IFERROR(AF7/AM7,"")</f>
        <v>0.14526928675400291</v>
      </c>
      <c r="BI7" s="113">
        <f t="shared" ref="BI7:BI15" si="37">IFERROR(AG7/AN7,"")</f>
        <v>5.4502874175005322E-2</v>
      </c>
      <c r="BJ7" s="113">
        <f t="shared" ref="BJ7:BJ15" si="38">IFERROR(AH7/AO7,"")</f>
        <v>7.9980004998750326E-2</v>
      </c>
      <c r="BK7" s="113">
        <f t="shared" ref="BK7:BK15" si="39">IFERROR(AI7/AP7,"")</f>
        <v>6.088897909478385E-2</v>
      </c>
      <c r="BL7" s="112">
        <f t="shared" ref="BL7:BL15" si="40">IFERROR(AJ7/AQ7,"")</f>
        <v>9.5991223659551136E-2</v>
      </c>
      <c r="BM7" s="42">
        <f t="shared" si="27"/>
        <v>13.01</v>
      </c>
      <c r="BN7" s="17">
        <f t="shared" si="27"/>
        <v>13.256999999999998</v>
      </c>
      <c r="BO7" s="17">
        <f t="shared" si="27"/>
        <v>13.448</v>
      </c>
      <c r="BP7" s="17">
        <f t="shared" si="27"/>
        <v>17.468999999999998</v>
      </c>
      <c r="BQ7" s="17">
        <f t="shared" si="27"/>
        <v>18.155999999999999</v>
      </c>
      <c r="BR7" s="17">
        <f t="shared" si="27"/>
        <v>18.523999999999997</v>
      </c>
      <c r="BS7" s="18">
        <f t="shared" si="27"/>
        <v>19.776999999999997</v>
      </c>
      <c r="BT7" s="17"/>
      <c r="BU7" s="17">
        <v>0.753</v>
      </c>
      <c r="BV7" s="17">
        <v>1.232</v>
      </c>
      <c r="BW7" s="17">
        <v>0.29499999999999998</v>
      </c>
      <c r="BX7" s="17">
        <v>0.249</v>
      </c>
      <c r="BY7" s="17">
        <v>-1.6E-2</v>
      </c>
      <c r="BZ7" s="18"/>
    </row>
    <row r="8" spans="1:96" x14ac:dyDescent="0.25">
      <c r="A8" s="3" t="s">
        <v>82</v>
      </c>
      <c r="B8" s="45">
        <v>24379</v>
      </c>
      <c r="C8" s="16">
        <v>23664</v>
      </c>
      <c r="D8" s="16">
        <v>24880</v>
      </c>
      <c r="E8" s="13">
        <v>24955</v>
      </c>
      <c r="F8" s="13">
        <v>26215</v>
      </c>
      <c r="G8" s="13">
        <v>24503</v>
      </c>
      <c r="H8" s="23">
        <v>25172</v>
      </c>
      <c r="I8" s="87">
        <f t="shared" si="28"/>
        <v>100</v>
      </c>
      <c r="J8" s="88">
        <f t="shared" si="29"/>
        <v>97.067147955207361</v>
      </c>
      <c r="K8" s="88">
        <f t="shared" si="30"/>
        <v>102.05504737684072</v>
      </c>
      <c r="L8" s="13">
        <f t="shared" si="31"/>
        <v>102.36268919972107</v>
      </c>
      <c r="M8" s="13">
        <f t="shared" si="32"/>
        <v>107.53107182411092</v>
      </c>
      <c r="N8" s="13">
        <f t="shared" si="33"/>
        <v>100.50863448049552</v>
      </c>
      <c r="O8" s="23">
        <f t="shared" si="33"/>
        <v>103.25279954058821</v>
      </c>
      <c r="P8" s="87">
        <v>315000</v>
      </c>
      <c r="Q8" s="88">
        <v>216000</v>
      </c>
      <c r="R8" s="88">
        <v>193000</v>
      </c>
      <c r="S8" s="13">
        <v>269000</v>
      </c>
      <c r="T8" s="13">
        <v>255000</v>
      </c>
      <c r="U8" s="13">
        <v>256000</v>
      </c>
      <c r="V8" s="23">
        <v>274000</v>
      </c>
      <c r="W8" s="87">
        <f t="shared" si="6"/>
        <v>100</v>
      </c>
      <c r="X8" s="88">
        <f t="shared" si="7"/>
        <v>68.571428571428569</v>
      </c>
      <c r="Y8" s="88">
        <f t="shared" si="8"/>
        <v>61.269841269841272</v>
      </c>
      <c r="Z8" s="13">
        <f t="shared" si="9"/>
        <v>85.396825396825392</v>
      </c>
      <c r="AA8" s="13">
        <f t="shared" si="10"/>
        <v>80.952380952380949</v>
      </c>
      <c r="AB8" s="13">
        <f t="shared" si="11"/>
        <v>81.269841269841265</v>
      </c>
      <c r="AC8" s="13">
        <f t="shared" si="11"/>
        <v>86.984126984126988</v>
      </c>
      <c r="AD8" s="89">
        <v>3.35</v>
      </c>
      <c r="AE8" s="90">
        <v>2.7370000000000001</v>
      </c>
      <c r="AF8" s="90">
        <v>2.6829999999999998</v>
      </c>
      <c r="AG8" s="17">
        <v>3.1739999999999999</v>
      </c>
      <c r="AH8" s="108">
        <v>4</v>
      </c>
      <c r="AI8" s="17">
        <v>3.4</v>
      </c>
      <c r="AJ8" s="17">
        <v>4.0999999999999996</v>
      </c>
      <c r="AK8" s="89">
        <v>23.312000000000001</v>
      </c>
      <c r="AL8" s="90">
        <v>23.805</v>
      </c>
      <c r="AM8" s="90">
        <v>25.155999999999999</v>
      </c>
      <c r="AN8" s="17">
        <v>27.448</v>
      </c>
      <c r="AO8" s="17">
        <v>28.7</v>
      </c>
      <c r="AP8" s="17">
        <v>28.198</v>
      </c>
      <c r="AQ8" s="17">
        <v>30.44</v>
      </c>
      <c r="AR8" s="89">
        <f t="shared" si="12"/>
        <v>956.23282333155589</v>
      </c>
      <c r="AS8" s="90">
        <f t="shared" si="13"/>
        <v>1005.9584178498985</v>
      </c>
      <c r="AT8" s="90">
        <f t="shared" si="14"/>
        <v>1011.0932475884244</v>
      </c>
      <c r="AU8" s="17">
        <f t="shared" si="15"/>
        <v>1099.8998196754158</v>
      </c>
      <c r="AV8" s="17">
        <f t="shared" si="16"/>
        <v>1094.7930574098798</v>
      </c>
      <c r="AW8" s="17">
        <f t="shared" si="17"/>
        <v>1150.7978614863487</v>
      </c>
      <c r="AX8" s="17">
        <f t="shared" si="18"/>
        <v>1209.2801525504528</v>
      </c>
      <c r="AY8" s="89">
        <f t="shared" si="19"/>
        <v>100</v>
      </c>
      <c r="AZ8" s="90">
        <f t="shared" si="20"/>
        <v>105.20015557979872</v>
      </c>
      <c r="BA8" s="90">
        <f t="shared" si="21"/>
        <v>105.73714088434367</v>
      </c>
      <c r="BB8" s="17">
        <f t="shared" si="22"/>
        <v>115.02426949153637</v>
      </c>
      <c r="BC8" s="17">
        <f t="shared" si="23"/>
        <v>114.49021940028936</v>
      </c>
      <c r="BD8" s="17">
        <f t="shared" si="24"/>
        <v>120.34703614093898</v>
      </c>
      <c r="BE8" s="17">
        <f t="shared" si="25"/>
        <v>126.46294114201908</v>
      </c>
      <c r="BF8" s="46">
        <f t="shared" si="34"/>
        <v>0.14370281400137269</v>
      </c>
      <c r="BG8" s="21">
        <f t="shared" si="35"/>
        <v>0.11497584541062802</v>
      </c>
      <c r="BH8" s="21">
        <f t="shared" si="36"/>
        <v>0.10665447606932739</v>
      </c>
      <c r="BI8" s="21">
        <f t="shared" si="37"/>
        <v>0.11563684057126201</v>
      </c>
      <c r="BJ8" s="21">
        <f t="shared" si="38"/>
        <v>0.13937282229965156</v>
      </c>
      <c r="BK8" s="21">
        <f t="shared" si="39"/>
        <v>0.12057592737073551</v>
      </c>
      <c r="BL8" s="24">
        <f t="shared" si="40"/>
        <v>0.13469119579500655</v>
      </c>
      <c r="BM8" s="42">
        <f t="shared" ref="BM8:BM15" si="41">+AK8-AD8-BT8</f>
        <v>19.962</v>
      </c>
      <c r="BN8" s="17">
        <f t="shared" ref="BN8:BN15" si="42">+AL8-AE8-BU8</f>
        <v>19.817999999999998</v>
      </c>
      <c r="BO8" s="17">
        <f t="shared" ref="BO8:BO15" si="43">+AM8-AF8-BV8</f>
        <v>21.117999999999999</v>
      </c>
      <c r="BP8" s="17">
        <f t="shared" ref="BP8:BP15" si="44">+AN8-AG8-BW8</f>
        <v>24.033000000000001</v>
      </c>
      <c r="BQ8" s="17">
        <f t="shared" ref="BQ8:BQ15" si="45">+AO8-AH8-BX8</f>
        <v>24.280999999999999</v>
      </c>
      <c r="BR8" s="17">
        <f t="shared" ref="BR8:BR15" si="46">+AP8-AI8-BY8</f>
        <v>24.826000000000001</v>
      </c>
      <c r="BS8" s="18">
        <f t="shared" ref="BS8:BS15" si="47">+AQ8-AJ8-BZ8</f>
        <v>26.340000000000003</v>
      </c>
      <c r="BT8" s="17"/>
      <c r="BU8" s="17">
        <v>1.25</v>
      </c>
      <c r="BV8" s="17">
        <v>1.355</v>
      </c>
      <c r="BW8" s="17">
        <v>0.24099999999999999</v>
      </c>
      <c r="BX8" s="17">
        <v>0.41899999999999998</v>
      </c>
      <c r="BY8" s="17">
        <v>-2.8000000000000001E-2</v>
      </c>
      <c r="BZ8" s="18"/>
    </row>
    <row r="9" spans="1:96" x14ac:dyDescent="0.25">
      <c r="A9" s="3" t="s">
        <v>83</v>
      </c>
      <c r="B9" s="45">
        <v>8278</v>
      </c>
      <c r="C9" s="16">
        <v>7705</v>
      </c>
      <c r="D9" s="16">
        <v>7707</v>
      </c>
      <c r="E9" s="13">
        <v>7651</v>
      </c>
      <c r="F9" s="13">
        <v>7596</v>
      </c>
      <c r="G9" s="13">
        <v>7308</v>
      </c>
      <c r="H9" s="23">
        <v>8286</v>
      </c>
      <c r="I9" s="87">
        <f t="shared" si="28"/>
        <v>100</v>
      </c>
      <c r="J9" s="88">
        <f t="shared" si="29"/>
        <v>93.078038173471853</v>
      </c>
      <c r="K9" s="88">
        <f t="shared" si="30"/>
        <v>93.102198598695338</v>
      </c>
      <c r="L9" s="13">
        <f t="shared" si="31"/>
        <v>92.425706692437785</v>
      </c>
      <c r="M9" s="13">
        <f t="shared" si="32"/>
        <v>91.761294998791982</v>
      </c>
      <c r="N9" s="13">
        <f t="shared" si="33"/>
        <v>88.282193766610291</v>
      </c>
      <c r="O9" s="23">
        <f t="shared" si="33"/>
        <v>100.09664170089394</v>
      </c>
      <c r="P9" s="87">
        <v>147000</v>
      </c>
      <c r="Q9" s="88">
        <v>104000</v>
      </c>
      <c r="R9" s="88">
        <v>97000</v>
      </c>
      <c r="S9" s="13">
        <v>143000</v>
      </c>
      <c r="T9" s="13">
        <v>107000</v>
      </c>
      <c r="U9" s="13">
        <v>90000</v>
      </c>
      <c r="V9" s="23">
        <v>122000</v>
      </c>
      <c r="W9" s="87">
        <f t="shared" si="6"/>
        <v>100</v>
      </c>
      <c r="X9" s="88">
        <f t="shared" si="7"/>
        <v>70.748299319727892</v>
      </c>
      <c r="Y9" s="88">
        <f t="shared" si="8"/>
        <v>65.986394557823118</v>
      </c>
      <c r="Z9" s="13">
        <f t="shared" si="9"/>
        <v>97.278911564625844</v>
      </c>
      <c r="AA9" s="13">
        <f t="shared" si="10"/>
        <v>72.789115646258509</v>
      </c>
      <c r="AB9" s="13">
        <f t="shared" si="11"/>
        <v>61.224489795918366</v>
      </c>
      <c r="AC9" s="13">
        <f t="shared" si="11"/>
        <v>82.993197278911566</v>
      </c>
      <c r="AD9" s="89">
        <v>1.524</v>
      </c>
      <c r="AE9" s="90">
        <v>1.099</v>
      </c>
      <c r="AF9" s="90">
        <v>1.23</v>
      </c>
      <c r="AG9" s="17">
        <v>1.5</v>
      </c>
      <c r="AH9" s="108">
        <v>1.1000000000000001</v>
      </c>
      <c r="AI9" s="17">
        <v>0.9</v>
      </c>
      <c r="AJ9" s="17">
        <v>1.4</v>
      </c>
      <c r="AK9" s="89">
        <v>6.7729999999999997</v>
      </c>
      <c r="AL9" s="90">
        <v>6.5490000000000004</v>
      </c>
      <c r="AM9" s="90">
        <v>6.8780000000000001</v>
      </c>
      <c r="AN9" s="17">
        <v>7.3570000000000002</v>
      </c>
      <c r="AO9" s="17">
        <v>7.508</v>
      </c>
      <c r="AP9" s="17">
        <v>7.4829999999999997</v>
      </c>
      <c r="AQ9" s="17">
        <v>8.4930000000000003</v>
      </c>
      <c r="AR9" s="89">
        <f t="shared" si="12"/>
        <v>818.19280019328335</v>
      </c>
      <c r="AS9" s="90">
        <f t="shared" si="13"/>
        <v>849.96755353666447</v>
      </c>
      <c r="AT9" s="90">
        <f t="shared" si="14"/>
        <v>892.4354482937589</v>
      </c>
      <c r="AU9" s="17">
        <f t="shared" si="15"/>
        <v>961.5736505032022</v>
      </c>
      <c r="AV9" s="17">
        <f t="shared" si="16"/>
        <v>988.41495523959975</v>
      </c>
      <c r="AW9" s="17">
        <f t="shared" si="17"/>
        <v>1023.9463601532567</v>
      </c>
      <c r="AX9" s="17">
        <f t="shared" si="18"/>
        <v>1024.9818971759594</v>
      </c>
      <c r="AY9" s="89">
        <f t="shared" si="19"/>
        <v>100</v>
      </c>
      <c r="AZ9" s="90">
        <f t="shared" si="20"/>
        <v>103.88352883768653</v>
      </c>
      <c r="BA9" s="90">
        <f t="shared" si="21"/>
        <v>109.0739796393878</v>
      </c>
      <c r="BB9" s="17">
        <f t="shared" si="22"/>
        <v>117.52409093260754</v>
      </c>
      <c r="BC9" s="17">
        <f t="shared" si="23"/>
        <v>120.80465081165521</v>
      </c>
      <c r="BD9" s="17">
        <f t="shared" si="24"/>
        <v>125.14731978958599</v>
      </c>
      <c r="BE9" s="17">
        <f t="shared" si="25"/>
        <v>125.27388372689492</v>
      </c>
      <c r="BF9" s="46">
        <f t="shared" si="34"/>
        <v>0.22501107337959547</v>
      </c>
      <c r="BG9" s="21">
        <f t="shared" si="35"/>
        <v>0.16781187967628644</v>
      </c>
      <c r="BH9" s="21">
        <f t="shared" si="36"/>
        <v>0.17883105553940098</v>
      </c>
      <c r="BI9" s="21">
        <f t="shared" si="37"/>
        <v>0.2038874541253228</v>
      </c>
      <c r="BJ9" s="113">
        <f t="shared" si="38"/>
        <v>0.14651038891848697</v>
      </c>
      <c r="BK9" s="113">
        <f t="shared" si="39"/>
        <v>0.12027261793398371</v>
      </c>
      <c r="BL9" s="112">
        <f t="shared" si="40"/>
        <v>0.16484163428705992</v>
      </c>
      <c r="BM9" s="42">
        <f t="shared" si="41"/>
        <v>5.2489999999999997</v>
      </c>
      <c r="BN9" s="17">
        <f t="shared" si="42"/>
        <v>5.0440000000000005</v>
      </c>
      <c r="BO9" s="17">
        <f t="shared" si="43"/>
        <v>5.048</v>
      </c>
      <c r="BP9" s="17">
        <f t="shared" si="44"/>
        <v>5.7690000000000001</v>
      </c>
      <c r="BQ9" s="17">
        <f t="shared" si="45"/>
        <v>6.3</v>
      </c>
      <c r="BR9" s="17">
        <f t="shared" si="46"/>
        <v>6.5879999999999992</v>
      </c>
      <c r="BS9" s="18">
        <f t="shared" si="47"/>
        <v>7.093</v>
      </c>
      <c r="BT9" s="17"/>
      <c r="BU9" s="17">
        <v>0.40600000000000003</v>
      </c>
      <c r="BV9" s="17">
        <v>0.6</v>
      </c>
      <c r="BW9" s="17">
        <v>8.7999999999999995E-2</v>
      </c>
      <c r="BX9" s="17">
        <v>0.108</v>
      </c>
      <c r="BY9" s="17">
        <v>-5.0000000000000001E-3</v>
      </c>
      <c r="BZ9" s="18"/>
    </row>
    <row r="10" spans="1:96" x14ac:dyDescent="0.25">
      <c r="A10" s="3" t="s">
        <v>84</v>
      </c>
      <c r="B10" s="45">
        <v>9686</v>
      </c>
      <c r="C10" s="16">
        <v>9111</v>
      </c>
      <c r="D10" s="16">
        <v>8752</v>
      </c>
      <c r="E10" s="13">
        <v>8790</v>
      </c>
      <c r="F10" s="13">
        <v>8174</v>
      </c>
      <c r="G10" s="13">
        <v>8188</v>
      </c>
      <c r="H10" s="23">
        <v>8035</v>
      </c>
      <c r="I10" s="87">
        <f t="shared" si="28"/>
        <v>100</v>
      </c>
      <c r="J10" s="88">
        <f t="shared" si="29"/>
        <v>94.063596944042942</v>
      </c>
      <c r="K10" s="88">
        <f t="shared" si="30"/>
        <v>90.3572166012802</v>
      </c>
      <c r="L10" s="13">
        <f t="shared" si="31"/>
        <v>90.749535411934758</v>
      </c>
      <c r="M10" s="13">
        <f t="shared" si="32"/>
        <v>84.389841007639887</v>
      </c>
      <c r="N10" s="13">
        <f t="shared" si="33"/>
        <v>84.534379516828423</v>
      </c>
      <c r="O10" s="23">
        <f t="shared" si="33"/>
        <v>82.954780094982453</v>
      </c>
      <c r="P10" s="87">
        <v>276000</v>
      </c>
      <c r="Q10" s="88">
        <v>191000</v>
      </c>
      <c r="R10" s="88">
        <v>171000</v>
      </c>
      <c r="S10" s="13">
        <v>217000</v>
      </c>
      <c r="T10" s="13">
        <v>261000</v>
      </c>
      <c r="U10" s="13">
        <v>220000</v>
      </c>
      <c r="V10" s="23">
        <v>262000</v>
      </c>
      <c r="W10" s="87">
        <f t="shared" si="6"/>
        <v>100</v>
      </c>
      <c r="X10" s="88">
        <f t="shared" si="7"/>
        <v>69.20289855072464</v>
      </c>
      <c r="Y10" s="88">
        <f t="shared" si="8"/>
        <v>61.95652173913043</v>
      </c>
      <c r="Z10" s="13">
        <f t="shared" si="9"/>
        <v>78.623188405797109</v>
      </c>
      <c r="AA10" s="13">
        <f t="shared" si="10"/>
        <v>94.565217391304344</v>
      </c>
      <c r="AB10" s="13">
        <f t="shared" si="11"/>
        <v>79.710144927536234</v>
      </c>
      <c r="AC10" s="13">
        <f t="shared" si="11"/>
        <v>94.927536231884062</v>
      </c>
      <c r="AD10" s="89">
        <v>1.7</v>
      </c>
      <c r="AE10" s="90">
        <v>1.4039999999999999</v>
      </c>
      <c r="AF10" s="90">
        <v>1.456</v>
      </c>
      <c r="AG10" s="17">
        <v>1.698</v>
      </c>
      <c r="AH10" s="108">
        <v>1.5</v>
      </c>
      <c r="AI10" s="17">
        <v>1.5</v>
      </c>
      <c r="AJ10" s="17">
        <v>1.6</v>
      </c>
      <c r="AK10" s="89">
        <v>6.98</v>
      </c>
      <c r="AL10" s="90">
        <v>6.4370000000000003</v>
      </c>
      <c r="AM10" s="90">
        <v>6.4939999999999998</v>
      </c>
      <c r="AN10" s="17">
        <v>7.6550000000000002</v>
      </c>
      <c r="AO10" s="17">
        <v>7.4429999999999996</v>
      </c>
      <c r="AP10" s="17">
        <v>7.3019999999999996</v>
      </c>
      <c r="AQ10" s="17">
        <v>7.5430000000000001</v>
      </c>
      <c r="AR10" s="89">
        <f t="shared" si="12"/>
        <v>720.62771009704727</v>
      </c>
      <c r="AS10" s="90">
        <f t="shared" si="13"/>
        <v>706.50861595873118</v>
      </c>
      <c r="AT10" s="90">
        <f t="shared" si="14"/>
        <v>742.00182815356493</v>
      </c>
      <c r="AU10" s="17">
        <f t="shared" si="15"/>
        <v>870.87599544937427</v>
      </c>
      <c r="AV10" s="17">
        <f t="shared" si="16"/>
        <v>910.5701003180817</v>
      </c>
      <c r="AW10" s="17">
        <f t="shared" si="17"/>
        <v>891.79286761113826</v>
      </c>
      <c r="AX10" s="17">
        <f t="shared" si="18"/>
        <v>938.76789047915372</v>
      </c>
      <c r="AY10" s="89">
        <f t="shared" si="19"/>
        <v>100</v>
      </c>
      <c r="AZ10" s="90">
        <f t="shared" si="20"/>
        <v>98.040722839201578</v>
      </c>
      <c r="BA10" s="90">
        <f t="shared" si="21"/>
        <v>102.96604165466232</v>
      </c>
      <c r="BB10" s="17">
        <f t="shared" si="22"/>
        <v>120.84964028542464</v>
      </c>
      <c r="BC10" s="17">
        <f t="shared" si="23"/>
        <v>126.35790819027135</v>
      </c>
      <c r="BD10" s="17">
        <f t="shared" si="24"/>
        <v>123.7522308836889</v>
      </c>
      <c r="BE10" s="17">
        <f t="shared" si="25"/>
        <v>130.27085654987224</v>
      </c>
      <c r="BF10" s="46">
        <f t="shared" si="34"/>
        <v>0.24355300859598852</v>
      </c>
      <c r="BG10" s="21">
        <f t="shared" si="35"/>
        <v>0.21811402827404067</v>
      </c>
      <c r="BH10" s="21">
        <f t="shared" si="36"/>
        <v>0.22420696027101941</v>
      </c>
      <c r="BI10" s="21">
        <f t="shared" si="37"/>
        <v>0.22181580666231221</v>
      </c>
      <c r="BJ10" s="21">
        <f t="shared" si="38"/>
        <v>0.20153164046755342</v>
      </c>
      <c r="BK10" s="21">
        <f t="shared" si="39"/>
        <v>0.20542317173377159</v>
      </c>
      <c r="BL10" s="24">
        <f t="shared" si="40"/>
        <v>0.21211719475009944</v>
      </c>
      <c r="BM10" s="42">
        <f t="shared" si="41"/>
        <v>5.28</v>
      </c>
      <c r="BN10" s="17">
        <f t="shared" si="42"/>
        <v>4.7330000000000005</v>
      </c>
      <c r="BO10" s="17">
        <f t="shared" si="43"/>
        <v>4.7370000000000001</v>
      </c>
      <c r="BP10" s="17">
        <f t="shared" si="44"/>
        <v>5.7320000000000011</v>
      </c>
      <c r="BQ10" s="17">
        <f t="shared" si="45"/>
        <v>5.8319999999999999</v>
      </c>
      <c r="BR10" s="17">
        <f t="shared" si="46"/>
        <v>5.8109999999999999</v>
      </c>
      <c r="BS10" s="18">
        <f t="shared" si="47"/>
        <v>5.9429999999999996</v>
      </c>
      <c r="BT10" s="17"/>
      <c r="BU10" s="17">
        <v>0.3</v>
      </c>
      <c r="BV10" s="17">
        <v>0.30099999999999999</v>
      </c>
      <c r="BW10" s="17">
        <v>0.22500000000000001</v>
      </c>
      <c r="BX10" s="17">
        <v>0.111</v>
      </c>
      <c r="BY10" s="17">
        <v>-8.9999999999999993E-3</v>
      </c>
      <c r="BZ10" s="18"/>
    </row>
    <row r="11" spans="1:96" x14ac:dyDescent="0.25">
      <c r="A11" s="3" t="s">
        <v>85</v>
      </c>
      <c r="B11" s="45">
        <v>13418</v>
      </c>
      <c r="C11" s="16">
        <v>13038</v>
      </c>
      <c r="D11" s="16">
        <v>12674</v>
      </c>
      <c r="E11" s="13">
        <v>12743</v>
      </c>
      <c r="F11" s="13">
        <v>12594</v>
      </c>
      <c r="G11" s="13">
        <v>12747</v>
      </c>
      <c r="H11" s="23">
        <v>12655</v>
      </c>
      <c r="I11" s="87">
        <f t="shared" si="28"/>
        <v>100</v>
      </c>
      <c r="J11" s="88">
        <f t="shared" si="29"/>
        <v>97.16798330600686</v>
      </c>
      <c r="K11" s="88">
        <f t="shared" si="30"/>
        <v>94.455209420181845</v>
      </c>
      <c r="L11" s="13">
        <f t="shared" si="31"/>
        <v>94.969444030406919</v>
      </c>
      <c r="M11" s="13">
        <f t="shared" si="32"/>
        <v>93.858995379341181</v>
      </c>
      <c r="N11" s="13">
        <f t="shared" si="33"/>
        <v>94.999254732448946</v>
      </c>
      <c r="O11" s="23">
        <f t="shared" si="33"/>
        <v>94.313608585482186</v>
      </c>
      <c r="P11" s="87">
        <v>173000</v>
      </c>
      <c r="Q11" s="88">
        <v>102000</v>
      </c>
      <c r="R11" s="88">
        <v>90000</v>
      </c>
      <c r="S11" s="13">
        <v>147000</v>
      </c>
      <c r="T11" s="13">
        <v>142000</v>
      </c>
      <c r="U11" s="13">
        <v>149000</v>
      </c>
      <c r="V11" s="23">
        <v>148000</v>
      </c>
      <c r="W11" s="87">
        <f t="shared" si="6"/>
        <v>100</v>
      </c>
      <c r="X11" s="88">
        <f t="shared" si="7"/>
        <v>58.959537572254341</v>
      </c>
      <c r="Y11" s="88">
        <f t="shared" si="8"/>
        <v>52.023121387283233</v>
      </c>
      <c r="Z11" s="13">
        <f t="shared" si="9"/>
        <v>84.971098265895947</v>
      </c>
      <c r="AA11" s="13">
        <f t="shared" si="10"/>
        <v>82.080924855491332</v>
      </c>
      <c r="AB11" s="13">
        <f t="shared" si="11"/>
        <v>86.127167630057798</v>
      </c>
      <c r="AC11" s="13">
        <f t="shared" si="11"/>
        <v>85.549132947976886</v>
      </c>
      <c r="AD11" s="89">
        <v>2.488</v>
      </c>
      <c r="AE11" s="90">
        <v>1.6930000000000001</v>
      </c>
      <c r="AF11" s="90">
        <v>1.7110000000000001</v>
      </c>
      <c r="AG11" s="17">
        <v>2.2890000000000001</v>
      </c>
      <c r="AH11" s="108">
        <v>2.2000000000000002</v>
      </c>
      <c r="AI11" s="17">
        <v>2.2000000000000002</v>
      </c>
      <c r="AJ11" s="17">
        <v>2.4</v>
      </c>
      <c r="AK11" s="89">
        <v>11.618</v>
      </c>
      <c r="AL11" s="90">
        <v>11.53</v>
      </c>
      <c r="AM11" s="90">
        <v>11.718999999999999</v>
      </c>
      <c r="AN11" s="17">
        <v>12.872999999999999</v>
      </c>
      <c r="AO11" s="17">
        <v>13.106999999999999</v>
      </c>
      <c r="AP11" s="17">
        <v>13.478</v>
      </c>
      <c r="AQ11" s="17">
        <v>14.26</v>
      </c>
      <c r="AR11" s="89">
        <f t="shared" si="12"/>
        <v>865.85184081085106</v>
      </c>
      <c r="AS11" s="90">
        <f t="shared" si="13"/>
        <v>884.33808866390552</v>
      </c>
      <c r="AT11" s="90">
        <f t="shared" si="14"/>
        <v>924.64888748619217</v>
      </c>
      <c r="AU11" s="17">
        <f t="shared" si="15"/>
        <v>1010.2016793533704</v>
      </c>
      <c r="AV11" s="17">
        <f t="shared" si="16"/>
        <v>1040.7336827060506</v>
      </c>
      <c r="AW11" s="17">
        <f t="shared" si="17"/>
        <v>1057.3468267043227</v>
      </c>
      <c r="AX11" s="17">
        <f t="shared" si="18"/>
        <v>1126.8273409719479</v>
      </c>
      <c r="AY11" s="89">
        <f t="shared" si="19"/>
        <v>100</v>
      </c>
      <c r="AZ11" s="90">
        <f t="shared" si="20"/>
        <v>102.13503592436119</v>
      </c>
      <c r="BA11" s="90">
        <f t="shared" si="21"/>
        <v>106.79065908323055</v>
      </c>
      <c r="BB11" s="17">
        <f t="shared" si="22"/>
        <v>116.6714248025781</v>
      </c>
      <c r="BC11" s="17">
        <f t="shared" si="23"/>
        <v>120.19766357849704</v>
      </c>
      <c r="BD11" s="17">
        <f t="shared" si="24"/>
        <v>122.11636874435017</v>
      </c>
      <c r="BE11" s="17">
        <f t="shared" si="25"/>
        <v>130.14089568911686</v>
      </c>
      <c r="BF11" s="46">
        <f t="shared" si="34"/>
        <v>0.21415045618867273</v>
      </c>
      <c r="BG11" s="21">
        <f t="shared" si="35"/>
        <v>0.14683434518647009</v>
      </c>
      <c r="BH11" s="21">
        <f t="shared" si="36"/>
        <v>0.14600221861933613</v>
      </c>
      <c r="BI11" s="21">
        <f t="shared" si="37"/>
        <v>0.17781402936378468</v>
      </c>
      <c r="BJ11" s="21">
        <f t="shared" si="38"/>
        <v>0.16784924086366065</v>
      </c>
      <c r="BK11" s="21">
        <f t="shared" si="39"/>
        <v>0.16322896572191722</v>
      </c>
      <c r="BL11" s="24">
        <f t="shared" si="40"/>
        <v>0.16830294530154277</v>
      </c>
      <c r="BM11" s="42">
        <f t="shared" si="41"/>
        <v>9.1300000000000008</v>
      </c>
      <c r="BN11" s="17">
        <f t="shared" si="42"/>
        <v>9.0139999999999993</v>
      </c>
      <c r="BO11" s="17">
        <f t="shared" si="43"/>
        <v>8.9539999999999988</v>
      </c>
      <c r="BP11" s="17">
        <f t="shared" si="44"/>
        <v>10.443</v>
      </c>
      <c r="BQ11" s="17">
        <f t="shared" si="45"/>
        <v>10.721</v>
      </c>
      <c r="BR11" s="17">
        <f t="shared" si="46"/>
        <v>11.285999999999998</v>
      </c>
      <c r="BS11" s="18">
        <f t="shared" si="47"/>
        <v>11.86</v>
      </c>
      <c r="BT11" s="17"/>
      <c r="BU11" s="17">
        <v>0.82299999999999995</v>
      </c>
      <c r="BV11" s="17">
        <v>1.054</v>
      </c>
      <c r="BW11" s="17">
        <v>0.14099999999999999</v>
      </c>
      <c r="BX11" s="17">
        <v>0.186</v>
      </c>
      <c r="BY11" s="17">
        <v>-8.0000000000000002E-3</v>
      </c>
      <c r="BZ11" s="18"/>
    </row>
    <row r="12" spans="1:96" x14ac:dyDescent="0.25">
      <c r="A12" s="3" t="s">
        <v>86</v>
      </c>
      <c r="B12" s="45">
        <v>15897</v>
      </c>
      <c r="C12" s="16">
        <v>15367</v>
      </c>
      <c r="D12" s="16">
        <v>15343</v>
      </c>
      <c r="E12" s="13">
        <v>15776</v>
      </c>
      <c r="F12" s="13">
        <v>14812</v>
      </c>
      <c r="G12" s="13">
        <v>14823</v>
      </c>
      <c r="H12" s="23">
        <v>14860</v>
      </c>
      <c r="I12" s="87">
        <f t="shared" si="28"/>
        <v>100</v>
      </c>
      <c r="J12" s="88">
        <f t="shared" si="29"/>
        <v>96.66603761716047</v>
      </c>
      <c r="K12" s="88">
        <f t="shared" si="30"/>
        <v>96.515065735673403</v>
      </c>
      <c r="L12" s="13">
        <f t="shared" si="31"/>
        <v>99.238850097502677</v>
      </c>
      <c r="M12" s="13">
        <f t="shared" si="32"/>
        <v>93.174812857771911</v>
      </c>
      <c r="N12" s="13">
        <f t="shared" si="33"/>
        <v>93.244008303453484</v>
      </c>
      <c r="O12" s="23">
        <f t="shared" si="33"/>
        <v>93.476756620746045</v>
      </c>
      <c r="P12" s="87">
        <v>285000</v>
      </c>
      <c r="Q12" s="88">
        <v>181000</v>
      </c>
      <c r="R12" s="88">
        <v>148000</v>
      </c>
      <c r="S12" s="13">
        <v>223000</v>
      </c>
      <c r="T12" s="13">
        <v>200000</v>
      </c>
      <c r="U12" s="13">
        <v>158000</v>
      </c>
      <c r="V12" s="23">
        <v>184000</v>
      </c>
      <c r="W12" s="87">
        <f t="shared" si="6"/>
        <v>100</v>
      </c>
      <c r="X12" s="88">
        <f t="shared" si="7"/>
        <v>63.508771929824562</v>
      </c>
      <c r="Y12" s="88">
        <f t="shared" si="8"/>
        <v>51.929824561403507</v>
      </c>
      <c r="Z12" s="13">
        <f t="shared" si="9"/>
        <v>78.245614035087712</v>
      </c>
      <c r="AA12" s="13">
        <f t="shared" si="10"/>
        <v>70.175438596491219</v>
      </c>
      <c r="AB12" s="13">
        <f t="shared" si="11"/>
        <v>55.438596491228068</v>
      </c>
      <c r="AC12" s="13">
        <f t="shared" si="11"/>
        <v>64.561403508771932</v>
      </c>
      <c r="AD12" s="89">
        <v>2.669</v>
      </c>
      <c r="AE12" s="90">
        <v>2.028</v>
      </c>
      <c r="AF12" s="90">
        <v>1.9970000000000001</v>
      </c>
      <c r="AG12" s="17">
        <v>2.4609999999999999</v>
      </c>
      <c r="AH12" s="108">
        <v>2.6</v>
      </c>
      <c r="AI12" s="17">
        <v>1.2</v>
      </c>
      <c r="AJ12" s="17">
        <v>1.7</v>
      </c>
      <c r="AK12" s="89">
        <v>14.278</v>
      </c>
      <c r="AL12" s="90">
        <v>14.353999999999999</v>
      </c>
      <c r="AM12" s="90">
        <v>14.693</v>
      </c>
      <c r="AN12" s="17">
        <v>16.446000000000002</v>
      </c>
      <c r="AO12" s="17">
        <v>16.077999999999999</v>
      </c>
      <c r="AP12" s="17">
        <v>16.821000000000002</v>
      </c>
      <c r="AQ12" s="17">
        <v>18.295000000000002</v>
      </c>
      <c r="AR12" s="89">
        <f t="shared" si="12"/>
        <v>898.15688494684537</v>
      </c>
      <c r="AS12" s="90">
        <f t="shared" si="13"/>
        <v>934.07952105160405</v>
      </c>
      <c r="AT12" s="90">
        <f t="shared" si="14"/>
        <v>957.63540376719027</v>
      </c>
      <c r="AU12" s="17">
        <f t="shared" si="15"/>
        <v>1042.4695740365112</v>
      </c>
      <c r="AV12" s="17">
        <f t="shared" si="16"/>
        <v>1085.4712395355118</v>
      </c>
      <c r="AW12" s="17">
        <f t="shared" si="17"/>
        <v>1134.7905282331512</v>
      </c>
      <c r="AX12" s="17">
        <f t="shared" si="18"/>
        <v>1231.1574697173621</v>
      </c>
      <c r="AY12" s="89">
        <f t="shared" si="19"/>
        <v>100</v>
      </c>
      <c r="AZ12" s="90">
        <f t="shared" si="20"/>
        <v>103.99959480429577</v>
      </c>
      <c r="BA12" s="90">
        <f t="shared" si="21"/>
        <v>106.62228613031954</v>
      </c>
      <c r="BB12" s="17">
        <f t="shared" si="22"/>
        <v>116.06764825926892</v>
      </c>
      <c r="BC12" s="17">
        <f t="shared" si="23"/>
        <v>120.85541598890622</v>
      </c>
      <c r="BD12" s="17">
        <f t="shared" si="24"/>
        <v>126.34658234572352</v>
      </c>
      <c r="BE12" s="17">
        <f t="shared" si="25"/>
        <v>137.07599310895716</v>
      </c>
      <c r="BF12" s="46">
        <f t="shared" si="34"/>
        <v>0.18693094270906288</v>
      </c>
      <c r="BG12" s="21">
        <f t="shared" si="35"/>
        <v>0.14128465932841022</v>
      </c>
      <c r="BH12" s="21">
        <f t="shared" si="36"/>
        <v>0.1359150615939563</v>
      </c>
      <c r="BI12" s="21">
        <f t="shared" si="37"/>
        <v>0.14964125015201263</v>
      </c>
      <c r="BJ12" s="21">
        <f t="shared" si="38"/>
        <v>0.16171165567856699</v>
      </c>
      <c r="BK12" s="113">
        <f t="shared" si="39"/>
        <v>7.1339397182093797E-2</v>
      </c>
      <c r="BL12" s="112">
        <f t="shared" si="40"/>
        <v>9.2921563268652627E-2</v>
      </c>
      <c r="BM12" s="42">
        <f t="shared" si="41"/>
        <v>11.609</v>
      </c>
      <c r="BN12" s="17">
        <f t="shared" si="42"/>
        <v>11.505999999999998</v>
      </c>
      <c r="BO12" s="17">
        <f t="shared" si="43"/>
        <v>11.698</v>
      </c>
      <c r="BP12" s="17">
        <f t="shared" si="44"/>
        <v>13.690000000000001</v>
      </c>
      <c r="BQ12" s="17">
        <f t="shared" si="45"/>
        <v>13.237</v>
      </c>
      <c r="BR12" s="17">
        <f t="shared" si="46"/>
        <v>15.643000000000002</v>
      </c>
      <c r="BS12" s="18">
        <f t="shared" si="47"/>
        <v>16.595000000000002</v>
      </c>
      <c r="BT12" s="17"/>
      <c r="BU12" s="17">
        <v>0.82</v>
      </c>
      <c r="BV12" s="17">
        <v>0.998</v>
      </c>
      <c r="BW12" s="17">
        <v>0.29499999999999998</v>
      </c>
      <c r="BX12" s="17">
        <v>0.24099999999999999</v>
      </c>
      <c r="BY12" s="17">
        <v>-2.1999999999999999E-2</v>
      </c>
      <c r="BZ12" s="18"/>
    </row>
    <row r="13" spans="1:96" x14ac:dyDescent="0.25">
      <c r="A13" s="3" t="s">
        <v>87</v>
      </c>
      <c r="B13" s="45">
        <v>17202</v>
      </c>
      <c r="C13" s="16">
        <v>17135</v>
      </c>
      <c r="D13" s="16">
        <v>17285</v>
      </c>
      <c r="E13" s="13">
        <v>17441</v>
      </c>
      <c r="F13" s="13">
        <v>18539</v>
      </c>
      <c r="G13" s="13">
        <v>17615</v>
      </c>
      <c r="H13" s="23">
        <v>19667</v>
      </c>
      <c r="I13" s="87">
        <f t="shared" si="28"/>
        <v>100</v>
      </c>
      <c r="J13" s="88">
        <f t="shared" si="29"/>
        <v>99.610510405766775</v>
      </c>
      <c r="K13" s="88">
        <f t="shared" si="30"/>
        <v>100.48250203464713</v>
      </c>
      <c r="L13" s="13">
        <f t="shared" si="31"/>
        <v>101.38937332868272</v>
      </c>
      <c r="M13" s="13">
        <f t="shared" si="32"/>
        <v>107.77235205208697</v>
      </c>
      <c r="N13" s="13">
        <f t="shared" si="33"/>
        <v>102.40088361818394</v>
      </c>
      <c r="O13" s="23">
        <f t="shared" si="33"/>
        <v>114.32972910126729</v>
      </c>
      <c r="P13" s="87">
        <v>288000</v>
      </c>
      <c r="Q13" s="88">
        <v>190000</v>
      </c>
      <c r="R13" s="88">
        <v>175000</v>
      </c>
      <c r="S13" s="13">
        <v>247000</v>
      </c>
      <c r="T13" s="13">
        <v>253000</v>
      </c>
      <c r="U13" s="13">
        <v>253000</v>
      </c>
      <c r="V13" s="23">
        <v>290000</v>
      </c>
      <c r="W13" s="87">
        <f t="shared" si="6"/>
        <v>100</v>
      </c>
      <c r="X13" s="88">
        <f t="shared" si="7"/>
        <v>65.972222222222214</v>
      </c>
      <c r="Y13" s="88">
        <f t="shared" si="8"/>
        <v>60.763888888888886</v>
      </c>
      <c r="Z13" s="13">
        <f t="shared" si="9"/>
        <v>85.763888888888886</v>
      </c>
      <c r="AA13" s="13">
        <f t="shared" si="10"/>
        <v>87.847222222222214</v>
      </c>
      <c r="AB13" s="13">
        <f t="shared" si="11"/>
        <v>87.847222222222214</v>
      </c>
      <c r="AC13" s="13">
        <f t="shared" si="11"/>
        <v>100.69444444444444</v>
      </c>
      <c r="AD13" s="89">
        <v>3.044</v>
      </c>
      <c r="AE13" s="90">
        <v>2.125</v>
      </c>
      <c r="AF13" s="90">
        <v>2.2789999999999999</v>
      </c>
      <c r="AG13" s="17">
        <v>3.2759999999999998</v>
      </c>
      <c r="AH13" s="108">
        <v>3.9</v>
      </c>
      <c r="AI13" s="17">
        <v>3.6</v>
      </c>
      <c r="AJ13" s="17">
        <v>3.7</v>
      </c>
      <c r="AK13" s="89">
        <v>14.255000000000001</v>
      </c>
      <c r="AL13" s="90">
        <v>14.486000000000001</v>
      </c>
      <c r="AM13" s="90">
        <v>15.134</v>
      </c>
      <c r="AN13" s="17">
        <v>16.472999999999999</v>
      </c>
      <c r="AO13" s="17">
        <v>17.527000000000001</v>
      </c>
      <c r="AP13" s="17">
        <v>17.195</v>
      </c>
      <c r="AQ13" s="17">
        <v>19.234000000000002</v>
      </c>
      <c r="AR13" s="89">
        <f t="shared" si="12"/>
        <v>828.68271131263805</v>
      </c>
      <c r="AS13" s="90">
        <f t="shared" si="13"/>
        <v>845.40414356580095</v>
      </c>
      <c r="AT13" s="90">
        <f t="shared" si="14"/>
        <v>875.55684119178477</v>
      </c>
      <c r="AU13" s="17">
        <f t="shared" si="15"/>
        <v>944.49859526403293</v>
      </c>
      <c r="AV13" s="17">
        <f t="shared" si="16"/>
        <v>945.41237391445065</v>
      </c>
      <c r="AW13" s="17">
        <f t="shared" si="17"/>
        <v>976.15668464376949</v>
      </c>
      <c r="AX13" s="17">
        <f t="shared" si="18"/>
        <v>977.98342400976253</v>
      </c>
      <c r="AY13" s="89">
        <f t="shared" si="19"/>
        <v>100</v>
      </c>
      <c r="AZ13" s="90">
        <f t="shared" si="20"/>
        <v>102.01783288403303</v>
      </c>
      <c r="BA13" s="90">
        <f t="shared" si="21"/>
        <v>105.65646287043901</v>
      </c>
      <c r="BB13" s="17">
        <f t="shared" si="22"/>
        <v>113.9759020395082</v>
      </c>
      <c r="BC13" s="17">
        <f t="shared" si="23"/>
        <v>114.08617085988342</v>
      </c>
      <c r="BD13" s="17">
        <f t="shared" si="24"/>
        <v>117.79619283929937</v>
      </c>
      <c r="BE13" s="17">
        <f t="shared" si="25"/>
        <v>118.01663177703216</v>
      </c>
      <c r="BF13" s="46">
        <f t="shared" si="34"/>
        <v>0.21353910908453175</v>
      </c>
      <c r="BG13" s="21">
        <f t="shared" si="35"/>
        <v>0.14669335910534309</v>
      </c>
      <c r="BH13" s="21">
        <f t="shared" si="36"/>
        <v>0.15058807982027222</v>
      </c>
      <c r="BI13" s="21">
        <f t="shared" si="37"/>
        <v>0.19887087962119832</v>
      </c>
      <c r="BJ13" s="21">
        <f t="shared" si="38"/>
        <v>0.22251383579620013</v>
      </c>
      <c r="BK13" s="21">
        <f t="shared" si="39"/>
        <v>0.20936318697295725</v>
      </c>
      <c r="BL13" s="112">
        <f t="shared" si="40"/>
        <v>0.19236768222938547</v>
      </c>
      <c r="BM13" s="42">
        <f t="shared" si="41"/>
        <v>11.211</v>
      </c>
      <c r="BN13" s="17">
        <f t="shared" si="42"/>
        <v>11.374000000000001</v>
      </c>
      <c r="BO13" s="17">
        <f t="shared" si="43"/>
        <v>11.667</v>
      </c>
      <c r="BP13" s="17">
        <f t="shared" si="44"/>
        <v>13.159999999999998</v>
      </c>
      <c r="BQ13" s="17">
        <f t="shared" si="45"/>
        <v>13.374000000000001</v>
      </c>
      <c r="BR13" s="17">
        <f t="shared" si="46"/>
        <v>13.609</v>
      </c>
      <c r="BS13" s="18">
        <f t="shared" si="47"/>
        <v>15.534000000000002</v>
      </c>
      <c r="BT13" s="17"/>
      <c r="BU13" s="17">
        <v>0.98699999999999999</v>
      </c>
      <c r="BV13" s="17">
        <v>1.1879999999999999</v>
      </c>
      <c r="BW13" s="17">
        <v>3.6999999999999998E-2</v>
      </c>
      <c r="BX13" s="17">
        <v>0.253</v>
      </c>
      <c r="BY13" s="17">
        <v>-1.4E-2</v>
      </c>
      <c r="BZ13" s="18"/>
    </row>
    <row r="14" spans="1:96" x14ac:dyDescent="0.25">
      <c r="A14" s="3" t="s">
        <v>88</v>
      </c>
      <c r="B14" s="45">
        <v>216146</v>
      </c>
      <c r="C14" s="16">
        <v>216643</v>
      </c>
      <c r="D14" s="16">
        <v>216604</v>
      </c>
      <c r="E14" s="13">
        <v>196264</v>
      </c>
      <c r="F14" s="13">
        <v>179383</v>
      </c>
      <c r="G14" s="13">
        <v>164222</v>
      </c>
      <c r="H14" s="23">
        <v>166078</v>
      </c>
      <c r="I14" s="87">
        <f t="shared" si="28"/>
        <v>100</v>
      </c>
      <c r="J14" s="88">
        <f t="shared" si="29"/>
        <v>100.22993717209663</v>
      </c>
      <c r="K14" s="88">
        <f t="shared" si="30"/>
        <v>100.21189381251561</v>
      </c>
      <c r="L14" s="13">
        <f t="shared" si="31"/>
        <v>90.801587815643131</v>
      </c>
      <c r="M14" s="13">
        <f t="shared" si="32"/>
        <v>82.991589018533773</v>
      </c>
      <c r="N14" s="13">
        <f t="shared" si="33"/>
        <v>75.977348643972135</v>
      </c>
      <c r="O14" s="23">
        <f t="shared" si="33"/>
        <v>76.836027499930609</v>
      </c>
      <c r="P14" s="87">
        <v>6423000</v>
      </c>
      <c r="Q14" s="88">
        <v>4075000</v>
      </c>
      <c r="R14" s="88">
        <v>3948000</v>
      </c>
      <c r="S14" s="13">
        <v>4312000</v>
      </c>
      <c r="T14" s="13">
        <v>4035000</v>
      </c>
      <c r="U14" s="13">
        <v>4254000</v>
      </c>
      <c r="V14" s="23">
        <v>4180000</v>
      </c>
      <c r="W14" s="87">
        <f t="shared" si="6"/>
        <v>100</v>
      </c>
      <c r="X14" s="88">
        <f t="shared" si="7"/>
        <v>63.443873579324304</v>
      </c>
      <c r="Y14" s="88">
        <f t="shared" si="8"/>
        <v>61.466604390471744</v>
      </c>
      <c r="Z14" s="13">
        <f t="shared" si="9"/>
        <v>67.133738128600342</v>
      </c>
      <c r="AA14" s="13">
        <f t="shared" si="10"/>
        <v>62.821111630079407</v>
      </c>
      <c r="AB14" s="13">
        <f t="shared" si="11"/>
        <v>66.230733302195233</v>
      </c>
      <c r="AC14" s="13">
        <f t="shared" si="11"/>
        <v>65.078623696092166</v>
      </c>
      <c r="AD14" s="89">
        <v>62.436999999999998</v>
      </c>
      <c r="AE14" s="90">
        <v>38.347999999999999</v>
      </c>
      <c r="AF14" s="90">
        <v>47.966999999999999</v>
      </c>
      <c r="AG14" s="17">
        <v>37.158999999999999</v>
      </c>
      <c r="AH14" s="108">
        <v>38.07</v>
      </c>
      <c r="AI14" s="17">
        <v>39.799999999999997</v>
      </c>
      <c r="AJ14" s="17">
        <v>39.6</v>
      </c>
      <c r="AK14" s="89">
        <v>175.291</v>
      </c>
      <c r="AL14" s="90">
        <v>177.28299999999999</v>
      </c>
      <c r="AM14" s="90">
        <v>188.93</v>
      </c>
      <c r="AN14" s="17">
        <v>190.75299999999999</v>
      </c>
      <c r="AO14" s="17">
        <v>176.05</v>
      </c>
      <c r="AP14" s="17">
        <v>163.16399999999999</v>
      </c>
      <c r="AQ14" s="17">
        <v>172.447</v>
      </c>
      <c r="AR14" s="89">
        <f t="shared" si="12"/>
        <v>810.98424213263252</v>
      </c>
      <c r="AS14" s="90">
        <f t="shared" si="13"/>
        <v>818.31861634116956</v>
      </c>
      <c r="AT14" s="90">
        <f t="shared" si="14"/>
        <v>872.23689313216744</v>
      </c>
      <c r="AU14" s="17">
        <f t="shared" si="15"/>
        <v>971.92047446296829</v>
      </c>
      <c r="AV14" s="17">
        <f t="shared" si="16"/>
        <v>981.41964400194001</v>
      </c>
      <c r="AW14" s="17">
        <f t="shared" si="17"/>
        <v>993.55750143098976</v>
      </c>
      <c r="AX14" s="17">
        <f t="shared" si="18"/>
        <v>1038.3494502583123</v>
      </c>
      <c r="AY14" s="89">
        <f t="shared" si="19"/>
        <v>100</v>
      </c>
      <c r="AZ14" s="90">
        <f t="shared" si="20"/>
        <v>100.90437937354369</v>
      </c>
      <c r="BA14" s="90">
        <f t="shared" si="21"/>
        <v>107.55287807300174</v>
      </c>
      <c r="BB14" s="17">
        <f t="shared" si="22"/>
        <v>119.8445572637915</v>
      </c>
      <c r="BC14" s="17">
        <f t="shared" si="23"/>
        <v>121.01587096453517</v>
      </c>
      <c r="BD14" s="17">
        <f t="shared" si="24"/>
        <v>122.51255324249546</v>
      </c>
      <c r="BE14" s="17">
        <f t="shared" si="25"/>
        <v>128.03571220172924</v>
      </c>
      <c r="BF14" s="46">
        <f t="shared" si="34"/>
        <v>0.35619056312075348</v>
      </c>
      <c r="BG14" s="21">
        <f t="shared" si="35"/>
        <v>0.21630951642289448</v>
      </c>
      <c r="BH14" s="21">
        <f t="shared" si="36"/>
        <v>0.25388768326893557</v>
      </c>
      <c r="BI14" s="21">
        <f t="shared" si="37"/>
        <v>0.19480165449560427</v>
      </c>
      <c r="BJ14" s="21">
        <f t="shared" si="38"/>
        <v>0.216245384833854</v>
      </c>
      <c r="BK14" s="21">
        <f t="shared" si="39"/>
        <v>0.24392635630408668</v>
      </c>
      <c r="BL14" s="24">
        <f t="shared" si="40"/>
        <v>0.22963577215028386</v>
      </c>
      <c r="BM14" s="42">
        <f t="shared" si="41"/>
        <v>112.854</v>
      </c>
      <c r="BN14" s="17">
        <f t="shared" si="42"/>
        <v>114.63500000000001</v>
      </c>
      <c r="BO14" s="17">
        <f t="shared" si="43"/>
        <v>117.38100000000003</v>
      </c>
      <c r="BP14" s="17">
        <f t="shared" si="44"/>
        <v>147.434</v>
      </c>
      <c r="BQ14" s="17">
        <f t="shared" si="45"/>
        <v>135.44900000000001</v>
      </c>
      <c r="BR14" s="17">
        <f t="shared" si="46"/>
        <v>123.50299999999999</v>
      </c>
      <c r="BS14" s="18">
        <f t="shared" si="47"/>
        <v>132.84700000000001</v>
      </c>
      <c r="BT14" s="17"/>
      <c r="BU14" s="17">
        <v>24.3</v>
      </c>
      <c r="BV14" s="17">
        <v>23.582000000000001</v>
      </c>
      <c r="BW14" s="17">
        <v>6.16</v>
      </c>
      <c r="BX14" s="17">
        <v>2.5310000000000001</v>
      </c>
      <c r="BY14" s="17">
        <v>-0.13900000000000001</v>
      </c>
      <c r="BZ14" s="18"/>
      <c r="CR14" s="1" t="s">
        <v>153</v>
      </c>
    </row>
    <row r="15" spans="1:96" x14ac:dyDescent="0.25">
      <c r="A15" s="3" t="s">
        <v>89</v>
      </c>
      <c r="B15" s="45">
        <v>39523</v>
      </c>
      <c r="C15" s="16">
        <v>39712</v>
      </c>
      <c r="D15" s="16">
        <v>39791</v>
      </c>
      <c r="E15" s="13">
        <v>39885</v>
      </c>
      <c r="F15" s="13">
        <v>39231</v>
      </c>
      <c r="G15" s="13">
        <v>37655</v>
      </c>
      <c r="H15" s="23">
        <v>37368</v>
      </c>
      <c r="I15" s="87">
        <f t="shared" si="28"/>
        <v>100</v>
      </c>
      <c r="J15" s="88">
        <f t="shared" si="29"/>
        <v>100.47820256559473</v>
      </c>
      <c r="K15" s="88">
        <f t="shared" si="30"/>
        <v>100.67808617766869</v>
      </c>
      <c r="L15" s="13">
        <f t="shared" si="31"/>
        <v>100.91592237431368</v>
      </c>
      <c r="M15" s="13">
        <f t="shared" si="32"/>
        <v>99.261189687017676</v>
      </c>
      <c r="N15" s="13">
        <f t="shared" si="33"/>
        <v>95.273638134756979</v>
      </c>
      <c r="O15" s="23">
        <f t="shared" si="33"/>
        <v>94.547478683298337</v>
      </c>
      <c r="P15" s="87">
        <v>839000</v>
      </c>
      <c r="Q15" s="88">
        <v>569000</v>
      </c>
      <c r="R15" s="88">
        <v>531000</v>
      </c>
      <c r="S15" s="13">
        <v>693000</v>
      </c>
      <c r="T15" s="13">
        <v>736000</v>
      </c>
      <c r="U15" s="13">
        <v>855000</v>
      </c>
      <c r="V15" s="23">
        <v>715000</v>
      </c>
      <c r="W15" s="87">
        <f t="shared" si="6"/>
        <v>100</v>
      </c>
      <c r="X15" s="88">
        <f t="shared" si="7"/>
        <v>67.818831942789032</v>
      </c>
      <c r="Y15" s="88">
        <f t="shared" si="8"/>
        <v>63.289630512514897</v>
      </c>
      <c r="Z15" s="13">
        <f t="shared" si="9"/>
        <v>82.598331346841476</v>
      </c>
      <c r="AA15" s="13">
        <f t="shared" si="10"/>
        <v>87.723480333730635</v>
      </c>
      <c r="AB15" s="13">
        <f t="shared" si="11"/>
        <v>101.90703218116806</v>
      </c>
      <c r="AC15" s="13">
        <f t="shared" si="11"/>
        <v>85.220500595947556</v>
      </c>
      <c r="AD15" s="89">
        <v>9.5890000000000004</v>
      </c>
      <c r="AE15" s="90">
        <v>6.32</v>
      </c>
      <c r="AF15" s="90">
        <v>6.7949999999999999</v>
      </c>
      <c r="AG15" s="17">
        <v>7.43</v>
      </c>
      <c r="AH15" s="108">
        <v>8.1999999999999993</v>
      </c>
      <c r="AI15" s="17">
        <v>8.1</v>
      </c>
      <c r="AJ15" s="17">
        <v>8.8000000000000007</v>
      </c>
      <c r="AK15" s="89">
        <v>30.047999999999998</v>
      </c>
      <c r="AL15" s="90">
        <v>29.567</v>
      </c>
      <c r="AM15" s="90">
        <v>28.925999999999998</v>
      </c>
      <c r="AN15" s="17">
        <v>31.704000000000001</v>
      </c>
      <c r="AO15" s="17">
        <v>31.852</v>
      </c>
      <c r="AP15" s="17">
        <v>31.407</v>
      </c>
      <c r="AQ15" s="17">
        <v>32.996000000000002</v>
      </c>
      <c r="AR15" s="89">
        <f t="shared" si="12"/>
        <v>760.26617412645805</v>
      </c>
      <c r="AS15" s="90">
        <f t="shared" si="13"/>
        <v>744.53565672844479</v>
      </c>
      <c r="AT15" s="90">
        <f t="shared" si="14"/>
        <v>726.94830489306628</v>
      </c>
      <c r="AU15" s="17">
        <f t="shared" si="15"/>
        <v>794.88529522376837</v>
      </c>
      <c r="AV15" s="17">
        <f t="shared" si="16"/>
        <v>811.90894955519866</v>
      </c>
      <c r="AW15" s="17">
        <f t="shared" si="17"/>
        <v>834.07250033196124</v>
      </c>
      <c r="AX15" s="17">
        <f t="shared" si="18"/>
        <v>883.0014986084351</v>
      </c>
      <c r="AY15" s="89">
        <f t="shared" si="19"/>
        <v>100</v>
      </c>
      <c r="AZ15" s="90">
        <f t="shared" si="20"/>
        <v>97.930919731357562</v>
      </c>
      <c r="BA15" s="90">
        <f t="shared" si="21"/>
        <v>95.61760468014063</v>
      </c>
      <c r="BB15" s="17">
        <f t="shared" si="22"/>
        <v>104.55355272606828</v>
      </c>
      <c r="BC15" s="17">
        <f t="shared" si="23"/>
        <v>106.79272302073389</v>
      </c>
      <c r="BD15" s="17">
        <f t="shared" si="24"/>
        <v>109.70795870147798</v>
      </c>
      <c r="BE15" s="17">
        <f t="shared" si="25"/>
        <v>116.14373079573075</v>
      </c>
      <c r="BF15" s="46">
        <f t="shared" si="34"/>
        <v>0.31912273695420662</v>
      </c>
      <c r="BG15" s="21">
        <f t="shared" si="35"/>
        <v>0.2137518179050969</v>
      </c>
      <c r="BH15" s="21">
        <f t="shared" si="36"/>
        <v>0.23490976975731176</v>
      </c>
      <c r="BI15" s="21">
        <f t="shared" si="37"/>
        <v>0.23435528639919251</v>
      </c>
      <c r="BJ15" s="21">
        <f t="shared" si="38"/>
        <v>0.2574406630666834</v>
      </c>
      <c r="BK15" s="21">
        <f t="shared" si="39"/>
        <v>0.25790428885280348</v>
      </c>
      <c r="BL15" s="24">
        <f t="shared" si="40"/>
        <v>0.26669899381743239</v>
      </c>
      <c r="BM15" s="42">
        <f t="shared" si="41"/>
        <v>20.458999999999996</v>
      </c>
      <c r="BN15" s="17">
        <f t="shared" si="42"/>
        <v>20.251000000000001</v>
      </c>
      <c r="BO15" s="17">
        <f t="shared" si="43"/>
        <v>19.045000000000002</v>
      </c>
      <c r="BP15" s="17">
        <f t="shared" si="44"/>
        <v>23.236000000000001</v>
      </c>
      <c r="BQ15" s="17">
        <f t="shared" si="45"/>
        <v>23.188000000000002</v>
      </c>
      <c r="BR15" s="17">
        <f t="shared" si="46"/>
        <v>23.337000000000003</v>
      </c>
      <c r="BS15" s="18">
        <f t="shared" si="47"/>
        <v>24.196000000000002</v>
      </c>
      <c r="BT15" s="17"/>
      <c r="BU15" s="17">
        <v>2.996</v>
      </c>
      <c r="BV15" s="17">
        <v>3.0859999999999999</v>
      </c>
      <c r="BW15" s="17">
        <v>1.038</v>
      </c>
      <c r="BX15" s="17">
        <v>0.46400000000000002</v>
      </c>
      <c r="BY15" s="17">
        <v>-0.03</v>
      </c>
      <c r="BZ15" s="18"/>
    </row>
    <row r="16" spans="1:96" ht="16.5" thickBot="1" x14ac:dyDescent="0.3">
      <c r="A16" s="25" t="s">
        <v>27</v>
      </c>
      <c r="B16" s="106">
        <f t="shared" ref="B16:AJ16" si="48">SUM(B6:B15)</f>
        <v>613716</v>
      </c>
      <c r="C16" s="106">
        <f t="shared" si="48"/>
        <v>612621</v>
      </c>
      <c r="D16" s="106">
        <f t="shared" si="48"/>
        <v>613426</v>
      </c>
      <c r="E16" s="106">
        <f t="shared" si="48"/>
        <v>594508</v>
      </c>
      <c r="F16" s="106">
        <f t="shared" si="48"/>
        <v>556367</v>
      </c>
      <c r="G16" s="106">
        <f t="shared" si="48"/>
        <v>547194</v>
      </c>
      <c r="H16" s="110">
        <f t="shared" si="48"/>
        <v>548977</v>
      </c>
      <c r="I16" s="26">
        <f t="shared" si="28"/>
        <v>100</v>
      </c>
      <c r="J16" s="26">
        <f t="shared" si="29"/>
        <v>99.821578710674004</v>
      </c>
      <c r="K16" s="26">
        <f t="shared" si="30"/>
        <v>99.952746873146538</v>
      </c>
      <c r="L16" s="26">
        <f t="shared" si="31"/>
        <v>96.870213584133381</v>
      </c>
      <c r="M16" s="26">
        <f t="shared" si="32"/>
        <v>90.655449752002554</v>
      </c>
      <c r="N16" s="26">
        <f t="shared" si="33"/>
        <v>89.160784467082493</v>
      </c>
      <c r="O16" s="27">
        <f t="shared" si="33"/>
        <v>89.451309726322918</v>
      </c>
      <c r="P16" s="106">
        <f t="shared" si="48"/>
        <v>14521000</v>
      </c>
      <c r="Q16" s="106">
        <f t="shared" si="48"/>
        <v>9472000</v>
      </c>
      <c r="R16" s="106">
        <f t="shared" si="48"/>
        <v>8938000</v>
      </c>
      <c r="S16" s="106">
        <f t="shared" si="48"/>
        <v>11162000</v>
      </c>
      <c r="T16" s="106">
        <f t="shared" si="48"/>
        <v>11074000</v>
      </c>
      <c r="U16" s="106">
        <f t="shared" si="48"/>
        <v>11244000</v>
      </c>
      <c r="V16" s="110">
        <f t="shared" si="48"/>
        <v>11430000</v>
      </c>
      <c r="W16" s="26">
        <f>IFERROR(+P16/$P16*100,"")</f>
        <v>100</v>
      </c>
      <c r="X16" s="26">
        <f t="shared" si="7"/>
        <v>65.229667378279728</v>
      </c>
      <c r="Y16" s="26">
        <f t="shared" si="8"/>
        <v>61.552234694580264</v>
      </c>
      <c r="Z16" s="26">
        <f t="shared" si="9"/>
        <v>76.867984298602025</v>
      </c>
      <c r="AA16" s="26">
        <f t="shared" si="10"/>
        <v>76.261965429378137</v>
      </c>
      <c r="AB16" s="26">
        <f t="shared" si="11"/>
        <v>77.432683699469735</v>
      </c>
      <c r="AC16" s="26">
        <f t="shared" si="11"/>
        <v>78.713587218511123</v>
      </c>
      <c r="AD16" s="107">
        <f t="shared" si="48"/>
        <v>195.738</v>
      </c>
      <c r="AE16" s="107">
        <f t="shared" si="48"/>
        <v>131.72399999999999</v>
      </c>
      <c r="AF16" s="107">
        <f t="shared" si="48"/>
        <v>150.34399999999997</v>
      </c>
      <c r="AG16" s="107">
        <f t="shared" si="48"/>
        <v>155.786</v>
      </c>
      <c r="AH16" s="107">
        <f t="shared" si="48"/>
        <v>160.39699999999999</v>
      </c>
      <c r="AI16" s="107">
        <f t="shared" si="48"/>
        <v>163.80000000000001</v>
      </c>
      <c r="AJ16" s="111">
        <f t="shared" si="48"/>
        <v>177.3</v>
      </c>
      <c r="AK16" s="107">
        <f t="shared" ref="AK16:AQ16" si="49">SUM(AK6:AK15)</f>
        <v>487.22199999999998</v>
      </c>
      <c r="AL16" s="107">
        <f t="shared" si="49"/>
        <v>491.73799999999994</v>
      </c>
      <c r="AM16" s="107">
        <f t="shared" si="49"/>
        <v>511.47500000000002</v>
      </c>
      <c r="AN16" s="107">
        <f t="shared" si="49"/>
        <v>544.721</v>
      </c>
      <c r="AO16" s="107">
        <f t="shared" si="49"/>
        <v>522.82399999999996</v>
      </c>
      <c r="AP16" s="107">
        <f t="shared" si="49"/>
        <v>520.21900000000005</v>
      </c>
      <c r="AQ16" s="111">
        <f t="shared" si="49"/>
        <v>534.28499999999997</v>
      </c>
      <c r="AR16" s="28">
        <f t="shared" si="12"/>
        <v>793.88837833786306</v>
      </c>
      <c r="AS16" s="28">
        <f t="shared" si="13"/>
        <v>802.67898096865747</v>
      </c>
      <c r="AT16" s="28">
        <f t="shared" si="14"/>
        <v>833.80065403161916</v>
      </c>
      <c r="AU16" s="28">
        <f t="shared" si="15"/>
        <v>916.25512188229595</v>
      </c>
      <c r="AV16" s="28">
        <f t="shared" si="16"/>
        <v>939.71065861203112</v>
      </c>
      <c r="AW16" s="28">
        <f t="shared" si="17"/>
        <v>950.70304133451771</v>
      </c>
      <c r="AX16" s="29">
        <f t="shared" si="18"/>
        <v>973.23749446698116</v>
      </c>
      <c r="AY16" s="28">
        <f t="shared" si="19"/>
        <v>100</v>
      </c>
      <c r="AZ16" s="28">
        <f t="shared" si="20"/>
        <v>101.10728445845234</v>
      </c>
      <c r="BA16" s="28">
        <f t="shared" si="21"/>
        <v>105.02744173901615</v>
      </c>
      <c r="BB16" s="28">
        <f t="shared" si="22"/>
        <v>115.41359552341954</v>
      </c>
      <c r="BC16" s="28">
        <f t="shared" si="23"/>
        <v>118.36810869803524</v>
      </c>
      <c r="BD16" s="28">
        <f t="shared" si="24"/>
        <v>119.75273442407257</v>
      </c>
      <c r="BE16" s="29">
        <f t="shared" si="25"/>
        <v>122.59122579733631</v>
      </c>
      <c r="BF16" s="47">
        <f t="shared" ref="BF16" si="50">IFERROR(AD16/AK16,"")</f>
        <v>0.40174294264216315</v>
      </c>
      <c r="BG16" s="30">
        <f t="shared" ref="BG16" si="51">IFERROR(AE16/AL16,"")</f>
        <v>0.26787435585616731</v>
      </c>
      <c r="BH16" s="30">
        <f t="shared" ref="BH16" si="52">IFERROR(AF16/AM16,"")</f>
        <v>0.29394203040226785</v>
      </c>
      <c r="BI16" s="30">
        <f t="shared" ref="BI16" si="53">IFERROR(AG16/AN16,"")</f>
        <v>0.28599227861602544</v>
      </c>
      <c r="BJ16" s="30">
        <f t="shared" ref="BJ16" si="54">IFERROR(AH16/AO16,"")</f>
        <v>0.30678966535583679</v>
      </c>
      <c r="BK16" s="30">
        <f t="shared" ref="BK16" si="55">IFERROR(AI16/AP16,"")</f>
        <v>0.31486739238666789</v>
      </c>
      <c r="BL16" s="31">
        <f t="shared" ref="BL16" si="56">IFERROR(AJ16/AQ16,"")</f>
        <v>0.33184536342963028</v>
      </c>
      <c r="BM16" s="109">
        <f t="shared" ref="BM16:BZ16" si="57">SUM(BM6:BM15)</f>
        <v>291.48400000000004</v>
      </c>
      <c r="BN16" s="107">
        <f t="shared" si="57"/>
        <v>291.72499999999997</v>
      </c>
      <c r="BO16" s="107">
        <f t="shared" si="57"/>
        <v>294.70300000000003</v>
      </c>
      <c r="BP16" s="107">
        <f t="shared" si="57"/>
        <v>370.73599999999999</v>
      </c>
      <c r="BQ16" s="107">
        <f t="shared" si="57"/>
        <v>354.916</v>
      </c>
      <c r="BR16" s="107">
        <f t="shared" si="57"/>
        <v>356.85399999999993</v>
      </c>
      <c r="BS16" s="28">
        <f t="shared" si="57"/>
        <v>356.98500000000001</v>
      </c>
      <c r="BT16" s="109">
        <f t="shared" si="57"/>
        <v>0</v>
      </c>
      <c r="BU16" s="107">
        <f t="shared" si="57"/>
        <v>68.289000000000001</v>
      </c>
      <c r="BV16" s="107">
        <f t="shared" si="57"/>
        <v>66.427999999999997</v>
      </c>
      <c r="BW16" s="107">
        <f t="shared" si="57"/>
        <v>18.199000000000002</v>
      </c>
      <c r="BX16" s="107">
        <f t="shared" si="57"/>
        <v>7.511000000000001</v>
      </c>
      <c r="BY16" s="107">
        <f t="shared" si="57"/>
        <v>-0.43500000000000005</v>
      </c>
      <c r="BZ16" s="111">
        <f t="shared" si="57"/>
        <v>0</v>
      </c>
    </row>
    <row r="17" spans="1:64" ht="16.5" thickTop="1" x14ac:dyDescent="0.25">
      <c r="BF17" s="41"/>
      <c r="BG17" s="41"/>
      <c r="BH17" s="41"/>
      <c r="BI17" s="41"/>
      <c r="BJ17" s="41"/>
      <c r="BK17" s="41"/>
      <c r="BL17" s="41"/>
    </row>
    <row r="18" spans="1:64" ht="23.25" customHeight="1" x14ac:dyDescent="0.25">
      <c r="A18" s="114" t="s">
        <v>90</v>
      </c>
      <c r="B18" s="114"/>
      <c r="C18" s="114"/>
      <c r="D18" s="114"/>
      <c r="E18" s="114"/>
      <c r="F18" s="114"/>
      <c r="AB18" s="32" t="s">
        <v>73</v>
      </c>
      <c r="AC18" s="32"/>
      <c r="AD18" s="1">
        <v>100</v>
      </c>
      <c r="AE18" s="115">
        <f>+AE16/$AD$16*100</f>
        <v>67.296079453146547</v>
      </c>
      <c r="AF18" s="115">
        <f t="shared" ref="AF18:AJ18" si="58">+AF16/$AD$16*100</f>
        <v>76.808795430626645</v>
      </c>
      <c r="AG18" s="115">
        <f t="shared" si="58"/>
        <v>79.589042495580827</v>
      </c>
      <c r="AH18" s="115">
        <f t="shared" si="58"/>
        <v>81.94474246186229</v>
      </c>
      <c r="AI18" s="115">
        <f t="shared" si="58"/>
        <v>83.683290929712172</v>
      </c>
      <c r="AJ18" s="115">
        <f t="shared" si="58"/>
        <v>90.580265456886252</v>
      </c>
      <c r="AR18" s="33">
        <v>100</v>
      </c>
      <c r="AS18" s="13">
        <f>+AS16/$AR$16*100</f>
        <v>101.10728445845234</v>
      </c>
      <c r="AT18" s="13">
        <f>+AT16/$AR$16*100</f>
        <v>105.02744173901615</v>
      </c>
      <c r="AU18" s="13">
        <f>+AU16/$AR$16*100</f>
        <v>115.41359552341954</v>
      </c>
      <c r="AV18" s="13">
        <f>+AV16/$AR$16*100</f>
        <v>118.36810869803524</v>
      </c>
      <c r="AW18" s="13">
        <f>+AW16/$AR$16*100</f>
        <v>119.75273442407257</v>
      </c>
      <c r="AX18" s="13"/>
      <c r="AY18" s="13"/>
      <c r="AZ18" s="13"/>
      <c r="BA18" s="13"/>
      <c r="BB18" s="13"/>
      <c r="BC18" s="13"/>
      <c r="BD18" s="13"/>
      <c r="BE18" s="13"/>
      <c r="BF18" s="207" t="s">
        <v>173</v>
      </c>
      <c r="BG18" s="207"/>
      <c r="BH18" s="207"/>
      <c r="BI18" s="207"/>
      <c r="BJ18" s="207"/>
      <c r="BK18" s="207"/>
      <c r="BL18" s="207"/>
    </row>
    <row r="19" spans="1:64" ht="18" customHeight="1" x14ac:dyDescent="0.25">
      <c r="A19" s="114"/>
      <c r="B19" s="114"/>
      <c r="C19" s="114"/>
      <c r="D19" s="114"/>
      <c r="E19" s="114"/>
      <c r="F19" s="114"/>
      <c r="BF19" s="207"/>
      <c r="BG19" s="207"/>
      <c r="BH19" s="207"/>
      <c r="BI19" s="207"/>
      <c r="BJ19" s="207"/>
      <c r="BK19" s="207"/>
      <c r="BL19" s="207"/>
    </row>
    <row r="20" spans="1:64" ht="20.25" customHeight="1" x14ac:dyDescent="0.25">
      <c r="A20" s="114" t="s">
        <v>91</v>
      </c>
      <c r="B20" s="114"/>
      <c r="C20" s="114"/>
      <c r="D20" s="114"/>
      <c r="E20" s="114"/>
      <c r="F20" s="114"/>
      <c r="BF20" s="207"/>
      <c r="BG20" s="207"/>
      <c r="BH20" s="207"/>
      <c r="BI20" s="207"/>
      <c r="BJ20" s="207"/>
      <c r="BK20" s="207"/>
      <c r="BL20" s="207"/>
    </row>
    <row r="21" spans="1:64" x14ac:dyDescent="0.25">
      <c r="A21" s="114"/>
      <c r="B21" s="114"/>
      <c r="C21" s="114"/>
      <c r="D21" s="114"/>
      <c r="E21" s="114"/>
      <c r="F21" s="114"/>
      <c r="BE21" s="3" t="s">
        <v>59</v>
      </c>
      <c r="BF21" s="41">
        <f>+AD6/AK6</f>
        <v>0.5605142917862076</v>
      </c>
      <c r="BG21" s="41">
        <f t="shared" ref="BG21:BL21" si="59">+AE6/AL6</f>
        <v>0.38319093542591037</v>
      </c>
      <c r="BH21" s="41">
        <f t="shared" si="59"/>
        <v>0.41620919692417374</v>
      </c>
      <c r="BI21" s="41">
        <f t="shared" si="59"/>
        <v>0.44500148682303092</v>
      </c>
      <c r="BJ21" s="41">
        <f t="shared" si="59"/>
        <v>0.47531214251493492</v>
      </c>
      <c r="BK21" s="41">
        <f t="shared" si="59"/>
        <v>0.47293502828791956</v>
      </c>
      <c r="BL21" s="41">
        <f t="shared" si="59"/>
        <v>0.53617632965979878</v>
      </c>
    </row>
    <row r="22" spans="1:64" x14ac:dyDescent="0.25">
      <c r="A22" s="114" t="s">
        <v>152</v>
      </c>
      <c r="B22" s="114" t="s">
        <v>151</v>
      </c>
      <c r="C22" s="114"/>
      <c r="D22" s="114"/>
      <c r="E22" s="114"/>
      <c r="F22" s="114"/>
      <c r="BE22" s="1" t="s">
        <v>149</v>
      </c>
      <c r="BF22" s="41">
        <f>+AD14/AK14</f>
        <v>0.35619056312075348</v>
      </c>
      <c r="BG22" s="41">
        <f t="shared" ref="BG22:BL22" si="60">+AE14/AL14</f>
        <v>0.21630951642289448</v>
      </c>
      <c r="BH22" s="41">
        <f t="shared" si="60"/>
        <v>0.25388768326893557</v>
      </c>
      <c r="BI22" s="41">
        <f t="shared" si="60"/>
        <v>0.19480165449560427</v>
      </c>
      <c r="BJ22" s="41">
        <f t="shared" si="60"/>
        <v>0.216245384833854</v>
      </c>
      <c r="BK22" s="41">
        <f t="shared" si="60"/>
        <v>0.24392635630408668</v>
      </c>
      <c r="BL22" s="41">
        <f t="shared" si="60"/>
        <v>0.22963577215028386</v>
      </c>
    </row>
    <row r="23" spans="1:64" x14ac:dyDescent="0.25">
      <c r="A23" s="114"/>
      <c r="B23" s="114"/>
      <c r="C23" s="114"/>
      <c r="D23" s="114"/>
      <c r="E23" s="114"/>
      <c r="F23" s="114"/>
      <c r="BE23" s="1" t="s">
        <v>89</v>
      </c>
      <c r="BF23" s="41">
        <f>+AD15/AK15</f>
        <v>0.31912273695420662</v>
      </c>
      <c r="BG23" s="41">
        <f t="shared" ref="BG23:BL23" si="61">+AE15/AL15</f>
        <v>0.2137518179050969</v>
      </c>
      <c r="BH23" s="41">
        <f t="shared" si="61"/>
        <v>0.23490976975731176</v>
      </c>
      <c r="BI23" s="41">
        <f t="shared" si="61"/>
        <v>0.23435528639919251</v>
      </c>
      <c r="BJ23" s="41">
        <f t="shared" si="61"/>
        <v>0.2574406630666834</v>
      </c>
      <c r="BK23" s="41">
        <f t="shared" si="61"/>
        <v>0.25790428885280348</v>
      </c>
      <c r="BL23" s="41">
        <f t="shared" si="61"/>
        <v>0.26669899381743239</v>
      </c>
    </row>
    <row r="24" spans="1:64" x14ac:dyDescent="0.25">
      <c r="A24" s="114" t="s">
        <v>83</v>
      </c>
      <c r="B24" s="114" t="s">
        <v>150</v>
      </c>
      <c r="C24" s="114"/>
      <c r="D24" s="114"/>
      <c r="E24" s="114"/>
      <c r="F24" s="114"/>
      <c r="BE24" s="1" t="s">
        <v>27</v>
      </c>
      <c r="BF24" s="41">
        <f>+(AD6+AD14+AD15)/(AK6+AK14+AK15)</f>
        <v>0.45107849140789569</v>
      </c>
      <c r="BG24" s="41">
        <f t="shared" ref="BG24:BL24" si="62">+(AE6+AE14+AE15)/(AL6+AL14+AL15)</f>
        <v>0.2962134220999782</v>
      </c>
      <c r="BH24" s="41">
        <f t="shared" si="62"/>
        <v>0.32951335744255544</v>
      </c>
      <c r="BI24" s="41">
        <f t="shared" si="62"/>
        <v>0.32069932210902463</v>
      </c>
      <c r="BJ24" s="41">
        <f t="shared" si="62"/>
        <v>0.34790862540489165</v>
      </c>
      <c r="BK24" s="41">
        <f t="shared" si="62"/>
        <v>0.36533555753913094</v>
      </c>
      <c r="BL24" s="41">
        <f t="shared" si="62"/>
        <v>0.38706437148521167</v>
      </c>
    </row>
    <row r="25" spans="1:64" x14ac:dyDescent="0.25">
      <c r="A25" s="114"/>
      <c r="B25" s="114"/>
      <c r="C25" s="114"/>
      <c r="D25" s="114"/>
      <c r="E25" s="114"/>
      <c r="F25" s="114"/>
    </row>
    <row r="26" spans="1:64" x14ac:dyDescent="0.25">
      <c r="A26" s="114" t="s">
        <v>149</v>
      </c>
      <c r="B26" s="114" t="s">
        <v>148</v>
      </c>
      <c r="C26" s="114"/>
      <c r="D26" s="114"/>
      <c r="E26" s="114"/>
      <c r="F26" s="114"/>
      <c r="BE26" s="1" t="s">
        <v>179</v>
      </c>
      <c r="BF26" s="41">
        <f t="shared" ref="BF26:BL26" si="63">+(AD6+AD14)/(AK6+AK14)</f>
        <v>0.46198601968028485</v>
      </c>
      <c r="BG26" s="41">
        <f t="shared" si="63"/>
        <v>0.30283556955836827</v>
      </c>
      <c r="BH26" s="41">
        <f t="shared" si="63"/>
        <v>0.33661562418894364</v>
      </c>
      <c r="BI26" s="41">
        <f t="shared" si="63"/>
        <v>0.32744219500119465</v>
      </c>
      <c r="BJ26" s="41">
        <f t="shared" si="63"/>
        <v>0.35547971119588861</v>
      </c>
      <c r="BK26" s="41">
        <f t="shared" si="63"/>
        <v>0.37424695016467396</v>
      </c>
      <c r="BL26" s="41">
        <f t="shared" si="63"/>
        <v>0.39748443513919829</v>
      </c>
    </row>
    <row r="27" spans="1:64" x14ac:dyDescent="0.25">
      <c r="A27" s="114"/>
      <c r="B27" s="114"/>
      <c r="C27" s="114"/>
      <c r="D27" s="114"/>
      <c r="E27" s="114"/>
      <c r="F27" s="114"/>
    </row>
    <row r="28" spans="1:64" x14ac:dyDescent="0.25">
      <c r="A28" s="1" t="s">
        <v>161</v>
      </c>
      <c r="B28" s="103"/>
      <c r="C28" s="103"/>
      <c r="D28" s="103"/>
      <c r="E28" s="103"/>
      <c r="F28" s="103"/>
      <c r="G28" s="103"/>
      <c r="H28" s="103"/>
      <c r="I28" s="103"/>
      <c r="J28" s="103"/>
      <c r="K28" s="103"/>
      <c r="L28" s="103"/>
      <c r="M28" s="103"/>
      <c r="N28" s="103"/>
      <c r="O28" s="103"/>
      <c r="P28" s="103"/>
      <c r="Q28" s="103"/>
    </row>
    <row r="29" spans="1:64" x14ac:dyDescent="0.25">
      <c r="A29" s="1" t="s">
        <v>162</v>
      </c>
      <c r="B29" s="103"/>
      <c r="C29" s="103"/>
      <c r="D29" s="103"/>
      <c r="E29" s="103"/>
      <c r="F29" s="103"/>
      <c r="G29" s="103"/>
      <c r="H29" s="103"/>
      <c r="I29" s="103"/>
      <c r="J29" s="103"/>
      <c r="K29" s="103"/>
      <c r="L29" s="103"/>
      <c r="M29" s="103"/>
      <c r="N29" s="103"/>
      <c r="O29" s="103"/>
      <c r="P29" s="103"/>
      <c r="Q29" s="103"/>
    </row>
    <row r="30" spans="1:64" x14ac:dyDescent="0.25">
      <c r="A30" s="1" t="s">
        <v>163</v>
      </c>
      <c r="B30" s="103"/>
      <c r="C30" s="103"/>
      <c r="D30" s="103"/>
      <c r="E30" s="103"/>
      <c r="F30" s="103"/>
      <c r="G30" s="103"/>
      <c r="H30" s="103"/>
      <c r="I30" s="103"/>
      <c r="J30" s="103"/>
      <c r="K30" s="103"/>
      <c r="L30" s="103"/>
      <c r="M30" s="103"/>
      <c r="N30" s="103"/>
      <c r="O30" s="103"/>
      <c r="P30" s="103"/>
      <c r="Q30" s="103"/>
    </row>
    <row r="31" spans="1:64" x14ac:dyDescent="0.25">
      <c r="B31" s="103"/>
      <c r="C31" s="103"/>
      <c r="D31" s="103"/>
      <c r="E31" s="103"/>
      <c r="F31" s="103"/>
      <c r="G31" s="103"/>
      <c r="H31" s="103"/>
      <c r="I31" s="103"/>
      <c r="J31" s="103"/>
      <c r="K31" s="103"/>
      <c r="L31" s="103"/>
      <c r="M31" s="103"/>
      <c r="N31" s="103"/>
      <c r="O31" s="103"/>
      <c r="P31" s="103"/>
      <c r="Q31" s="103"/>
    </row>
    <row r="32" spans="1:64" x14ac:dyDescent="0.25">
      <c r="A32" s="1" t="s">
        <v>164</v>
      </c>
    </row>
    <row r="33" spans="1:2" x14ac:dyDescent="0.25">
      <c r="A33" s="1" t="s">
        <v>59</v>
      </c>
      <c r="B33" s="1" t="s">
        <v>165</v>
      </c>
    </row>
    <row r="35" spans="1:2" x14ac:dyDescent="0.25">
      <c r="A35" s="1" t="s">
        <v>149</v>
      </c>
      <c r="B35" s="1" t="s">
        <v>166</v>
      </c>
    </row>
    <row r="37" spans="1:2" x14ac:dyDescent="0.25">
      <c r="A37" s="1" t="s">
        <v>167</v>
      </c>
    </row>
    <row r="39" spans="1:2" x14ac:dyDescent="0.25">
      <c r="A39" s="1" t="s">
        <v>152</v>
      </c>
      <c r="B39" s="1" t="s">
        <v>151</v>
      </c>
    </row>
    <row r="41" spans="1:2" x14ac:dyDescent="0.25">
      <c r="A41" s="1" t="s">
        <v>83</v>
      </c>
      <c r="B41" s="1" t="s">
        <v>168</v>
      </c>
    </row>
    <row r="43" spans="1:2" x14ac:dyDescent="0.25">
      <c r="A43" s="1" t="s">
        <v>84</v>
      </c>
      <c r="B43" s="1" t="s">
        <v>169</v>
      </c>
    </row>
    <row r="45" spans="1:2" x14ac:dyDescent="0.25">
      <c r="A45" s="1" t="s">
        <v>86</v>
      </c>
      <c r="B45" s="1" t="s">
        <v>170</v>
      </c>
    </row>
    <row r="47" spans="1:2" x14ac:dyDescent="0.25">
      <c r="A47" s="1" t="s">
        <v>87</v>
      </c>
      <c r="B47" s="1" t="s">
        <v>171</v>
      </c>
    </row>
    <row r="49" spans="1:2" x14ac:dyDescent="0.25">
      <c r="A49" s="1" t="s">
        <v>89</v>
      </c>
      <c r="B49" s="1" t="s">
        <v>172</v>
      </c>
    </row>
  </sheetData>
  <mergeCells count="12">
    <mergeCell ref="BF18:BL20"/>
    <mergeCell ref="I4:O4"/>
    <mergeCell ref="P4:V4"/>
    <mergeCell ref="B4:H4"/>
    <mergeCell ref="W4:AC4"/>
    <mergeCell ref="AD4:AJ4"/>
    <mergeCell ref="BM4:BS4"/>
    <mergeCell ref="BT4:BZ4"/>
    <mergeCell ref="AK4:AQ4"/>
    <mergeCell ref="AR4:AX4"/>
    <mergeCell ref="AY4:BE4"/>
    <mergeCell ref="BF4:BL4"/>
  </mergeCells>
  <pageMargins left="0.7" right="0.7" top="0.75" bottom="0.75" header="0.3" footer="0.3"/>
  <pageSetup paperSize="8" scale="14"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72CA-3B60-4669-AF54-6D12B80A2E39}">
  <dimension ref="A1"/>
  <sheetViews>
    <sheetView workbookViewId="0"/>
  </sheetViews>
  <sheetFormatPr defaultRowHeight="14.25" x14ac:dyDescent="0.2"/>
  <sheetData/>
  <pageMargins left="0.7" right="0.7" top="0.75" bottom="0.75" header="0.3" footer="0.3"/>
  <customProperties>
    <customPr name="CafeStyleVersion"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FD7EE-758D-48D9-A7AE-E80ABA80A33F}">
  <sheetPr>
    <pageSetUpPr fitToPage="1"/>
  </sheetPr>
  <dimension ref="A3:CA33"/>
  <sheetViews>
    <sheetView zoomScale="85" zoomScaleNormal="85" workbookViewId="0">
      <pane xSplit="1" ySplit="5" topLeftCell="BB6" activePane="bottomRight" state="frozen"/>
      <selection activeCell="AI16" sqref="AI16"/>
      <selection pane="topRight" activeCell="AI16" sqref="AI16"/>
      <selection pane="bottomLeft" activeCell="AI16" sqref="AI16"/>
      <selection pane="bottomRight" activeCell="BW25" sqref="BU25:BW25"/>
    </sheetView>
  </sheetViews>
  <sheetFormatPr defaultColWidth="9" defaultRowHeight="15.75" outlineLevelCol="1" x14ac:dyDescent="0.25"/>
  <cols>
    <col min="1" max="1" width="29.75" style="51" bestFit="1" customWidth="1"/>
    <col min="2" max="8" width="10.625" style="51" customWidth="1"/>
    <col min="9" max="15" width="8.625" style="51" customWidth="1"/>
    <col min="16" max="22" width="12.625" style="51" customWidth="1"/>
    <col min="23" max="36" width="8.625" style="51" customWidth="1"/>
    <col min="37" max="50" width="8.625" style="51" customWidth="1" outlineLevel="1"/>
    <col min="51" max="71" width="8.625" style="51" customWidth="1"/>
    <col min="72" max="75" width="7" style="51" bestFit="1" customWidth="1"/>
    <col min="76" max="76" width="8" style="51" bestFit="1" customWidth="1"/>
    <col min="77" max="77" width="7" style="51" bestFit="1" customWidth="1"/>
    <col min="78" max="79" width="7" style="51" customWidth="1"/>
    <col min="80" max="81" width="9" style="51"/>
    <col min="82" max="87" width="5.75" style="51" bestFit="1" customWidth="1"/>
    <col min="88" max="93" width="2.25" style="51" bestFit="1" customWidth="1"/>
    <col min="94" max="16384" width="9" style="51"/>
  </cols>
  <sheetData>
    <row r="3" spans="1:79" x14ac:dyDescent="0.25">
      <c r="A3" s="52" t="s">
        <v>31</v>
      </c>
      <c r="B3" s="52"/>
      <c r="C3" s="52"/>
      <c r="D3" s="52"/>
    </row>
    <row r="4" spans="1:79" s="54" customFormat="1" ht="40.9" customHeight="1" x14ac:dyDescent="0.25">
      <c r="A4" s="53"/>
      <c r="B4" s="188" t="s">
        <v>1</v>
      </c>
      <c r="C4" s="189"/>
      <c r="D4" s="189"/>
      <c r="E4" s="189"/>
      <c r="F4" s="189"/>
      <c r="G4" s="189"/>
      <c r="H4" s="190"/>
      <c r="I4" s="188" t="s">
        <v>156</v>
      </c>
      <c r="J4" s="189"/>
      <c r="K4" s="189"/>
      <c r="L4" s="189"/>
      <c r="M4" s="189"/>
      <c r="N4" s="189"/>
      <c r="O4" s="190"/>
      <c r="P4" s="188" t="s">
        <v>2</v>
      </c>
      <c r="Q4" s="189"/>
      <c r="R4" s="189"/>
      <c r="S4" s="189"/>
      <c r="T4" s="189"/>
      <c r="U4" s="189"/>
      <c r="V4" s="190"/>
      <c r="W4" s="188" t="s">
        <v>7</v>
      </c>
      <c r="X4" s="189"/>
      <c r="Y4" s="189"/>
      <c r="Z4" s="189"/>
      <c r="AA4" s="189"/>
      <c r="AB4" s="189"/>
      <c r="AC4" s="190"/>
      <c r="AD4" s="188" t="s">
        <v>33</v>
      </c>
      <c r="AE4" s="189"/>
      <c r="AF4" s="189"/>
      <c r="AG4" s="189"/>
      <c r="AH4" s="189"/>
      <c r="AI4" s="189"/>
      <c r="AJ4" s="190"/>
      <c r="AK4" s="193" t="s">
        <v>4</v>
      </c>
      <c r="AL4" s="194"/>
      <c r="AM4" s="194"/>
      <c r="AN4" s="194"/>
      <c r="AO4" s="194"/>
      <c r="AP4" s="194"/>
      <c r="AQ4" s="195"/>
      <c r="AR4" s="193" t="s">
        <v>8</v>
      </c>
      <c r="AS4" s="194"/>
      <c r="AT4" s="194"/>
      <c r="AU4" s="194"/>
      <c r="AV4" s="194"/>
      <c r="AW4" s="194"/>
      <c r="AX4" s="195"/>
      <c r="AY4" s="188" t="s">
        <v>155</v>
      </c>
      <c r="AZ4" s="189"/>
      <c r="BA4" s="189"/>
      <c r="BB4" s="189"/>
      <c r="BC4" s="189"/>
      <c r="BD4" s="189"/>
      <c r="BE4" s="190"/>
      <c r="BF4" s="201" t="s">
        <v>242</v>
      </c>
      <c r="BG4" s="202"/>
      <c r="BH4" s="202"/>
      <c r="BI4" s="202"/>
      <c r="BJ4" s="202"/>
      <c r="BK4" s="202"/>
      <c r="BL4" s="203"/>
      <c r="BM4" s="188" t="s">
        <v>243</v>
      </c>
      <c r="BN4" s="189"/>
      <c r="BO4" s="189"/>
      <c r="BP4" s="189"/>
      <c r="BQ4" s="189"/>
      <c r="BR4" s="189"/>
      <c r="BS4" s="190" t="s">
        <v>5</v>
      </c>
      <c r="BT4" s="188" t="s">
        <v>6</v>
      </c>
      <c r="BU4" s="189"/>
      <c r="BV4" s="189"/>
      <c r="BW4" s="189"/>
      <c r="BX4" s="189"/>
      <c r="BY4" s="189"/>
      <c r="BZ4" s="190"/>
      <c r="CA4" s="91"/>
    </row>
    <row r="5" spans="1:79" x14ac:dyDescent="0.25">
      <c r="A5" s="55" t="s">
        <v>9</v>
      </c>
      <c r="B5" s="56" t="s">
        <v>10</v>
      </c>
      <c r="C5" s="57" t="s">
        <v>11</v>
      </c>
      <c r="D5" s="57" t="s">
        <v>12</v>
      </c>
      <c r="E5" s="58" t="s">
        <v>13</v>
      </c>
      <c r="F5" s="10" t="s">
        <v>157</v>
      </c>
      <c r="G5" s="10" t="s">
        <v>158</v>
      </c>
      <c r="H5" s="102" t="s">
        <v>159</v>
      </c>
      <c r="I5" s="56" t="s">
        <v>10</v>
      </c>
      <c r="J5" s="57" t="s">
        <v>11</v>
      </c>
      <c r="K5" s="57" t="s">
        <v>12</v>
      </c>
      <c r="L5" s="58" t="s">
        <v>13</v>
      </c>
      <c r="M5" s="10" t="s">
        <v>157</v>
      </c>
      <c r="N5" s="10" t="s">
        <v>158</v>
      </c>
      <c r="O5" s="11" t="s">
        <v>159</v>
      </c>
      <c r="P5" s="56" t="s">
        <v>10</v>
      </c>
      <c r="Q5" s="57" t="s">
        <v>11</v>
      </c>
      <c r="R5" s="57" t="s">
        <v>12</v>
      </c>
      <c r="S5" s="58" t="s">
        <v>13</v>
      </c>
      <c r="T5" s="10" t="s">
        <v>157</v>
      </c>
      <c r="U5" s="10" t="s">
        <v>158</v>
      </c>
      <c r="V5" s="11" t="s">
        <v>159</v>
      </c>
      <c r="W5" s="56" t="s">
        <v>10</v>
      </c>
      <c r="X5" s="57" t="s">
        <v>11</v>
      </c>
      <c r="Y5" s="57" t="s">
        <v>12</v>
      </c>
      <c r="Z5" s="58" t="s">
        <v>13</v>
      </c>
      <c r="AA5" s="10" t="s">
        <v>157</v>
      </c>
      <c r="AB5" s="10" t="s">
        <v>158</v>
      </c>
      <c r="AC5" s="11" t="s">
        <v>159</v>
      </c>
      <c r="AD5" s="56" t="s">
        <v>10</v>
      </c>
      <c r="AE5" s="57" t="s">
        <v>11</v>
      </c>
      <c r="AF5" s="57" t="s">
        <v>12</v>
      </c>
      <c r="AG5" s="58" t="s">
        <v>13</v>
      </c>
      <c r="AH5" s="10" t="s">
        <v>157</v>
      </c>
      <c r="AI5" s="10" t="s">
        <v>158</v>
      </c>
      <c r="AJ5" s="11" t="s">
        <v>159</v>
      </c>
      <c r="AK5" s="75" t="s">
        <v>10</v>
      </c>
      <c r="AL5" s="85" t="s">
        <v>11</v>
      </c>
      <c r="AM5" s="85" t="s">
        <v>12</v>
      </c>
      <c r="AN5" s="76" t="s">
        <v>13</v>
      </c>
      <c r="AO5" s="79" t="s">
        <v>157</v>
      </c>
      <c r="AP5" s="79" t="s">
        <v>158</v>
      </c>
      <c r="AQ5" s="80" t="s">
        <v>159</v>
      </c>
      <c r="AR5" s="75" t="s">
        <v>10</v>
      </c>
      <c r="AS5" s="85" t="s">
        <v>11</v>
      </c>
      <c r="AT5" s="85" t="s">
        <v>12</v>
      </c>
      <c r="AU5" s="76" t="s">
        <v>13</v>
      </c>
      <c r="AV5" s="79" t="s">
        <v>157</v>
      </c>
      <c r="AW5" s="79" t="s">
        <v>158</v>
      </c>
      <c r="AX5" s="80" t="s">
        <v>159</v>
      </c>
      <c r="AY5" s="56" t="s">
        <v>10</v>
      </c>
      <c r="AZ5" s="57" t="s">
        <v>11</v>
      </c>
      <c r="BA5" s="57" t="s">
        <v>12</v>
      </c>
      <c r="BB5" s="58" t="s">
        <v>13</v>
      </c>
      <c r="BC5" s="10" t="s">
        <v>157</v>
      </c>
      <c r="BD5" s="10" t="s">
        <v>158</v>
      </c>
      <c r="BE5" s="11" t="s">
        <v>159</v>
      </c>
      <c r="BF5" s="8" t="s">
        <v>10</v>
      </c>
      <c r="BG5" s="9" t="s">
        <v>11</v>
      </c>
      <c r="BH5" s="9" t="s">
        <v>12</v>
      </c>
      <c r="BI5" s="10" t="s">
        <v>13</v>
      </c>
      <c r="BJ5" s="10" t="s">
        <v>157</v>
      </c>
      <c r="BK5" s="10" t="s">
        <v>158</v>
      </c>
      <c r="BL5" s="11" t="s">
        <v>159</v>
      </c>
      <c r="BM5" s="56" t="s">
        <v>10</v>
      </c>
      <c r="BN5" s="57" t="s">
        <v>11</v>
      </c>
      <c r="BO5" s="57" t="s">
        <v>12</v>
      </c>
      <c r="BP5" s="58" t="s">
        <v>13</v>
      </c>
      <c r="BQ5" s="10" t="s">
        <v>157</v>
      </c>
      <c r="BR5" s="10" t="s">
        <v>158</v>
      </c>
      <c r="BS5" s="11" t="s">
        <v>159</v>
      </c>
      <c r="BT5" s="56" t="s">
        <v>10</v>
      </c>
      <c r="BU5" s="57" t="s">
        <v>11</v>
      </c>
      <c r="BV5" s="57" t="s">
        <v>12</v>
      </c>
      <c r="BW5" s="58" t="s">
        <v>13</v>
      </c>
      <c r="BX5" s="10" t="s">
        <v>157</v>
      </c>
      <c r="BY5" s="10" t="s">
        <v>158</v>
      </c>
      <c r="BZ5" s="11" t="s">
        <v>159</v>
      </c>
      <c r="CA5" s="92"/>
    </row>
    <row r="6" spans="1:79" x14ac:dyDescent="0.25">
      <c r="A6" s="60" t="s">
        <v>34</v>
      </c>
      <c r="B6" s="61">
        <v>20142.060000000001</v>
      </c>
      <c r="C6" s="61">
        <v>20567.943333333329</v>
      </c>
      <c r="D6" s="61">
        <v>21736.32</v>
      </c>
      <c r="E6" s="62">
        <v>22423.803333333337</v>
      </c>
      <c r="F6" s="62">
        <v>23696.900678391961</v>
      </c>
      <c r="G6" s="62">
        <v>23506.056666666664</v>
      </c>
      <c r="H6" s="63">
        <v>22213.006666666668</v>
      </c>
      <c r="I6" s="61">
        <f t="shared" ref="I6" si="0">+B6/$B6*100</f>
        <v>100</v>
      </c>
      <c r="J6" s="61">
        <f t="shared" ref="J6" si="1">+C6/$B6*100</f>
        <v>102.11439809698378</v>
      </c>
      <c r="K6" s="61">
        <f t="shared" ref="K6" si="2">+D6/$B6*100</f>
        <v>107.9150791924957</v>
      </c>
      <c r="L6" s="62">
        <f t="shared" ref="L6" si="3">+E6/$B6*100</f>
        <v>111.32825209205679</v>
      </c>
      <c r="M6" s="62">
        <f t="shared" ref="M6" si="4">+F6/$B6*100</f>
        <v>117.64884365547496</v>
      </c>
      <c r="N6" s="62">
        <f t="shared" ref="N6:O6" si="5">+G6/$B6*100</f>
        <v>116.70135361858054</v>
      </c>
      <c r="O6" s="66">
        <f t="shared" si="5"/>
        <v>110.28170240117777</v>
      </c>
      <c r="P6" s="61">
        <v>143377.87397940049</v>
      </c>
      <c r="Q6" s="61">
        <v>77589.583521885303</v>
      </c>
      <c r="R6" s="61">
        <v>103220.8196230051</v>
      </c>
      <c r="S6" s="62">
        <v>105151.26699916097</v>
      </c>
      <c r="T6" s="62">
        <v>133567</v>
      </c>
      <c r="U6" s="62">
        <v>147805</v>
      </c>
      <c r="V6" s="66">
        <v>147805</v>
      </c>
      <c r="W6" s="61">
        <f t="shared" ref="W6:W29" si="6">IFERROR(+P6/$P6*100,"")</f>
        <v>100</v>
      </c>
      <c r="X6" s="61">
        <f t="shared" ref="X6:X29" si="7">IFERROR(+Q6/$P6*100,"")</f>
        <v>54.115451267629211</v>
      </c>
      <c r="Y6" s="61">
        <f t="shared" ref="Y6:Y29" si="8">IFERROR(+R6/$P6*100,"")</f>
        <v>71.992153850624902</v>
      </c>
      <c r="Z6" s="62">
        <f t="shared" ref="Z6:Z29" si="9">IFERROR(+S6/$P6*100,"")</f>
        <v>73.338559207725694</v>
      </c>
      <c r="AA6" s="62">
        <f t="shared" ref="AA6:AA29" si="10">IFERROR(+T6/$P6*100,"")</f>
        <v>93.157330551009537</v>
      </c>
      <c r="AB6" s="62">
        <f t="shared" ref="AB6:AC29" si="11">IFERROR(+U6/$P6*100,"")</f>
        <v>103.08773306349595</v>
      </c>
      <c r="AC6" s="66">
        <f t="shared" si="11"/>
        <v>103.08773306349595</v>
      </c>
      <c r="AD6" s="49">
        <v>1.299463</v>
      </c>
      <c r="AE6" s="49">
        <v>1.0007950000000001</v>
      </c>
      <c r="AF6" s="49">
        <v>0.98264399999999996</v>
      </c>
      <c r="AG6" s="64">
        <v>1.8186433285319552</v>
      </c>
      <c r="AH6" s="49">
        <v>3.7872098963864236</v>
      </c>
      <c r="AI6" s="64">
        <v>5.1230000000000002</v>
      </c>
      <c r="AJ6" s="50">
        <v>4.8520000000000003</v>
      </c>
      <c r="AK6" s="61">
        <v>14.73857802</v>
      </c>
      <c r="AL6" s="61">
        <v>15.039018399999998</v>
      </c>
      <c r="AM6" s="61">
        <v>16.004736809999997</v>
      </c>
      <c r="AN6" s="62">
        <v>18.628808779999996</v>
      </c>
      <c r="AO6" s="49">
        <v>20.249379949999994</v>
      </c>
      <c r="AP6" s="62">
        <v>20.56037225</v>
      </c>
      <c r="AQ6" s="66">
        <v>20.080243479999996</v>
      </c>
      <c r="AR6" s="61">
        <f t="shared" ref="AR6:AR29" si="12">IFERROR(AK6*1000000/B6,"")</f>
        <v>731.73141277505874</v>
      </c>
      <c r="AS6" s="61">
        <f t="shared" ref="AS6:AS29" si="13">IFERROR(AL6*1000000/C6,"")</f>
        <v>731.18727314009527</v>
      </c>
      <c r="AT6" s="61">
        <f t="shared" ref="AT6:AT29" si="14">IFERROR(AM6*1000000/D6,"")</f>
        <v>736.31308381547558</v>
      </c>
      <c r="AU6" s="62">
        <f t="shared" ref="AU6:AU29" si="15">IFERROR(AN6*1000000/E6,"")</f>
        <v>830.76044251190785</v>
      </c>
      <c r="AV6" s="62">
        <f t="shared" ref="AV6:AV29" si="16">IFERROR(AO6*1000000/F6,"")</f>
        <v>854.51596497023809</v>
      </c>
      <c r="AW6" s="62">
        <f t="shared" ref="AW6:AW29" si="17">IFERROR(AP6*1000000/G6,"")</f>
        <v>874.68402469888269</v>
      </c>
      <c r="AX6" s="66">
        <f t="shared" ref="AX6:AX29" si="18">IFERROR(AQ6*1000000/H6,"")</f>
        <v>903.98583952765193</v>
      </c>
      <c r="AY6" s="86">
        <f t="shared" ref="AY6:AY24" si="19">AR6/$AR6*100</f>
        <v>100</v>
      </c>
      <c r="AZ6" s="61">
        <f t="shared" ref="AZ6:AZ24" si="20">AS6/$AR6*100</f>
        <v>99.925636698730784</v>
      </c>
      <c r="BA6" s="61">
        <f t="shared" ref="BA6:BA24" si="21">AT6/$AR6*100</f>
        <v>100.62614108953463</v>
      </c>
      <c r="BB6" s="62">
        <f t="shared" ref="BB6:BB24" si="22">AU6/$AR6*100</f>
        <v>113.5335217277725</v>
      </c>
      <c r="BC6" s="62">
        <f t="shared" ref="BC6:BC24" si="23">AV6/$AR6*100</f>
        <v>116.7800028878799</v>
      </c>
      <c r="BD6" s="62">
        <f t="shared" ref="BD6:BD24" si="24">AW6/$AR6*100</f>
        <v>119.53621361992408</v>
      </c>
      <c r="BE6" s="63">
        <f t="shared" ref="BE6:BE24" si="25">AX6/$AR6*100</f>
        <v>123.54066311016032</v>
      </c>
      <c r="BF6" s="46">
        <f>IFERROR(AD6/AK6,"")</f>
        <v>8.8167460811799533E-2</v>
      </c>
      <c r="BG6" s="21">
        <f t="shared" ref="BG6:BL6" si="26">IFERROR(AE6/AL6,"")</f>
        <v>6.6546563969893155E-2</v>
      </c>
      <c r="BH6" s="21">
        <f t="shared" si="26"/>
        <v>6.1397073358059183E-2</v>
      </c>
      <c r="BI6" s="21">
        <f t="shared" si="26"/>
        <v>9.7625315177665137E-2</v>
      </c>
      <c r="BJ6" s="21">
        <f t="shared" si="26"/>
        <v>0.18702843769724536</v>
      </c>
      <c r="BK6" s="21">
        <f t="shared" si="26"/>
        <v>0.24916864041700412</v>
      </c>
      <c r="BL6" s="24">
        <f t="shared" si="26"/>
        <v>0.24163053624487232</v>
      </c>
      <c r="BM6" s="17">
        <f t="shared" ref="BM6:BS6" si="27">+AK6-AD6-BT6</f>
        <v>13.439115020000001</v>
      </c>
      <c r="BN6" s="17">
        <f t="shared" si="27"/>
        <v>13.606714819999997</v>
      </c>
      <c r="BO6" s="17">
        <f t="shared" si="27"/>
        <v>14.575010829999997</v>
      </c>
      <c r="BP6" s="17">
        <f t="shared" si="27"/>
        <v>16.118808779999995</v>
      </c>
      <c r="BQ6" s="17">
        <f t="shared" si="27"/>
        <v>16.08353307361357</v>
      </c>
      <c r="BR6" s="17">
        <f t="shared" si="27"/>
        <v>15.437372249999999</v>
      </c>
      <c r="BS6" s="18">
        <f t="shared" si="27"/>
        <v>15.228243479999996</v>
      </c>
      <c r="BT6" s="17">
        <v>0</v>
      </c>
      <c r="BU6" s="17">
        <v>0.43150858000000003</v>
      </c>
      <c r="BV6" s="17">
        <v>0.44708198000000005</v>
      </c>
      <c r="BW6" s="17">
        <v>0.69135667146804458</v>
      </c>
      <c r="BX6" s="17">
        <v>0.37863697999999996</v>
      </c>
      <c r="BY6" s="17"/>
      <c r="BZ6" s="18"/>
      <c r="CA6" s="49"/>
    </row>
    <row r="7" spans="1:79" x14ac:dyDescent="0.25">
      <c r="A7" s="60" t="s">
        <v>35</v>
      </c>
      <c r="B7" s="61">
        <v>7246</v>
      </c>
      <c r="C7" s="61">
        <v>9953.1999998763313</v>
      </c>
      <c r="D7" s="61">
        <v>10281.15</v>
      </c>
      <c r="E7" s="61">
        <v>10175.370000000004</v>
      </c>
      <c r="F7" s="61">
        <v>13278.905473455448</v>
      </c>
      <c r="G7" s="61">
        <v>12766.825384615384</v>
      </c>
      <c r="H7" s="66">
        <v>12752.428571428572</v>
      </c>
      <c r="I7" s="61">
        <f t="shared" ref="I7:I29" si="28">+B7/$B7*100</f>
        <v>100</v>
      </c>
      <c r="J7" s="61">
        <f t="shared" ref="J7:J29" si="29">+C7/$B7*100</f>
        <v>137.36130278603824</v>
      </c>
      <c r="K7" s="61">
        <f t="shared" ref="K7:K29" si="30">+D7/$B7*100</f>
        <v>141.88724813690311</v>
      </c>
      <c r="L7" s="61">
        <f t="shared" ref="L7:L29" si="31">+E7/$B7*100</f>
        <v>140.42740822522777</v>
      </c>
      <c r="M7" s="61">
        <f t="shared" ref="M7:M29" si="32">+F7/$B7*100</f>
        <v>183.25842497178374</v>
      </c>
      <c r="N7" s="61">
        <f t="shared" ref="N7:O29" si="33">+G7/$B7*100</f>
        <v>176.19135225800972</v>
      </c>
      <c r="O7" s="66">
        <f t="shared" si="33"/>
        <v>175.99266590434132</v>
      </c>
      <c r="P7" s="61">
        <v>255262.64339056762</v>
      </c>
      <c r="Q7" s="61">
        <v>179390.45724781026</v>
      </c>
      <c r="R7" s="61">
        <v>151635.33293439916</v>
      </c>
      <c r="S7" s="61">
        <v>196045.63624126249</v>
      </c>
      <c r="T7" s="61">
        <v>188049</v>
      </c>
      <c r="U7" s="61">
        <v>151801</v>
      </c>
      <c r="V7" s="66">
        <v>151801</v>
      </c>
      <c r="W7" s="61">
        <f t="shared" si="6"/>
        <v>100</v>
      </c>
      <c r="X7" s="61">
        <f t="shared" si="7"/>
        <v>70.276815622147964</v>
      </c>
      <c r="Y7" s="61">
        <f t="shared" si="8"/>
        <v>59.403652222776572</v>
      </c>
      <c r="Z7" s="61">
        <f t="shared" si="9"/>
        <v>76.801538069673811</v>
      </c>
      <c r="AA7" s="61">
        <f t="shared" si="10"/>
        <v>73.668828898035585</v>
      </c>
      <c r="AB7" s="61">
        <f t="shared" si="11"/>
        <v>59.468552853515298</v>
      </c>
      <c r="AC7" s="66">
        <f t="shared" si="11"/>
        <v>59.468552853515298</v>
      </c>
      <c r="AD7" s="49">
        <v>2.4304860000000001</v>
      </c>
      <c r="AE7" s="49">
        <v>2.25806</v>
      </c>
      <c r="AF7" s="49">
        <v>2.2262810000000002</v>
      </c>
      <c r="AG7" s="49">
        <v>2.7591322285685096</v>
      </c>
      <c r="AH7" s="49">
        <v>2.542377592085582</v>
      </c>
      <c r="AI7" s="49">
        <v>2.1320000000000001</v>
      </c>
      <c r="AJ7" s="50">
        <v>2.262</v>
      </c>
      <c r="AK7" s="61">
        <v>5.5218547499999993</v>
      </c>
      <c r="AL7" s="61">
        <v>7.0057652399999997</v>
      </c>
      <c r="AM7" s="61">
        <v>7.3058875499999978</v>
      </c>
      <c r="AN7" s="61">
        <v>8.0379669699999994</v>
      </c>
      <c r="AO7" s="49">
        <v>8.6715965199999996</v>
      </c>
      <c r="AP7" s="61">
        <v>8.7709337499999993</v>
      </c>
      <c r="AQ7" s="66">
        <v>8.8529186699999993</v>
      </c>
      <c r="AR7" s="61">
        <f t="shared" si="12"/>
        <v>762.05558239028414</v>
      </c>
      <c r="AS7" s="61">
        <f t="shared" si="13"/>
        <v>703.87063859734019</v>
      </c>
      <c r="AT7" s="61">
        <f t="shared" si="14"/>
        <v>710.60995608467908</v>
      </c>
      <c r="AU7" s="61">
        <f t="shared" si="15"/>
        <v>789.94345856710822</v>
      </c>
      <c r="AV7" s="61">
        <f t="shared" si="16"/>
        <v>653.03548830395198</v>
      </c>
      <c r="AW7" s="61">
        <f t="shared" si="17"/>
        <v>687.00976834612163</v>
      </c>
      <c r="AX7" s="66">
        <f t="shared" si="18"/>
        <v>694.21433105178835</v>
      </c>
      <c r="AY7" s="86">
        <f t="shared" si="19"/>
        <v>100</v>
      </c>
      <c r="AZ7" s="61">
        <f t="shared" si="20"/>
        <v>92.364737541789339</v>
      </c>
      <c r="BA7" s="61">
        <f t="shared" si="21"/>
        <v>93.249097901200415</v>
      </c>
      <c r="BB7" s="61">
        <f t="shared" si="22"/>
        <v>103.65955933153199</v>
      </c>
      <c r="BC7" s="61">
        <f t="shared" si="23"/>
        <v>85.69394456184196</v>
      </c>
      <c r="BD7" s="61">
        <f t="shared" si="24"/>
        <v>90.152186300010854</v>
      </c>
      <c r="BE7" s="66">
        <f t="shared" si="25"/>
        <v>91.097598009097567</v>
      </c>
      <c r="BF7" s="46">
        <f t="shared" ref="BF7:BF24" si="34">IFERROR(AD7/AK7,"")</f>
        <v>0.44015753945719061</v>
      </c>
      <c r="BG7" s="21">
        <f t="shared" ref="BG7:BG24" si="35">IFERROR(AE7/AL7,"")</f>
        <v>0.32231453990313841</v>
      </c>
      <c r="BH7" s="21">
        <f t="shared" ref="BH7:BH24" si="36">IFERROR(AF7/AM7,"")</f>
        <v>0.30472423572957963</v>
      </c>
      <c r="BI7" s="21">
        <f t="shared" ref="BI7:BI24" si="37">IFERROR(AG7/AN7,"")</f>
        <v>0.34326244918228493</v>
      </c>
      <c r="BJ7" s="21">
        <f t="shared" ref="BJ7:BJ24" si="38">IFERROR(AH7/AO7,"")</f>
        <v>0.29318448871806851</v>
      </c>
      <c r="BK7" s="21">
        <f t="shared" ref="BK7:BK24" si="39">IFERROR(AI7/AP7,"")</f>
        <v>0.24307560184227822</v>
      </c>
      <c r="BL7" s="24">
        <f t="shared" ref="BL7:BL24" si="40">IFERROR(AJ7/AQ7,"")</f>
        <v>0.25550895521781636</v>
      </c>
      <c r="BM7" s="17">
        <f t="shared" ref="BM7:BM24" si="41">+AK7-AD7-BT7</f>
        <v>3.0913687499999991</v>
      </c>
      <c r="BN7" s="17">
        <f t="shared" ref="BN7:BN24" si="42">+AL7-AE7-BU7</f>
        <v>3.7757989600000004</v>
      </c>
      <c r="BO7" s="17">
        <f t="shared" ref="BO7:BO24" si="43">+AM7-AF7-BV7</f>
        <v>4.0526179099999977</v>
      </c>
      <c r="BP7" s="17">
        <f t="shared" ref="BP7:BP24" si="44">+AN7-AG7-BW7</f>
        <v>4.8479669699999999</v>
      </c>
      <c r="BQ7" s="17">
        <f t="shared" ref="BQ7:BQ24" si="45">+AO7-AH7-BX7</f>
        <v>5.9362659879144175</v>
      </c>
      <c r="BR7" s="17">
        <f t="shared" ref="BR7:BR24" si="46">+AP7-AI7-BY7</f>
        <v>6.6389337499999996</v>
      </c>
      <c r="BS7" s="18">
        <f t="shared" ref="BS7:BS24" si="47">+AQ7-AJ7-BZ7</f>
        <v>6.5909186699999989</v>
      </c>
      <c r="BT7" s="17">
        <v>0</v>
      </c>
      <c r="BU7" s="17">
        <v>0.9719062799999999</v>
      </c>
      <c r="BV7" s="17">
        <v>1.0269886400000001</v>
      </c>
      <c r="BW7" s="17">
        <v>0.4308677714314903</v>
      </c>
      <c r="BX7" s="17">
        <v>0.19295293999999999</v>
      </c>
      <c r="BY7" s="17"/>
      <c r="BZ7" s="18"/>
      <c r="CA7" s="49"/>
    </row>
    <row r="8" spans="1:79" x14ac:dyDescent="0.25">
      <c r="A8" s="60" t="s">
        <v>36</v>
      </c>
      <c r="B8" s="61">
        <v>67504.820000000007</v>
      </c>
      <c r="C8" s="61">
        <v>68143.424833259996</v>
      </c>
      <c r="D8" s="61">
        <v>68370.78</v>
      </c>
      <c r="E8" s="61">
        <v>67413.539999999979</v>
      </c>
      <c r="F8" s="61">
        <v>59885.442963636364</v>
      </c>
      <c r="G8" s="61">
        <v>54018.92</v>
      </c>
      <c r="H8" s="66">
        <v>56035.17</v>
      </c>
      <c r="I8" s="61">
        <f t="shared" si="28"/>
        <v>100</v>
      </c>
      <c r="J8" s="61">
        <f t="shared" si="29"/>
        <v>100.94601368207483</v>
      </c>
      <c r="K8" s="61">
        <f t="shared" si="30"/>
        <v>101.28281210141733</v>
      </c>
      <c r="L8" s="61">
        <f t="shared" si="31"/>
        <v>99.864780026078094</v>
      </c>
      <c r="M8" s="61">
        <f t="shared" si="32"/>
        <v>88.712840007034103</v>
      </c>
      <c r="N8" s="61">
        <f t="shared" si="33"/>
        <v>80.022315443549047</v>
      </c>
      <c r="O8" s="66">
        <f t="shared" si="33"/>
        <v>83.009139199245325</v>
      </c>
      <c r="P8" s="61">
        <v>1166494.9670522928</v>
      </c>
      <c r="Q8" s="61">
        <v>793068.05298924795</v>
      </c>
      <c r="R8" s="61">
        <v>710062.44043873472</v>
      </c>
      <c r="S8" s="61">
        <v>926182.67695923976</v>
      </c>
      <c r="T8" s="61">
        <v>955502</v>
      </c>
      <c r="U8" s="61">
        <v>878736</v>
      </c>
      <c r="V8" s="66">
        <v>878736</v>
      </c>
      <c r="W8" s="61">
        <f t="shared" si="6"/>
        <v>100</v>
      </c>
      <c r="X8" s="61">
        <f t="shared" si="7"/>
        <v>67.987267445595037</v>
      </c>
      <c r="Y8" s="61">
        <f t="shared" si="8"/>
        <v>60.871453413386511</v>
      </c>
      <c r="Z8" s="61">
        <f t="shared" si="9"/>
        <v>79.398771800934824</v>
      </c>
      <c r="AA8" s="61">
        <f t="shared" si="10"/>
        <v>81.912226540893926</v>
      </c>
      <c r="AB8" s="61">
        <f t="shared" si="11"/>
        <v>75.331315163797626</v>
      </c>
      <c r="AC8" s="66">
        <f t="shared" si="11"/>
        <v>75.331315163797626</v>
      </c>
      <c r="AD8" s="49">
        <v>13.742796</v>
      </c>
      <c r="AE8" s="49">
        <v>9.9696130000000007</v>
      </c>
      <c r="AF8" s="49">
        <v>8.9582759999999997</v>
      </c>
      <c r="AG8" s="49">
        <v>10.720764506270235</v>
      </c>
      <c r="AH8" s="49">
        <v>10.540518048611426</v>
      </c>
      <c r="AI8" s="49">
        <v>9.98</v>
      </c>
      <c r="AJ8" s="50">
        <v>9.7810000000000006</v>
      </c>
      <c r="AK8" s="61">
        <v>50.096033100000007</v>
      </c>
      <c r="AL8" s="61">
        <v>52.181667629999993</v>
      </c>
      <c r="AM8" s="61">
        <v>53.640858199999997</v>
      </c>
      <c r="AN8" s="61">
        <v>57.935063160000006</v>
      </c>
      <c r="AO8" s="49">
        <v>54.649915829999998</v>
      </c>
      <c r="AP8" s="61">
        <v>49.880013519999999</v>
      </c>
      <c r="AQ8" s="66">
        <v>53.314559340000002</v>
      </c>
      <c r="AR8" s="61">
        <f t="shared" si="12"/>
        <v>742.11046114929275</v>
      </c>
      <c r="AS8" s="61">
        <f t="shared" si="13"/>
        <v>765.76232787951596</v>
      </c>
      <c r="AT8" s="61">
        <f t="shared" si="14"/>
        <v>784.558230869971</v>
      </c>
      <c r="AU8" s="61">
        <f t="shared" si="15"/>
        <v>859.39802538184495</v>
      </c>
      <c r="AV8" s="61">
        <f t="shared" si="16"/>
        <v>912.57429394292899</v>
      </c>
      <c r="AW8" s="61">
        <f t="shared" si="17"/>
        <v>923.38042893119666</v>
      </c>
      <c r="AX8" s="66">
        <f t="shared" si="18"/>
        <v>951.44815907580914</v>
      </c>
      <c r="AY8" s="86">
        <f t="shared" si="19"/>
        <v>100</v>
      </c>
      <c r="AZ8" s="61">
        <f t="shared" si="20"/>
        <v>103.18710865409362</v>
      </c>
      <c r="BA8" s="61">
        <f t="shared" si="21"/>
        <v>105.71987216767435</v>
      </c>
      <c r="BB8" s="61">
        <f t="shared" si="22"/>
        <v>115.80459653552265</v>
      </c>
      <c r="BC8" s="61">
        <f t="shared" si="23"/>
        <v>122.97014281804384</v>
      </c>
      <c r="BD8" s="61">
        <f t="shared" si="24"/>
        <v>124.42627846819117</v>
      </c>
      <c r="BE8" s="66">
        <f t="shared" si="25"/>
        <v>128.20842837902043</v>
      </c>
      <c r="BF8" s="46">
        <f t="shared" si="34"/>
        <v>0.27432902666299136</v>
      </c>
      <c r="BG8" s="21">
        <f t="shared" si="35"/>
        <v>0.19105585261649105</v>
      </c>
      <c r="BH8" s="21">
        <f t="shared" si="36"/>
        <v>0.16700471059950342</v>
      </c>
      <c r="BI8" s="21">
        <f t="shared" si="37"/>
        <v>0.18504794715874501</v>
      </c>
      <c r="BJ8" s="21">
        <f t="shared" si="38"/>
        <v>0.19287345439652487</v>
      </c>
      <c r="BK8" s="21">
        <f t="shared" si="39"/>
        <v>0.20008013823008283</v>
      </c>
      <c r="BL8" s="24">
        <f t="shared" si="40"/>
        <v>0.18345832960231684</v>
      </c>
      <c r="BM8" s="17">
        <f t="shared" si="41"/>
        <v>36.353237100000008</v>
      </c>
      <c r="BN8" s="17">
        <f t="shared" si="42"/>
        <v>37.93141984999999</v>
      </c>
      <c r="BO8" s="17">
        <f t="shared" si="43"/>
        <v>40.569596320000002</v>
      </c>
      <c r="BP8" s="17">
        <f t="shared" si="44"/>
        <v>45.275063160000009</v>
      </c>
      <c r="BQ8" s="17">
        <f t="shared" si="45"/>
        <v>42.960554361388574</v>
      </c>
      <c r="BR8" s="17">
        <f t="shared" si="46"/>
        <v>39.900013520000002</v>
      </c>
      <c r="BS8" s="18">
        <f t="shared" si="47"/>
        <v>43.533559340000004</v>
      </c>
      <c r="BT8" s="17">
        <v>0</v>
      </c>
      <c r="BU8" s="17">
        <v>4.2806347799999998</v>
      </c>
      <c r="BV8" s="17">
        <v>4.1129858800000001</v>
      </c>
      <c r="BW8" s="17">
        <v>1.9392354937297627</v>
      </c>
      <c r="BX8" s="17">
        <v>1.1488434199999999</v>
      </c>
      <c r="BY8" s="17"/>
      <c r="BZ8" s="18"/>
      <c r="CA8" s="49"/>
    </row>
    <row r="9" spans="1:79" x14ac:dyDescent="0.25">
      <c r="A9" s="60" t="s">
        <v>37</v>
      </c>
      <c r="B9" s="61">
        <v>39526.15</v>
      </c>
      <c r="C9" s="61">
        <v>28975.733333500662</v>
      </c>
      <c r="D9" s="61">
        <v>28982.83</v>
      </c>
      <c r="E9" s="61">
        <v>27467.450000000004</v>
      </c>
      <c r="F9" s="61">
        <v>26009.850470085468</v>
      </c>
      <c r="G9" s="61">
        <v>17464.61</v>
      </c>
      <c r="H9" s="66">
        <v>9354.76</v>
      </c>
      <c r="I9" s="61">
        <f t="shared" si="28"/>
        <v>100</v>
      </c>
      <c r="J9" s="61">
        <f t="shared" si="29"/>
        <v>73.307755330333606</v>
      </c>
      <c r="K9" s="61">
        <f t="shared" si="30"/>
        <v>73.325709688396174</v>
      </c>
      <c r="L9" s="61">
        <f t="shared" si="31"/>
        <v>69.491842742083406</v>
      </c>
      <c r="M9" s="61">
        <f t="shared" si="32"/>
        <v>65.80415869009623</v>
      </c>
      <c r="N9" s="61">
        <f t="shared" si="33"/>
        <v>44.184950975493436</v>
      </c>
      <c r="O9" s="66">
        <f t="shared" si="33"/>
        <v>23.667268378023156</v>
      </c>
      <c r="P9" s="61">
        <v>488142.09362389619</v>
      </c>
      <c r="Q9" s="61">
        <v>328324.59595934441</v>
      </c>
      <c r="R9" s="61">
        <v>301578.33674943948</v>
      </c>
      <c r="S9" s="61">
        <v>375533.27332277969</v>
      </c>
      <c r="T9" s="61">
        <v>372373</v>
      </c>
      <c r="U9" s="61">
        <v>260927</v>
      </c>
      <c r="V9" s="66">
        <v>260927</v>
      </c>
      <c r="W9" s="61">
        <f t="shared" si="6"/>
        <v>100</v>
      </c>
      <c r="X9" s="61">
        <f t="shared" si="7"/>
        <v>67.260045844829762</v>
      </c>
      <c r="Y9" s="61">
        <f t="shared" si="8"/>
        <v>61.78085043036662</v>
      </c>
      <c r="Z9" s="61">
        <f t="shared" si="9"/>
        <v>76.931139155583793</v>
      </c>
      <c r="AA9" s="61">
        <f t="shared" si="10"/>
        <v>76.283730672672945</v>
      </c>
      <c r="AB9" s="61">
        <f t="shared" si="11"/>
        <v>53.45308331492491</v>
      </c>
      <c r="AC9" s="66">
        <f t="shared" si="11"/>
        <v>53.45308331492491</v>
      </c>
      <c r="AD9" s="49">
        <v>6.1984069999999996</v>
      </c>
      <c r="AE9" s="49">
        <v>4.0136310000000002</v>
      </c>
      <c r="AF9" s="49">
        <v>3.9060419999999998</v>
      </c>
      <c r="AG9" s="49">
        <v>3.8527130287468552</v>
      </c>
      <c r="AH9" s="49">
        <v>3.031095998324389</v>
      </c>
      <c r="AI9" s="49">
        <v>1.8879999999999999</v>
      </c>
      <c r="AJ9" s="50">
        <v>8.2000000000000003E-2</v>
      </c>
      <c r="AK9" s="49">
        <v>28.067976259999998</v>
      </c>
      <c r="AL9" s="49">
        <v>18.548695769999998</v>
      </c>
      <c r="AM9" s="49">
        <v>19.082128069999992</v>
      </c>
      <c r="AN9" s="49">
        <v>18.927265150000007</v>
      </c>
      <c r="AO9" s="49">
        <v>18.483876509999998</v>
      </c>
      <c r="AP9" s="49">
        <v>13.54634678</v>
      </c>
      <c r="AQ9" s="50">
        <v>9.1868451499999999</v>
      </c>
      <c r="AR9" s="49">
        <f t="shared" si="12"/>
        <v>710.11156563439636</v>
      </c>
      <c r="AS9" s="49">
        <f t="shared" si="13"/>
        <v>640.14586124571656</v>
      </c>
      <c r="AT9" s="49">
        <f t="shared" si="14"/>
        <v>658.39423099814587</v>
      </c>
      <c r="AU9" s="49">
        <f t="shared" si="15"/>
        <v>689.07980718996498</v>
      </c>
      <c r="AV9" s="49">
        <f t="shared" si="16"/>
        <v>710.64908778536551</v>
      </c>
      <c r="AW9" s="49">
        <f t="shared" si="17"/>
        <v>775.64553574342631</v>
      </c>
      <c r="AX9" s="50">
        <f t="shared" si="18"/>
        <v>982.05033052691897</v>
      </c>
      <c r="AY9" s="86">
        <f t="shared" si="19"/>
        <v>100</v>
      </c>
      <c r="AZ9" s="61">
        <f t="shared" si="20"/>
        <v>90.147223651233716</v>
      </c>
      <c r="BA9" s="61">
        <f t="shared" si="21"/>
        <v>92.717012771078089</v>
      </c>
      <c r="BB9" s="61">
        <f t="shared" si="22"/>
        <v>97.038245895116191</v>
      </c>
      <c r="BC9" s="61">
        <f t="shared" si="23"/>
        <v>100.07569545082524</v>
      </c>
      <c r="BD9" s="61">
        <f t="shared" si="24"/>
        <v>109.22868648822576</v>
      </c>
      <c r="BE9" s="66">
        <f t="shared" si="25"/>
        <v>138.29521698461272</v>
      </c>
      <c r="BF9" s="46">
        <f t="shared" si="34"/>
        <v>0.2208355508991014</v>
      </c>
      <c r="BG9" s="21">
        <f t="shared" si="35"/>
        <v>0.21638346166049607</v>
      </c>
      <c r="BH9" s="21">
        <f t="shared" si="36"/>
        <v>0.20469635177330625</v>
      </c>
      <c r="BI9" s="21">
        <f t="shared" si="37"/>
        <v>0.20355360366190325</v>
      </c>
      <c r="BJ9" s="21">
        <f t="shared" si="38"/>
        <v>0.1639859472489188</v>
      </c>
      <c r="BK9" s="21">
        <f t="shared" si="39"/>
        <v>0.13937336985846746</v>
      </c>
      <c r="BL9" s="24">
        <f t="shared" si="40"/>
        <v>8.9258062654947439E-3</v>
      </c>
      <c r="BM9" s="17">
        <f t="shared" si="41"/>
        <v>21.869569259999999</v>
      </c>
      <c r="BN9" s="17">
        <f t="shared" si="42"/>
        <v>12.809999179999998</v>
      </c>
      <c r="BO9" s="17">
        <f t="shared" si="43"/>
        <v>13.386665079999993</v>
      </c>
      <c r="BP9" s="17">
        <f t="shared" si="44"/>
        <v>14.357265150000007</v>
      </c>
      <c r="BQ9" s="17">
        <f t="shared" si="45"/>
        <v>15.082996881675609</v>
      </c>
      <c r="BR9" s="17">
        <f t="shared" si="46"/>
        <v>11.65834678</v>
      </c>
      <c r="BS9" s="18">
        <f t="shared" si="47"/>
        <v>9.1048451499999992</v>
      </c>
      <c r="BT9" s="17">
        <v>0</v>
      </c>
      <c r="BU9" s="17">
        <v>1.72506559</v>
      </c>
      <c r="BV9" s="17">
        <v>1.78942099</v>
      </c>
      <c r="BW9" s="17">
        <v>0.71728697125314456</v>
      </c>
      <c r="BX9" s="17">
        <v>0.36978363000000003</v>
      </c>
      <c r="BY9" s="17"/>
      <c r="BZ9" s="18"/>
      <c r="CA9" s="49"/>
    </row>
    <row r="10" spans="1:79" x14ac:dyDescent="0.25">
      <c r="A10" s="60" t="s">
        <v>38</v>
      </c>
      <c r="B10" s="61">
        <v>71986.27</v>
      </c>
      <c r="C10" s="61">
        <v>79663.479999942661</v>
      </c>
      <c r="D10" s="61">
        <v>82991.37</v>
      </c>
      <c r="E10" s="61">
        <v>83603.259999999966</v>
      </c>
      <c r="F10" s="61">
        <v>82411.87029052875</v>
      </c>
      <c r="G10" s="61">
        <v>76528.622105263159</v>
      </c>
      <c r="H10" s="66">
        <v>73231.67296296297</v>
      </c>
      <c r="I10" s="61">
        <f t="shared" si="28"/>
        <v>100</v>
      </c>
      <c r="J10" s="61">
        <f t="shared" si="29"/>
        <v>110.66482538953979</v>
      </c>
      <c r="K10" s="61">
        <f t="shared" si="30"/>
        <v>115.28777640513948</v>
      </c>
      <c r="L10" s="61">
        <f t="shared" si="31"/>
        <v>116.1377857194156</v>
      </c>
      <c r="M10" s="61">
        <f t="shared" si="32"/>
        <v>114.48276218580118</v>
      </c>
      <c r="N10" s="61">
        <f t="shared" si="33"/>
        <v>106.3100256552578</v>
      </c>
      <c r="O10" s="66">
        <f t="shared" si="33"/>
        <v>101.73005624956393</v>
      </c>
      <c r="P10" s="61">
        <v>1843393.6185994556</v>
      </c>
      <c r="Q10" s="61">
        <v>1290350.5767269318</v>
      </c>
      <c r="R10" s="61">
        <v>1218874.6523904675</v>
      </c>
      <c r="S10" s="61">
        <v>1616691.7123189615</v>
      </c>
      <c r="T10" s="61">
        <v>1670067</v>
      </c>
      <c r="U10" s="61">
        <v>1570976</v>
      </c>
      <c r="V10" s="66">
        <v>1570976</v>
      </c>
      <c r="W10" s="61">
        <f t="shared" si="6"/>
        <v>100</v>
      </c>
      <c r="X10" s="61">
        <f t="shared" si="7"/>
        <v>69.99864617668004</v>
      </c>
      <c r="Y10" s="61">
        <f t="shared" si="8"/>
        <v>66.12123640291891</v>
      </c>
      <c r="Z10" s="61">
        <f t="shared" si="9"/>
        <v>87.701926273742117</v>
      </c>
      <c r="AA10" s="61">
        <f t="shared" si="10"/>
        <v>90.597416805036843</v>
      </c>
      <c r="AB10" s="61">
        <f t="shared" si="11"/>
        <v>85.221950653901644</v>
      </c>
      <c r="AC10" s="66">
        <f t="shared" si="11"/>
        <v>85.221950653901644</v>
      </c>
      <c r="AD10" s="49">
        <v>19.30067</v>
      </c>
      <c r="AE10" s="49">
        <v>15.414046000000001</v>
      </c>
      <c r="AF10" s="49">
        <v>14.230618</v>
      </c>
      <c r="AG10" s="49">
        <v>17.181655643094366</v>
      </c>
      <c r="AH10" s="49">
        <v>17.655763706123878</v>
      </c>
      <c r="AI10" s="49">
        <v>17.420999999999999</v>
      </c>
      <c r="AJ10" s="50">
        <v>17.209</v>
      </c>
      <c r="AK10" s="49">
        <v>51.669400460000006</v>
      </c>
      <c r="AL10" s="49">
        <v>56.434111530000003</v>
      </c>
      <c r="AM10" s="49">
        <v>60.761350739999983</v>
      </c>
      <c r="AN10" s="49">
        <v>67.478787210000007</v>
      </c>
      <c r="AO10" s="49">
        <v>62.176707060000012</v>
      </c>
      <c r="AP10" s="49">
        <v>58.268737090000002</v>
      </c>
      <c r="AQ10" s="50">
        <v>59.681334010000008</v>
      </c>
      <c r="AR10" s="49">
        <f t="shared" si="12"/>
        <v>717.7674362069323</v>
      </c>
      <c r="AS10" s="49">
        <f t="shared" si="13"/>
        <v>708.40630524853577</v>
      </c>
      <c r="AT10" s="49">
        <f t="shared" si="14"/>
        <v>732.1405917265854</v>
      </c>
      <c r="AU10" s="49">
        <f t="shared" si="15"/>
        <v>807.13105218624298</v>
      </c>
      <c r="AV10" s="49">
        <f t="shared" si="16"/>
        <v>754.4630020021001</v>
      </c>
      <c r="AW10" s="49">
        <f t="shared" si="17"/>
        <v>761.39796440935322</v>
      </c>
      <c r="AX10" s="50">
        <f t="shared" si="18"/>
        <v>814.96614231637079</v>
      </c>
      <c r="AY10" s="86">
        <f t="shared" si="19"/>
        <v>100</v>
      </c>
      <c r="AZ10" s="61">
        <f t="shared" si="20"/>
        <v>98.69579887771647</v>
      </c>
      <c r="BA10" s="61">
        <f t="shared" si="21"/>
        <v>102.00248085864811</v>
      </c>
      <c r="BB10" s="61">
        <f t="shared" si="22"/>
        <v>112.45021875770178</v>
      </c>
      <c r="BC10" s="61">
        <f t="shared" si="23"/>
        <v>105.11245898658859</v>
      </c>
      <c r="BD10" s="61">
        <f t="shared" si="24"/>
        <v>106.07864414036223</v>
      </c>
      <c r="BE10" s="66">
        <f t="shared" si="25"/>
        <v>113.54181050941632</v>
      </c>
      <c r="BF10" s="46">
        <f t="shared" si="34"/>
        <v>0.37354158995790288</v>
      </c>
      <c r="BG10" s="21">
        <f t="shared" si="35"/>
        <v>0.27313349288410427</v>
      </c>
      <c r="BH10" s="21">
        <f t="shared" si="36"/>
        <v>0.23420509627729194</v>
      </c>
      <c r="BI10" s="21">
        <f t="shared" si="37"/>
        <v>0.25462306531419304</v>
      </c>
      <c r="BJ10" s="21">
        <f t="shared" si="38"/>
        <v>0.28396106099807139</v>
      </c>
      <c r="BK10" s="21">
        <f t="shared" si="39"/>
        <v>0.29897679047157116</v>
      </c>
      <c r="BL10" s="24">
        <f t="shared" si="40"/>
        <v>0.28834811227772683</v>
      </c>
      <c r="BM10" s="17">
        <f t="shared" si="41"/>
        <v>32.368730460000009</v>
      </c>
      <c r="BN10" s="17">
        <f t="shared" si="42"/>
        <v>34.398011700000005</v>
      </c>
      <c r="BO10" s="17">
        <f t="shared" si="43"/>
        <v>39.980090489999981</v>
      </c>
      <c r="BP10" s="17">
        <f t="shared" si="44"/>
        <v>47.938787210000001</v>
      </c>
      <c r="BQ10" s="17">
        <f t="shared" si="45"/>
        <v>43.156110673876135</v>
      </c>
      <c r="BR10" s="17">
        <f t="shared" si="46"/>
        <v>40.847737090000003</v>
      </c>
      <c r="BS10" s="18">
        <f t="shared" si="47"/>
        <v>42.472334010000012</v>
      </c>
      <c r="BT10" s="17">
        <v>0</v>
      </c>
      <c r="BU10" s="17">
        <v>6.6220538300000005</v>
      </c>
      <c r="BV10" s="17">
        <v>6.5506422500000001</v>
      </c>
      <c r="BW10" s="17">
        <v>2.358344356905639</v>
      </c>
      <c r="BX10" s="17">
        <v>1.3648326799999999</v>
      </c>
      <c r="BY10" s="17"/>
      <c r="BZ10" s="18"/>
      <c r="CA10" s="49"/>
    </row>
    <row r="11" spans="1:79" x14ac:dyDescent="0.25">
      <c r="A11" s="60" t="s">
        <v>39</v>
      </c>
      <c r="B11" s="61">
        <v>20374.75</v>
      </c>
      <c r="C11" s="61">
        <v>21047.039999996668</v>
      </c>
      <c r="D11" s="61">
        <v>21103.87</v>
      </c>
      <c r="E11" s="61">
        <v>21273.373333333333</v>
      </c>
      <c r="F11" s="61">
        <v>20482.63</v>
      </c>
      <c r="G11" s="61">
        <v>20530.379999999997</v>
      </c>
      <c r="H11" s="66">
        <v>20307.010000000002</v>
      </c>
      <c r="I11" s="61">
        <f t="shared" si="28"/>
        <v>100</v>
      </c>
      <c r="J11" s="61">
        <f t="shared" si="29"/>
        <v>103.29962330824509</v>
      </c>
      <c r="K11" s="61">
        <f t="shared" si="30"/>
        <v>103.57854697603651</v>
      </c>
      <c r="L11" s="61">
        <f t="shared" si="31"/>
        <v>104.41047538415604</v>
      </c>
      <c r="M11" s="61">
        <f t="shared" si="32"/>
        <v>100.52947888931155</v>
      </c>
      <c r="N11" s="61">
        <f t="shared" si="33"/>
        <v>100.76383759309928</v>
      </c>
      <c r="O11" s="66">
        <f t="shared" si="33"/>
        <v>99.667529662940652</v>
      </c>
      <c r="P11" s="61">
        <v>260635.36478532609</v>
      </c>
      <c r="Q11" s="61">
        <v>165088.12648950797</v>
      </c>
      <c r="R11" s="61">
        <v>129857.74032839508</v>
      </c>
      <c r="S11" s="61">
        <v>161835.59854982729</v>
      </c>
      <c r="T11" s="61">
        <v>177026</v>
      </c>
      <c r="U11" s="61">
        <v>166238</v>
      </c>
      <c r="V11" s="66">
        <v>166238</v>
      </c>
      <c r="W11" s="61">
        <f t="shared" si="6"/>
        <v>100</v>
      </c>
      <c r="X11" s="61">
        <f t="shared" si="7"/>
        <v>63.340647047450297</v>
      </c>
      <c r="Y11" s="61">
        <f t="shared" si="8"/>
        <v>49.82353044658894</v>
      </c>
      <c r="Z11" s="61">
        <f t="shared" si="9"/>
        <v>62.092724325083118</v>
      </c>
      <c r="AA11" s="61">
        <f t="shared" si="10"/>
        <v>67.920943938597333</v>
      </c>
      <c r="AB11" s="61">
        <f t="shared" si="11"/>
        <v>63.781827971397107</v>
      </c>
      <c r="AC11" s="66">
        <f t="shared" si="11"/>
        <v>63.781827971397107</v>
      </c>
      <c r="AD11" s="49">
        <v>0.03</v>
      </c>
      <c r="AE11" s="49">
        <v>4.1815999999999999E-2</v>
      </c>
      <c r="AF11" s="49">
        <v>3.9523999999999997E-2</v>
      </c>
      <c r="AG11" s="49">
        <v>8.5925953918482137E-2</v>
      </c>
      <c r="AH11" s="49">
        <v>4.8748290086387168E-2</v>
      </c>
      <c r="AI11" s="49">
        <v>0</v>
      </c>
      <c r="AJ11" s="50">
        <v>0</v>
      </c>
      <c r="AK11" s="49">
        <v>13.7717636</v>
      </c>
      <c r="AL11" s="49">
        <v>14.050652400000001</v>
      </c>
      <c r="AM11" s="49">
        <v>14.620909939999997</v>
      </c>
      <c r="AN11" s="49">
        <v>16.249177240000002</v>
      </c>
      <c r="AO11" s="49">
        <v>16.510695869999999</v>
      </c>
      <c r="AP11" s="49">
        <v>16.303128770000001</v>
      </c>
      <c r="AQ11" s="50">
        <v>16.898200800000001</v>
      </c>
      <c r="AR11" s="49">
        <f t="shared" si="12"/>
        <v>675.92307144872939</v>
      </c>
      <c r="AS11" s="49">
        <f t="shared" si="13"/>
        <v>667.58329912435306</v>
      </c>
      <c r="AT11" s="49">
        <f t="shared" si="14"/>
        <v>692.80705102902914</v>
      </c>
      <c r="AU11" s="49">
        <f t="shared" si="15"/>
        <v>763.82701442742518</v>
      </c>
      <c r="AV11" s="49">
        <f t="shared" si="16"/>
        <v>806.08280626071939</v>
      </c>
      <c r="AW11" s="49">
        <f t="shared" si="17"/>
        <v>794.09776000249406</v>
      </c>
      <c r="AX11" s="50">
        <f t="shared" si="18"/>
        <v>832.13633124719001</v>
      </c>
      <c r="AY11" s="86">
        <f t="shared" si="19"/>
        <v>100</v>
      </c>
      <c r="AZ11" s="61">
        <f t="shared" si="20"/>
        <v>98.766165459258346</v>
      </c>
      <c r="BA11" s="61">
        <f t="shared" si="21"/>
        <v>102.497914377166</v>
      </c>
      <c r="BB11" s="61">
        <f t="shared" si="22"/>
        <v>113.00502182745267</v>
      </c>
      <c r="BC11" s="61">
        <f t="shared" si="23"/>
        <v>119.25659003368743</v>
      </c>
      <c r="BD11" s="61">
        <f t="shared" si="24"/>
        <v>117.48345241426317</v>
      </c>
      <c r="BE11" s="66">
        <f t="shared" si="25"/>
        <v>123.11110041911179</v>
      </c>
      <c r="BF11" s="46">
        <f t="shared" si="34"/>
        <v>2.1783702415571525E-3</v>
      </c>
      <c r="BG11" s="21">
        <f t="shared" si="35"/>
        <v>2.976089565777031E-3</v>
      </c>
      <c r="BH11" s="21">
        <f t="shared" si="36"/>
        <v>2.703251723880053E-3</v>
      </c>
      <c r="BI11" s="21">
        <f t="shared" si="37"/>
        <v>5.2880187500793192E-3</v>
      </c>
      <c r="BJ11" s="21">
        <f t="shared" si="38"/>
        <v>2.9525278928408468E-3</v>
      </c>
      <c r="BK11" s="21">
        <f t="shared" si="39"/>
        <v>0</v>
      </c>
      <c r="BL11" s="24">
        <f t="shared" si="40"/>
        <v>0</v>
      </c>
      <c r="BM11" s="17">
        <f t="shared" si="41"/>
        <v>13.741763600000001</v>
      </c>
      <c r="BN11" s="17">
        <f t="shared" si="42"/>
        <v>13.9914308</v>
      </c>
      <c r="BO11" s="17">
        <f t="shared" si="43"/>
        <v>14.573507029999996</v>
      </c>
      <c r="BP11" s="17">
        <f t="shared" si="44"/>
        <v>16.179177240000001</v>
      </c>
      <c r="BQ11" s="17">
        <f t="shared" si="45"/>
        <v>16.229947579913613</v>
      </c>
      <c r="BR11" s="17">
        <f t="shared" si="46"/>
        <v>16.303128770000001</v>
      </c>
      <c r="BS11" s="18">
        <f t="shared" si="47"/>
        <v>16.898200800000001</v>
      </c>
      <c r="BT11" s="17">
        <v>0</v>
      </c>
      <c r="BU11" s="17">
        <v>1.7405600000000004E-2</v>
      </c>
      <c r="BV11" s="17">
        <v>7.8789100000000011E-3</v>
      </c>
      <c r="BW11" s="17">
        <v>-1.5925953918482134E-2</v>
      </c>
      <c r="BX11" s="17">
        <v>0.23200000000000001</v>
      </c>
      <c r="BY11" s="17"/>
      <c r="BZ11" s="18"/>
      <c r="CA11" s="49"/>
    </row>
    <row r="12" spans="1:79" x14ac:dyDescent="0.25">
      <c r="A12" s="60" t="s">
        <v>40</v>
      </c>
      <c r="B12" s="61">
        <v>9849.52</v>
      </c>
      <c r="C12" s="61">
        <v>9907.81</v>
      </c>
      <c r="D12" s="61">
        <v>10098.950000000001</v>
      </c>
      <c r="E12" s="61">
        <v>10254.756666666668</v>
      </c>
      <c r="F12" s="61">
        <v>8873.6542159383025</v>
      </c>
      <c r="G12" s="61">
        <v>6572.97</v>
      </c>
      <c r="H12" s="66">
        <v>6446.8</v>
      </c>
      <c r="I12" s="61">
        <f t="shared" si="28"/>
        <v>100</v>
      </c>
      <c r="J12" s="61">
        <f t="shared" si="29"/>
        <v>100.59180548899845</v>
      </c>
      <c r="K12" s="61">
        <f t="shared" si="30"/>
        <v>102.53240767062761</v>
      </c>
      <c r="L12" s="61">
        <f t="shared" si="31"/>
        <v>104.11427832693032</v>
      </c>
      <c r="M12" s="61">
        <f t="shared" si="32"/>
        <v>90.092250342537525</v>
      </c>
      <c r="N12" s="61">
        <f t="shared" si="33"/>
        <v>66.733911906366998</v>
      </c>
      <c r="O12" s="66">
        <f t="shared" si="33"/>
        <v>65.452935777581033</v>
      </c>
      <c r="P12" s="61"/>
      <c r="Q12" s="61"/>
      <c r="R12" s="61"/>
      <c r="S12" s="61"/>
      <c r="T12" s="61">
        <v>0</v>
      </c>
      <c r="U12" s="61">
        <v>0</v>
      </c>
      <c r="V12" s="66">
        <v>0</v>
      </c>
      <c r="W12" s="61" t="str">
        <f t="shared" si="6"/>
        <v/>
      </c>
      <c r="X12" s="61" t="str">
        <f t="shared" si="7"/>
        <v/>
      </c>
      <c r="Y12" s="61" t="str">
        <f t="shared" si="8"/>
        <v/>
      </c>
      <c r="Z12" s="61" t="str">
        <f t="shared" si="9"/>
        <v/>
      </c>
      <c r="AA12" s="61" t="str">
        <f t="shared" si="10"/>
        <v/>
      </c>
      <c r="AB12" s="61" t="str">
        <f t="shared" si="11"/>
        <v/>
      </c>
      <c r="AC12" s="66" t="str">
        <f t="shared" si="11"/>
        <v/>
      </c>
      <c r="AD12" s="49">
        <v>0</v>
      </c>
      <c r="AE12" s="49">
        <v>0</v>
      </c>
      <c r="AF12" s="49">
        <v>0</v>
      </c>
      <c r="AG12" s="49">
        <v>0</v>
      </c>
      <c r="AH12" s="49">
        <v>0</v>
      </c>
      <c r="AI12" s="49">
        <v>0</v>
      </c>
      <c r="AJ12" s="50">
        <v>0</v>
      </c>
      <c r="AK12" s="49">
        <v>7.990508629999999</v>
      </c>
      <c r="AL12" s="49">
        <v>8.0356483399999998</v>
      </c>
      <c r="AM12" s="49">
        <v>8.4161196500000024</v>
      </c>
      <c r="AN12" s="49">
        <v>9.3936120400000007</v>
      </c>
      <c r="AO12" s="49">
        <v>8.6040717600000001</v>
      </c>
      <c r="AP12" s="49">
        <v>6.5264873200000002</v>
      </c>
      <c r="AQ12" s="50">
        <v>6.4120112800000006</v>
      </c>
      <c r="AR12" s="49">
        <f t="shared" si="12"/>
        <v>811.25868367189457</v>
      </c>
      <c r="AS12" s="49">
        <f t="shared" si="13"/>
        <v>811.04182861802963</v>
      </c>
      <c r="AT12" s="49">
        <f t="shared" si="14"/>
        <v>833.36581030701223</v>
      </c>
      <c r="AU12" s="49">
        <f t="shared" si="15"/>
        <v>916.02486000805482</v>
      </c>
      <c r="AV12" s="49">
        <f t="shared" si="16"/>
        <v>969.6199052410567</v>
      </c>
      <c r="AW12" s="49">
        <f t="shared" si="17"/>
        <v>992.92820749219914</v>
      </c>
      <c r="AX12" s="50">
        <f t="shared" si="18"/>
        <v>994.60372277719182</v>
      </c>
      <c r="AY12" s="86">
        <f t="shared" si="19"/>
        <v>100</v>
      </c>
      <c r="AZ12" s="61">
        <f t="shared" si="20"/>
        <v>99.973269308763093</v>
      </c>
      <c r="BA12" s="61">
        <f t="shared" si="21"/>
        <v>102.72504036999111</v>
      </c>
      <c r="BB12" s="61">
        <f t="shared" si="22"/>
        <v>112.91402834197974</v>
      </c>
      <c r="BC12" s="61">
        <f t="shared" si="23"/>
        <v>119.52043469690732</v>
      </c>
      <c r="BD12" s="61">
        <f t="shared" si="24"/>
        <v>122.39353827290174</v>
      </c>
      <c r="BE12" s="66">
        <f t="shared" si="25"/>
        <v>122.60007107417901</v>
      </c>
      <c r="BF12" s="46">
        <f t="shared" si="34"/>
        <v>0</v>
      </c>
      <c r="BG12" s="21">
        <f t="shared" si="35"/>
        <v>0</v>
      </c>
      <c r="BH12" s="21">
        <f t="shared" si="36"/>
        <v>0</v>
      </c>
      <c r="BI12" s="21">
        <f t="shared" si="37"/>
        <v>0</v>
      </c>
      <c r="BJ12" s="21">
        <f t="shared" si="38"/>
        <v>0</v>
      </c>
      <c r="BK12" s="21">
        <f t="shared" si="39"/>
        <v>0</v>
      </c>
      <c r="BL12" s="24">
        <f t="shared" si="40"/>
        <v>0</v>
      </c>
      <c r="BM12" s="17">
        <f t="shared" si="41"/>
        <v>7.990508629999999</v>
      </c>
      <c r="BN12" s="17">
        <f t="shared" si="42"/>
        <v>8.0356483399999998</v>
      </c>
      <c r="BO12" s="17">
        <f t="shared" si="43"/>
        <v>8.4192885400000019</v>
      </c>
      <c r="BP12" s="17">
        <f t="shared" si="44"/>
        <v>9.3936120400000007</v>
      </c>
      <c r="BQ12" s="17">
        <f t="shared" si="45"/>
        <v>8.4700717599999997</v>
      </c>
      <c r="BR12" s="17">
        <f t="shared" si="46"/>
        <v>6.5264873200000002</v>
      </c>
      <c r="BS12" s="18">
        <f t="shared" si="47"/>
        <v>6.4120112800000006</v>
      </c>
      <c r="BT12" s="17">
        <v>0</v>
      </c>
      <c r="BU12" s="17">
        <v>0</v>
      </c>
      <c r="BV12" s="17">
        <v>-3.1688899999999997E-3</v>
      </c>
      <c r="BW12" s="17">
        <v>0</v>
      </c>
      <c r="BX12" s="17">
        <v>0.13400000000000001</v>
      </c>
      <c r="BY12" s="17"/>
      <c r="BZ12" s="18"/>
      <c r="CA12" s="49"/>
    </row>
    <row r="13" spans="1:79" x14ac:dyDescent="0.25">
      <c r="A13" s="60" t="s">
        <v>41</v>
      </c>
      <c r="B13" s="61">
        <v>23548.17</v>
      </c>
      <c r="C13" s="61">
        <v>27097.550000079667</v>
      </c>
      <c r="D13" s="61">
        <v>29586.79</v>
      </c>
      <c r="E13" s="61">
        <v>30892.353333333333</v>
      </c>
      <c r="F13" s="61">
        <v>33387.867309771311</v>
      </c>
      <c r="G13" s="61">
        <v>33660.916666666672</v>
      </c>
      <c r="H13" s="66">
        <v>33180.449090909089</v>
      </c>
      <c r="I13" s="61">
        <f t="shared" si="28"/>
        <v>100</v>
      </c>
      <c r="J13" s="61">
        <f t="shared" si="29"/>
        <v>115.07284854865438</v>
      </c>
      <c r="K13" s="61">
        <f t="shared" si="30"/>
        <v>125.64369120827649</v>
      </c>
      <c r="L13" s="61">
        <f t="shared" si="31"/>
        <v>131.18791538082718</v>
      </c>
      <c r="M13" s="61">
        <f t="shared" si="32"/>
        <v>141.78540120005636</v>
      </c>
      <c r="N13" s="61">
        <f t="shared" si="33"/>
        <v>142.94493655628727</v>
      </c>
      <c r="O13" s="66">
        <f t="shared" si="33"/>
        <v>140.90457598577336</v>
      </c>
      <c r="P13" s="61">
        <v>62326.790861970294</v>
      </c>
      <c r="Q13" s="61">
        <v>47327.358740350333</v>
      </c>
      <c r="R13" s="61">
        <v>47071.135587070952</v>
      </c>
      <c r="S13" s="61">
        <v>58485.45179961851</v>
      </c>
      <c r="T13" s="61">
        <v>49696</v>
      </c>
      <c r="U13" s="61">
        <v>64095</v>
      </c>
      <c r="V13" s="66">
        <v>64095</v>
      </c>
      <c r="W13" s="61">
        <f t="shared" si="6"/>
        <v>100</v>
      </c>
      <c r="X13" s="61">
        <f t="shared" si="7"/>
        <v>75.934213980569126</v>
      </c>
      <c r="Y13" s="61">
        <f t="shared" si="8"/>
        <v>75.523117645051371</v>
      </c>
      <c r="Z13" s="61">
        <f t="shared" si="9"/>
        <v>93.836777075754057</v>
      </c>
      <c r="AA13" s="61">
        <f t="shared" si="10"/>
        <v>79.734572104085061</v>
      </c>
      <c r="AB13" s="61">
        <f t="shared" si="11"/>
        <v>102.83699692150941</v>
      </c>
      <c r="AC13" s="66">
        <f t="shared" si="11"/>
        <v>102.83699692150941</v>
      </c>
      <c r="AD13" s="49">
        <v>1.836465</v>
      </c>
      <c r="AE13" s="49">
        <v>1.6796070000000001</v>
      </c>
      <c r="AF13" s="49">
        <v>1.6082099999999999</v>
      </c>
      <c r="AG13" s="49">
        <v>1.9065907645946212</v>
      </c>
      <c r="AH13" s="49">
        <v>1.8768432793205163</v>
      </c>
      <c r="AI13" s="49">
        <v>1.756</v>
      </c>
      <c r="AJ13" s="50">
        <v>1.806</v>
      </c>
      <c r="AK13" s="49">
        <v>18.266032879999997</v>
      </c>
      <c r="AL13" s="49">
        <v>21.413126329999997</v>
      </c>
      <c r="AM13" s="49">
        <v>24.142819369999994</v>
      </c>
      <c r="AN13" s="49">
        <v>27.699327919999995</v>
      </c>
      <c r="AO13" s="49">
        <v>29.509075590000002</v>
      </c>
      <c r="AP13" s="49">
        <v>30.325366910000003</v>
      </c>
      <c r="AQ13" s="50">
        <v>31.57451567</v>
      </c>
      <c r="AR13" s="49">
        <f t="shared" si="12"/>
        <v>775.68799953457108</v>
      </c>
      <c r="AS13" s="49">
        <f t="shared" si="13"/>
        <v>790.22370398567557</v>
      </c>
      <c r="AT13" s="49">
        <f t="shared" si="14"/>
        <v>815.99995707543781</v>
      </c>
      <c r="AU13" s="49">
        <f t="shared" si="15"/>
        <v>896.64026631833144</v>
      </c>
      <c r="AV13" s="49">
        <f t="shared" si="16"/>
        <v>883.82631080374108</v>
      </c>
      <c r="AW13" s="49">
        <f t="shared" si="17"/>
        <v>900.9073404121001</v>
      </c>
      <c r="AX13" s="50">
        <f t="shared" si="18"/>
        <v>951.60000949628238</v>
      </c>
      <c r="AY13" s="86">
        <f t="shared" si="19"/>
        <v>100</v>
      </c>
      <c r="AZ13" s="61">
        <f t="shared" si="20"/>
        <v>101.87391121943696</v>
      </c>
      <c r="BA13" s="61">
        <f t="shared" si="21"/>
        <v>105.19692937947407</v>
      </c>
      <c r="BB13" s="61">
        <f t="shared" si="22"/>
        <v>115.59290163781498</v>
      </c>
      <c r="BC13" s="61">
        <f t="shared" si="23"/>
        <v>113.94095452476449</v>
      </c>
      <c r="BD13" s="61">
        <f t="shared" si="24"/>
        <v>116.14300349530522</v>
      </c>
      <c r="BE13" s="66">
        <f t="shared" si="25"/>
        <v>122.67819149803299</v>
      </c>
      <c r="BF13" s="46">
        <f t="shared" si="34"/>
        <v>0.10053989347685879</v>
      </c>
      <c r="BG13" s="21">
        <f t="shared" si="35"/>
        <v>7.8438195997884458E-2</v>
      </c>
      <c r="BH13" s="21">
        <f t="shared" si="36"/>
        <v>6.6612352739480407E-2</v>
      </c>
      <c r="BI13" s="21">
        <f t="shared" si="37"/>
        <v>6.8831661551542134E-2</v>
      </c>
      <c r="BJ13" s="21">
        <f t="shared" si="38"/>
        <v>6.3602239033083721E-2</v>
      </c>
      <c r="BK13" s="21">
        <f t="shared" si="39"/>
        <v>5.7905317525472268E-2</v>
      </c>
      <c r="BL13" s="24">
        <f t="shared" si="40"/>
        <v>5.7198027006189069E-2</v>
      </c>
      <c r="BM13" s="17">
        <f t="shared" si="41"/>
        <v>16.429567879999997</v>
      </c>
      <c r="BN13" s="17">
        <f t="shared" si="42"/>
        <v>19.011225489999998</v>
      </c>
      <c r="BO13" s="17">
        <f t="shared" si="43"/>
        <v>21.802427379999994</v>
      </c>
      <c r="BP13" s="17">
        <f t="shared" si="44"/>
        <v>25.169327919999994</v>
      </c>
      <c r="BQ13" s="17">
        <f t="shared" si="45"/>
        <v>27.134125830679483</v>
      </c>
      <c r="BR13" s="17">
        <f t="shared" si="46"/>
        <v>28.569366910000003</v>
      </c>
      <c r="BS13" s="18">
        <f t="shared" si="47"/>
        <v>29.768515669999999</v>
      </c>
      <c r="BT13" s="17">
        <v>0</v>
      </c>
      <c r="BU13" s="17">
        <v>0.72229383999999996</v>
      </c>
      <c r="BV13" s="17">
        <v>0.73218198999999995</v>
      </c>
      <c r="BW13" s="17">
        <v>0.62340923540537851</v>
      </c>
      <c r="BX13" s="17">
        <v>0.49810647999999996</v>
      </c>
      <c r="BY13" s="17"/>
      <c r="BZ13" s="18"/>
      <c r="CA13" s="49"/>
    </row>
    <row r="14" spans="1:79" x14ac:dyDescent="0.25">
      <c r="A14" s="60" t="s">
        <v>42</v>
      </c>
      <c r="B14" s="61">
        <v>9426.8700000000008</v>
      </c>
      <c r="C14" s="61">
        <v>10145.416666670333</v>
      </c>
      <c r="D14" s="61">
        <v>10198.609999999999</v>
      </c>
      <c r="E14" s="61">
        <v>9972.119999999999</v>
      </c>
      <c r="F14" s="61">
        <v>11755.248338399189</v>
      </c>
      <c r="G14" s="61">
        <v>11632.186470588236</v>
      </c>
      <c r="H14" s="66">
        <v>11830.881578947368</v>
      </c>
      <c r="I14" s="61">
        <f t="shared" si="28"/>
        <v>100</v>
      </c>
      <c r="J14" s="61">
        <f t="shared" si="29"/>
        <v>107.6223249781776</v>
      </c>
      <c r="K14" s="61">
        <f t="shared" si="30"/>
        <v>108.18659852103612</v>
      </c>
      <c r="L14" s="61">
        <f t="shared" si="31"/>
        <v>105.78399829423762</v>
      </c>
      <c r="M14" s="61">
        <f t="shared" si="32"/>
        <v>124.69937888609037</v>
      </c>
      <c r="N14" s="61">
        <f t="shared" si="33"/>
        <v>123.39394168571577</v>
      </c>
      <c r="O14" s="66">
        <f t="shared" si="33"/>
        <v>125.50169440065861</v>
      </c>
      <c r="P14" s="61">
        <v>180197.72409505621</v>
      </c>
      <c r="Q14" s="61">
        <v>104847.72255990186</v>
      </c>
      <c r="R14" s="61">
        <v>100967.58682145321</v>
      </c>
      <c r="S14" s="61">
        <v>120777.52352139779</v>
      </c>
      <c r="T14" s="61">
        <v>120440</v>
      </c>
      <c r="U14" s="61">
        <v>122284</v>
      </c>
      <c r="V14" s="66">
        <v>122284</v>
      </c>
      <c r="W14" s="61">
        <f t="shared" si="6"/>
        <v>100</v>
      </c>
      <c r="X14" s="61">
        <f t="shared" si="7"/>
        <v>58.184820638796509</v>
      </c>
      <c r="Y14" s="61">
        <f t="shared" si="8"/>
        <v>56.031554964696298</v>
      </c>
      <c r="Z14" s="61">
        <f t="shared" si="9"/>
        <v>67.024999415467846</v>
      </c>
      <c r="AA14" s="61">
        <f t="shared" si="10"/>
        <v>66.837692098967153</v>
      </c>
      <c r="AB14" s="61">
        <f t="shared" si="11"/>
        <v>67.861012459565742</v>
      </c>
      <c r="AC14" s="66">
        <f t="shared" si="11"/>
        <v>67.861012459565742</v>
      </c>
      <c r="AD14" s="49">
        <v>1.311096</v>
      </c>
      <c r="AE14" s="49">
        <v>1.0628219999999999</v>
      </c>
      <c r="AF14" s="49">
        <v>1.0937190000000001</v>
      </c>
      <c r="AG14" s="49">
        <v>1.5989246369292183</v>
      </c>
      <c r="AH14" s="49">
        <v>1.9664482776866878</v>
      </c>
      <c r="AI14" s="49">
        <v>2.048</v>
      </c>
      <c r="AJ14" s="50">
        <v>2.14</v>
      </c>
      <c r="AK14" s="49">
        <v>6.8956139600000004</v>
      </c>
      <c r="AL14" s="49">
        <v>8.35012154</v>
      </c>
      <c r="AM14" s="49">
        <v>9.3763913100000043</v>
      </c>
      <c r="AN14" s="49">
        <v>9.4262146500000004</v>
      </c>
      <c r="AO14" s="49">
        <v>10.040581959999999</v>
      </c>
      <c r="AP14" s="49">
        <v>10.02497732</v>
      </c>
      <c r="AQ14" s="50">
        <v>10.657162540000002</v>
      </c>
      <c r="AR14" s="49">
        <f t="shared" si="12"/>
        <v>731.48499554995453</v>
      </c>
      <c r="AS14" s="49">
        <f t="shared" si="13"/>
        <v>823.04372647717594</v>
      </c>
      <c r="AT14" s="49">
        <f t="shared" si="14"/>
        <v>919.37933796860602</v>
      </c>
      <c r="AU14" s="49">
        <f t="shared" si="15"/>
        <v>945.25684107291136</v>
      </c>
      <c r="AV14" s="49">
        <f t="shared" si="16"/>
        <v>854.13609912449613</v>
      </c>
      <c r="AW14" s="49">
        <f t="shared" si="17"/>
        <v>861.83086433044775</v>
      </c>
      <c r="AX14" s="50">
        <f t="shared" si="18"/>
        <v>900.79192060919968</v>
      </c>
      <c r="AY14" s="86">
        <f t="shared" si="19"/>
        <v>100</v>
      </c>
      <c r="AZ14" s="61">
        <f t="shared" si="20"/>
        <v>112.51682966625782</v>
      </c>
      <c r="BA14" s="61">
        <f t="shared" si="21"/>
        <v>125.68669809520649</v>
      </c>
      <c r="BB14" s="61">
        <f t="shared" si="22"/>
        <v>129.22436506879217</v>
      </c>
      <c r="BC14" s="61">
        <f t="shared" si="23"/>
        <v>116.76741208920198</v>
      </c>
      <c r="BD14" s="61">
        <f t="shared" si="24"/>
        <v>117.8193496207663</v>
      </c>
      <c r="BE14" s="66">
        <f t="shared" si="25"/>
        <v>123.14564565086596</v>
      </c>
      <c r="BF14" s="46">
        <f t="shared" si="34"/>
        <v>0.19013477372796547</v>
      </c>
      <c r="BG14" s="21">
        <f t="shared" si="35"/>
        <v>0.12728221917593788</v>
      </c>
      <c r="BH14" s="21">
        <f t="shared" si="36"/>
        <v>0.11664604897979665</v>
      </c>
      <c r="BI14" s="21">
        <f t="shared" si="37"/>
        <v>0.16962531581319529</v>
      </c>
      <c r="BJ14" s="21">
        <f t="shared" si="38"/>
        <v>0.19585002996048329</v>
      </c>
      <c r="BK14" s="21">
        <f t="shared" si="39"/>
        <v>0.20428973898167382</v>
      </c>
      <c r="BL14" s="24">
        <f t="shared" si="40"/>
        <v>0.20080391867608691</v>
      </c>
      <c r="BM14" s="17">
        <f t="shared" si="41"/>
        <v>5.5845179600000003</v>
      </c>
      <c r="BN14" s="17">
        <f t="shared" si="42"/>
        <v>6.8300623700000003</v>
      </c>
      <c r="BO14" s="17">
        <f t="shared" si="43"/>
        <v>7.7809786400000043</v>
      </c>
      <c r="BP14" s="17">
        <f t="shared" si="44"/>
        <v>7.3562146500000001</v>
      </c>
      <c r="BQ14" s="17">
        <f t="shared" si="45"/>
        <v>7.8584662623133115</v>
      </c>
      <c r="BR14" s="17">
        <f t="shared" si="46"/>
        <v>7.9769773199999996</v>
      </c>
      <c r="BS14" s="18">
        <f t="shared" si="47"/>
        <v>8.5171625400000011</v>
      </c>
      <c r="BT14" s="17">
        <v>0</v>
      </c>
      <c r="BU14" s="17">
        <v>0.45723717000000003</v>
      </c>
      <c r="BV14" s="17">
        <v>0.50169367000000009</v>
      </c>
      <c r="BW14" s="17">
        <v>0.47107536307078202</v>
      </c>
      <c r="BX14" s="17">
        <v>0.21566741999999997</v>
      </c>
      <c r="BY14" s="17"/>
      <c r="BZ14" s="18"/>
      <c r="CA14" s="49"/>
    </row>
    <row r="15" spans="1:79" x14ac:dyDescent="0.25">
      <c r="A15" s="60" t="s">
        <v>43</v>
      </c>
      <c r="B15" s="61">
        <v>121777.87</v>
      </c>
      <c r="C15" s="61">
        <v>123381.32999913432</v>
      </c>
      <c r="D15" s="61">
        <v>122876.14</v>
      </c>
      <c r="E15" s="61">
        <v>122435.18333333332</v>
      </c>
      <c r="F15" s="61">
        <v>122235.0706699577</v>
      </c>
      <c r="G15" s="61">
        <v>118466.55</v>
      </c>
      <c r="H15" s="66">
        <v>113846.32</v>
      </c>
      <c r="I15" s="61">
        <f t="shared" si="28"/>
        <v>100</v>
      </c>
      <c r="J15" s="61">
        <f t="shared" si="29"/>
        <v>101.31670885616109</v>
      </c>
      <c r="K15" s="61">
        <f t="shared" si="30"/>
        <v>100.90186336811442</v>
      </c>
      <c r="L15" s="61">
        <f t="shared" si="31"/>
        <v>100.5397641897771</v>
      </c>
      <c r="M15" s="61">
        <f t="shared" si="32"/>
        <v>100.37543822203303</v>
      </c>
      <c r="N15" s="61">
        <f t="shared" si="33"/>
        <v>97.280852424171982</v>
      </c>
      <c r="O15" s="66">
        <f t="shared" si="33"/>
        <v>93.486870808300409</v>
      </c>
      <c r="P15" s="61">
        <v>3759929.8630305403</v>
      </c>
      <c r="Q15" s="61">
        <v>2420521.0169293275</v>
      </c>
      <c r="R15" s="61">
        <v>2036178.4615816569</v>
      </c>
      <c r="S15" s="61">
        <v>2742195.574781382</v>
      </c>
      <c r="T15" s="61">
        <v>2939280</v>
      </c>
      <c r="U15" s="61">
        <v>2794683</v>
      </c>
      <c r="V15" s="66">
        <v>2794683</v>
      </c>
      <c r="W15" s="61">
        <f t="shared" si="6"/>
        <v>100</v>
      </c>
      <c r="X15" s="61">
        <f t="shared" si="7"/>
        <v>64.376759809513146</v>
      </c>
      <c r="Y15" s="61">
        <f t="shared" si="8"/>
        <v>54.154692660689072</v>
      </c>
      <c r="Z15" s="61">
        <f t="shared" si="9"/>
        <v>72.93209380696122</v>
      </c>
      <c r="AA15" s="61">
        <f t="shared" si="10"/>
        <v>78.173798636523273</v>
      </c>
      <c r="AB15" s="61">
        <f t="shared" si="11"/>
        <v>74.328062006652914</v>
      </c>
      <c r="AC15" s="66">
        <f t="shared" si="11"/>
        <v>74.328062006652914</v>
      </c>
      <c r="AD15" s="49">
        <v>30.003069</v>
      </c>
      <c r="AE15" s="49">
        <v>21.756824000000002</v>
      </c>
      <c r="AF15" s="49">
        <v>20.981010999999999</v>
      </c>
      <c r="AG15" s="49">
        <v>25.991415317784327</v>
      </c>
      <c r="AH15" s="49">
        <v>26.211503301869953</v>
      </c>
      <c r="AI15" s="49">
        <v>27.8</v>
      </c>
      <c r="AJ15" s="50">
        <v>27.588999999999999</v>
      </c>
      <c r="AK15" s="49">
        <v>92.543671140000001</v>
      </c>
      <c r="AL15" s="49">
        <v>89.69856274</v>
      </c>
      <c r="AM15" s="49">
        <v>94.733320700000021</v>
      </c>
      <c r="AN15" s="49">
        <v>109.02827042760003</v>
      </c>
      <c r="AO15" s="49">
        <v>100.0424888</v>
      </c>
      <c r="AP15" s="49">
        <v>98.812091240000001</v>
      </c>
      <c r="AQ15" s="50">
        <v>97.817095430000009</v>
      </c>
      <c r="AR15" s="49">
        <f t="shared" si="12"/>
        <v>759.93832984597282</v>
      </c>
      <c r="AS15" s="49">
        <f t="shared" si="13"/>
        <v>727.00272189179145</v>
      </c>
      <c r="AT15" s="49">
        <f t="shared" si="14"/>
        <v>770.96595563630183</v>
      </c>
      <c r="AU15" s="49">
        <f t="shared" si="15"/>
        <v>890.49787372611206</v>
      </c>
      <c r="AV15" s="49">
        <f t="shared" si="16"/>
        <v>818.44341604809097</v>
      </c>
      <c r="AW15" s="49">
        <f t="shared" si="17"/>
        <v>834.09275647851643</v>
      </c>
      <c r="AX15" s="50">
        <f t="shared" si="18"/>
        <v>859.20296264297349</v>
      </c>
      <c r="AY15" s="86">
        <f t="shared" si="19"/>
        <v>100</v>
      </c>
      <c r="AZ15" s="61">
        <f t="shared" si="20"/>
        <v>95.666015693555437</v>
      </c>
      <c r="BA15" s="61">
        <f t="shared" si="21"/>
        <v>101.45112114460184</v>
      </c>
      <c r="BB15" s="61">
        <f t="shared" si="22"/>
        <v>117.18028144554854</v>
      </c>
      <c r="BC15" s="61">
        <f t="shared" si="23"/>
        <v>107.69866236566541</v>
      </c>
      <c r="BD15" s="61">
        <f t="shared" si="24"/>
        <v>109.75795320754168</v>
      </c>
      <c r="BE15" s="66">
        <f t="shared" si="25"/>
        <v>113.06219582543231</v>
      </c>
      <c r="BF15" s="46">
        <f t="shared" si="34"/>
        <v>0.32420443916268871</v>
      </c>
      <c r="BG15" s="21">
        <f t="shared" si="35"/>
        <v>0.24255487864464753</v>
      </c>
      <c r="BH15" s="21">
        <f t="shared" si="36"/>
        <v>0.22147445951401126</v>
      </c>
      <c r="BI15" s="21">
        <f t="shared" si="37"/>
        <v>0.23839152190388882</v>
      </c>
      <c r="BJ15" s="21">
        <f t="shared" si="38"/>
        <v>0.26200371078603107</v>
      </c>
      <c r="BK15" s="21">
        <f t="shared" si="39"/>
        <v>0.28134208730061083</v>
      </c>
      <c r="BL15" s="24">
        <f t="shared" si="40"/>
        <v>0.28204681276539512</v>
      </c>
      <c r="BM15" s="17">
        <f t="shared" si="41"/>
        <v>62.540602140000004</v>
      </c>
      <c r="BN15" s="17">
        <f t="shared" si="42"/>
        <v>58.593996420000003</v>
      </c>
      <c r="BO15" s="17">
        <f t="shared" si="43"/>
        <v>64.096459720000027</v>
      </c>
      <c r="BP15" s="17">
        <f t="shared" si="44"/>
        <v>79.448270427600036</v>
      </c>
      <c r="BQ15" s="17">
        <f t="shared" si="45"/>
        <v>71.659554418130043</v>
      </c>
      <c r="BR15" s="17">
        <f t="shared" si="46"/>
        <v>71.012091240000004</v>
      </c>
      <c r="BS15" s="18">
        <f t="shared" si="47"/>
        <v>70.22809543000001</v>
      </c>
      <c r="BT15" s="17">
        <v>0</v>
      </c>
      <c r="BU15" s="17">
        <v>9.34774232</v>
      </c>
      <c r="BV15" s="17">
        <v>9.6558499799999993</v>
      </c>
      <c r="BW15" s="17">
        <v>3.5885846822156684</v>
      </c>
      <c r="BX15" s="17">
        <v>2.1714310800000001</v>
      </c>
      <c r="BY15" s="17"/>
      <c r="BZ15" s="18"/>
      <c r="CA15" s="49"/>
    </row>
    <row r="16" spans="1:79" x14ac:dyDescent="0.25">
      <c r="A16" s="60" t="s">
        <v>44</v>
      </c>
      <c r="B16" s="61">
        <v>34661.4</v>
      </c>
      <c r="C16" s="61">
        <v>33935.730000000003</v>
      </c>
      <c r="D16" s="61">
        <v>31721.25</v>
      </c>
      <c r="E16" s="61">
        <v>32164.410000000014</v>
      </c>
      <c r="F16" s="61">
        <v>31190.008795918369</v>
      </c>
      <c r="G16" s="61">
        <v>31417.48</v>
      </c>
      <c r="H16" s="66">
        <v>31134.973333333332</v>
      </c>
      <c r="I16" s="61">
        <f t="shared" si="28"/>
        <v>100</v>
      </c>
      <c r="J16" s="61">
        <f t="shared" si="29"/>
        <v>97.906403088161483</v>
      </c>
      <c r="K16" s="61">
        <f t="shared" si="30"/>
        <v>91.517509390849767</v>
      </c>
      <c r="L16" s="61">
        <f t="shared" si="31"/>
        <v>92.796049784486527</v>
      </c>
      <c r="M16" s="61">
        <f t="shared" si="32"/>
        <v>89.984849994282882</v>
      </c>
      <c r="N16" s="61">
        <f t="shared" si="33"/>
        <v>90.641116631180495</v>
      </c>
      <c r="O16" s="66">
        <f t="shared" si="33"/>
        <v>89.826069729824326</v>
      </c>
      <c r="P16" s="61">
        <v>501778.82507913874</v>
      </c>
      <c r="Q16" s="61">
        <v>360247.6277900546</v>
      </c>
      <c r="R16" s="61">
        <v>258939.76818359565</v>
      </c>
      <c r="S16" s="61">
        <v>323576.64682812965</v>
      </c>
      <c r="T16" s="61">
        <v>300857</v>
      </c>
      <c r="U16" s="61">
        <v>296560</v>
      </c>
      <c r="V16" s="66">
        <v>296560</v>
      </c>
      <c r="W16" s="61">
        <f t="shared" si="6"/>
        <v>100</v>
      </c>
      <c r="X16" s="61">
        <f t="shared" si="7"/>
        <v>71.794107241021507</v>
      </c>
      <c r="Y16" s="61">
        <f t="shared" si="8"/>
        <v>51.604363365225026</v>
      </c>
      <c r="Z16" s="61">
        <f t="shared" si="9"/>
        <v>64.485911053958148</v>
      </c>
      <c r="AA16" s="61">
        <f t="shared" si="10"/>
        <v>59.958090091296675</v>
      </c>
      <c r="AB16" s="61">
        <f t="shared" si="11"/>
        <v>59.101736697085137</v>
      </c>
      <c r="AC16" s="66">
        <f t="shared" si="11"/>
        <v>59.101736697085137</v>
      </c>
      <c r="AD16" s="49">
        <v>4.605213</v>
      </c>
      <c r="AE16" s="49">
        <v>3.0497730000000001</v>
      </c>
      <c r="AF16" s="49">
        <v>2.9233989999999999</v>
      </c>
      <c r="AG16" s="49">
        <v>3.0240631969729468</v>
      </c>
      <c r="AH16" s="49">
        <v>3.5518801751232507</v>
      </c>
      <c r="AI16" s="49">
        <v>3.5920000000000001</v>
      </c>
      <c r="AJ16" s="50">
        <v>3.7229999999999999</v>
      </c>
      <c r="AK16" s="49">
        <v>26.35666668</v>
      </c>
      <c r="AL16" s="49">
        <v>25.895567570000001</v>
      </c>
      <c r="AM16" s="49">
        <v>25.442687110000008</v>
      </c>
      <c r="AN16" s="49">
        <v>29.878970789999997</v>
      </c>
      <c r="AO16" s="49">
        <v>25.872219119999997</v>
      </c>
      <c r="AP16" s="49">
        <v>26.36123533</v>
      </c>
      <c r="AQ16" s="50">
        <v>27.297866269999997</v>
      </c>
      <c r="AR16" s="49">
        <f t="shared" si="12"/>
        <v>760.40398483615775</v>
      </c>
      <c r="AS16" s="49">
        <f t="shared" si="13"/>
        <v>763.0767798423667</v>
      </c>
      <c r="AT16" s="49">
        <f t="shared" si="14"/>
        <v>802.07076045237841</v>
      </c>
      <c r="AU16" s="49">
        <f t="shared" si="15"/>
        <v>928.9450914846559</v>
      </c>
      <c r="AV16" s="49">
        <f t="shared" si="16"/>
        <v>829.50342493605592</v>
      </c>
      <c r="AW16" s="49">
        <f t="shared" si="17"/>
        <v>839.06269153350297</v>
      </c>
      <c r="AX16" s="50">
        <f t="shared" si="18"/>
        <v>876.7589417131345</v>
      </c>
      <c r="AY16" s="86">
        <f t="shared" si="19"/>
        <v>100</v>
      </c>
      <c r="AZ16" s="61">
        <f t="shared" si="20"/>
        <v>100.35149671220948</v>
      </c>
      <c r="BA16" s="61">
        <f t="shared" si="21"/>
        <v>105.47955776759883</v>
      </c>
      <c r="BB16" s="61">
        <f t="shared" si="22"/>
        <v>122.16467956632464</v>
      </c>
      <c r="BC16" s="61">
        <f t="shared" si="23"/>
        <v>109.0872012085506</v>
      </c>
      <c r="BD16" s="61">
        <f t="shared" si="24"/>
        <v>110.34433120629868</v>
      </c>
      <c r="BE16" s="66">
        <f t="shared" si="25"/>
        <v>115.3017289752956</v>
      </c>
      <c r="BF16" s="46">
        <f t="shared" si="34"/>
        <v>0.17472668512724082</v>
      </c>
      <c r="BG16" s="21">
        <f t="shared" si="35"/>
        <v>0.11777200834683231</v>
      </c>
      <c r="BH16" s="21">
        <f t="shared" si="36"/>
        <v>0.11490134620454399</v>
      </c>
      <c r="BI16" s="21">
        <f t="shared" si="37"/>
        <v>0.1012104204735543</v>
      </c>
      <c r="BJ16" s="21">
        <f t="shared" si="38"/>
        <v>0.13728548597431836</v>
      </c>
      <c r="BK16" s="21">
        <f t="shared" si="39"/>
        <v>0.13626068562546381</v>
      </c>
      <c r="BL16" s="24">
        <f t="shared" si="40"/>
        <v>0.13638428597957961</v>
      </c>
      <c r="BM16" s="17">
        <f t="shared" si="41"/>
        <v>21.751453680000001</v>
      </c>
      <c r="BN16" s="17">
        <f t="shared" si="42"/>
        <v>21.535125020000002</v>
      </c>
      <c r="BO16" s="17">
        <f t="shared" si="43"/>
        <v>21.17998724000001</v>
      </c>
      <c r="BP16" s="17">
        <f t="shared" si="44"/>
        <v>25.358970789999997</v>
      </c>
      <c r="BQ16" s="17">
        <f t="shared" si="45"/>
        <v>21.639524364876745</v>
      </c>
      <c r="BR16" s="17">
        <f t="shared" si="46"/>
        <v>22.769235330000001</v>
      </c>
      <c r="BS16" s="18">
        <f t="shared" si="47"/>
        <v>23.574866269999998</v>
      </c>
      <c r="BT16" s="17">
        <v>0</v>
      </c>
      <c r="BU16" s="17">
        <v>1.3106695499999998</v>
      </c>
      <c r="BV16" s="17">
        <v>1.3393008700000002</v>
      </c>
      <c r="BW16" s="17">
        <v>1.4959368030270539</v>
      </c>
      <c r="BX16" s="17">
        <v>0.68081457999999995</v>
      </c>
      <c r="BY16" s="17"/>
      <c r="BZ16" s="18"/>
      <c r="CA16" s="49"/>
    </row>
    <row r="17" spans="1:79" x14ac:dyDescent="0.25">
      <c r="A17" s="60" t="s">
        <v>45</v>
      </c>
      <c r="B17" s="61">
        <v>83657.540000000008</v>
      </c>
      <c r="C17" s="61">
        <v>82548.98333314</v>
      </c>
      <c r="D17" s="61">
        <v>79524.67</v>
      </c>
      <c r="E17" s="61">
        <v>77444.900000000009</v>
      </c>
      <c r="F17" s="61">
        <v>68935.213466872112</v>
      </c>
      <c r="G17" s="61">
        <v>63282.393333333326</v>
      </c>
      <c r="H17" s="66">
        <v>62552.149999999994</v>
      </c>
      <c r="I17" s="61">
        <f t="shared" si="28"/>
        <v>100</v>
      </c>
      <c r="J17" s="61">
        <f t="shared" si="29"/>
        <v>98.674887324131205</v>
      </c>
      <c r="K17" s="61">
        <f t="shared" si="30"/>
        <v>95.059775843277237</v>
      </c>
      <c r="L17" s="61">
        <f t="shared" si="31"/>
        <v>92.573723779111845</v>
      </c>
      <c r="M17" s="61">
        <f t="shared" si="32"/>
        <v>82.401674095212584</v>
      </c>
      <c r="N17" s="61">
        <f t="shared" si="33"/>
        <v>75.644578281088968</v>
      </c>
      <c r="O17" s="66">
        <f t="shared" si="33"/>
        <v>74.7716822655794</v>
      </c>
      <c r="P17" s="61">
        <v>1885421.1324333122</v>
      </c>
      <c r="Q17" s="61">
        <v>1356676.46114673</v>
      </c>
      <c r="R17" s="61">
        <v>1208668.7346275807</v>
      </c>
      <c r="S17" s="61">
        <v>1607539.489479542</v>
      </c>
      <c r="T17" s="61">
        <v>1591316</v>
      </c>
      <c r="U17" s="61">
        <v>1460561</v>
      </c>
      <c r="V17" s="66">
        <v>1460561</v>
      </c>
      <c r="W17" s="61">
        <f t="shared" si="6"/>
        <v>100</v>
      </c>
      <c r="X17" s="61">
        <f t="shared" si="7"/>
        <v>71.956150157063973</v>
      </c>
      <c r="Y17" s="61">
        <f t="shared" si="8"/>
        <v>64.106035189479428</v>
      </c>
      <c r="Z17" s="61">
        <f t="shared" si="9"/>
        <v>85.26156102880114</v>
      </c>
      <c r="AA17" s="61">
        <f t="shared" si="10"/>
        <v>84.401090696711236</v>
      </c>
      <c r="AB17" s="61">
        <f t="shared" si="11"/>
        <v>77.466035299764016</v>
      </c>
      <c r="AC17" s="66">
        <f t="shared" si="11"/>
        <v>77.466035299764016</v>
      </c>
      <c r="AD17" s="49">
        <v>23.198440999999999</v>
      </c>
      <c r="AE17" s="49">
        <v>16.293572000000001</v>
      </c>
      <c r="AF17" s="49">
        <v>15.205087000000001</v>
      </c>
      <c r="AG17" s="49">
        <v>18.981899117655836</v>
      </c>
      <c r="AH17" s="49">
        <v>19.189040450412616</v>
      </c>
      <c r="AI17" s="49">
        <v>19.513000000000002</v>
      </c>
      <c r="AJ17" s="50">
        <v>19.448</v>
      </c>
      <c r="AK17" s="49">
        <v>55.828795149999998</v>
      </c>
      <c r="AL17" s="49">
        <v>53.813761920000005</v>
      </c>
      <c r="AM17" s="49">
        <v>55.897142040000027</v>
      </c>
      <c r="AN17" s="49">
        <v>65.343242639999985</v>
      </c>
      <c r="AO17" s="49">
        <v>58.05366686</v>
      </c>
      <c r="AP17" s="49">
        <v>53.732110739999996</v>
      </c>
      <c r="AQ17" s="50">
        <v>54.813104490000008</v>
      </c>
      <c r="AR17" s="49">
        <f t="shared" si="12"/>
        <v>667.34923295616863</v>
      </c>
      <c r="AS17" s="49">
        <f t="shared" si="13"/>
        <v>651.90096530717665</v>
      </c>
      <c r="AT17" s="49">
        <f t="shared" si="14"/>
        <v>702.89058778867025</v>
      </c>
      <c r="AU17" s="49">
        <f t="shared" si="15"/>
        <v>843.73848555553661</v>
      </c>
      <c r="AV17" s="49">
        <f t="shared" si="16"/>
        <v>842.14821337861804</v>
      </c>
      <c r="AW17" s="49">
        <f t="shared" si="17"/>
        <v>849.08468074163648</v>
      </c>
      <c r="AX17" s="50">
        <f t="shared" si="18"/>
        <v>876.27850505538197</v>
      </c>
      <c r="AY17" s="86">
        <f t="shared" si="19"/>
        <v>100</v>
      </c>
      <c r="AZ17" s="61">
        <f t="shared" si="20"/>
        <v>97.685129931061653</v>
      </c>
      <c r="BA17" s="61">
        <f t="shared" si="21"/>
        <v>105.32575045828156</v>
      </c>
      <c r="BB17" s="61">
        <f t="shared" si="22"/>
        <v>126.43132619153744</v>
      </c>
      <c r="BC17" s="61">
        <f t="shared" si="23"/>
        <v>126.19302934509106</v>
      </c>
      <c r="BD17" s="61">
        <f t="shared" si="24"/>
        <v>127.23243525439163</v>
      </c>
      <c r="BE17" s="66">
        <f t="shared" si="25"/>
        <v>131.3073368157952</v>
      </c>
      <c r="BF17" s="46">
        <f t="shared" si="34"/>
        <v>0.41552824017911838</v>
      </c>
      <c r="BG17" s="21">
        <f t="shared" si="35"/>
        <v>0.30277704844761016</v>
      </c>
      <c r="BH17" s="21">
        <f t="shared" si="36"/>
        <v>0.27201904149445122</v>
      </c>
      <c r="BI17" s="21">
        <f t="shared" si="37"/>
        <v>0.29049521191095634</v>
      </c>
      <c r="BJ17" s="21">
        <f t="shared" si="38"/>
        <v>0.33053967971890857</v>
      </c>
      <c r="BK17" s="21">
        <f t="shared" si="39"/>
        <v>0.36315342411207135</v>
      </c>
      <c r="BL17" s="24">
        <f t="shared" si="40"/>
        <v>0.35480566519541062</v>
      </c>
      <c r="BM17" s="17">
        <f t="shared" si="41"/>
        <v>32.630354150000002</v>
      </c>
      <c r="BN17" s="17">
        <f t="shared" si="42"/>
        <v>30.525486720000007</v>
      </c>
      <c r="BO17" s="17">
        <f t="shared" si="43"/>
        <v>33.687948590000026</v>
      </c>
      <c r="BP17" s="17">
        <f t="shared" si="44"/>
        <v>43.83324263999998</v>
      </c>
      <c r="BQ17" s="17">
        <f t="shared" si="45"/>
        <v>37.495445169587384</v>
      </c>
      <c r="BR17" s="17">
        <f t="shared" si="46"/>
        <v>34.219110739999991</v>
      </c>
      <c r="BS17" s="18">
        <f t="shared" si="47"/>
        <v>35.365104490000007</v>
      </c>
      <c r="BT17" s="17">
        <v>0</v>
      </c>
      <c r="BU17" s="17">
        <v>6.9947032</v>
      </c>
      <c r="BV17" s="17">
        <v>7.0041064500000001</v>
      </c>
      <c r="BW17" s="17">
        <v>2.5281008823441677</v>
      </c>
      <c r="BX17" s="17">
        <v>1.3691812400000001</v>
      </c>
      <c r="BY17" s="17"/>
      <c r="BZ17" s="18"/>
      <c r="CA17" s="49"/>
    </row>
    <row r="18" spans="1:79" x14ac:dyDescent="0.25">
      <c r="A18" s="60" t="s">
        <v>46</v>
      </c>
      <c r="B18" s="61">
        <v>32208.79</v>
      </c>
      <c r="C18" s="61">
        <v>33800.733333185999</v>
      </c>
      <c r="D18" s="61">
        <v>32703.75</v>
      </c>
      <c r="E18" s="61">
        <v>30165.490000000005</v>
      </c>
      <c r="F18" s="61">
        <v>34610.14056376052</v>
      </c>
      <c r="G18" s="61">
        <v>33238.625490196078</v>
      </c>
      <c r="H18" s="66">
        <v>34797.098750000005</v>
      </c>
      <c r="I18" s="61">
        <f t="shared" si="28"/>
        <v>100</v>
      </c>
      <c r="J18" s="61">
        <f t="shared" si="29"/>
        <v>104.94257416433837</v>
      </c>
      <c r="K18" s="61">
        <f t="shared" si="30"/>
        <v>101.53672336030009</v>
      </c>
      <c r="L18" s="61">
        <f t="shared" si="31"/>
        <v>93.656079598146974</v>
      </c>
      <c r="M18" s="61">
        <f t="shared" si="32"/>
        <v>107.45557521335176</v>
      </c>
      <c r="N18" s="61">
        <f t="shared" si="33"/>
        <v>103.19737404042833</v>
      </c>
      <c r="O18" s="66">
        <f t="shared" si="33"/>
        <v>108.03603224461398</v>
      </c>
      <c r="P18" s="61">
        <v>516691.73688109353</v>
      </c>
      <c r="Q18" s="61">
        <v>283042.48890668666</v>
      </c>
      <c r="R18" s="61">
        <v>240100.60061402156</v>
      </c>
      <c r="S18" s="61">
        <v>394128.68014468992</v>
      </c>
      <c r="T18" s="61">
        <v>434319</v>
      </c>
      <c r="U18" s="61">
        <v>426049</v>
      </c>
      <c r="V18" s="66">
        <v>426049</v>
      </c>
      <c r="W18" s="61">
        <f t="shared" si="6"/>
        <v>100</v>
      </c>
      <c r="X18" s="61">
        <f t="shared" si="7"/>
        <v>54.779759129731033</v>
      </c>
      <c r="Y18" s="61">
        <f t="shared" si="8"/>
        <v>46.468829183013625</v>
      </c>
      <c r="Z18" s="61">
        <f t="shared" si="9"/>
        <v>76.279269051943615</v>
      </c>
      <c r="AA18" s="61">
        <f t="shared" si="10"/>
        <v>84.057663205856542</v>
      </c>
      <c r="AB18" s="61">
        <f t="shared" si="11"/>
        <v>82.45709570889592</v>
      </c>
      <c r="AC18" s="66">
        <f t="shared" si="11"/>
        <v>82.45709570889592</v>
      </c>
      <c r="AD18" s="49">
        <v>5.4686050000000002</v>
      </c>
      <c r="AE18" s="49">
        <v>4.2234090000000002</v>
      </c>
      <c r="AF18" s="49">
        <v>4.1520460000000003</v>
      </c>
      <c r="AG18" s="49">
        <v>5.8118698536727162</v>
      </c>
      <c r="AH18" s="49">
        <v>7.3686604732084025</v>
      </c>
      <c r="AI18" s="49">
        <v>7.6779999999999999</v>
      </c>
      <c r="AJ18" s="50">
        <v>7.6130000000000004</v>
      </c>
      <c r="AK18" s="49">
        <v>26.802967280000001</v>
      </c>
      <c r="AL18" s="49">
        <v>28.33741346</v>
      </c>
      <c r="AM18" s="49">
        <v>29.115632590000008</v>
      </c>
      <c r="AN18" s="49">
        <v>30.608957670000002</v>
      </c>
      <c r="AO18" s="49">
        <v>29.337054020000004</v>
      </c>
      <c r="AP18" s="49">
        <v>29.025535469999998</v>
      </c>
      <c r="AQ18" s="50">
        <v>30.546726530000001</v>
      </c>
      <c r="AR18" s="49">
        <f t="shared" si="12"/>
        <v>832.16312317227687</v>
      </c>
      <c r="AS18" s="49">
        <f t="shared" si="13"/>
        <v>838.36682419484555</v>
      </c>
      <c r="AT18" s="49">
        <f t="shared" si="14"/>
        <v>890.28422092267726</v>
      </c>
      <c r="AU18" s="49">
        <f t="shared" si="15"/>
        <v>1014.7011591722859</v>
      </c>
      <c r="AV18" s="49">
        <f t="shared" si="16"/>
        <v>847.6433074853835</v>
      </c>
      <c r="AW18" s="49">
        <f t="shared" si="17"/>
        <v>873.24716476501851</v>
      </c>
      <c r="AX18" s="50">
        <f t="shared" si="18"/>
        <v>877.85268391089642</v>
      </c>
      <c r="AY18" s="86">
        <f t="shared" si="19"/>
        <v>100</v>
      </c>
      <c r="AZ18" s="61">
        <f t="shared" si="20"/>
        <v>100.74549098005204</v>
      </c>
      <c r="BA18" s="61">
        <f t="shared" si="21"/>
        <v>106.98433950411524</v>
      </c>
      <c r="BB18" s="61">
        <f t="shared" si="22"/>
        <v>121.93536710737175</v>
      </c>
      <c r="BC18" s="61">
        <f t="shared" si="23"/>
        <v>101.86023435574685</v>
      </c>
      <c r="BD18" s="61">
        <f t="shared" si="24"/>
        <v>104.93701780921579</v>
      </c>
      <c r="BE18" s="66">
        <f t="shared" si="25"/>
        <v>105.49045727530523</v>
      </c>
      <c r="BF18" s="46">
        <f t="shared" si="34"/>
        <v>0.20402983531157748</v>
      </c>
      <c r="BG18" s="21">
        <f t="shared" si="35"/>
        <v>0.14904003168678756</v>
      </c>
      <c r="BH18" s="21">
        <f t="shared" si="36"/>
        <v>0.14260538517119675</v>
      </c>
      <c r="BI18" s="21">
        <f t="shared" si="37"/>
        <v>0.18987480450433503</v>
      </c>
      <c r="BJ18" s="21">
        <f t="shared" si="38"/>
        <v>0.25117247519757613</v>
      </c>
      <c r="BK18" s="21">
        <f t="shared" si="39"/>
        <v>0.26452569696554856</v>
      </c>
      <c r="BL18" s="24">
        <f t="shared" si="40"/>
        <v>0.24922474074343967</v>
      </c>
      <c r="BM18" s="17">
        <f t="shared" si="41"/>
        <v>21.334362280000001</v>
      </c>
      <c r="BN18" s="17">
        <f t="shared" si="42"/>
        <v>22.300178290000002</v>
      </c>
      <c r="BO18" s="17">
        <f t="shared" si="43"/>
        <v>23.054561370000005</v>
      </c>
      <c r="BP18" s="17">
        <f t="shared" si="44"/>
        <v>23.13895767</v>
      </c>
      <c r="BQ18" s="17">
        <f t="shared" si="45"/>
        <v>21.244493426791603</v>
      </c>
      <c r="BR18" s="17">
        <f t="shared" si="46"/>
        <v>21.347535469999997</v>
      </c>
      <c r="BS18" s="18">
        <f t="shared" si="47"/>
        <v>22.933726530000001</v>
      </c>
      <c r="BT18" s="17">
        <v>0</v>
      </c>
      <c r="BU18" s="17">
        <v>1.81382617</v>
      </c>
      <c r="BV18" s="17">
        <v>1.90902522</v>
      </c>
      <c r="BW18" s="17">
        <v>1.6581301463272833</v>
      </c>
      <c r="BX18" s="17">
        <v>0.72390012000000004</v>
      </c>
      <c r="BY18" s="17"/>
      <c r="BZ18" s="18"/>
      <c r="CA18" s="49"/>
    </row>
    <row r="19" spans="1:79" x14ac:dyDescent="0.25">
      <c r="A19" s="60" t="s">
        <v>47</v>
      </c>
      <c r="B19" s="61">
        <v>39315.279999999999</v>
      </c>
      <c r="C19" s="61">
        <v>39854.366666699672</v>
      </c>
      <c r="D19" s="61">
        <v>39618.619999999995</v>
      </c>
      <c r="E19" s="61">
        <v>39901.259999999995</v>
      </c>
      <c r="F19" s="61">
        <v>40103.400818584065</v>
      </c>
      <c r="G19" s="61">
        <v>37833.79</v>
      </c>
      <c r="H19" s="66">
        <v>34962.636666666673</v>
      </c>
      <c r="I19" s="61">
        <f t="shared" si="28"/>
        <v>100</v>
      </c>
      <c r="J19" s="61">
        <f t="shared" si="29"/>
        <v>101.37118867447892</v>
      </c>
      <c r="K19" s="61">
        <f t="shared" si="30"/>
        <v>100.77155752165569</v>
      </c>
      <c r="L19" s="61">
        <f t="shared" si="31"/>
        <v>101.49046375862005</v>
      </c>
      <c r="M19" s="61">
        <f t="shared" si="32"/>
        <v>102.00461708166408</v>
      </c>
      <c r="N19" s="61">
        <f t="shared" si="33"/>
        <v>96.231770446503248</v>
      </c>
      <c r="O19" s="66">
        <f t="shared" si="33"/>
        <v>88.928876168926365</v>
      </c>
      <c r="P19" s="61">
        <v>588085.92640579119</v>
      </c>
      <c r="Q19" s="61">
        <v>384676.06785197504</v>
      </c>
      <c r="R19" s="61">
        <v>345148.67612714844</v>
      </c>
      <c r="S19" s="61">
        <v>438218.64198695472</v>
      </c>
      <c r="T19" s="61">
        <v>434400</v>
      </c>
      <c r="U19" s="61">
        <v>372631</v>
      </c>
      <c r="V19" s="66">
        <v>372631</v>
      </c>
      <c r="W19" s="61">
        <f t="shared" si="6"/>
        <v>100</v>
      </c>
      <c r="X19" s="61">
        <f t="shared" si="7"/>
        <v>65.411541167632166</v>
      </c>
      <c r="Y19" s="61">
        <f t="shared" si="8"/>
        <v>58.690177851491185</v>
      </c>
      <c r="Z19" s="61">
        <f t="shared" si="9"/>
        <v>74.516090644307482</v>
      </c>
      <c r="AA19" s="61">
        <f t="shared" si="10"/>
        <v>73.866756624312629</v>
      </c>
      <c r="AB19" s="61">
        <f t="shared" si="11"/>
        <v>63.363359548053033</v>
      </c>
      <c r="AC19" s="66">
        <f t="shared" si="11"/>
        <v>63.363359548053033</v>
      </c>
      <c r="AD19" s="49">
        <v>8.2221010000000003</v>
      </c>
      <c r="AE19" s="49">
        <v>5.5155200000000004</v>
      </c>
      <c r="AF19" s="49">
        <v>5.482907</v>
      </c>
      <c r="AG19" s="49">
        <v>6.5829737140605156</v>
      </c>
      <c r="AH19" s="49">
        <v>6.514406029268538</v>
      </c>
      <c r="AI19" s="49">
        <v>6.2190000000000003</v>
      </c>
      <c r="AJ19" s="50">
        <v>6.391</v>
      </c>
      <c r="AK19" s="49">
        <v>28.464158580000003</v>
      </c>
      <c r="AL19" s="49">
        <v>28.769715610000002</v>
      </c>
      <c r="AM19" s="49">
        <v>29.312242350000009</v>
      </c>
      <c r="AN19" s="49">
        <v>31.404051030000002</v>
      </c>
      <c r="AO19" s="49">
        <v>32.763154919999998</v>
      </c>
      <c r="AP19" s="49">
        <v>30.90121268</v>
      </c>
      <c r="AQ19" s="50">
        <v>27.936796640000001</v>
      </c>
      <c r="AR19" s="49">
        <f t="shared" si="12"/>
        <v>723.99735115710746</v>
      </c>
      <c r="AS19" s="49">
        <f t="shared" si="13"/>
        <v>721.87110262220142</v>
      </c>
      <c r="AT19" s="49">
        <f t="shared" si="14"/>
        <v>739.86025636430577</v>
      </c>
      <c r="AU19" s="49">
        <f t="shared" si="15"/>
        <v>787.04409409627681</v>
      </c>
      <c r="AV19" s="49">
        <f t="shared" si="16"/>
        <v>816.96699659489798</v>
      </c>
      <c r="AW19" s="49">
        <f t="shared" si="17"/>
        <v>816.76228260504695</v>
      </c>
      <c r="AX19" s="50">
        <f t="shared" si="18"/>
        <v>799.04719161626906</v>
      </c>
      <c r="AY19" s="86">
        <f t="shared" si="19"/>
        <v>100</v>
      </c>
      <c r="AZ19" s="61">
        <f t="shared" si="20"/>
        <v>99.706318188663559</v>
      </c>
      <c r="BA19" s="61">
        <f t="shared" si="21"/>
        <v>102.1910170226239</v>
      </c>
      <c r="BB19" s="61">
        <f t="shared" si="22"/>
        <v>108.70814552545072</v>
      </c>
      <c r="BC19" s="61">
        <f t="shared" si="23"/>
        <v>112.84115822926762</v>
      </c>
      <c r="BD19" s="61">
        <f t="shared" si="24"/>
        <v>112.81288271285533</v>
      </c>
      <c r="BE19" s="66">
        <f t="shared" si="25"/>
        <v>110.36603798884283</v>
      </c>
      <c r="BF19" s="46">
        <f t="shared" si="34"/>
        <v>0.2888580379740141</v>
      </c>
      <c r="BG19" s="21">
        <f t="shared" si="35"/>
        <v>0.19171270494181988</v>
      </c>
      <c r="BH19" s="21">
        <f t="shared" si="36"/>
        <v>0.18705177633740458</v>
      </c>
      <c r="BI19" s="21">
        <f t="shared" si="37"/>
        <v>0.20962180031397418</v>
      </c>
      <c r="BJ19" s="21">
        <f t="shared" si="38"/>
        <v>0.19883329444844985</v>
      </c>
      <c r="BK19" s="21">
        <f t="shared" si="39"/>
        <v>0.20125423763789974</v>
      </c>
      <c r="BL19" s="24">
        <f t="shared" si="40"/>
        <v>0.22876638586577763</v>
      </c>
      <c r="BM19" s="17">
        <f t="shared" si="41"/>
        <v>20.242057580000001</v>
      </c>
      <c r="BN19" s="17">
        <f t="shared" si="42"/>
        <v>20.883633060000005</v>
      </c>
      <c r="BO19" s="17">
        <f t="shared" si="43"/>
        <v>21.313202790000009</v>
      </c>
      <c r="BP19" s="17">
        <f t="shared" si="44"/>
        <v>23.474051030000002</v>
      </c>
      <c r="BQ19" s="17">
        <f t="shared" si="45"/>
        <v>25.571801690731458</v>
      </c>
      <c r="BR19" s="17">
        <f t="shared" si="46"/>
        <v>24.682212679999999</v>
      </c>
      <c r="BS19" s="18">
        <f t="shared" si="47"/>
        <v>21.545796639999999</v>
      </c>
      <c r="BT19" s="17">
        <v>0</v>
      </c>
      <c r="BU19" s="17">
        <v>2.3705625500000003</v>
      </c>
      <c r="BV19" s="17">
        <v>2.51613256</v>
      </c>
      <c r="BW19" s="17">
        <v>1.3470262859394839</v>
      </c>
      <c r="BX19" s="17">
        <v>0.67694719999999997</v>
      </c>
      <c r="BY19" s="17"/>
      <c r="BZ19" s="18"/>
      <c r="CA19" s="49"/>
    </row>
    <row r="20" spans="1:79" x14ac:dyDescent="0.25">
      <c r="A20" s="60" t="s">
        <v>48</v>
      </c>
      <c r="B20" s="61">
        <v>9308.8700000000008</v>
      </c>
      <c r="C20" s="61">
        <v>9819.7833332976661</v>
      </c>
      <c r="D20" s="61">
        <v>9127.81</v>
      </c>
      <c r="E20" s="61">
        <v>8536.5300000000025</v>
      </c>
      <c r="F20" s="61">
        <v>7523.87</v>
      </c>
      <c r="G20" s="61">
        <v>7158.51</v>
      </c>
      <c r="H20" s="66">
        <v>7136.4500000000007</v>
      </c>
      <c r="I20" s="61">
        <f t="shared" si="28"/>
        <v>100</v>
      </c>
      <c r="J20" s="61">
        <f t="shared" si="29"/>
        <v>105.48845706619241</v>
      </c>
      <c r="K20" s="61">
        <f t="shared" si="30"/>
        <v>98.054973374856431</v>
      </c>
      <c r="L20" s="61">
        <f t="shared" si="31"/>
        <v>91.703182018870194</v>
      </c>
      <c r="M20" s="61">
        <f t="shared" si="32"/>
        <v>80.824740274598312</v>
      </c>
      <c r="N20" s="61">
        <f t="shared" si="33"/>
        <v>76.89988151086007</v>
      </c>
      <c r="O20" s="66">
        <f t="shared" si="33"/>
        <v>76.662903231004407</v>
      </c>
      <c r="P20" s="61">
        <v>175930.42117637859</v>
      </c>
      <c r="Q20" s="61">
        <v>103373.78437792709</v>
      </c>
      <c r="R20" s="61">
        <v>70231.066442297131</v>
      </c>
      <c r="S20" s="61">
        <v>77812.133585881413</v>
      </c>
      <c r="T20" s="61">
        <v>78185</v>
      </c>
      <c r="U20" s="61">
        <v>111019</v>
      </c>
      <c r="V20" s="66">
        <v>111019</v>
      </c>
      <c r="W20" s="61">
        <f t="shared" si="6"/>
        <v>100</v>
      </c>
      <c r="X20" s="61">
        <f t="shared" si="7"/>
        <v>58.758333940603691</v>
      </c>
      <c r="Y20" s="61">
        <f t="shared" si="8"/>
        <v>39.919796685922307</v>
      </c>
      <c r="Z20" s="61">
        <f t="shared" si="9"/>
        <v>44.228924745124701</v>
      </c>
      <c r="AA20" s="61">
        <f t="shared" si="10"/>
        <v>44.440864449256239</v>
      </c>
      <c r="AB20" s="61">
        <f t="shared" si="11"/>
        <v>63.103924413787539</v>
      </c>
      <c r="AC20" s="66">
        <f t="shared" si="11"/>
        <v>63.103924413787539</v>
      </c>
      <c r="AD20" s="49">
        <v>1.1876279999999999</v>
      </c>
      <c r="AE20" s="49">
        <v>0.73317200000000005</v>
      </c>
      <c r="AF20" s="49">
        <v>0.70529500000000001</v>
      </c>
      <c r="AG20" s="49">
        <v>0.73710060551751266</v>
      </c>
      <c r="AH20" s="49">
        <v>0.35975237038127267</v>
      </c>
      <c r="AI20" s="49">
        <v>0</v>
      </c>
      <c r="AJ20" s="50">
        <v>0</v>
      </c>
      <c r="AK20" s="49">
        <v>5.1409449599999997</v>
      </c>
      <c r="AL20" s="49">
        <v>5.3702732400000004</v>
      </c>
      <c r="AM20" s="49">
        <v>5.2470563399999994</v>
      </c>
      <c r="AN20" s="49">
        <v>5.3541862299999998</v>
      </c>
      <c r="AO20" s="49">
        <v>5.4095115700000003</v>
      </c>
      <c r="AP20" s="49">
        <v>6.82375519</v>
      </c>
      <c r="AQ20" s="50">
        <v>7.5242342199999994</v>
      </c>
      <c r="AR20" s="49">
        <f t="shared" si="12"/>
        <v>552.26305233610515</v>
      </c>
      <c r="AS20" s="49">
        <f t="shared" si="13"/>
        <v>546.88306836568074</v>
      </c>
      <c r="AT20" s="49">
        <f t="shared" si="14"/>
        <v>574.84285277629579</v>
      </c>
      <c r="AU20" s="49">
        <f t="shared" si="15"/>
        <v>627.20874055383138</v>
      </c>
      <c r="AV20" s="49">
        <f t="shared" si="16"/>
        <v>718.9799358574777</v>
      </c>
      <c r="AW20" s="49">
        <f t="shared" si="17"/>
        <v>953.23680346887829</v>
      </c>
      <c r="AX20" s="50">
        <f t="shared" si="18"/>
        <v>1054.3385324636197</v>
      </c>
      <c r="AY20" s="86">
        <f t="shared" si="19"/>
        <v>100</v>
      </c>
      <c r="AZ20" s="61">
        <f t="shared" si="20"/>
        <v>99.025829457960882</v>
      </c>
      <c r="BA20" s="61">
        <f t="shared" si="21"/>
        <v>104.0885951621563</v>
      </c>
      <c r="BB20" s="61">
        <f t="shared" si="22"/>
        <v>113.57065041753229</v>
      </c>
      <c r="BC20" s="61">
        <f t="shared" si="23"/>
        <v>130.18794808310105</v>
      </c>
      <c r="BD20" s="61">
        <f t="shared" si="24"/>
        <v>172.605572550369</v>
      </c>
      <c r="BE20" s="66">
        <f t="shared" si="25"/>
        <v>190.91237916491167</v>
      </c>
      <c r="BF20" s="46">
        <f t="shared" si="34"/>
        <v>0.23101356058867434</v>
      </c>
      <c r="BG20" s="21">
        <f t="shared" si="35"/>
        <v>0.13652415198151072</v>
      </c>
      <c r="BH20" s="21">
        <f t="shared" si="36"/>
        <v>0.13441727214234564</v>
      </c>
      <c r="BI20" s="21">
        <f t="shared" si="37"/>
        <v>0.13766809256418275</v>
      </c>
      <c r="BJ20" s="21">
        <f t="shared" si="38"/>
        <v>6.6503669643001181E-2</v>
      </c>
      <c r="BK20" s="21">
        <f t="shared" si="39"/>
        <v>0</v>
      </c>
      <c r="BL20" s="24">
        <f t="shared" si="40"/>
        <v>0</v>
      </c>
      <c r="BM20" s="17">
        <f t="shared" si="41"/>
        <v>3.9533169599999995</v>
      </c>
      <c r="BN20" s="17">
        <f t="shared" si="42"/>
        <v>4.320387890000001</v>
      </c>
      <c r="BO20" s="17">
        <f t="shared" si="43"/>
        <v>4.221746089999999</v>
      </c>
      <c r="BP20" s="17">
        <f t="shared" si="44"/>
        <v>4.3741862300000003</v>
      </c>
      <c r="BQ20" s="17">
        <f t="shared" si="45"/>
        <v>4.9381961196187278</v>
      </c>
      <c r="BR20" s="17">
        <f t="shared" si="46"/>
        <v>6.82375519</v>
      </c>
      <c r="BS20" s="18">
        <f t="shared" si="47"/>
        <v>7.5242342199999994</v>
      </c>
      <c r="BT20" s="17">
        <v>0</v>
      </c>
      <c r="BU20" s="17">
        <v>0.31671334999999995</v>
      </c>
      <c r="BV20" s="17">
        <v>0.32001524999999997</v>
      </c>
      <c r="BW20" s="17">
        <v>0.24289939448248735</v>
      </c>
      <c r="BX20" s="17">
        <v>0.11156308</v>
      </c>
      <c r="BY20" s="17"/>
      <c r="BZ20" s="18"/>
      <c r="CA20" s="49"/>
    </row>
    <row r="21" spans="1:79" x14ac:dyDescent="0.25">
      <c r="A21" s="60" t="s">
        <v>49</v>
      </c>
      <c r="B21" s="61">
        <v>24194.58</v>
      </c>
      <c r="C21" s="61">
        <v>27834.910000000335</v>
      </c>
      <c r="D21" s="61">
        <v>27888.46</v>
      </c>
      <c r="E21" s="61">
        <v>28240.256666666668</v>
      </c>
      <c r="F21" s="61">
        <v>28862.526358907671</v>
      </c>
      <c r="G21" s="61">
        <v>28364.120000000003</v>
      </c>
      <c r="H21" s="66">
        <v>28298.34</v>
      </c>
      <c r="I21" s="61">
        <f t="shared" si="28"/>
        <v>100</v>
      </c>
      <c r="J21" s="61">
        <f t="shared" si="29"/>
        <v>115.0460557695167</v>
      </c>
      <c r="K21" s="61">
        <f t="shared" si="30"/>
        <v>115.26738633198012</v>
      </c>
      <c r="L21" s="61">
        <f t="shared" si="31"/>
        <v>116.72141722099192</v>
      </c>
      <c r="M21" s="61">
        <f t="shared" si="32"/>
        <v>119.29335561480161</v>
      </c>
      <c r="N21" s="61">
        <f t="shared" si="33"/>
        <v>117.23336383603271</v>
      </c>
      <c r="O21" s="66">
        <f t="shared" si="33"/>
        <v>116.96148476228973</v>
      </c>
      <c r="P21" s="61">
        <v>253356.35934078755</v>
      </c>
      <c r="Q21" s="61">
        <v>179012.14694860714</v>
      </c>
      <c r="R21" s="61">
        <v>170403.0938471457</v>
      </c>
      <c r="S21" s="61">
        <v>215315.59045970676</v>
      </c>
      <c r="T21" s="61">
        <v>203697</v>
      </c>
      <c r="U21" s="61">
        <v>183927</v>
      </c>
      <c r="V21" s="66">
        <v>183927</v>
      </c>
      <c r="W21" s="61">
        <f t="shared" si="6"/>
        <v>100</v>
      </c>
      <c r="X21" s="61">
        <f t="shared" si="7"/>
        <v>70.656267485995642</v>
      </c>
      <c r="Y21" s="61">
        <f t="shared" si="8"/>
        <v>67.258265902825798</v>
      </c>
      <c r="Z21" s="61">
        <f t="shared" si="9"/>
        <v>84.9852717413292</v>
      </c>
      <c r="AA21" s="61">
        <f t="shared" si="10"/>
        <v>80.399402852962865</v>
      </c>
      <c r="AB21" s="61">
        <f t="shared" si="11"/>
        <v>72.5961647375116</v>
      </c>
      <c r="AC21" s="66">
        <f t="shared" si="11"/>
        <v>72.5961647375116</v>
      </c>
      <c r="AD21" s="49">
        <v>4.5084299999999997</v>
      </c>
      <c r="AE21" s="49">
        <v>4.0672949999999997</v>
      </c>
      <c r="AF21" s="49">
        <v>4.0089410000000001</v>
      </c>
      <c r="AG21" s="49">
        <v>4.1906357646624306</v>
      </c>
      <c r="AH21" s="49">
        <v>3.6439718540036337</v>
      </c>
      <c r="AI21" s="49">
        <v>3.1429999999999998</v>
      </c>
      <c r="AJ21" s="50">
        <v>3.3769999999999998</v>
      </c>
      <c r="AK21" s="49">
        <v>18.170644899999999</v>
      </c>
      <c r="AL21" s="49">
        <v>21.030392850000002</v>
      </c>
      <c r="AM21" s="49">
        <v>21.798417740000005</v>
      </c>
      <c r="AN21" s="49">
        <v>24.496469620000006</v>
      </c>
      <c r="AO21" s="49">
        <v>24.799390810000002</v>
      </c>
      <c r="AP21" s="49">
        <v>24.440742450000002</v>
      </c>
      <c r="AQ21" s="50">
        <v>25.396302089999999</v>
      </c>
      <c r="AR21" s="49">
        <f t="shared" si="12"/>
        <v>751.02129898514454</v>
      </c>
      <c r="AS21" s="49">
        <f t="shared" si="13"/>
        <v>755.54017778393211</v>
      </c>
      <c r="AT21" s="49">
        <f t="shared" si="14"/>
        <v>781.62859261501012</v>
      </c>
      <c r="AU21" s="49">
        <f t="shared" si="15"/>
        <v>867.43084204735169</v>
      </c>
      <c r="AV21" s="49">
        <f t="shared" si="16"/>
        <v>859.22453570480025</v>
      </c>
      <c r="AW21" s="49">
        <f t="shared" si="17"/>
        <v>861.67815007128729</v>
      </c>
      <c r="AX21" s="50">
        <f t="shared" si="18"/>
        <v>897.44847542293996</v>
      </c>
      <c r="AY21" s="86">
        <f t="shared" si="19"/>
        <v>100</v>
      </c>
      <c r="AZ21" s="61">
        <f t="shared" si="20"/>
        <v>100.60169782200504</v>
      </c>
      <c r="BA21" s="61">
        <f t="shared" si="21"/>
        <v>104.07542285035393</v>
      </c>
      <c r="BB21" s="61">
        <f t="shared" si="22"/>
        <v>115.500165337456</v>
      </c>
      <c r="BC21" s="61">
        <f t="shared" si="23"/>
        <v>114.40747910423723</v>
      </c>
      <c r="BD21" s="61">
        <f t="shared" si="24"/>
        <v>114.73418280356009</v>
      </c>
      <c r="BE21" s="66">
        <f t="shared" si="25"/>
        <v>119.49707373621261</v>
      </c>
      <c r="BF21" s="46">
        <f t="shared" si="34"/>
        <v>0.24811612492630902</v>
      </c>
      <c r="BG21" s="21">
        <f t="shared" si="35"/>
        <v>0.19340080943851695</v>
      </c>
      <c r="BH21" s="21">
        <f t="shared" si="36"/>
        <v>0.18390972444956913</v>
      </c>
      <c r="BI21" s="21">
        <f t="shared" si="37"/>
        <v>0.17107100858488641</v>
      </c>
      <c r="BJ21" s="21">
        <f t="shared" si="38"/>
        <v>0.14693795835235815</v>
      </c>
      <c r="BK21" s="21">
        <f t="shared" si="39"/>
        <v>0.12859674809101387</v>
      </c>
      <c r="BL21" s="24">
        <f t="shared" si="40"/>
        <v>0.13297211491785338</v>
      </c>
      <c r="BM21" s="17">
        <f t="shared" si="41"/>
        <v>13.662214899999999</v>
      </c>
      <c r="BN21" s="17">
        <f t="shared" si="42"/>
        <v>15.215838770000005</v>
      </c>
      <c r="BO21" s="17">
        <f t="shared" si="43"/>
        <v>15.943352270000005</v>
      </c>
      <c r="BP21" s="17">
        <f t="shared" si="44"/>
        <v>19.056469620000005</v>
      </c>
      <c r="BQ21" s="17">
        <f t="shared" si="45"/>
        <v>20.592780865996367</v>
      </c>
      <c r="BR21" s="17">
        <f t="shared" si="46"/>
        <v>21.297742450000001</v>
      </c>
      <c r="BS21" s="18">
        <f t="shared" si="47"/>
        <v>22.01930209</v>
      </c>
      <c r="BT21" s="17">
        <v>0</v>
      </c>
      <c r="BU21" s="17">
        <v>1.7472590799999999</v>
      </c>
      <c r="BV21" s="17">
        <v>1.8461244700000001</v>
      </c>
      <c r="BW21" s="17">
        <v>1.2493642353375694</v>
      </c>
      <c r="BX21" s="17">
        <v>0.56263808999999998</v>
      </c>
      <c r="BY21" s="17"/>
      <c r="BZ21" s="18"/>
      <c r="CA21" s="49"/>
    </row>
    <row r="22" spans="1:79" x14ac:dyDescent="0.25">
      <c r="A22" s="60" t="s">
        <v>50</v>
      </c>
      <c r="B22" s="61">
        <v>72893.570000000007</v>
      </c>
      <c r="C22" s="61">
        <v>75485.216666506662</v>
      </c>
      <c r="D22" s="61">
        <v>75968.429999999993</v>
      </c>
      <c r="E22" s="61">
        <v>75271.709999999992</v>
      </c>
      <c r="F22" s="61">
        <v>72319.997877094982</v>
      </c>
      <c r="G22" s="61">
        <v>63200.930000000008</v>
      </c>
      <c r="H22" s="66">
        <v>56825.383043478258</v>
      </c>
      <c r="I22" s="61">
        <f t="shared" si="28"/>
        <v>100</v>
      </c>
      <c r="J22" s="61">
        <f t="shared" si="29"/>
        <v>103.5553844687627</v>
      </c>
      <c r="K22" s="61">
        <f t="shared" si="30"/>
        <v>104.21828701763405</v>
      </c>
      <c r="L22" s="61">
        <f t="shared" si="31"/>
        <v>103.26248254818633</v>
      </c>
      <c r="M22" s="61">
        <f t="shared" si="32"/>
        <v>99.213137560823228</v>
      </c>
      <c r="N22" s="61">
        <f t="shared" si="33"/>
        <v>86.703024697514479</v>
      </c>
      <c r="O22" s="66">
        <f t="shared" si="33"/>
        <v>77.956646990232812</v>
      </c>
      <c r="P22" s="61">
        <v>1415607.882925679</v>
      </c>
      <c r="Q22" s="61">
        <v>886889.81617485755</v>
      </c>
      <c r="R22" s="61">
        <v>755552.06181543379</v>
      </c>
      <c r="S22" s="61">
        <v>978417.34631701943</v>
      </c>
      <c r="T22" s="61">
        <v>989448</v>
      </c>
      <c r="U22" s="61">
        <v>823485</v>
      </c>
      <c r="V22" s="66">
        <v>823485</v>
      </c>
      <c r="W22" s="61">
        <f t="shared" si="6"/>
        <v>100</v>
      </c>
      <c r="X22" s="61">
        <f t="shared" si="7"/>
        <v>62.650810783978962</v>
      </c>
      <c r="Y22" s="61">
        <f t="shared" si="8"/>
        <v>53.372976438497354</v>
      </c>
      <c r="Z22" s="61">
        <f t="shared" si="9"/>
        <v>69.116409856018549</v>
      </c>
      <c r="AA22" s="61">
        <f t="shared" si="10"/>
        <v>69.895626602126455</v>
      </c>
      <c r="AB22" s="61">
        <f t="shared" si="11"/>
        <v>58.171829214321626</v>
      </c>
      <c r="AC22" s="66">
        <f t="shared" si="11"/>
        <v>58.171829214321626</v>
      </c>
      <c r="AD22" s="49">
        <v>16.802074000000001</v>
      </c>
      <c r="AE22" s="49">
        <v>12.489020999999999</v>
      </c>
      <c r="AF22" s="49">
        <v>12.154253000000001</v>
      </c>
      <c r="AG22" s="49">
        <v>14.097258602435465</v>
      </c>
      <c r="AH22" s="49">
        <v>13.470712448107356</v>
      </c>
      <c r="AI22" s="49">
        <v>13.497999999999999</v>
      </c>
      <c r="AJ22" s="50">
        <v>11.89</v>
      </c>
      <c r="AK22" s="49">
        <v>48.895001740000005</v>
      </c>
      <c r="AL22" s="49">
        <v>50.281696600000011</v>
      </c>
      <c r="AM22" s="49">
        <v>52.048536320000011</v>
      </c>
      <c r="AN22" s="49">
        <v>56.441541309999991</v>
      </c>
      <c r="AO22" s="49">
        <v>56.032821150000004</v>
      </c>
      <c r="AP22" s="49">
        <v>49.901137209999995</v>
      </c>
      <c r="AQ22" s="50">
        <v>49.280810870000003</v>
      </c>
      <c r="AR22" s="49">
        <f t="shared" si="12"/>
        <v>670.77249392504712</v>
      </c>
      <c r="AS22" s="49">
        <f t="shared" si="13"/>
        <v>666.11316520616629</v>
      </c>
      <c r="AT22" s="49">
        <f t="shared" si="14"/>
        <v>685.1337630644731</v>
      </c>
      <c r="AU22" s="49">
        <f t="shared" si="15"/>
        <v>749.83737329735163</v>
      </c>
      <c r="AV22" s="49">
        <f t="shared" si="16"/>
        <v>774.79013820251487</v>
      </c>
      <c r="AW22" s="49">
        <f t="shared" si="17"/>
        <v>789.56333728000504</v>
      </c>
      <c r="AX22" s="50">
        <f t="shared" si="18"/>
        <v>867.23235692567619</v>
      </c>
      <c r="AY22" s="86">
        <f t="shared" si="19"/>
        <v>100</v>
      </c>
      <c r="AZ22" s="61">
        <f t="shared" si="20"/>
        <v>99.305378684862788</v>
      </c>
      <c r="BA22" s="61">
        <f t="shared" si="21"/>
        <v>102.14100447908807</v>
      </c>
      <c r="BB22" s="61">
        <f t="shared" si="22"/>
        <v>111.78713797723783</v>
      </c>
      <c r="BC22" s="61">
        <f t="shared" si="23"/>
        <v>115.50714217108175</v>
      </c>
      <c r="BD22" s="61">
        <f t="shared" si="24"/>
        <v>117.70955792475173</v>
      </c>
      <c r="BE22" s="66">
        <f t="shared" si="25"/>
        <v>129.28859856059955</v>
      </c>
      <c r="BF22" s="46">
        <f t="shared" si="34"/>
        <v>0.34363581965586815</v>
      </c>
      <c r="BG22" s="21">
        <f t="shared" si="35"/>
        <v>0.24838105800908866</v>
      </c>
      <c r="BH22" s="21">
        <f t="shared" si="36"/>
        <v>0.2335176713764695</v>
      </c>
      <c r="BI22" s="21">
        <f t="shared" si="37"/>
        <v>0.24976742794828308</v>
      </c>
      <c r="BJ22" s="21">
        <f t="shared" si="38"/>
        <v>0.24040753564854828</v>
      </c>
      <c r="BK22" s="21">
        <f t="shared" si="39"/>
        <v>0.27049483748628983</v>
      </c>
      <c r="BL22" s="24">
        <f t="shared" si="40"/>
        <v>0.24127038070386361</v>
      </c>
      <c r="BM22" s="17">
        <f t="shared" si="41"/>
        <v>32.092927740000007</v>
      </c>
      <c r="BN22" s="17">
        <f t="shared" si="42"/>
        <v>32.427670660000011</v>
      </c>
      <c r="BO22" s="17">
        <f t="shared" si="43"/>
        <v>34.305852110000018</v>
      </c>
      <c r="BP22" s="17">
        <f t="shared" si="44"/>
        <v>40.09154130999999</v>
      </c>
      <c r="BQ22" s="17">
        <f t="shared" si="45"/>
        <v>41.379777901892645</v>
      </c>
      <c r="BR22" s="17">
        <f t="shared" si="46"/>
        <v>36.403137209999997</v>
      </c>
      <c r="BS22" s="18">
        <f t="shared" si="47"/>
        <v>37.390810870000003</v>
      </c>
      <c r="BT22" s="17">
        <v>0</v>
      </c>
      <c r="BU22" s="17">
        <v>5.3650049399999995</v>
      </c>
      <c r="BV22" s="17">
        <v>5.5884312099999995</v>
      </c>
      <c r="BW22" s="17">
        <v>2.2527413975645323</v>
      </c>
      <c r="BX22" s="17">
        <v>1.1823308000000001</v>
      </c>
      <c r="BY22" s="17"/>
      <c r="BZ22" s="18"/>
      <c r="CA22" s="49"/>
    </row>
    <row r="23" spans="1:79" x14ac:dyDescent="0.25">
      <c r="A23" s="60" t="s">
        <v>51</v>
      </c>
      <c r="B23" s="61">
        <v>540869.65000000014</v>
      </c>
      <c r="C23" s="61">
        <v>544945.583334647</v>
      </c>
      <c r="D23" s="61">
        <v>544916.35</v>
      </c>
      <c r="E23" s="61">
        <v>545266.94999999995</v>
      </c>
      <c r="F23" s="61">
        <v>540415.75455847254</v>
      </c>
      <c r="G23" s="61">
        <v>538494.45666666667</v>
      </c>
      <c r="H23" s="66">
        <v>541665.16666666663</v>
      </c>
      <c r="I23" s="61">
        <f t="shared" si="28"/>
        <v>100</v>
      </c>
      <c r="J23" s="61">
        <f t="shared" si="29"/>
        <v>100.75358884245898</v>
      </c>
      <c r="K23" s="61">
        <f t="shared" si="30"/>
        <v>100.74818396632162</v>
      </c>
      <c r="L23" s="61">
        <f t="shared" si="31"/>
        <v>100.81300549956904</v>
      </c>
      <c r="M23" s="61">
        <f t="shared" si="32"/>
        <v>99.916080437952544</v>
      </c>
      <c r="N23" s="61">
        <f t="shared" si="33"/>
        <v>99.560856606886063</v>
      </c>
      <c r="O23" s="66">
        <f t="shared" si="33"/>
        <v>100.14708103267884</v>
      </c>
      <c r="P23" s="61">
        <v>31070994.327768724</v>
      </c>
      <c r="Q23" s="61">
        <v>20099384.770585995</v>
      </c>
      <c r="R23" s="61">
        <v>19701197.551025562</v>
      </c>
      <c r="S23" s="61">
        <v>25411044.108471733</v>
      </c>
      <c r="T23" s="61">
        <v>27290610</v>
      </c>
      <c r="U23" s="61">
        <v>27258387</v>
      </c>
      <c r="V23" s="66">
        <v>27258387</v>
      </c>
      <c r="W23" s="61">
        <f t="shared" si="6"/>
        <v>100</v>
      </c>
      <c r="X23" s="61">
        <f t="shared" si="7"/>
        <v>64.688579189185475</v>
      </c>
      <c r="Y23" s="61">
        <f t="shared" si="8"/>
        <v>63.407039192879111</v>
      </c>
      <c r="Z23" s="61">
        <f t="shared" si="9"/>
        <v>81.783813676543375</v>
      </c>
      <c r="AA23" s="61">
        <f t="shared" si="10"/>
        <v>87.833075800892132</v>
      </c>
      <c r="AB23" s="61">
        <f t="shared" si="11"/>
        <v>87.729368144612849</v>
      </c>
      <c r="AC23" s="66">
        <f t="shared" si="11"/>
        <v>87.729368144612849</v>
      </c>
      <c r="AD23" s="49">
        <v>269.77714700000001</v>
      </c>
      <c r="AE23" s="49">
        <v>193.839786</v>
      </c>
      <c r="AF23" s="49">
        <v>185.94591700000001</v>
      </c>
      <c r="AG23" s="49">
        <v>252.82853690018649</v>
      </c>
      <c r="AH23" s="49">
        <v>281.08964281734336</v>
      </c>
      <c r="AI23" s="49">
        <v>308.49099999999999</v>
      </c>
      <c r="AJ23" s="50">
        <v>315.62099999999998</v>
      </c>
      <c r="AK23" s="49">
        <v>428.29989073000002</v>
      </c>
      <c r="AL23" s="49">
        <v>426.99695426</v>
      </c>
      <c r="AM23" s="49">
        <v>432.90640356</v>
      </c>
      <c r="AN23" s="49">
        <v>455.50431841000005</v>
      </c>
      <c r="AO23" s="49">
        <v>450.09926386999996</v>
      </c>
      <c r="AP23" s="49">
        <v>493.06307112999997</v>
      </c>
      <c r="AQ23" s="50">
        <v>524.74532762999991</v>
      </c>
      <c r="AR23" s="49">
        <f t="shared" si="12"/>
        <v>791.87266419922048</v>
      </c>
      <c r="AS23" s="49">
        <f t="shared" si="13"/>
        <v>783.55888609484214</v>
      </c>
      <c r="AT23" s="49">
        <f t="shared" si="14"/>
        <v>794.44561272569638</v>
      </c>
      <c r="AU23" s="49">
        <f t="shared" si="15"/>
        <v>835.37855798888984</v>
      </c>
      <c r="AV23" s="49">
        <f t="shared" si="16"/>
        <v>832.87591095070411</v>
      </c>
      <c r="AW23" s="49">
        <f t="shared" si="17"/>
        <v>915.63258456198162</v>
      </c>
      <c r="AX23" s="50">
        <f t="shared" si="18"/>
        <v>968.76328758448869</v>
      </c>
      <c r="AY23" s="86">
        <f t="shared" si="19"/>
        <v>100</v>
      </c>
      <c r="AZ23" s="61">
        <f t="shared" si="20"/>
        <v>98.950111743939843</v>
      </c>
      <c r="BA23" s="61">
        <f t="shared" si="21"/>
        <v>100.32491947794129</v>
      </c>
      <c r="BB23" s="61">
        <f t="shared" si="22"/>
        <v>105.49405172783236</v>
      </c>
      <c r="BC23" s="61">
        <f t="shared" si="23"/>
        <v>105.178010127796</v>
      </c>
      <c r="BD23" s="61">
        <f t="shared" si="24"/>
        <v>115.62876532528283</v>
      </c>
      <c r="BE23" s="66">
        <f t="shared" si="25"/>
        <v>122.3382661610309</v>
      </c>
      <c r="BF23" s="46">
        <f t="shared" si="34"/>
        <v>0.62987909368874284</v>
      </c>
      <c r="BG23" s="21">
        <f t="shared" si="35"/>
        <v>0.45396058230890857</v>
      </c>
      <c r="BH23" s="21">
        <f t="shared" si="36"/>
        <v>0.42952914410800175</v>
      </c>
      <c r="BI23" s="21">
        <f t="shared" si="37"/>
        <v>0.55505189892100026</v>
      </c>
      <c r="BJ23" s="21">
        <f t="shared" si="38"/>
        <v>0.62450589321232297</v>
      </c>
      <c r="BK23" s="21">
        <f t="shared" si="39"/>
        <v>0.62566235044332474</v>
      </c>
      <c r="BL23" s="24">
        <f t="shared" si="40"/>
        <v>0.60147462660695794</v>
      </c>
      <c r="BM23" s="17">
        <f t="shared" si="41"/>
        <v>158.52274373</v>
      </c>
      <c r="BN23" s="17">
        <f t="shared" si="42"/>
        <v>148.22795922</v>
      </c>
      <c r="BO23" s="17">
        <f t="shared" si="43"/>
        <v>161.32115435999998</v>
      </c>
      <c r="BP23" s="17">
        <f t="shared" si="44"/>
        <v>195.15431841000006</v>
      </c>
      <c r="BQ23" s="17">
        <f t="shared" si="45"/>
        <v>160.52157126265661</v>
      </c>
      <c r="BR23" s="17">
        <f t="shared" si="46"/>
        <v>184.57207112999998</v>
      </c>
      <c r="BS23" s="18">
        <f t="shared" si="47"/>
        <v>209.12432762999993</v>
      </c>
      <c r="BT23" s="17">
        <v>0</v>
      </c>
      <c r="BU23" s="17">
        <v>84.929209039999989</v>
      </c>
      <c r="BV23" s="17">
        <v>85.639332199999998</v>
      </c>
      <c r="BW23" s="17">
        <v>7.5214630998134915</v>
      </c>
      <c r="BX23" s="17">
        <v>8.4880497899999998</v>
      </c>
      <c r="BY23" s="17"/>
      <c r="BZ23" s="18"/>
      <c r="CA23" s="49"/>
    </row>
    <row r="24" spans="1:79" x14ac:dyDescent="0.25">
      <c r="A24" s="60" t="s">
        <v>52</v>
      </c>
      <c r="B24" s="61">
        <v>629898.73</v>
      </c>
      <c r="C24" s="61">
        <v>572446.03333050304</v>
      </c>
      <c r="D24" s="61">
        <v>571804.44999999995</v>
      </c>
      <c r="E24" s="61">
        <v>571810.27999999968</v>
      </c>
      <c r="F24" s="61">
        <v>534461.85392372881</v>
      </c>
      <c r="G24" s="61">
        <v>504975.04</v>
      </c>
      <c r="H24" s="66">
        <v>507516.12999999995</v>
      </c>
      <c r="I24" s="61">
        <f t="shared" si="28"/>
        <v>100</v>
      </c>
      <c r="J24" s="61">
        <f t="shared" si="29"/>
        <v>90.879058182972216</v>
      </c>
      <c r="K24" s="61">
        <f t="shared" si="30"/>
        <v>90.777203186296305</v>
      </c>
      <c r="L24" s="61">
        <f t="shared" si="31"/>
        <v>90.778128731899443</v>
      </c>
      <c r="M24" s="61">
        <f t="shared" si="32"/>
        <v>84.848854025111123</v>
      </c>
      <c r="N24" s="61">
        <f t="shared" si="33"/>
        <v>80.167654886365625</v>
      </c>
      <c r="O24" s="66">
        <f t="shared" si="33"/>
        <v>80.571067352366299</v>
      </c>
      <c r="P24" s="61">
        <v>11512712.621696757</v>
      </c>
      <c r="Q24" s="61">
        <v>7980926.2529993933</v>
      </c>
      <c r="R24" s="61">
        <v>7729069</v>
      </c>
      <c r="S24" s="61">
        <v>10786776</v>
      </c>
      <c r="T24" s="61">
        <v>11334780</v>
      </c>
      <c r="U24" s="61">
        <v>11312540</v>
      </c>
      <c r="V24" s="66">
        <v>11312540</v>
      </c>
      <c r="W24" s="61">
        <f t="shared" si="6"/>
        <v>100</v>
      </c>
      <c r="X24" s="61">
        <f t="shared" si="7"/>
        <v>69.322726235332325</v>
      </c>
      <c r="Y24" s="61">
        <f t="shared" si="8"/>
        <v>67.135081487518974</v>
      </c>
      <c r="Z24" s="61">
        <f t="shared" si="9"/>
        <v>93.694478047435453</v>
      </c>
      <c r="AA24" s="61">
        <f t="shared" si="10"/>
        <v>98.454468312173219</v>
      </c>
      <c r="AB24" s="61">
        <f t="shared" si="11"/>
        <v>98.261290555281349</v>
      </c>
      <c r="AC24" s="66">
        <f t="shared" si="11"/>
        <v>98.261290555281349</v>
      </c>
      <c r="AD24" s="49">
        <v>275.58921950000001</v>
      </c>
      <c r="AE24" s="49">
        <v>181.55426499999999</v>
      </c>
      <c r="AF24" s="49">
        <v>174.41859299999999</v>
      </c>
      <c r="AG24" s="49">
        <v>242.87931294067766</v>
      </c>
      <c r="AH24" s="49">
        <v>274.01350010888063</v>
      </c>
      <c r="AI24" s="49">
        <v>290.73099999999999</v>
      </c>
      <c r="AJ24" s="50">
        <v>296.51299999999998</v>
      </c>
      <c r="AK24" s="49">
        <v>463.48412292000006</v>
      </c>
      <c r="AL24" s="49">
        <v>401.87557518999995</v>
      </c>
      <c r="AM24" s="49">
        <v>413.81178769999991</v>
      </c>
      <c r="AN24" s="49">
        <v>463.90941913000017</v>
      </c>
      <c r="AO24" s="49">
        <v>439.45335138000002</v>
      </c>
      <c r="AP24" s="49">
        <v>425.92036331999998</v>
      </c>
      <c r="AQ24" s="50">
        <v>453.60044078999999</v>
      </c>
      <c r="AR24" s="49">
        <f t="shared" si="12"/>
        <v>735.80736211358942</v>
      </c>
      <c r="AS24" s="49">
        <f t="shared" si="13"/>
        <v>702.03224721792446</v>
      </c>
      <c r="AT24" s="49">
        <f t="shared" si="14"/>
        <v>723.69459121907846</v>
      </c>
      <c r="AU24" s="49">
        <f t="shared" si="15"/>
        <v>811.29954349544118</v>
      </c>
      <c r="AV24" s="49">
        <f t="shared" si="16"/>
        <v>822.23520379194895</v>
      </c>
      <c r="AW24" s="49">
        <f t="shared" si="17"/>
        <v>843.44834810053192</v>
      </c>
      <c r="AX24" s="50">
        <f t="shared" si="18"/>
        <v>893.76556522449857</v>
      </c>
      <c r="AY24" s="86">
        <f t="shared" si="19"/>
        <v>100</v>
      </c>
      <c r="AZ24" s="61">
        <f t="shared" si="20"/>
        <v>95.409788399147459</v>
      </c>
      <c r="BA24" s="61">
        <f t="shared" si="21"/>
        <v>98.353812217953717</v>
      </c>
      <c r="BB24" s="61">
        <f t="shared" si="22"/>
        <v>110.25977521684511</v>
      </c>
      <c r="BC24" s="61">
        <f t="shared" si="23"/>
        <v>111.74598762237137</v>
      </c>
      <c r="BD24" s="61">
        <f t="shared" si="24"/>
        <v>114.62896289563429</v>
      </c>
      <c r="BE24" s="66">
        <f t="shared" si="25"/>
        <v>121.46733115814143</v>
      </c>
      <c r="BF24" s="46">
        <f t="shared" si="34"/>
        <v>0.59460336583647821</v>
      </c>
      <c r="BG24" s="21">
        <f t="shared" si="35"/>
        <v>0.4517673534007739</v>
      </c>
      <c r="BH24" s="21">
        <f t="shared" si="36"/>
        <v>0.42149256783967642</v>
      </c>
      <c r="BI24" s="21">
        <f t="shared" si="37"/>
        <v>0.52354900100145674</v>
      </c>
      <c r="BJ24" s="21">
        <f t="shared" si="38"/>
        <v>0.6235326212632254</v>
      </c>
      <c r="BK24" s="21">
        <f t="shared" si="39"/>
        <v>0.68259474079563953</v>
      </c>
      <c r="BL24" s="24">
        <f t="shared" si="40"/>
        <v>0.65368763637792493</v>
      </c>
      <c r="BM24" s="49">
        <f t="shared" si="41"/>
        <v>187.89490342000005</v>
      </c>
      <c r="BN24" s="49">
        <f t="shared" si="42"/>
        <v>142.66230480999997</v>
      </c>
      <c r="BO24" s="49">
        <f t="shared" si="43"/>
        <v>158.13504814999993</v>
      </c>
      <c r="BP24" s="49">
        <f t="shared" si="44"/>
        <v>204.77941913000021</v>
      </c>
      <c r="BQ24" s="49">
        <f t="shared" si="45"/>
        <v>156.12906117111939</v>
      </c>
      <c r="BR24" s="49">
        <f t="shared" si="46"/>
        <v>135.18936331999998</v>
      </c>
      <c r="BS24" s="50">
        <f t="shared" si="47"/>
        <v>157.08744079000002</v>
      </c>
      <c r="BT24" s="17">
        <v>0</v>
      </c>
      <c r="BU24" s="17">
        <v>77.659005379999996</v>
      </c>
      <c r="BV24" s="17">
        <v>81.258146550000006</v>
      </c>
      <c r="BW24" s="17">
        <v>16.250687059322299</v>
      </c>
      <c r="BX24" s="17">
        <v>9.3107901000000002</v>
      </c>
      <c r="BY24" s="17"/>
      <c r="BZ24" s="18"/>
      <c r="CA24" s="49"/>
    </row>
    <row r="25" spans="1:79" x14ac:dyDescent="0.25">
      <c r="A25" s="60" t="s">
        <v>53</v>
      </c>
      <c r="B25" s="61"/>
      <c r="C25" s="61"/>
      <c r="D25" s="61"/>
      <c r="E25" s="61"/>
      <c r="F25" s="61"/>
      <c r="G25" s="61"/>
      <c r="H25" s="66"/>
      <c r="I25" s="61"/>
      <c r="J25" s="61"/>
      <c r="K25" s="61"/>
      <c r="L25" s="61"/>
      <c r="M25" s="61"/>
      <c r="N25" s="61"/>
      <c r="O25" s="66"/>
      <c r="P25" s="61"/>
      <c r="Q25" s="61"/>
      <c r="R25" s="61"/>
      <c r="S25" s="61"/>
      <c r="T25" s="61"/>
      <c r="U25" s="61"/>
      <c r="V25" s="66"/>
      <c r="W25" s="61" t="str">
        <f t="shared" si="6"/>
        <v/>
      </c>
      <c r="X25" s="61" t="str">
        <f t="shared" si="7"/>
        <v/>
      </c>
      <c r="Y25" s="61" t="str">
        <f t="shared" si="8"/>
        <v/>
      </c>
      <c r="Z25" s="61" t="str">
        <f t="shared" si="9"/>
        <v/>
      </c>
      <c r="AA25" s="61" t="str">
        <f t="shared" si="10"/>
        <v/>
      </c>
      <c r="AB25" s="61" t="str">
        <f t="shared" si="11"/>
        <v/>
      </c>
      <c r="AC25" s="66" t="str">
        <f t="shared" si="11"/>
        <v/>
      </c>
      <c r="AD25" s="49"/>
      <c r="AE25" s="49"/>
      <c r="AF25" s="49"/>
      <c r="AG25" s="49">
        <v>0</v>
      </c>
      <c r="AH25" s="49">
        <v>0</v>
      </c>
      <c r="AI25" s="49">
        <v>0</v>
      </c>
      <c r="AJ25" s="50"/>
      <c r="AK25" s="49">
        <v>0</v>
      </c>
      <c r="AL25" s="49">
        <v>15.200696390000001</v>
      </c>
      <c r="AM25" s="49">
        <v>12.29260184</v>
      </c>
      <c r="AN25" s="49">
        <v>4.9993872800000005</v>
      </c>
      <c r="AO25" s="49"/>
      <c r="AP25" s="49"/>
      <c r="AQ25" s="50"/>
      <c r="AR25" s="49" t="str">
        <f t="shared" si="12"/>
        <v/>
      </c>
      <c r="AS25" s="49" t="str">
        <f t="shared" si="13"/>
        <v/>
      </c>
      <c r="AT25" s="49" t="str">
        <f t="shared" si="14"/>
        <v/>
      </c>
      <c r="AU25" s="49" t="str">
        <f t="shared" si="15"/>
        <v/>
      </c>
      <c r="AV25" s="49" t="str">
        <f t="shared" si="16"/>
        <v/>
      </c>
      <c r="AW25" s="49" t="str">
        <f t="shared" si="17"/>
        <v/>
      </c>
      <c r="AX25" s="50" t="str">
        <f t="shared" si="18"/>
        <v/>
      </c>
      <c r="AY25" s="86"/>
      <c r="AZ25" s="61"/>
      <c r="BA25" s="61"/>
      <c r="BB25" s="61"/>
      <c r="BC25" s="61"/>
      <c r="BD25" s="61"/>
      <c r="BE25" s="66"/>
      <c r="BF25" s="184" t="str">
        <f>IFERROR(AD25/#REF!,"")</f>
        <v/>
      </c>
      <c r="BG25" s="21">
        <f t="shared" ref="BG25" si="48">IFERROR(AE25/AL25,"")</f>
        <v>0</v>
      </c>
      <c r="BH25" s="21">
        <f t="shared" ref="BH25" si="49">IFERROR(AF25/AM25,"")</f>
        <v>0</v>
      </c>
      <c r="BI25" s="21">
        <f t="shared" ref="BI25" si="50">IFERROR(AG25/AN25,"")</f>
        <v>0</v>
      </c>
      <c r="BJ25" s="97" t="str">
        <f>IFERROR(AH25/#REF!,"")</f>
        <v/>
      </c>
      <c r="BK25" s="97" t="str">
        <f>IFERROR(AI25/#REF!,"")</f>
        <v/>
      </c>
      <c r="BL25" s="96" t="str">
        <f>IFERROR(AJ25/#REF!,"")</f>
        <v/>
      </c>
      <c r="BM25" s="49">
        <f t="shared" ref="BM25:BM29" si="51">+AK25-AD25-BT25</f>
        <v>0</v>
      </c>
      <c r="BN25" s="49">
        <f t="shared" ref="BN25:BN29" si="52">+AL25-AE25-BU25</f>
        <v>-4.9591560399999999</v>
      </c>
      <c r="BO25" s="49">
        <f t="shared" ref="BO25:BO29" si="53">+AM25-AF25-BV25</f>
        <v>-6.0805306399999992</v>
      </c>
      <c r="BP25" s="49">
        <f t="shared" ref="BP25:BP29" si="54">+AN25-AG25-BW25</f>
        <v>-1.9926815999999992</v>
      </c>
      <c r="BQ25" s="49">
        <f t="shared" ref="BQ25:BQ29" si="55">+AO25-AH25-BX25</f>
        <v>0</v>
      </c>
      <c r="BR25" s="49">
        <f t="shared" ref="BR25:BR29" si="56">+AP25-AI25-BY25</f>
        <v>0</v>
      </c>
      <c r="BS25" s="50">
        <f t="shared" ref="BS25:BS29" si="57">+AQ25-AJ25-BZ25</f>
        <v>0</v>
      </c>
      <c r="BT25" s="17">
        <v>0</v>
      </c>
      <c r="BU25" s="17">
        <v>20.159852430000001</v>
      </c>
      <c r="BV25" s="17">
        <v>18.373132479999999</v>
      </c>
      <c r="BW25" s="17">
        <v>6.9920688799999997</v>
      </c>
      <c r="BX25" s="17"/>
      <c r="BY25" s="17"/>
      <c r="BZ25" s="18"/>
      <c r="CA25" s="49"/>
    </row>
    <row r="26" spans="1:79" ht="16.5" thickBot="1" x14ac:dyDescent="0.3">
      <c r="A26" s="67" t="s">
        <v>54</v>
      </c>
      <c r="B26" s="68">
        <f t="shared" ref="B26:AJ26" si="58">SUBTOTAL(9,B6:B25)</f>
        <v>1858390.8900000001</v>
      </c>
      <c r="C26" s="68">
        <f t="shared" si="58"/>
        <v>1819554.2681637742</v>
      </c>
      <c r="D26" s="68">
        <f t="shared" si="58"/>
        <v>1819500.5999999999</v>
      </c>
      <c r="E26" s="68">
        <f t="shared" si="58"/>
        <v>1814712.9966666666</v>
      </c>
      <c r="F26" s="68">
        <f t="shared" si="58"/>
        <v>1760440.2067735032</v>
      </c>
      <c r="G26" s="68">
        <f t="shared" si="58"/>
        <v>1683113.3827839964</v>
      </c>
      <c r="H26" s="68">
        <f t="shared" si="58"/>
        <v>1664086.8273310594</v>
      </c>
      <c r="I26" s="68">
        <f t="shared" si="28"/>
        <v>100</v>
      </c>
      <c r="J26" s="68">
        <f t="shared" si="29"/>
        <v>97.91020166719467</v>
      </c>
      <c r="K26" s="68">
        <f t="shared" si="30"/>
        <v>97.907313783700246</v>
      </c>
      <c r="L26" s="68">
        <f t="shared" si="31"/>
        <v>97.649692883861832</v>
      </c>
      <c r="M26" s="68">
        <f t="shared" si="32"/>
        <v>94.729274462462683</v>
      </c>
      <c r="N26" s="68">
        <f t="shared" si="33"/>
        <v>90.568318637420589</v>
      </c>
      <c r="O26" s="68">
        <f t="shared" si="33"/>
        <v>89.544499829691873</v>
      </c>
      <c r="P26" s="68">
        <f t="shared" si="58"/>
        <v>56080340.173126161</v>
      </c>
      <c r="Q26" s="68">
        <f t="shared" si="58"/>
        <v>37040736.907946534</v>
      </c>
      <c r="R26" s="68">
        <f t="shared" si="58"/>
        <v>35278757.059137404</v>
      </c>
      <c r="S26" s="68">
        <f t="shared" si="58"/>
        <v>46535727.351767287</v>
      </c>
      <c r="T26" s="68">
        <f t="shared" si="58"/>
        <v>49263612</v>
      </c>
      <c r="U26" s="68">
        <f t="shared" si="58"/>
        <v>48402704</v>
      </c>
      <c r="V26" s="68">
        <f t="shared" si="58"/>
        <v>48402704</v>
      </c>
      <c r="W26" s="68">
        <f t="shared" si="6"/>
        <v>100</v>
      </c>
      <c r="X26" s="68">
        <f t="shared" si="7"/>
        <v>66.049415523510945</v>
      </c>
      <c r="Y26" s="68">
        <f t="shared" si="8"/>
        <v>62.907530429073745</v>
      </c>
      <c r="Z26" s="68">
        <f t="shared" si="9"/>
        <v>82.980465539449995</v>
      </c>
      <c r="AA26" s="68">
        <f t="shared" si="10"/>
        <v>87.844709657462545</v>
      </c>
      <c r="AB26" s="68">
        <f t="shared" si="11"/>
        <v>86.309576316005831</v>
      </c>
      <c r="AC26" s="68">
        <f t="shared" si="11"/>
        <v>86.309576316005831</v>
      </c>
      <c r="AD26" s="71">
        <f t="shared" si="58"/>
        <v>685.51131050000004</v>
      </c>
      <c r="AE26" s="71">
        <f t="shared" si="58"/>
        <v>478.96302700000001</v>
      </c>
      <c r="AF26" s="71">
        <f t="shared" si="58"/>
        <v>459.022763</v>
      </c>
      <c r="AG26" s="71">
        <f t="shared" si="58"/>
        <v>615.04941610428023</v>
      </c>
      <c r="AH26" s="71">
        <f t="shared" si="58"/>
        <v>676.86207511722432</v>
      </c>
      <c r="AI26" s="71">
        <f t="shared" si="58"/>
        <v>721.01299999999992</v>
      </c>
      <c r="AJ26" s="71">
        <f t="shared" si="58"/>
        <v>730.29700000000003</v>
      </c>
      <c r="AK26" s="71">
        <f t="shared" ref="AK26:AQ26" si="59">SUBTOTAL(9,AK6:AK25)</f>
        <v>1391.0046257400002</v>
      </c>
      <c r="AL26" s="71">
        <f t="shared" si="59"/>
        <v>1348.32941701</v>
      </c>
      <c r="AM26" s="71">
        <f t="shared" si="59"/>
        <v>1385.9570299300001</v>
      </c>
      <c r="AN26" s="71">
        <f t="shared" si="59"/>
        <v>1510.7450376576003</v>
      </c>
      <c r="AO26" s="71">
        <f t="shared" si="59"/>
        <v>1450.75882355</v>
      </c>
      <c r="AP26" s="71">
        <f t="shared" si="59"/>
        <v>1453.18761847</v>
      </c>
      <c r="AQ26" s="72">
        <f t="shared" si="59"/>
        <v>1515.6164958999998</v>
      </c>
      <c r="AR26" s="71">
        <f t="shared" si="12"/>
        <v>748.49948588587847</v>
      </c>
      <c r="AS26" s="71">
        <f t="shared" si="13"/>
        <v>741.02182089390681</v>
      </c>
      <c r="AT26" s="71">
        <f t="shared" si="14"/>
        <v>761.72386529028904</v>
      </c>
      <c r="AU26" s="71">
        <f t="shared" si="15"/>
        <v>832.49805364958195</v>
      </c>
      <c r="AV26" s="71">
        <f t="shared" si="16"/>
        <v>824.08866712316194</v>
      </c>
      <c r="AW26" s="71">
        <f t="shared" si="17"/>
        <v>863.39258741221477</v>
      </c>
      <c r="AX26" s="72">
        <f t="shared" si="18"/>
        <v>910.77969671259086</v>
      </c>
      <c r="AY26" s="70">
        <f t="shared" ref="AY26:BE26" si="60">AR26/$AR26*100</f>
        <v>100</v>
      </c>
      <c r="AZ26" s="68">
        <f t="shared" si="60"/>
        <v>99.000979274805843</v>
      </c>
      <c r="BA26" s="68">
        <f t="shared" si="60"/>
        <v>101.76678536909868</v>
      </c>
      <c r="BB26" s="68">
        <f t="shared" si="60"/>
        <v>111.2222612503585</v>
      </c>
      <c r="BC26" s="68">
        <f t="shared" si="60"/>
        <v>110.09876194474879</v>
      </c>
      <c r="BD26" s="68">
        <f t="shared" si="60"/>
        <v>115.34979030618248</v>
      </c>
      <c r="BE26" s="69">
        <f t="shared" si="60"/>
        <v>121.68073778095486</v>
      </c>
      <c r="BF26" s="185">
        <f t="shared" ref="BF26" si="61">IFERROR(AD26/AK26,"")</f>
        <v>0.49281741973741827</v>
      </c>
      <c r="BG26" s="98">
        <f t="shared" ref="BG26" si="62">IFERROR(AE26/AL26,"")</f>
        <v>0.35522700977786925</v>
      </c>
      <c r="BH26" s="98">
        <f t="shared" ref="BH26" si="63">IFERROR(AF26/AM26,"")</f>
        <v>0.33119552272351738</v>
      </c>
      <c r="BI26" s="98">
        <f t="shared" ref="BI26" si="64">IFERROR(AG26/AN26,"")</f>
        <v>0.4071166217814689</v>
      </c>
      <c r="BJ26" s="98">
        <f t="shared" ref="BJ26" si="65">IFERROR(AH26/AO26,"")</f>
        <v>0.46655726929231839</v>
      </c>
      <c r="BK26" s="98">
        <f t="shared" ref="BK26" si="66">IFERROR(AI26/AP26,"")</f>
        <v>0.49615960859831998</v>
      </c>
      <c r="BL26" s="101">
        <f t="shared" ref="BL26" si="67">IFERROR(AJ26/AQ26,"")</f>
        <v>0.48184814692607103</v>
      </c>
      <c r="BM26" s="71">
        <f t="shared" si="51"/>
        <v>705.49331524000013</v>
      </c>
      <c r="BN26" s="71">
        <f t="shared" si="52"/>
        <v>642.12373633000004</v>
      </c>
      <c r="BO26" s="71">
        <f t="shared" si="53"/>
        <v>696.31896427000015</v>
      </c>
      <c r="BP26" s="71">
        <f t="shared" si="54"/>
        <v>843.35296877760027</v>
      </c>
      <c r="BQ26" s="71">
        <f t="shared" si="55"/>
        <v>744.08427880277566</v>
      </c>
      <c r="BR26" s="71">
        <f t="shared" si="56"/>
        <v>732.17461847000004</v>
      </c>
      <c r="BS26" s="72">
        <f t="shared" si="57"/>
        <v>785.31949589999977</v>
      </c>
      <c r="BT26" s="71">
        <f t="shared" ref="BT26:BY26" si="68">SUBTOTAL(9,BT6:BT25)</f>
        <v>0</v>
      </c>
      <c r="BU26" s="71">
        <f t="shared" si="68"/>
        <v>227.24265367999999</v>
      </c>
      <c r="BV26" s="71">
        <f t="shared" si="68"/>
        <v>230.61530266000003</v>
      </c>
      <c r="BW26" s="71">
        <f t="shared" si="68"/>
        <v>52.342652775719792</v>
      </c>
      <c r="BX26" s="71">
        <f t="shared" si="68"/>
        <v>29.812469630000002</v>
      </c>
      <c r="BY26" s="71">
        <f t="shared" si="68"/>
        <v>0</v>
      </c>
      <c r="BZ26" s="71"/>
      <c r="CA26" s="93"/>
    </row>
    <row r="27" spans="1:79" ht="16.5" thickTop="1" x14ac:dyDescent="0.25">
      <c r="A27" s="60" t="s">
        <v>55</v>
      </c>
      <c r="B27" s="61">
        <v>16663.766666666666</v>
      </c>
      <c r="C27" s="61">
        <v>16445.330000000002</v>
      </c>
      <c r="D27" s="61">
        <v>16137.42</v>
      </c>
      <c r="E27" s="61">
        <v>14006.19</v>
      </c>
      <c r="F27" s="61">
        <v>13529.66</v>
      </c>
      <c r="G27" s="61">
        <v>13211.57</v>
      </c>
      <c r="H27" s="66">
        <v>13286.13</v>
      </c>
      <c r="I27" s="61">
        <f t="shared" si="28"/>
        <v>100</v>
      </c>
      <c r="J27" s="61">
        <f t="shared" si="29"/>
        <v>98.689151912432777</v>
      </c>
      <c r="K27" s="61">
        <f t="shared" si="30"/>
        <v>96.841370398449328</v>
      </c>
      <c r="L27" s="61">
        <f t="shared" si="31"/>
        <v>84.051765007111243</v>
      </c>
      <c r="M27" s="61">
        <f t="shared" si="32"/>
        <v>81.192087423211632</v>
      </c>
      <c r="N27" s="61">
        <f t="shared" si="33"/>
        <v>79.283215279458631</v>
      </c>
      <c r="O27" s="66">
        <f t="shared" si="33"/>
        <v>79.730653133645248</v>
      </c>
      <c r="P27" s="61">
        <v>94530.459855015069</v>
      </c>
      <c r="Q27" s="61">
        <v>46334.492798957304</v>
      </c>
      <c r="R27" s="61">
        <v>59097.123360817473</v>
      </c>
      <c r="S27" s="61">
        <v>87987.440938693253</v>
      </c>
      <c r="T27" s="61">
        <v>57796</v>
      </c>
      <c r="U27" s="61">
        <v>248652</v>
      </c>
      <c r="V27" s="66">
        <v>248652</v>
      </c>
      <c r="W27" s="61">
        <f t="shared" si="6"/>
        <v>100</v>
      </c>
      <c r="X27" s="61">
        <f t="shared" si="7"/>
        <v>49.015410345006529</v>
      </c>
      <c r="Y27" s="61">
        <f t="shared" si="8"/>
        <v>62.516487755858755</v>
      </c>
      <c r="Z27" s="61">
        <f t="shared" si="9"/>
        <v>93.07840147360217</v>
      </c>
      <c r="AA27" s="61">
        <f t="shared" si="10"/>
        <v>61.140081290881163</v>
      </c>
      <c r="AB27" s="61">
        <f t="shared" si="11"/>
        <v>263.03902507336466</v>
      </c>
      <c r="AC27" s="66">
        <f t="shared" si="11"/>
        <v>263.03902507336466</v>
      </c>
      <c r="AD27" s="49"/>
      <c r="AE27" s="49"/>
      <c r="AF27" s="49"/>
      <c r="AG27" s="49"/>
      <c r="AH27" s="49"/>
      <c r="AI27" s="49"/>
      <c r="AJ27" s="50"/>
      <c r="AK27" s="49"/>
      <c r="AL27" s="49"/>
      <c r="AM27" s="49"/>
      <c r="AN27" s="49"/>
      <c r="AO27" s="49"/>
      <c r="AP27" s="49"/>
      <c r="AQ27" s="50"/>
      <c r="AR27" s="49">
        <f t="shared" si="12"/>
        <v>0</v>
      </c>
      <c r="AS27" s="49">
        <f t="shared" si="13"/>
        <v>0</v>
      </c>
      <c r="AT27" s="49">
        <f t="shared" si="14"/>
        <v>0</v>
      </c>
      <c r="AU27" s="49">
        <f t="shared" si="15"/>
        <v>0</v>
      </c>
      <c r="AV27" s="49">
        <f t="shared" si="16"/>
        <v>0</v>
      </c>
      <c r="AW27" s="49">
        <f t="shared" si="17"/>
        <v>0</v>
      </c>
      <c r="AX27" s="50">
        <f t="shared" si="18"/>
        <v>0</v>
      </c>
      <c r="AY27" s="86"/>
      <c r="AZ27" s="61"/>
      <c r="BA27" s="61"/>
      <c r="BB27" s="61"/>
      <c r="BC27" s="61"/>
      <c r="BD27" s="61"/>
      <c r="BE27" s="66"/>
      <c r="BF27" s="184" t="str">
        <f>IFERROR(AD27/#REF!,"")</f>
        <v/>
      </c>
      <c r="BG27" s="97" t="str">
        <f>IFERROR(AE27/#REF!,"")</f>
        <v/>
      </c>
      <c r="BH27" s="97" t="str">
        <f>IFERROR(AF27/#REF!,"")</f>
        <v/>
      </c>
      <c r="BI27" s="97" t="str">
        <f>IFERROR(AG27/#REF!,"")</f>
        <v/>
      </c>
      <c r="BJ27" s="97" t="str">
        <f>IFERROR(AH27/#REF!,"")</f>
        <v/>
      </c>
      <c r="BK27" s="97" t="str">
        <f>IFERROR(AI27/#REF!,"")</f>
        <v/>
      </c>
      <c r="BL27" s="96" t="str">
        <f>IFERROR(AJ27/#REF!,"")</f>
        <v/>
      </c>
      <c r="BM27" s="49">
        <f t="shared" si="51"/>
        <v>0</v>
      </c>
      <c r="BN27" s="49">
        <f t="shared" si="52"/>
        <v>0</v>
      </c>
      <c r="BO27" s="49">
        <f t="shared" si="53"/>
        <v>0</v>
      </c>
      <c r="BP27" s="49">
        <f t="shared" si="54"/>
        <v>0</v>
      </c>
      <c r="BQ27" s="49">
        <f t="shared" si="55"/>
        <v>0</v>
      </c>
      <c r="BR27" s="49">
        <f t="shared" si="56"/>
        <v>0</v>
      </c>
      <c r="BS27" s="50">
        <f t="shared" si="57"/>
        <v>0</v>
      </c>
      <c r="BT27" s="17"/>
      <c r="BU27" s="17"/>
      <c r="BV27" s="17"/>
      <c r="BW27" s="17"/>
      <c r="BX27" s="17"/>
      <c r="BY27" s="17"/>
      <c r="BZ27" s="18"/>
      <c r="CA27" s="49"/>
    </row>
    <row r="28" spans="1:79" x14ac:dyDescent="0.25">
      <c r="A28" s="60" t="s">
        <v>56</v>
      </c>
      <c r="B28" s="61">
        <v>19989.033333333336</v>
      </c>
      <c r="C28" s="61">
        <v>18608.88</v>
      </c>
      <c r="D28" s="61">
        <v>18831.95</v>
      </c>
      <c r="E28" s="61">
        <v>18566.980000000003</v>
      </c>
      <c r="F28" s="61">
        <v>17834.260000000002</v>
      </c>
      <c r="G28" s="61">
        <v>17453.46</v>
      </c>
      <c r="H28" s="66">
        <v>17575.16</v>
      </c>
      <c r="I28" s="61">
        <f t="shared" si="28"/>
        <v>100</v>
      </c>
      <c r="J28" s="61">
        <f t="shared" si="29"/>
        <v>93.095447336956411</v>
      </c>
      <c r="K28" s="61">
        <f t="shared" si="30"/>
        <v>94.211409256075413</v>
      </c>
      <c r="L28" s="61">
        <f t="shared" si="31"/>
        <v>92.885832398098287</v>
      </c>
      <c r="M28" s="61">
        <f t="shared" si="32"/>
        <v>89.220222421961367</v>
      </c>
      <c r="N28" s="61">
        <f t="shared" si="33"/>
        <v>87.315177822505987</v>
      </c>
      <c r="O28" s="66">
        <f t="shared" si="33"/>
        <v>87.924011666397064</v>
      </c>
      <c r="P28" s="61">
        <v>47313.402267559853</v>
      </c>
      <c r="Q28" s="61">
        <v>61799.68791875078</v>
      </c>
      <c r="R28" s="61">
        <v>48829.265922302387</v>
      </c>
      <c r="S28" s="61">
        <v>55666.119650785913</v>
      </c>
      <c r="T28" s="61">
        <v>92707</v>
      </c>
      <c r="U28" s="61">
        <v>176597</v>
      </c>
      <c r="V28" s="66">
        <v>176597</v>
      </c>
      <c r="W28" s="61">
        <f t="shared" si="6"/>
        <v>100</v>
      </c>
      <c r="X28" s="61">
        <f t="shared" si="7"/>
        <v>130.61772131555915</v>
      </c>
      <c r="Y28" s="61">
        <f t="shared" si="8"/>
        <v>103.20387793329731</v>
      </c>
      <c r="Z28" s="61">
        <f t="shared" si="9"/>
        <v>117.65401975531371</v>
      </c>
      <c r="AA28" s="61">
        <f t="shared" si="10"/>
        <v>195.9423663420713</v>
      </c>
      <c r="AB28" s="61">
        <f t="shared" si="11"/>
        <v>373.24942095969845</v>
      </c>
      <c r="AC28" s="66">
        <f t="shared" si="11"/>
        <v>373.24942095969845</v>
      </c>
      <c r="AD28" s="49"/>
      <c r="AE28" s="49"/>
      <c r="AF28" s="49"/>
      <c r="AG28" s="49"/>
      <c r="AH28" s="49"/>
      <c r="AI28" s="49"/>
      <c r="AJ28" s="50"/>
      <c r="AK28" s="49">
        <v>0</v>
      </c>
      <c r="AL28" s="49">
        <v>0</v>
      </c>
      <c r="AM28" s="49">
        <v>0</v>
      </c>
      <c r="AN28" s="49">
        <v>0</v>
      </c>
      <c r="AO28" s="49"/>
      <c r="AP28" s="49"/>
      <c r="AQ28" s="50"/>
      <c r="AR28" s="49">
        <f t="shared" si="12"/>
        <v>0</v>
      </c>
      <c r="AS28" s="49">
        <f t="shared" si="13"/>
        <v>0</v>
      </c>
      <c r="AT28" s="49">
        <f t="shared" si="14"/>
        <v>0</v>
      </c>
      <c r="AU28" s="49">
        <f t="shared" si="15"/>
        <v>0</v>
      </c>
      <c r="AV28" s="49">
        <f t="shared" si="16"/>
        <v>0</v>
      </c>
      <c r="AW28" s="49">
        <f t="shared" si="17"/>
        <v>0</v>
      </c>
      <c r="AX28" s="50">
        <f t="shared" si="18"/>
        <v>0</v>
      </c>
      <c r="AY28" s="86"/>
      <c r="AZ28" s="61"/>
      <c r="BA28" s="61"/>
      <c r="BB28" s="61"/>
      <c r="BC28" s="61"/>
      <c r="BD28" s="61"/>
      <c r="BE28" s="66"/>
      <c r="BF28" s="184" t="str">
        <f>IFERROR(AD28/#REF!,"")</f>
        <v/>
      </c>
      <c r="BG28" s="97" t="str">
        <f>IFERROR(AE28/#REF!,"")</f>
        <v/>
      </c>
      <c r="BH28" s="97" t="str">
        <f>IFERROR(AF28/#REF!,"")</f>
        <v/>
      </c>
      <c r="BI28" s="97" t="str">
        <f>IFERROR(AG28/#REF!,"")</f>
        <v/>
      </c>
      <c r="BJ28" s="97" t="str">
        <f>IFERROR(AH28/#REF!,"")</f>
        <v/>
      </c>
      <c r="BK28" s="97" t="str">
        <f>IFERROR(AI28/#REF!,"")</f>
        <v/>
      </c>
      <c r="BL28" s="96" t="str">
        <f>IFERROR(AJ28/#REF!,"")</f>
        <v/>
      </c>
      <c r="BM28" s="49">
        <f t="shared" si="51"/>
        <v>0</v>
      </c>
      <c r="BN28" s="49">
        <f t="shared" si="52"/>
        <v>0</v>
      </c>
      <c r="BO28" s="49">
        <f t="shared" si="53"/>
        <v>0</v>
      </c>
      <c r="BP28" s="49">
        <f t="shared" si="54"/>
        <v>0</v>
      </c>
      <c r="BQ28" s="49">
        <f t="shared" si="55"/>
        <v>0</v>
      </c>
      <c r="BR28" s="49">
        <f t="shared" si="56"/>
        <v>0</v>
      </c>
      <c r="BS28" s="50">
        <f t="shared" si="57"/>
        <v>0</v>
      </c>
      <c r="BT28" s="17">
        <v>0</v>
      </c>
      <c r="BU28" s="17">
        <v>0</v>
      </c>
      <c r="BV28" s="17">
        <v>0</v>
      </c>
      <c r="BW28" s="17">
        <v>0</v>
      </c>
      <c r="BX28" s="17"/>
      <c r="BY28" s="17"/>
      <c r="BZ28" s="18"/>
      <c r="CA28" s="49"/>
    </row>
    <row r="29" spans="1:79" ht="16.5" thickBot="1" x14ac:dyDescent="0.3">
      <c r="A29" s="67" t="s">
        <v>57</v>
      </c>
      <c r="B29" s="68">
        <f t="shared" ref="B29:V29" si="69">SUBTOTAL(9,B6:B28)</f>
        <v>1895043.6900000002</v>
      </c>
      <c r="C29" s="68">
        <f t="shared" si="69"/>
        <v>1854608.4781637741</v>
      </c>
      <c r="D29" s="68">
        <f t="shared" si="69"/>
        <v>1854469.9699999997</v>
      </c>
      <c r="E29" s="68">
        <f t="shared" si="69"/>
        <v>1847286.1666666665</v>
      </c>
      <c r="F29" s="68">
        <f t="shared" si="69"/>
        <v>1791804.1267735031</v>
      </c>
      <c r="G29" s="68">
        <f t="shared" si="69"/>
        <v>1713778.4127839964</v>
      </c>
      <c r="H29" s="68">
        <f t="shared" si="69"/>
        <v>1694948.1173310592</v>
      </c>
      <c r="I29" s="68">
        <f t="shared" si="28"/>
        <v>100</v>
      </c>
      <c r="J29" s="68">
        <f t="shared" si="29"/>
        <v>97.866264928370811</v>
      </c>
      <c r="K29" s="68">
        <f t="shared" si="30"/>
        <v>97.858955958952038</v>
      </c>
      <c r="L29" s="68">
        <f t="shared" si="31"/>
        <v>97.479872174697263</v>
      </c>
      <c r="M29" s="68">
        <f t="shared" si="32"/>
        <v>94.55212754348176</v>
      </c>
      <c r="N29" s="68">
        <f t="shared" si="33"/>
        <v>90.434770545263589</v>
      </c>
      <c r="O29" s="68">
        <f t="shared" si="33"/>
        <v>89.441110317148372</v>
      </c>
      <c r="P29" s="68">
        <f t="shared" si="69"/>
        <v>56222184.035248734</v>
      </c>
      <c r="Q29" s="68">
        <f t="shared" si="69"/>
        <v>37148871.088664241</v>
      </c>
      <c r="R29" s="68">
        <f t="shared" si="69"/>
        <v>35386683.448420525</v>
      </c>
      <c r="S29" s="68">
        <f t="shared" si="69"/>
        <v>46679380.912356772</v>
      </c>
      <c r="T29" s="68">
        <f t="shared" si="69"/>
        <v>49414115</v>
      </c>
      <c r="U29" s="68">
        <f t="shared" si="69"/>
        <v>48827953</v>
      </c>
      <c r="V29" s="68">
        <f t="shared" si="69"/>
        <v>48827953</v>
      </c>
      <c r="W29" s="68">
        <f t="shared" si="6"/>
        <v>100</v>
      </c>
      <c r="X29" s="68">
        <f t="shared" si="7"/>
        <v>66.07511203295411</v>
      </c>
      <c r="Y29" s="68">
        <f t="shared" si="8"/>
        <v>62.940784061740999</v>
      </c>
      <c r="Z29" s="68">
        <f t="shared" si="9"/>
        <v>83.02662323308347</v>
      </c>
      <c r="AA29" s="68">
        <f t="shared" si="10"/>
        <v>87.890778076176503</v>
      </c>
      <c r="AB29" s="68">
        <f t="shared" si="11"/>
        <v>86.848196735628619</v>
      </c>
      <c r="AC29" s="68">
        <f t="shared" si="11"/>
        <v>86.848196735628619</v>
      </c>
      <c r="AD29" s="71">
        <f t="shared" ref="AD29:AJ29" si="70">SUBTOTAL(9,AD6:AD28)</f>
        <v>685.51131050000004</v>
      </c>
      <c r="AE29" s="71">
        <f t="shared" si="70"/>
        <v>478.96302700000001</v>
      </c>
      <c r="AF29" s="71">
        <f t="shared" si="70"/>
        <v>459.022763</v>
      </c>
      <c r="AG29" s="71">
        <f t="shared" si="70"/>
        <v>615.04941610428023</v>
      </c>
      <c r="AH29" s="71">
        <f t="shared" si="70"/>
        <v>676.86207511722432</v>
      </c>
      <c r="AI29" s="71">
        <f t="shared" si="70"/>
        <v>721.01299999999992</v>
      </c>
      <c r="AJ29" s="71">
        <f t="shared" si="70"/>
        <v>730.29700000000003</v>
      </c>
      <c r="AK29" s="71">
        <f t="shared" ref="AK29:AQ29" si="71">SUBTOTAL(9,AK6:AK28)</f>
        <v>1391.0046257400002</v>
      </c>
      <c r="AL29" s="71">
        <f t="shared" si="71"/>
        <v>1348.32941701</v>
      </c>
      <c r="AM29" s="71">
        <f t="shared" si="71"/>
        <v>1385.9570299300001</v>
      </c>
      <c r="AN29" s="71">
        <f t="shared" si="71"/>
        <v>1510.7450376576003</v>
      </c>
      <c r="AO29" s="71">
        <f t="shared" si="71"/>
        <v>1450.75882355</v>
      </c>
      <c r="AP29" s="71">
        <f t="shared" si="71"/>
        <v>1453.18761847</v>
      </c>
      <c r="AQ29" s="72">
        <f t="shared" si="71"/>
        <v>1515.6164958999998</v>
      </c>
      <c r="AR29" s="71">
        <f t="shared" si="12"/>
        <v>734.02245714978744</v>
      </c>
      <c r="AS29" s="71">
        <f t="shared" si="13"/>
        <v>727.0156655085309</v>
      </c>
      <c r="AT29" s="71">
        <f t="shared" si="14"/>
        <v>747.36019043220222</v>
      </c>
      <c r="AU29" s="71">
        <f t="shared" si="15"/>
        <v>817.8186276269596</v>
      </c>
      <c r="AV29" s="71">
        <f t="shared" si="16"/>
        <v>809.66373604819046</v>
      </c>
      <c r="AW29" s="71">
        <f t="shared" si="17"/>
        <v>847.94370592480959</v>
      </c>
      <c r="AX29" s="72">
        <f t="shared" si="18"/>
        <v>894.19639480561625</v>
      </c>
      <c r="AY29" s="70">
        <f t="shared" ref="AY29:BE29" si="72">AR29/$AR29*100</f>
        <v>100</v>
      </c>
      <c r="AZ29" s="68">
        <f t="shared" si="72"/>
        <v>99.045425439915832</v>
      </c>
      <c r="BA29" s="68">
        <f t="shared" si="72"/>
        <v>101.81707428056154</v>
      </c>
      <c r="BB29" s="68">
        <f t="shared" si="72"/>
        <v>111.41602271987058</v>
      </c>
      <c r="BC29" s="68">
        <f t="shared" si="72"/>
        <v>110.30503606008438</v>
      </c>
      <c r="BD29" s="68">
        <f t="shared" si="72"/>
        <v>115.52013125284735</v>
      </c>
      <c r="BE29" s="69">
        <f t="shared" si="72"/>
        <v>121.82139471287907</v>
      </c>
      <c r="BF29" s="185" t="str">
        <f>IFERROR(AD29/#REF!,"")</f>
        <v/>
      </c>
      <c r="BG29" s="98" t="str">
        <f>IFERROR(AE29/#REF!,"")</f>
        <v/>
      </c>
      <c r="BH29" s="98" t="str">
        <f>IFERROR(AF29/#REF!,"")</f>
        <v/>
      </c>
      <c r="BI29" s="98" t="str">
        <f>IFERROR(AG29/#REF!,"")</f>
        <v/>
      </c>
      <c r="BJ29" s="98" t="str">
        <f>IFERROR(AH29/#REF!,"")</f>
        <v/>
      </c>
      <c r="BK29" s="98" t="str">
        <f>IFERROR(AI29/#REF!,"")</f>
        <v/>
      </c>
      <c r="BL29" s="101" t="str">
        <f>IFERROR(AJ29/#REF!,"")</f>
        <v/>
      </c>
      <c r="BM29" s="71">
        <f t="shared" si="51"/>
        <v>705.49331524000013</v>
      </c>
      <c r="BN29" s="71">
        <f t="shared" si="52"/>
        <v>642.12373633000004</v>
      </c>
      <c r="BO29" s="71">
        <f t="shared" si="53"/>
        <v>696.31896427000015</v>
      </c>
      <c r="BP29" s="71">
        <f t="shared" si="54"/>
        <v>843.35296877760027</v>
      </c>
      <c r="BQ29" s="71">
        <f t="shared" si="55"/>
        <v>744.08427880277566</v>
      </c>
      <c r="BR29" s="71">
        <f t="shared" si="56"/>
        <v>732.17461847000004</v>
      </c>
      <c r="BS29" s="72">
        <f t="shared" si="57"/>
        <v>785.31949589999977</v>
      </c>
      <c r="BT29" s="71">
        <f t="shared" ref="BT29:BY29" si="73">SUBTOTAL(9,BT6:BT28)</f>
        <v>0</v>
      </c>
      <c r="BU29" s="71">
        <f t="shared" si="73"/>
        <v>227.24265367999999</v>
      </c>
      <c r="BV29" s="71">
        <f t="shared" si="73"/>
        <v>230.61530266000003</v>
      </c>
      <c r="BW29" s="71">
        <f t="shared" si="73"/>
        <v>52.342652775719792</v>
      </c>
      <c r="BX29" s="71">
        <f t="shared" si="73"/>
        <v>29.812469630000002</v>
      </c>
      <c r="BY29" s="71">
        <f t="shared" si="73"/>
        <v>0</v>
      </c>
      <c r="BZ29" s="71"/>
      <c r="CA29" s="93"/>
    </row>
    <row r="30" spans="1:79" ht="16.5" thickTop="1" x14ac:dyDescent="0.25">
      <c r="U30" s="73"/>
      <c r="V30" s="73" t="s">
        <v>180</v>
      </c>
    </row>
    <row r="32" spans="1:79" x14ac:dyDescent="0.25">
      <c r="T32" s="61"/>
      <c r="U32" s="61"/>
      <c r="V32" s="61"/>
    </row>
    <row r="33" spans="41:41" x14ac:dyDescent="0.25">
      <c r="AO33" s="104"/>
    </row>
  </sheetData>
  <mergeCells count="11">
    <mergeCell ref="B4:H4"/>
    <mergeCell ref="I4:O4"/>
    <mergeCell ref="P4:V4"/>
    <mergeCell ref="W4:AC4"/>
    <mergeCell ref="AD4:AJ4"/>
    <mergeCell ref="BM4:BS4"/>
    <mergeCell ref="BT4:BZ4"/>
    <mergeCell ref="AK4:AQ4"/>
    <mergeCell ref="AR4:AX4"/>
    <mergeCell ref="AY4:BE4"/>
    <mergeCell ref="BF4:BL4"/>
  </mergeCells>
  <pageMargins left="0.7" right="0.7" top="0.75" bottom="0.75" header="0.3" footer="0.3"/>
  <pageSetup paperSize="8" scale="2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C4F5-792E-489F-9420-5E0FED76A0F4}">
  <sheetPr>
    <pageSetUpPr fitToPage="1"/>
  </sheetPr>
  <dimension ref="A1:CC55"/>
  <sheetViews>
    <sheetView zoomScale="69" zoomScaleNormal="70" workbookViewId="0">
      <pane xSplit="1" ySplit="5" topLeftCell="AK6" activePane="bottomRight" state="frozen"/>
      <selection activeCell="AI16" sqref="AI16"/>
      <selection pane="topRight" activeCell="AI16" sqref="AI16"/>
      <selection pane="bottomLeft" activeCell="AI16" sqref="AI16"/>
      <selection pane="bottomRight" activeCell="BM4" sqref="BM4:BS6"/>
    </sheetView>
  </sheetViews>
  <sheetFormatPr defaultColWidth="9" defaultRowHeight="15.75" outlineLevelCol="1" x14ac:dyDescent="0.25"/>
  <cols>
    <col min="1" max="1" width="28.25" style="1" customWidth="1"/>
    <col min="2" max="8" width="10.625" style="1" customWidth="1"/>
    <col min="9" max="15" width="8.625" style="1" customWidth="1"/>
    <col min="16" max="22" width="12.625" style="13" customWidth="1"/>
    <col min="23" max="36" width="8.625" style="1" customWidth="1"/>
    <col min="37" max="50" width="8.625" style="1" customWidth="1" outlineLevel="1"/>
    <col min="51" max="71" width="8.625" style="1" customWidth="1"/>
    <col min="72" max="74" width="6.75" style="1" bestFit="1" customWidth="1"/>
    <col min="75" max="75" width="8.75" style="13" bestFit="1" customWidth="1"/>
    <col min="76" max="76" width="7.75" style="13" bestFit="1" customWidth="1"/>
    <col min="77" max="77" width="6.75" style="1" bestFit="1" customWidth="1"/>
    <col min="78" max="78" width="6.75" style="1" customWidth="1"/>
    <col min="79" max="16384" width="9" style="1"/>
  </cols>
  <sheetData>
    <row r="1" spans="1:81" hidden="1" x14ac:dyDescent="0.25"/>
    <row r="2" spans="1:81" hidden="1" x14ac:dyDescent="0.25">
      <c r="A2" s="2" t="s">
        <v>32</v>
      </c>
      <c r="B2" s="2"/>
      <c r="C2" s="2"/>
      <c r="D2" s="2"/>
      <c r="E2" s="13"/>
      <c r="AD2" s="13"/>
      <c r="AE2" s="13"/>
      <c r="AF2" s="13"/>
      <c r="AG2" s="13"/>
    </row>
    <row r="3" spans="1:81" hidden="1" x14ac:dyDescent="0.25"/>
    <row r="4" spans="1:81" s="6" customFormat="1" ht="40.9" customHeight="1" x14ac:dyDescent="0.25">
      <c r="A4" s="5"/>
      <c r="B4" s="201" t="s">
        <v>1</v>
      </c>
      <c r="C4" s="202"/>
      <c r="D4" s="202"/>
      <c r="E4" s="202"/>
      <c r="F4" s="202"/>
      <c r="G4" s="202"/>
      <c r="H4" s="203"/>
      <c r="I4" s="201" t="s">
        <v>156</v>
      </c>
      <c r="J4" s="202"/>
      <c r="K4" s="202"/>
      <c r="L4" s="202"/>
      <c r="M4" s="202"/>
      <c r="N4" s="202"/>
      <c r="O4" s="203"/>
      <c r="P4" s="201" t="s">
        <v>2</v>
      </c>
      <c r="Q4" s="202"/>
      <c r="R4" s="202"/>
      <c r="S4" s="202"/>
      <c r="T4" s="202"/>
      <c r="U4" s="202"/>
      <c r="V4" s="203"/>
      <c r="W4" s="201" t="s">
        <v>7</v>
      </c>
      <c r="X4" s="202"/>
      <c r="Y4" s="202"/>
      <c r="Z4" s="202"/>
      <c r="AA4" s="202"/>
      <c r="AB4" s="202"/>
      <c r="AC4" s="203"/>
      <c r="AD4" s="201" t="s">
        <v>3</v>
      </c>
      <c r="AE4" s="202"/>
      <c r="AF4" s="202"/>
      <c r="AG4" s="202"/>
      <c r="AH4" s="202"/>
      <c r="AI4" s="202"/>
      <c r="AJ4" s="203"/>
      <c r="AK4" s="208" t="s">
        <v>4</v>
      </c>
      <c r="AL4" s="209"/>
      <c r="AM4" s="209"/>
      <c r="AN4" s="209"/>
      <c r="AO4" s="209"/>
      <c r="AP4" s="209"/>
      <c r="AQ4" s="210"/>
      <c r="AR4" s="208" t="s">
        <v>8</v>
      </c>
      <c r="AS4" s="209"/>
      <c r="AT4" s="209"/>
      <c r="AU4" s="209"/>
      <c r="AV4" s="209"/>
      <c r="AW4" s="209"/>
      <c r="AX4" s="210"/>
      <c r="AY4" s="202" t="s">
        <v>155</v>
      </c>
      <c r="AZ4" s="202"/>
      <c r="BA4" s="202"/>
      <c r="BB4" s="202"/>
      <c r="BC4" s="202"/>
      <c r="BD4" s="202"/>
      <c r="BE4" s="203"/>
      <c r="BF4" s="202" t="s">
        <v>242</v>
      </c>
      <c r="BG4" s="202"/>
      <c r="BH4" s="202"/>
      <c r="BI4" s="202"/>
      <c r="BJ4" s="202"/>
      <c r="BK4" s="202"/>
      <c r="BL4" s="203"/>
      <c r="BM4" s="191" t="s">
        <v>243</v>
      </c>
      <c r="BN4" s="191"/>
      <c r="BO4" s="191"/>
      <c r="BP4" s="191"/>
      <c r="BQ4" s="191"/>
      <c r="BR4" s="191"/>
      <c r="BS4" s="192" t="s">
        <v>5</v>
      </c>
      <c r="BT4" s="211" t="s">
        <v>244</v>
      </c>
      <c r="BU4" s="211"/>
      <c r="BV4" s="211"/>
      <c r="BW4" s="211"/>
      <c r="BX4" s="211"/>
      <c r="BY4" s="211"/>
      <c r="BZ4" s="212"/>
      <c r="CC4" s="17"/>
    </row>
    <row r="5" spans="1:81" x14ac:dyDescent="0.25">
      <c r="A5" s="7" t="s">
        <v>9</v>
      </c>
      <c r="B5" s="8" t="s">
        <v>10</v>
      </c>
      <c r="C5" s="9" t="s">
        <v>11</v>
      </c>
      <c r="D5" s="9" t="s">
        <v>12</v>
      </c>
      <c r="E5" s="10" t="s">
        <v>13</v>
      </c>
      <c r="F5" s="10" t="s">
        <v>157</v>
      </c>
      <c r="G5" s="10" t="s">
        <v>158</v>
      </c>
      <c r="H5" s="11" t="s">
        <v>159</v>
      </c>
      <c r="I5" s="8" t="s">
        <v>10</v>
      </c>
      <c r="J5" s="9" t="s">
        <v>11</v>
      </c>
      <c r="K5" s="9" t="s">
        <v>12</v>
      </c>
      <c r="L5" s="10" t="s">
        <v>13</v>
      </c>
      <c r="M5" s="10" t="s">
        <v>157</v>
      </c>
      <c r="N5" s="10" t="s">
        <v>158</v>
      </c>
      <c r="O5" s="11" t="s">
        <v>159</v>
      </c>
      <c r="P5" s="8" t="s">
        <v>10</v>
      </c>
      <c r="Q5" s="9" t="s">
        <v>11</v>
      </c>
      <c r="R5" s="9" t="s">
        <v>12</v>
      </c>
      <c r="S5" s="10" t="s">
        <v>13</v>
      </c>
      <c r="T5" s="10" t="s">
        <v>157</v>
      </c>
      <c r="U5" s="10" t="s">
        <v>158</v>
      </c>
      <c r="V5" s="11" t="s">
        <v>159</v>
      </c>
      <c r="W5" s="8" t="s">
        <v>10</v>
      </c>
      <c r="X5" s="9" t="s">
        <v>11</v>
      </c>
      <c r="Y5" s="9" t="s">
        <v>12</v>
      </c>
      <c r="Z5" s="10" t="s">
        <v>13</v>
      </c>
      <c r="AA5" s="10" t="s">
        <v>157</v>
      </c>
      <c r="AB5" s="10" t="s">
        <v>158</v>
      </c>
      <c r="AC5" s="11" t="s">
        <v>159</v>
      </c>
      <c r="AD5" s="8" t="s">
        <v>10</v>
      </c>
      <c r="AE5" s="9" t="s">
        <v>11</v>
      </c>
      <c r="AF5" s="9" t="s">
        <v>12</v>
      </c>
      <c r="AG5" s="10" t="s">
        <v>13</v>
      </c>
      <c r="AH5" s="10" t="s">
        <v>157</v>
      </c>
      <c r="AI5" s="10" t="s">
        <v>158</v>
      </c>
      <c r="AJ5" s="11" t="s">
        <v>159</v>
      </c>
      <c r="AK5" s="81" t="s">
        <v>10</v>
      </c>
      <c r="AL5" s="82" t="s">
        <v>11</v>
      </c>
      <c r="AM5" s="82" t="s">
        <v>12</v>
      </c>
      <c r="AN5" s="83" t="s">
        <v>13</v>
      </c>
      <c r="AO5" s="83" t="s">
        <v>157</v>
      </c>
      <c r="AP5" s="83" t="s">
        <v>158</v>
      </c>
      <c r="AQ5" s="84" t="s">
        <v>159</v>
      </c>
      <c r="AR5" s="81" t="s">
        <v>10</v>
      </c>
      <c r="AS5" s="82" t="s">
        <v>11</v>
      </c>
      <c r="AT5" s="82" t="s">
        <v>12</v>
      </c>
      <c r="AU5" s="83" t="s">
        <v>13</v>
      </c>
      <c r="AV5" s="83" t="s">
        <v>157</v>
      </c>
      <c r="AW5" s="83" t="s">
        <v>158</v>
      </c>
      <c r="AX5" s="84" t="s">
        <v>159</v>
      </c>
      <c r="AY5" s="10" t="s">
        <v>10</v>
      </c>
      <c r="AZ5" s="9" t="s">
        <v>11</v>
      </c>
      <c r="BA5" s="9" t="s">
        <v>12</v>
      </c>
      <c r="BB5" s="10" t="s">
        <v>13</v>
      </c>
      <c r="BC5" s="10" t="s">
        <v>157</v>
      </c>
      <c r="BD5" s="10" t="s">
        <v>158</v>
      </c>
      <c r="BE5" s="11" t="s">
        <v>159</v>
      </c>
      <c r="BF5" s="10" t="s">
        <v>10</v>
      </c>
      <c r="BG5" s="9" t="s">
        <v>11</v>
      </c>
      <c r="BH5" s="9" t="s">
        <v>12</v>
      </c>
      <c r="BI5" s="10" t="s">
        <v>13</v>
      </c>
      <c r="BJ5" s="10" t="s">
        <v>157</v>
      </c>
      <c r="BK5" s="10" t="s">
        <v>158</v>
      </c>
      <c r="BL5" s="11" t="s">
        <v>159</v>
      </c>
      <c r="BM5" s="37" t="s">
        <v>10</v>
      </c>
      <c r="BN5" s="36" t="s">
        <v>11</v>
      </c>
      <c r="BO5" s="36" t="s">
        <v>12</v>
      </c>
      <c r="BP5" s="37" t="s">
        <v>13</v>
      </c>
      <c r="BQ5" s="37" t="s">
        <v>157</v>
      </c>
      <c r="BR5" s="37" t="s">
        <v>158</v>
      </c>
      <c r="BS5" s="38" t="s">
        <v>159</v>
      </c>
      <c r="BT5" s="37" t="s">
        <v>10</v>
      </c>
      <c r="BU5" s="36" t="s">
        <v>11</v>
      </c>
      <c r="BV5" s="36" t="s">
        <v>12</v>
      </c>
      <c r="BW5" s="37" t="s">
        <v>13</v>
      </c>
      <c r="BX5" s="37" t="s">
        <v>157</v>
      </c>
      <c r="BY5" s="37" t="s">
        <v>158</v>
      </c>
      <c r="BZ5" s="38" t="s">
        <v>159</v>
      </c>
    </row>
    <row r="6" spans="1:81" x14ac:dyDescent="0.25">
      <c r="A6" s="3" t="s">
        <v>92</v>
      </c>
      <c r="B6" s="13">
        <v>1077094.4200273782</v>
      </c>
      <c r="C6" s="13">
        <v>954256.97855011269</v>
      </c>
      <c r="D6" s="13">
        <v>959949.30613812048</v>
      </c>
      <c r="E6" s="13">
        <v>970922.96100739227</v>
      </c>
      <c r="F6" s="13">
        <v>978629.79107496154</v>
      </c>
      <c r="G6" s="13">
        <v>968994.87044380815</v>
      </c>
      <c r="H6" s="23">
        <v>943681.98199999996</v>
      </c>
      <c r="I6" s="13">
        <f t="shared" ref="I6" si="0">+B6/$B6*100</f>
        <v>100</v>
      </c>
      <c r="J6" s="13">
        <f t="shared" ref="J6" si="1">+C6/$B6*100</f>
        <v>88.595480656733585</v>
      </c>
      <c r="K6" s="13">
        <f t="shared" ref="K6" si="2">+D6/$B6*100</f>
        <v>89.123969847854184</v>
      </c>
      <c r="L6" s="13">
        <f t="shared" ref="L6" si="3">+E6/$B6*100</f>
        <v>90.142789987038725</v>
      </c>
      <c r="M6" s="13">
        <f t="shared" ref="M6" si="4">+F6/$B6*100</f>
        <v>90.858310365221854</v>
      </c>
      <c r="N6" s="13">
        <f t="shared" ref="N6:O6" si="5">+G6/$B6*100</f>
        <v>89.963781487158528</v>
      </c>
      <c r="O6" s="23">
        <f t="shared" si="5"/>
        <v>87.613672901212581</v>
      </c>
      <c r="P6" s="13">
        <v>73194029.516678125</v>
      </c>
      <c r="Q6" s="13">
        <v>41178668.797244608</v>
      </c>
      <c r="R6" s="13">
        <v>41655682.723524071</v>
      </c>
      <c r="S6" s="13">
        <v>51950974.736857928</v>
      </c>
      <c r="T6" s="13">
        <v>57137177.728078797</v>
      </c>
      <c r="U6" s="13">
        <v>58665302.492606997</v>
      </c>
      <c r="V6" s="23">
        <v>56480896.675455756</v>
      </c>
      <c r="W6" s="13">
        <f t="shared" ref="W6:W53" si="6">IFERROR(+P6/$P6*100,"")</f>
        <v>100</v>
      </c>
      <c r="X6" s="13">
        <f t="shared" ref="X6:X53" si="7">IFERROR(+Q6/$P6*100,"")</f>
        <v>56.259600775035288</v>
      </c>
      <c r="Y6" s="13">
        <f t="shared" ref="Y6:Y53" si="8">IFERROR(+R6/$P6*100,"")</f>
        <v>56.911312300455229</v>
      </c>
      <c r="Z6" s="13">
        <f t="shared" ref="Z6:Z53" si="9">IFERROR(+S6/$P6*100,"")</f>
        <v>70.977066134909663</v>
      </c>
      <c r="AA6" s="13">
        <f t="shared" ref="AA6:AA53" si="10">IFERROR(+T6/$P6*100,"")</f>
        <v>78.062620824912258</v>
      </c>
      <c r="AB6" s="13">
        <f t="shared" ref="AB6:AC53" si="11">IFERROR(+U6/$P6*100,"")</f>
        <v>80.150393249273719</v>
      </c>
      <c r="AC6" s="23">
        <f t="shared" si="11"/>
        <v>77.165988876983363</v>
      </c>
      <c r="AD6" s="13">
        <v>496.74610401674585</v>
      </c>
      <c r="AE6" s="13">
        <v>279.97470130814554</v>
      </c>
      <c r="AF6" s="13">
        <v>304.90707006988339</v>
      </c>
      <c r="AG6" s="13">
        <v>375.85503167682566</v>
      </c>
      <c r="AH6" s="13">
        <v>445.70241837657773</v>
      </c>
      <c r="AI6" s="13">
        <v>503.07068987326136</v>
      </c>
      <c r="AJ6" s="23">
        <v>494.33979091459958</v>
      </c>
      <c r="AK6" s="17">
        <v>729.80119353465375</v>
      </c>
      <c r="AL6" s="17">
        <v>669.52727743039338</v>
      </c>
      <c r="AM6" s="17">
        <v>707.7284230219384</v>
      </c>
      <c r="AN6" s="17">
        <v>790.85168472957685</v>
      </c>
      <c r="AO6" s="17">
        <v>803.10115477667023</v>
      </c>
      <c r="AP6" s="17">
        <v>780.25905715569877</v>
      </c>
      <c r="AQ6" s="18">
        <v>819.58903316908265</v>
      </c>
      <c r="AR6" s="42">
        <f t="shared" ref="AR6:AR53" si="12">IFERROR(AK6*1000000/B6,"")</f>
        <v>677.56473338345143</v>
      </c>
      <c r="AS6" s="17">
        <f t="shared" ref="AS6:AS53" si="13">IFERROR(AL6*1000000/C6,"")</f>
        <v>701.62156785865534</v>
      </c>
      <c r="AT6" s="17">
        <f t="shared" ref="AT6:AT53" si="14">IFERROR(AM6*1000000/D6,"")</f>
        <v>737.25603893515211</v>
      </c>
      <c r="AU6" s="17">
        <f t="shared" ref="AU6:AU53" si="15">IFERROR(AN6*1000000/E6,"")</f>
        <v>814.53597915638909</v>
      </c>
      <c r="AV6" s="17">
        <f t="shared" ref="AV6:AV53" si="16">IFERROR(AO6*1000000/F6,"")</f>
        <v>820.63836815606805</v>
      </c>
      <c r="AW6" s="17">
        <f t="shared" ref="AW6:AW53" si="17">IFERROR(AP6*1000000/G6,"")</f>
        <v>805.22516780541184</v>
      </c>
      <c r="AX6" s="18">
        <f t="shared" ref="AX6:AX53" si="18">IFERROR(AQ6*1000000/H6,"")</f>
        <v>868.5013053148266</v>
      </c>
      <c r="AY6" s="13">
        <f t="shared" ref="AY6:BE6" si="19">AR6/$AR6*100</f>
        <v>100</v>
      </c>
      <c r="AZ6" s="13">
        <f t="shared" si="19"/>
        <v>103.55048503706428</v>
      </c>
      <c r="BA6" s="13">
        <f t="shared" si="19"/>
        <v>108.80968306210823</v>
      </c>
      <c r="BB6" s="13">
        <f t="shared" si="19"/>
        <v>120.21522653473495</v>
      </c>
      <c r="BC6" s="13">
        <f t="shared" si="19"/>
        <v>121.1158621048902</v>
      </c>
      <c r="BD6" s="13">
        <f t="shared" si="19"/>
        <v>118.84106833371951</v>
      </c>
      <c r="BE6" s="23">
        <f t="shared" si="19"/>
        <v>128.17982733220549</v>
      </c>
      <c r="BF6" s="21">
        <f>IFERROR(AD6/AK6,"")</f>
        <v>0.68065948427797196</v>
      </c>
      <c r="BG6" s="21">
        <f t="shared" ref="BG6:BL6" si="20">IFERROR(AE6/AL6,"")</f>
        <v>0.41816772930099594</v>
      </c>
      <c r="BH6" s="21">
        <f t="shared" si="20"/>
        <v>0.43082496074971371</v>
      </c>
      <c r="BI6" s="21">
        <f t="shared" si="20"/>
        <v>0.47525350066788469</v>
      </c>
      <c r="BJ6" s="21">
        <f t="shared" si="20"/>
        <v>0.55497668721509996</v>
      </c>
      <c r="BK6" s="21">
        <f t="shared" si="20"/>
        <v>0.64474828617449143</v>
      </c>
      <c r="BL6" s="21">
        <f t="shared" si="20"/>
        <v>0.60315569255868318</v>
      </c>
      <c r="BM6" s="168">
        <f t="shared" ref="BM6:BM52" si="21">+AK6-AD6-BT6</f>
        <v>233.0550895179079</v>
      </c>
      <c r="BN6" s="19">
        <f t="shared" ref="BN6:BN52" si="22">+AL6-AE6-BU6</f>
        <v>264.84442600224787</v>
      </c>
      <c r="BO6" s="19">
        <f t="shared" ref="BO6:BO52" si="23">+AM6-AF6-BV6</f>
        <v>283.13391302205503</v>
      </c>
      <c r="BP6" s="19">
        <f t="shared" ref="BP6:BP52" si="24">+AN6-AG6-BW6</f>
        <v>387.55882558275118</v>
      </c>
      <c r="BQ6" s="19">
        <f t="shared" ref="BQ6:BQ52" si="25">+AO6-AH6-BX6</f>
        <v>342.58732301009252</v>
      </c>
      <c r="BR6" s="19">
        <f t="shared" ref="BR6:BR52" si="26">+AP6-AI6-BY6</f>
        <v>276.80095933929431</v>
      </c>
      <c r="BS6" s="20">
        <f t="shared" ref="BS6:BS52" si="27">+AQ6-AJ6-BZ6</f>
        <v>325.24924225448308</v>
      </c>
      <c r="BT6" s="17"/>
      <c r="BU6" s="17">
        <v>124.70815011999998</v>
      </c>
      <c r="BV6" s="17">
        <v>119.68743993000001</v>
      </c>
      <c r="BW6" s="17">
        <v>27.437827470000006</v>
      </c>
      <c r="BX6" s="17">
        <v>14.811413389999998</v>
      </c>
      <c r="BY6" s="17">
        <v>0.38740794314312799</v>
      </c>
      <c r="BZ6" s="18">
        <v>0</v>
      </c>
    </row>
    <row r="7" spans="1:81" x14ac:dyDescent="0.25">
      <c r="A7" s="3" t="s">
        <v>93</v>
      </c>
      <c r="B7" s="13">
        <v>165265.52861931606</v>
      </c>
      <c r="C7" s="13">
        <v>160158.59465759996</v>
      </c>
      <c r="D7" s="13">
        <v>156596.24001159999</v>
      </c>
      <c r="E7" s="13">
        <v>158369.1401640001</v>
      </c>
      <c r="F7" s="13">
        <v>157554.32476314114</v>
      </c>
      <c r="G7" s="13">
        <v>150849.31050639998</v>
      </c>
      <c r="H7" s="23">
        <v>141377.40500000003</v>
      </c>
      <c r="I7" s="13">
        <f t="shared" ref="I7:I53" si="28">+B7/$B7*100</f>
        <v>100</v>
      </c>
      <c r="J7" s="13">
        <f t="shared" ref="J7:J53" si="29">+C7/$B7*100</f>
        <v>96.909861358033254</v>
      </c>
      <c r="K7" s="13">
        <f t="shared" ref="K7:K53" si="30">+D7/$B7*100</f>
        <v>94.754327366304253</v>
      </c>
      <c r="L7" s="13">
        <f t="shared" ref="L7:L53" si="31">+E7/$B7*100</f>
        <v>95.827085954989698</v>
      </c>
      <c r="M7" s="13">
        <f t="shared" ref="M7:M53" si="32">+F7/$B7*100</f>
        <v>95.334051861512251</v>
      </c>
      <c r="N7" s="13">
        <f t="shared" ref="N7:O53" si="33">+G7/$B7*100</f>
        <v>91.276935829659081</v>
      </c>
      <c r="O7" s="23">
        <f t="shared" si="33"/>
        <v>85.54561025588005</v>
      </c>
      <c r="P7" s="13">
        <v>10534508.42020669</v>
      </c>
      <c r="Q7" s="13">
        <v>6318962.477518389</v>
      </c>
      <c r="R7" s="13">
        <v>6240877.7298605833</v>
      </c>
      <c r="S7" s="13">
        <v>7835625.3177370159</v>
      </c>
      <c r="T7" s="13">
        <v>8614045.6502799913</v>
      </c>
      <c r="U7" s="13">
        <v>8735281.9371948037</v>
      </c>
      <c r="V7" s="23">
        <v>8644933.2547742128</v>
      </c>
      <c r="W7" s="13">
        <f t="shared" si="6"/>
        <v>100</v>
      </c>
      <c r="X7" s="13">
        <f t="shared" si="7"/>
        <v>59.983458415560399</v>
      </c>
      <c r="Y7" s="13">
        <f t="shared" si="8"/>
        <v>59.24223021066355</v>
      </c>
      <c r="Z7" s="13">
        <f t="shared" si="9"/>
        <v>74.380550142303449</v>
      </c>
      <c r="AA7" s="13">
        <f t="shared" si="10"/>
        <v>81.769792254919295</v>
      </c>
      <c r="AB7" s="13">
        <f t="shared" si="11"/>
        <v>82.920641274910238</v>
      </c>
      <c r="AC7" s="23">
        <f t="shared" si="11"/>
        <v>82.06299629693207</v>
      </c>
      <c r="AD7" s="13">
        <v>71.110102957435814</v>
      </c>
      <c r="AE7" s="13">
        <v>43.559013702772809</v>
      </c>
      <c r="AF7" s="13">
        <v>46.470568136603795</v>
      </c>
      <c r="AG7" s="13">
        <v>57.855124288189536</v>
      </c>
      <c r="AH7" s="13">
        <v>68.68236876589701</v>
      </c>
      <c r="AI7" s="13">
        <v>76.316663936018571</v>
      </c>
      <c r="AJ7" s="23">
        <v>75.88781111665655</v>
      </c>
      <c r="AK7" s="17">
        <v>106.28324952893867</v>
      </c>
      <c r="AL7" s="17">
        <v>108.26123013546631</v>
      </c>
      <c r="AM7" s="17">
        <v>110.47032189455507</v>
      </c>
      <c r="AN7" s="17">
        <v>119.54151881185223</v>
      </c>
      <c r="AO7" s="17">
        <v>120.94738780589196</v>
      </c>
      <c r="AP7" s="17">
        <v>115.05260477950604</v>
      </c>
      <c r="AQ7" s="18">
        <v>115.34938904427142</v>
      </c>
      <c r="AR7" s="42">
        <f t="shared" si="12"/>
        <v>643.10597870508605</v>
      </c>
      <c r="AS7" s="17">
        <f t="shared" si="13"/>
        <v>675.9626629274311</v>
      </c>
      <c r="AT7" s="17">
        <f t="shared" si="14"/>
        <v>705.44683503494014</v>
      </c>
      <c r="AU7" s="17">
        <f t="shared" si="15"/>
        <v>754.82836295038476</v>
      </c>
      <c r="AV7" s="17">
        <f t="shared" si="16"/>
        <v>767.65514363200055</v>
      </c>
      <c r="AW7" s="17">
        <f t="shared" si="17"/>
        <v>762.69891054374284</v>
      </c>
      <c r="AX7" s="18">
        <f t="shared" si="18"/>
        <v>815.89691821172835</v>
      </c>
      <c r="AY7" s="13">
        <f t="shared" ref="AY7:AY53" si="34">AR7/$AR7*100</f>
        <v>100</v>
      </c>
      <c r="AZ7" s="13">
        <f t="shared" ref="AZ7:AZ53" si="35">AS7/$AR7*100</f>
        <v>105.10906216242975</v>
      </c>
      <c r="BA7" s="13">
        <f t="shared" ref="BA7:BA53" si="36">AT7/$AR7*100</f>
        <v>109.69371431678793</v>
      </c>
      <c r="BB7" s="13">
        <f t="shared" ref="BB7:BB53" si="37">AU7/$AR7*100</f>
        <v>117.37231310930358</v>
      </c>
      <c r="BC7" s="13">
        <f t="shared" ref="BC7:BC53" si="38">AV7/$AR7*100</f>
        <v>119.3668180752569</v>
      </c>
      <c r="BD7" s="13">
        <f t="shared" ref="BD7:BE53" si="39">AW7/$AR7*100</f>
        <v>118.59614679363747</v>
      </c>
      <c r="BE7" s="23">
        <f t="shared" si="39"/>
        <v>126.8681905048624</v>
      </c>
      <c r="BF7" s="21">
        <f t="shared" ref="BF7:BF52" si="40">IFERROR(AD7/AK7,"")</f>
        <v>0.66906218310604104</v>
      </c>
      <c r="BG7" s="21">
        <f t="shared" ref="BG7:BG52" si="41">IFERROR(AE7/AL7,"")</f>
        <v>0.40235099534956148</v>
      </c>
      <c r="BH7" s="21">
        <f t="shared" ref="BH7:BH52" si="42">IFERROR(AF7/AM7,"")</f>
        <v>0.42066110915255933</v>
      </c>
      <c r="BI7" s="21">
        <f t="shared" ref="BI7:BI52" si="43">IFERROR(AG7/AN7,"")</f>
        <v>0.48397514824325077</v>
      </c>
      <c r="BJ7" s="21">
        <f t="shared" ref="BJ7:BJ52" si="44">IFERROR(AH7/AO7,"")</f>
        <v>0.56786979869399989</v>
      </c>
      <c r="BK7" s="21">
        <f t="shared" ref="BK7:BK52" si="45">IFERROR(AI7/AP7,"")</f>
        <v>0.66331974041158448</v>
      </c>
      <c r="BL7" s="21">
        <f t="shared" ref="BL7:BL52" si="46">IFERROR(AJ7/AQ7,"")</f>
        <v>0.65789521509759008</v>
      </c>
      <c r="BM7" s="42">
        <f t="shared" si="21"/>
        <v>35.173146571502855</v>
      </c>
      <c r="BN7" s="17">
        <f t="shared" si="22"/>
        <v>49.712848692693484</v>
      </c>
      <c r="BO7" s="17">
        <f t="shared" si="23"/>
        <v>46.735187107951276</v>
      </c>
      <c r="BP7" s="17">
        <f t="shared" si="24"/>
        <v>57.901157633662692</v>
      </c>
      <c r="BQ7" s="17">
        <f t="shared" si="25"/>
        <v>50.093675839994951</v>
      </c>
      <c r="BR7" s="17">
        <f t="shared" si="26"/>
        <v>38.677597036533982</v>
      </c>
      <c r="BS7" s="18">
        <f t="shared" si="27"/>
        <v>39.461577927614869</v>
      </c>
      <c r="BT7" s="17"/>
      <c r="BU7" s="17">
        <v>14.989367740000002</v>
      </c>
      <c r="BV7" s="17">
        <v>17.264566649999995</v>
      </c>
      <c r="BW7" s="17">
        <v>3.7852368899999997</v>
      </c>
      <c r="BX7" s="17">
        <v>2.1713431999999999</v>
      </c>
      <c r="BY7" s="17">
        <v>5.8343806953489903E-2</v>
      </c>
      <c r="BZ7" s="18">
        <v>0</v>
      </c>
    </row>
    <row r="8" spans="1:81" x14ac:dyDescent="0.25">
      <c r="A8" s="3" t="s">
        <v>94</v>
      </c>
      <c r="B8" s="13">
        <v>27968.704448399993</v>
      </c>
      <c r="C8" s="13">
        <v>28543.9169664</v>
      </c>
      <c r="D8" s="13">
        <v>28597.026681840034</v>
      </c>
      <c r="E8" s="13">
        <v>28146.929845199997</v>
      </c>
      <c r="F8" s="13">
        <v>28010.774490000003</v>
      </c>
      <c r="G8" s="13">
        <v>28371.185697599994</v>
      </c>
      <c r="H8" s="23">
        <v>28430.651000000071</v>
      </c>
      <c r="I8" s="13">
        <f t="shared" si="28"/>
        <v>100</v>
      </c>
      <c r="J8" s="13">
        <f t="shared" si="29"/>
        <v>102.0566291122323</v>
      </c>
      <c r="K8" s="13">
        <f t="shared" si="30"/>
        <v>102.24651890687051</v>
      </c>
      <c r="L8" s="13">
        <f t="shared" si="31"/>
        <v>100.63723150683943</v>
      </c>
      <c r="M8" s="13">
        <f t="shared" si="32"/>
        <v>100.15041827081275</v>
      </c>
      <c r="N8" s="13">
        <f t="shared" si="33"/>
        <v>101.43904144699496</v>
      </c>
      <c r="O8" s="23">
        <f t="shared" si="33"/>
        <v>101.65165516498031</v>
      </c>
      <c r="P8" s="13">
        <v>1224359.4162066837</v>
      </c>
      <c r="Q8" s="13">
        <v>899282.77761291573</v>
      </c>
      <c r="R8" s="13">
        <v>874083.46133970295</v>
      </c>
      <c r="S8" s="13">
        <v>962127.29992033925</v>
      </c>
      <c r="T8" s="13">
        <v>1095417.4483544291</v>
      </c>
      <c r="U8" s="13">
        <v>1169680.1494304612</v>
      </c>
      <c r="V8" s="23">
        <v>1150414.9592947778</v>
      </c>
      <c r="W8" s="13">
        <f t="shared" si="6"/>
        <v>100</v>
      </c>
      <c r="X8" s="13">
        <f t="shared" si="7"/>
        <v>73.449247476617444</v>
      </c>
      <c r="Y8" s="13">
        <f t="shared" si="8"/>
        <v>71.391084167735045</v>
      </c>
      <c r="Z8" s="13">
        <f t="shared" si="9"/>
        <v>78.582096660897733</v>
      </c>
      <c r="AA8" s="13">
        <f t="shared" si="10"/>
        <v>89.468617944578455</v>
      </c>
      <c r="AB8" s="13">
        <f t="shared" si="11"/>
        <v>95.534051026811213</v>
      </c>
      <c r="AC8" s="23">
        <f t="shared" si="11"/>
        <v>93.960559625456966</v>
      </c>
      <c r="AD8" s="13">
        <v>10.873559767163233</v>
      </c>
      <c r="AE8" s="13">
        <v>7.9570629422700856</v>
      </c>
      <c r="AF8" s="13">
        <v>8.7870303727055514</v>
      </c>
      <c r="AG8" s="13">
        <v>9.5839087174724131</v>
      </c>
      <c r="AH8" s="13">
        <v>11.407466769403561</v>
      </c>
      <c r="AI8" s="13">
        <v>13.287505467197951</v>
      </c>
      <c r="AJ8" s="23">
        <v>13.281379742246505</v>
      </c>
      <c r="AK8" s="17">
        <v>19.879739805910638</v>
      </c>
      <c r="AL8" s="17">
        <v>20.425937520860252</v>
      </c>
      <c r="AM8" s="17">
        <v>21.286185168424907</v>
      </c>
      <c r="AN8" s="17">
        <v>22.113096027095526</v>
      </c>
      <c r="AO8" s="17">
        <v>22.453927512031196</v>
      </c>
      <c r="AP8" s="17">
        <v>21.379050861000358</v>
      </c>
      <c r="AQ8" s="18">
        <v>22.696851986404241</v>
      </c>
      <c r="AR8" s="42">
        <f t="shared" si="12"/>
        <v>710.78515068823299</v>
      </c>
      <c r="AS8" s="17">
        <f t="shared" si="13"/>
        <v>715.59686587178294</v>
      </c>
      <c r="AT8" s="17">
        <f t="shared" si="14"/>
        <v>744.34959288765049</v>
      </c>
      <c r="AU8" s="17">
        <f t="shared" si="15"/>
        <v>785.63083607026351</v>
      </c>
      <c r="AV8" s="17">
        <f t="shared" si="16"/>
        <v>801.61751757515196</v>
      </c>
      <c r="AW8" s="17">
        <f t="shared" si="17"/>
        <v>753.54802188647614</v>
      </c>
      <c r="AX8" s="18">
        <f t="shared" si="18"/>
        <v>798.32333021161503</v>
      </c>
      <c r="AY8" s="13">
        <f t="shared" si="34"/>
        <v>100</v>
      </c>
      <c r="AZ8" s="13">
        <f t="shared" si="35"/>
        <v>100.67695775283021</v>
      </c>
      <c r="BA8" s="13">
        <f t="shared" si="36"/>
        <v>104.72216423864764</v>
      </c>
      <c r="BB8" s="13">
        <f t="shared" si="37"/>
        <v>110.53000126825378</v>
      </c>
      <c r="BC8" s="13">
        <f t="shared" si="38"/>
        <v>112.77915932809917</v>
      </c>
      <c r="BD8" s="13">
        <f t="shared" si="39"/>
        <v>106.0162865187655</v>
      </c>
      <c r="BE8" s="23">
        <f t="shared" si="39"/>
        <v>112.31570178958034</v>
      </c>
      <c r="BF8" s="21">
        <f t="shared" si="40"/>
        <v>0.54696690566997808</v>
      </c>
      <c r="BG8" s="21">
        <f t="shared" si="41"/>
        <v>0.38955680414393867</v>
      </c>
      <c r="BH8" s="21">
        <f t="shared" si="42"/>
        <v>0.41280437538145104</v>
      </c>
      <c r="BI8" s="21">
        <f t="shared" si="43"/>
        <v>0.4334042011000675</v>
      </c>
      <c r="BJ8" s="21">
        <f t="shared" si="44"/>
        <v>0.50803881696381381</v>
      </c>
      <c r="BK8" s="21">
        <f t="shared" si="45"/>
        <v>0.62151989597615875</v>
      </c>
      <c r="BL8" s="21">
        <f t="shared" si="46"/>
        <v>0.58516395798863441</v>
      </c>
      <c r="BM8" s="42">
        <f t="shared" si="21"/>
        <v>9.0061800387474058</v>
      </c>
      <c r="BN8" s="17">
        <f t="shared" si="22"/>
        <v>9.4328321985901677</v>
      </c>
      <c r="BO8" s="17">
        <f t="shared" si="23"/>
        <v>9.6466318857193567</v>
      </c>
      <c r="BP8" s="17">
        <f t="shared" si="24"/>
        <v>11.533578159623113</v>
      </c>
      <c r="BQ8" s="17">
        <f t="shared" si="25"/>
        <v>10.595705482627636</v>
      </c>
      <c r="BR8" s="17">
        <f t="shared" si="26"/>
        <v>8.0807138443504094</v>
      </c>
      <c r="BS8" s="18">
        <f t="shared" si="27"/>
        <v>9.4154722441577352</v>
      </c>
      <c r="BT8" s="17"/>
      <c r="BU8" s="17">
        <v>3.03604238</v>
      </c>
      <c r="BV8" s="17">
        <v>2.8525229099999998</v>
      </c>
      <c r="BW8" s="17">
        <v>0.99560915000000005</v>
      </c>
      <c r="BX8" s="17">
        <v>0.45075525999999999</v>
      </c>
      <c r="BY8" s="17">
        <v>1.0831549451998863E-2</v>
      </c>
      <c r="BZ8" s="18">
        <v>0</v>
      </c>
    </row>
    <row r="9" spans="1:81" x14ac:dyDescent="0.25">
      <c r="A9" s="3" t="s">
        <v>95</v>
      </c>
      <c r="B9" s="13">
        <v>46982.569621392016</v>
      </c>
      <c r="C9" s="13">
        <v>45361.46131488002</v>
      </c>
      <c r="D9" s="13">
        <v>45335.036736767936</v>
      </c>
      <c r="E9" s="13">
        <v>45237.569044320015</v>
      </c>
      <c r="F9" s="13">
        <v>45278.471345999998</v>
      </c>
      <c r="G9" s="13">
        <v>45572.459742359999</v>
      </c>
      <c r="H9" s="23">
        <v>47469.637999999664</v>
      </c>
      <c r="I9" s="13">
        <f t="shared" si="28"/>
        <v>100</v>
      </c>
      <c r="J9" s="13">
        <f t="shared" si="29"/>
        <v>96.549553760946537</v>
      </c>
      <c r="K9" s="13">
        <f t="shared" si="30"/>
        <v>96.493310395960279</v>
      </c>
      <c r="L9" s="13">
        <f t="shared" si="31"/>
        <v>96.285855390341453</v>
      </c>
      <c r="M9" s="13">
        <f t="shared" si="32"/>
        <v>96.37291385055255</v>
      </c>
      <c r="N9" s="13">
        <f t="shared" si="33"/>
        <v>96.998653137971473</v>
      </c>
      <c r="O9" s="23">
        <f t="shared" si="33"/>
        <v>101.03670016887682</v>
      </c>
      <c r="P9" s="13">
        <v>1543827.069811136</v>
      </c>
      <c r="Q9" s="13">
        <v>1028404.0011276584</v>
      </c>
      <c r="R9" s="13">
        <v>1000099.534181588</v>
      </c>
      <c r="S9" s="13">
        <v>1223802.3741839461</v>
      </c>
      <c r="T9" s="13">
        <v>1295227.2851915099</v>
      </c>
      <c r="U9" s="13">
        <v>1341503.5512061366</v>
      </c>
      <c r="V9" s="23">
        <v>1342882.1741770455</v>
      </c>
      <c r="W9" s="13">
        <f t="shared" si="6"/>
        <v>100</v>
      </c>
      <c r="X9" s="13">
        <f t="shared" si="7"/>
        <v>66.613937612421068</v>
      </c>
      <c r="Y9" s="13">
        <f t="shared" si="8"/>
        <v>64.780541405063914</v>
      </c>
      <c r="Z9" s="13">
        <f t="shared" si="9"/>
        <v>79.270690229162767</v>
      </c>
      <c r="AA9" s="13">
        <f t="shared" si="10"/>
        <v>83.897174140751503</v>
      </c>
      <c r="AB9" s="13">
        <f t="shared" si="11"/>
        <v>86.894677353354695</v>
      </c>
      <c r="AC9" s="23">
        <f t="shared" si="11"/>
        <v>86.983976407495362</v>
      </c>
      <c r="AD9" s="13">
        <v>15.721510043472405</v>
      </c>
      <c r="AE9" s="13">
        <v>10.642701135796028</v>
      </c>
      <c r="AF9" s="13">
        <v>11.559054839004206</v>
      </c>
      <c r="AG9" s="13">
        <v>13.55143356546291</v>
      </c>
      <c r="AH9" s="13">
        <v>15.591386013041758</v>
      </c>
      <c r="AI9" s="13">
        <v>17.693663114739572</v>
      </c>
      <c r="AJ9" s="23">
        <v>20.066228845970304</v>
      </c>
      <c r="AK9" s="17">
        <v>36.026487670552982</v>
      </c>
      <c r="AL9" s="17">
        <v>37.599345016647206</v>
      </c>
      <c r="AM9" s="17">
        <v>39.18442578341206</v>
      </c>
      <c r="AN9" s="17">
        <v>42.477267916846102</v>
      </c>
      <c r="AO9" s="17">
        <v>43.7372740494095</v>
      </c>
      <c r="AP9" s="17">
        <v>43.241310975085476</v>
      </c>
      <c r="AQ9" s="18">
        <v>47.531001527573828</v>
      </c>
      <c r="AR9" s="42">
        <f t="shared" si="12"/>
        <v>766.80539103909439</v>
      </c>
      <c r="AS9" s="17">
        <f t="shared" si="13"/>
        <v>828.88301934649996</v>
      </c>
      <c r="AT9" s="17">
        <f t="shared" si="14"/>
        <v>864.32985619778788</v>
      </c>
      <c r="AU9" s="17">
        <f t="shared" si="15"/>
        <v>938.98210744327139</v>
      </c>
      <c r="AV9" s="17">
        <f t="shared" si="16"/>
        <v>965.96180810051465</v>
      </c>
      <c r="AW9" s="17">
        <f t="shared" si="17"/>
        <v>948.84742275370968</v>
      </c>
      <c r="AX9" s="18">
        <f t="shared" si="18"/>
        <v>1001.2926900258681</v>
      </c>
      <c r="AY9" s="13">
        <f t="shared" si="34"/>
        <v>100</v>
      </c>
      <c r="AZ9" s="13">
        <f t="shared" si="35"/>
        <v>108.09561709305207</v>
      </c>
      <c r="BA9" s="13">
        <f t="shared" si="36"/>
        <v>112.71828110474532</v>
      </c>
      <c r="BB9" s="13">
        <f t="shared" si="37"/>
        <v>122.45376968083926</v>
      </c>
      <c r="BC9" s="13">
        <f t="shared" si="38"/>
        <v>125.97222442470628</v>
      </c>
      <c r="BD9" s="13">
        <f t="shared" si="39"/>
        <v>123.74031714460575</v>
      </c>
      <c r="BE9" s="23">
        <f t="shared" si="39"/>
        <v>130.57976661705794</v>
      </c>
      <c r="BF9" s="21">
        <f t="shared" si="40"/>
        <v>0.43638753206360209</v>
      </c>
      <c r="BG9" s="21">
        <f t="shared" si="41"/>
        <v>0.28305549288382403</v>
      </c>
      <c r="BH9" s="21">
        <f t="shared" si="42"/>
        <v>0.29499104830311179</v>
      </c>
      <c r="BI9" s="21">
        <f t="shared" si="43"/>
        <v>0.31902789962836881</v>
      </c>
      <c r="BJ9" s="21">
        <f t="shared" si="44"/>
        <v>0.35647822942573759</v>
      </c>
      <c r="BK9" s="21">
        <f t="shared" si="45"/>
        <v>0.40918424339479909</v>
      </c>
      <c r="BL9" s="21">
        <f t="shared" si="46"/>
        <v>0.42217138711729907</v>
      </c>
      <c r="BM9" s="42">
        <f t="shared" si="21"/>
        <v>20.304977627080575</v>
      </c>
      <c r="BN9" s="17">
        <f t="shared" si="22"/>
        <v>22.677521890851178</v>
      </c>
      <c r="BO9" s="17">
        <f t="shared" si="23"/>
        <v>23.743641234407853</v>
      </c>
      <c r="BP9" s="17">
        <f t="shared" si="24"/>
        <v>28.095247991383193</v>
      </c>
      <c r="BQ9" s="17">
        <f t="shared" si="25"/>
        <v>27.446722316367744</v>
      </c>
      <c r="BR9" s="17">
        <f t="shared" si="26"/>
        <v>25.526549437964878</v>
      </c>
      <c r="BS9" s="18">
        <f t="shared" si="27"/>
        <v>27.464772681603524</v>
      </c>
      <c r="BT9" s="17"/>
      <c r="BU9" s="17">
        <v>4.2791219900000002</v>
      </c>
      <c r="BV9" s="17">
        <v>3.8817297100000001</v>
      </c>
      <c r="BW9" s="17">
        <v>0.83058635999999997</v>
      </c>
      <c r="BX9" s="17">
        <v>0.69916571999999999</v>
      </c>
      <c r="BY9" s="17">
        <v>2.1098422381027382E-2</v>
      </c>
      <c r="BZ9" s="18">
        <v>0</v>
      </c>
    </row>
    <row r="10" spans="1:81" x14ac:dyDescent="0.25">
      <c r="A10" s="3" t="s">
        <v>96</v>
      </c>
      <c r="B10" s="13">
        <v>34589.794996560013</v>
      </c>
      <c r="C10" s="13">
        <v>36100.304483999993</v>
      </c>
      <c r="D10" s="13">
        <v>36002.794442760009</v>
      </c>
      <c r="E10" s="13">
        <v>35745.782961600002</v>
      </c>
      <c r="F10" s="13">
        <v>35857.171904039998</v>
      </c>
      <c r="G10" s="13">
        <v>37527.001592231994</v>
      </c>
      <c r="H10" s="23">
        <v>38920.944999999942</v>
      </c>
      <c r="I10" s="13">
        <f t="shared" si="28"/>
        <v>100</v>
      </c>
      <c r="J10" s="13">
        <f t="shared" si="29"/>
        <v>104.36692234686618</v>
      </c>
      <c r="K10" s="13">
        <f t="shared" si="30"/>
        <v>104.08501827299213</v>
      </c>
      <c r="L10" s="13">
        <f t="shared" si="31"/>
        <v>103.34199137391519</v>
      </c>
      <c r="M10" s="13">
        <f t="shared" si="32"/>
        <v>103.66401971334618</v>
      </c>
      <c r="N10" s="13">
        <f t="shared" si="33"/>
        <v>108.49154091825086</v>
      </c>
      <c r="O10" s="23">
        <f t="shared" si="33"/>
        <v>112.52146768684423</v>
      </c>
      <c r="P10" s="13">
        <v>1470667.6468345965</v>
      </c>
      <c r="Q10" s="13">
        <v>1047658.882875625</v>
      </c>
      <c r="R10" s="13">
        <v>1054763.2805985417</v>
      </c>
      <c r="S10" s="13">
        <v>1248688.2127153836</v>
      </c>
      <c r="T10" s="13">
        <v>1364605.8257774897</v>
      </c>
      <c r="U10" s="13">
        <v>1451408.4760711743</v>
      </c>
      <c r="V10" s="23">
        <v>1494313.8851281004</v>
      </c>
      <c r="W10" s="13">
        <f t="shared" si="6"/>
        <v>100</v>
      </c>
      <c r="X10" s="13">
        <f t="shared" si="7"/>
        <v>71.236957250712777</v>
      </c>
      <c r="Y10" s="13">
        <f t="shared" si="8"/>
        <v>71.720030210004964</v>
      </c>
      <c r="Z10" s="13">
        <f t="shared" si="9"/>
        <v>84.90621354206084</v>
      </c>
      <c r="AA10" s="13">
        <f t="shared" si="10"/>
        <v>92.788185604994439</v>
      </c>
      <c r="AB10" s="13">
        <f t="shared" si="11"/>
        <v>98.690447103744006</v>
      </c>
      <c r="AC10" s="23">
        <f t="shared" si="11"/>
        <v>101.6078573799049</v>
      </c>
      <c r="AD10" s="13">
        <v>11.890598883300074</v>
      </c>
      <c r="AE10" s="13">
        <v>8.4024955256854348</v>
      </c>
      <c r="AF10" s="13">
        <v>9.1516711630591701</v>
      </c>
      <c r="AG10" s="13">
        <v>10.745189053564006</v>
      </c>
      <c r="AH10" s="13">
        <v>12.582542146030059</v>
      </c>
      <c r="AI10" s="13">
        <v>14.598594603036503</v>
      </c>
      <c r="AJ10" s="23">
        <v>15.176113831958455</v>
      </c>
      <c r="AK10" s="17">
        <v>24.510647408204449</v>
      </c>
      <c r="AL10" s="17">
        <v>26.73900903122988</v>
      </c>
      <c r="AM10" s="17">
        <v>27.897419307584848</v>
      </c>
      <c r="AN10" s="17">
        <v>30.212757325225393</v>
      </c>
      <c r="AO10" s="17">
        <v>30.588958487288721</v>
      </c>
      <c r="AP10" s="17">
        <v>28.377715359177831</v>
      </c>
      <c r="AQ10" s="18">
        <v>29.33909721485529</v>
      </c>
      <c r="AR10" s="42">
        <f t="shared" si="12"/>
        <v>708.60921293815284</v>
      </c>
      <c r="AS10" s="17">
        <f t="shared" si="13"/>
        <v>740.686523657463</v>
      </c>
      <c r="AT10" s="17">
        <f t="shared" si="14"/>
        <v>774.86816619021874</v>
      </c>
      <c r="AU10" s="17">
        <f t="shared" si="15"/>
        <v>845.21179344935672</v>
      </c>
      <c r="AV10" s="17">
        <f t="shared" si="16"/>
        <v>853.07783249471186</v>
      </c>
      <c r="AW10" s="17">
        <f t="shared" si="17"/>
        <v>756.19458403657688</v>
      </c>
      <c r="AX10" s="18">
        <f t="shared" si="18"/>
        <v>753.81256068821904</v>
      </c>
      <c r="AY10" s="13">
        <f t="shared" si="34"/>
        <v>100</v>
      </c>
      <c r="AZ10" s="13">
        <f t="shared" si="35"/>
        <v>104.52679842903902</v>
      </c>
      <c r="BA10" s="13">
        <f t="shared" si="36"/>
        <v>109.35056333480793</v>
      </c>
      <c r="BB10" s="13">
        <f t="shared" si="37"/>
        <v>119.277562021075</v>
      </c>
      <c r="BC10" s="13">
        <f t="shared" si="38"/>
        <v>120.38762930523291</v>
      </c>
      <c r="BD10" s="13">
        <f t="shared" si="39"/>
        <v>106.71531928030087</v>
      </c>
      <c r="BE10" s="23">
        <f t="shared" si="39"/>
        <v>106.3791645556846</v>
      </c>
      <c r="BF10" s="21">
        <f t="shared" si="40"/>
        <v>0.48511973940435099</v>
      </c>
      <c r="BG10" s="21">
        <f t="shared" si="41"/>
        <v>0.31424109681371226</v>
      </c>
      <c r="BH10" s="21">
        <f t="shared" si="42"/>
        <v>0.32804723125665541</v>
      </c>
      <c r="BI10" s="21">
        <f t="shared" si="43"/>
        <v>0.35565072521840224</v>
      </c>
      <c r="BJ10" s="21">
        <f t="shared" si="44"/>
        <v>0.41134261407621153</v>
      </c>
      <c r="BK10" s="21">
        <f t="shared" si="45"/>
        <v>0.5144386860697393</v>
      </c>
      <c r="BL10" s="21">
        <f t="shared" si="46"/>
        <v>0.5172658763431317</v>
      </c>
      <c r="BM10" s="42">
        <f t="shared" si="21"/>
        <v>12.620048524904375</v>
      </c>
      <c r="BN10" s="17">
        <f t="shared" si="22"/>
        <v>15.245506085544445</v>
      </c>
      <c r="BO10" s="17">
        <f t="shared" si="23"/>
        <v>15.528401354525677</v>
      </c>
      <c r="BP10" s="17">
        <f t="shared" si="24"/>
        <v>18.507055391661385</v>
      </c>
      <c r="BQ10" s="17">
        <f t="shared" si="25"/>
        <v>17.455531791258664</v>
      </c>
      <c r="BR10" s="17">
        <f t="shared" si="26"/>
        <v>13.764364949329238</v>
      </c>
      <c r="BS10" s="18">
        <f t="shared" si="27"/>
        <v>14.162983382896835</v>
      </c>
      <c r="BT10" s="17"/>
      <c r="BU10" s="17">
        <v>3.09100742</v>
      </c>
      <c r="BV10" s="17">
        <v>3.2173467900000001</v>
      </c>
      <c r="BW10" s="17">
        <v>0.96051288000000001</v>
      </c>
      <c r="BX10" s="17">
        <v>0.55088454999999992</v>
      </c>
      <c r="BY10" s="17">
        <v>1.4755806812090114E-2</v>
      </c>
      <c r="BZ10" s="18">
        <v>0</v>
      </c>
    </row>
    <row r="11" spans="1:81" x14ac:dyDescent="0.25">
      <c r="A11" s="3" t="s">
        <v>97</v>
      </c>
      <c r="B11" s="13">
        <v>13486.815295260007</v>
      </c>
      <c r="C11" s="13">
        <v>14390.599999595997</v>
      </c>
      <c r="D11" s="13">
        <v>14414.623013915998</v>
      </c>
      <c r="E11" s="13">
        <v>14540.550000396001</v>
      </c>
      <c r="F11" s="13">
        <v>14519.616666395994</v>
      </c>
      <c r="G11" s="13">
        <v>14633.333333196</v>
      </c>
      <c r="H11" s="23">
        <v>14633.333000000073</v>
      </c>
      <c r="I11" s="13">
        <f t="shared" si="28"/>
        <v>100</v>
      </c>
      <c r="J11" s="13">
        <f t="shared" si="29"/>
        <v>106.70124625087458</v>
      </c>
      <c r="K11" s="13">
        <f t="shared" si="30"/>
        <v>106.87936846723238</v>
      </c>
      <c r="L11" s="13">
        <f t="shared" si="31"/>
        <v>107.81307285720992</v>
      </c>
      <c r="M11" s="13">
        <f t="shared" si="32"/>
        <v>107.65785953559377</v>
      </c>
      <c r="N11" s="13">
        <f t="shared" si="33"/>
        <v>108.50102869236255</v>
      </c>
      <c r="O11" s="23">
        <f t="shared" si="33"/>
        <v>108.50102622183174</v>
      </c>
      <c r="P11" s="13">
        <v>529964.19102991978</v>
      </c>
      <c r="Q11" s="13">
        <v>401025.44641201722</v>
      </c>
      <c r="R11" s="13">
        <v>411324.64522726485</v>
      </c>
      <c r="S11" s="13">
        <v>524289.4934978541</v>
      </c>
      <c r="T11" s="13">
        <v>536959.30382351426</v>
      </c>
      <c r="U11" s="13">
        <v>571132.55050374242</v>
      </c>
      <c r="V11" s="23">
        <v>556013.23159391247</v>
      </c>
      <c r="W11" s="13">
        <f t="shared" si="6"/>
        <v>100</v>
      </c>
      <c r="X11" s="13">
        <f t="shared" si="7"/>
        <v>75.670291163007434</v>
      </c>
      <c r="Y11" s="13">
        <f t="shared" si="8"/>
        <v>77.613667524952263</v>
      </c>
      <c r="Z11" s="13">
        <f t="shared" si="9"/>
        <v>98.929230006835439</v>
      </c>
      <c r="AA11" s="13">
        <f t="shared" si="10"/>
        <v>101.31992178188499</v>
      </c>
      <c r="AB11" s="13">
        <f t="shared" si="11"/>
        <v>107.76813984239521</v>
      </c>
      <c r="AC11" s="23">
        <f t="shared" si="11"/>
        <v>104.91524540806607</v>
      </c>
      <c r="AD11" s="13">
        <v>4.7683007916486124</v>
      </c>
      <c r="AE11" s="13">
        <v>3.1152549831767553</v>
      </c>
      <c r="AF11" s="13">
        <v>3.465358499506678</v>
      </c>
      <c r="AG11" s="13">
        <v>4.4668433434686605</v>
      </c>
      <c r="AH11" s="13">
        <v>5.0925476770197191</v>
      </c>
      <c r="AI11" s="13">
        <v>6.0455707462199904</v>
      </c>
      <c r="AJ11" s="23">
        <v>5.9936827671984227</v>
      </c>
      <c r="AK11" s="17">
        <v>9.7106786581385212</v>
      </c>
      <c r="AL11" s="17">
        <v>10.161204471182437</v>
      </c>
      <c r="AM11" s="17">
        <v>10.664563527009053</v>
      </c>
      <c r="AN11" s="17">
        <v>11.596263830887533</v>
      </c>
      <c r="AO11" s="17">
        <v>11.844507142933939</v>
      </c>
      <c r="AP11" s="17">
        <v>11.447945403996798</v>
      </c>
      <c r="AQ11" s="18">
        <v>11.868303391792104</v>
      </c>
      <c r="AR11" s="42">
        <f t="shared" si="12"/>
        <v>720.01272691495797</v>
      </c>
      <c r="AS11" s="17">
        <f t="shared" si="13"/>
        <v>706.10012587853907</v>
      </c>
      <c r="AT11" s="17">
        <f t="shared" si="14"/>
        <v>739.84338797576561</v>
      </c>
      <c r="AU11" s="17">
        <f t="shared" si="15"/>
        <v>797.51204944597816</v>
      </c>
      <c r="AV11" s="17">
        <f t="shared" si="16"/>
        <v>815.75894288908512</v>
      </c>
      <c r="AW11" s="17">
        <f t="shared" si="17"/>
        <v>782.31973148776103</v>
      </c>
      <c r="AX11" s="18">
        <f t="shared" si="18"/>
        <v>811.0458083467413</v>
      </c>
      <c r="AY11" s="13">
        <f t="shared" si="34"/>
        <v>100</v>
      </c>
      <c r="AZ11" s="13">
        <f t="shared" si="35"/>
        <v>98.067728455852404</v>
      </c>
      <c r="BA11" s="13">
        <f t="shared" si="36"/>
        <v>102.7542097965096</v>
      </c>
      <c r="BB11" s="13">
        <f t="shared" si="37"/>
        <v>110.76360453558674</v>
      </c>
      <c r="BC11" s="13">
        <f t="shared" si="38"/>
        <v>113.29785049555603</v>
      </c>
      <c r="BD11" s="13">
        <f t="shared" si="39"/>
        <v>108.65359767177591</v>
      </c>
      <c r="BE11" s="23">
        <f t="shared" si="39"/>
        <v>112.64326004650407</v>
      </c>
      <c r="BF11" s="21">
        <f t="shared" si="40"/>
        <v>0.49103682240090385</v>
      </c>
      <c r="BG11" s="21">
        <f t="shared" si="41"/>
        <v>0.30658323941927723</v>
      </c>
      <c r="BH11" s="21">
        <f t="shared" si="42"/>
        <v>0.32494142781655505</v>
      </c>
      <c r="BI11" s="21">
        <f t="shared" si="43"/>
        <v>0.38519676756326315</v>
      </c>
      <c r="BJ11" s="21">
        <f t="shared" si="44"/>
        <v>0.42995015457927038</v>
      </c>
      <c r="BK11" s="21">
        <f t="shared" si="45"/>
        <v>0.52809220631933773</v>
      </c>
      <c r="BL11" s="21">
        <f t="shared" si="46"/>
        <v>0.50501597147773802</v>
      </c>
      <c r="BM11" s="42">
        <f t="shared" si="21"/>
        <v>4.9423778664899087</v>
      </c>
      <c r="BN11" s="17">
        <f t="shared" si="22"/>
        <v>4.9054927780056818</v>
      </c>
      <c r="BO11" s="17">
        <f t="shared" si="23"/>
        <v>5.6315060175023746</v>
      </c>
      <c r="BP11" s="17">
        <f t="shared" si="24"/>
        <v>6.879759817418873</v>
      </c>
      <c r="BQ11" s="17">
        <f t="shared" si="25"/>
        <v>6.5586300759142198</v>
      </c>
      <c r="BR11" s="17">
        <f t="shared" si="26"/>
        <v>5.3966609863140089</v>
      </c>
      <c r="BS11" s="18">
        <f t="shared" si="27"/>
        <v>5.874620624593681</v>
      </c>
      <c r="BT11" s="17"/>
      <c r="BU11" s="17">
        <v>2.14045671</v>
      </c>
      <c r="BV11" s="17">
        <v>1.5676990099999999</v>
      </c>
      <c r="BW11" s="17">
        <v>0.24966067</v>
      </c>
      <c r="BX11" s="17">
        <v>0.19332938999999999</v>
      </c>
      <c r="BY11" s="17">
        <v>5.7136714627986675E-3</v>
      </c>
      <c r="BZ11" s="18">
        <v>0</v>
      </c>
    </row>
    <row r="12" spans="1:81" x14ac:dyDescent="0.25">
      <c r="A12" s="3" t="s">
        <v>98</v>
      </c>
      <c r="B12" s="13">
        <v>85568.066363088117</v>
      </c>
      <c r="C12" s="13">
        <v>90358.494279912047</v>
      </c>
      <c r="D12" s="13">
        <v>90339.906954599952</v>
      </c>
      <c r="E12" s="13">
        <v>89670.967121879978</v>
      </c>
      <c r="F12" s="13">
        <v>89096.072142876001</v>
      </c>
      <c r="G12" s="13">
        <v>93397.494895116004</v>
      </c>
      <c r="H12" s="23">
        <v>91081.13600000029</v>
      </c>
      <c r="I12" s="13">
        <f t="shared" si="28"/>
        <v>100</v>
      </c>
      <c r="J12" s="13">
        <f t="shared" si="29"/>
        <v>105.59838280848473</v>
      </c>
      <c r="K12" s="13">
        <f t="shared" si="30"/>
        <v>105.57666053976685</v>
      </c>
      <c r="L12" s="13">
        <f t="shared" si="31"/>
        <v>104.7948971306447</v>
      </c>
      <c r="M12" s="13">
        <f t="shared" si="32"/>
        <v>104.12304020616479</v>
      </c>
      <c r="N12" s="13">
        <f t="shared" si="33"/>
        <v>109.14994210434246</v>
      </c>
      <c r="O12" s="23">
        <f t="shared" si="33"/>
        <v>106.44290548008735</v>
      </c>
      <c r="P12" s="13">
        <v>4140891.9681849489</v>
      </c>
      <c r="Q12" s="13">
        <v>2626569.3225972699</v>
      </c>
      <c r="R12" s="13">
        <v>2577244.9592180829</v>
      </c>
      <c r="S12" s="13">
        <v>3276434.7492806045</v>
      </c>
      <c r="T12" s="13">
        <v>3323875.7296214565</v>
      </c>
      <c r="U12" s="13">
        <v>3454661.4709878955</v>
      </c>
      <c r="V12" s="23">
        <v>3400650.2970264936</v>
      </c>
      <c r="W12" s="13">
        <f t="shared" si="6"/>
        <v>100</v>
      </c>
      <c r="X12" s="13">
        <f t="shared" si="7"/>
        <v>63.430037363388578</v>
      </c>
      <c r="Y12" s="13">
        <f t="shared" si="8"/>
        <v>62.238884255358883</v>
      </c>
      <c r="Z12" s="13">
        <f t="shared" si="9"/>
        <v>79.123888632060684</v>
      </c>
      <c r="AA12" s="13">
        <f t="shared" si="10"/>
        <v>80.269559195440436</v>
      </c>
      <c r="AB12" s="13">
        <f t="shared" si="11"/>
        <v>83.427954593612725</v>
      </c>
      <c r="AC12" s="23">
        <f t="shared" si="11"/>
        <v>82.123617886053651</v>
      </c>
      <c r="AD12" s="13">
        <v>31.560323431647323</v>
      </c>
      <c r="AE12" s="13">
        <v>21.891306236994332</v>
      </c>
      <c r="AF12" s="13">
        <v>23.539303684128527</v>
      </c>
      <c r="AG12" s="13">
        <v>29.0286222287959</v>
      </c>
      <c r="AH12" s="13">
        <v>32.124458560671059</v>
      </c>
      <c r="AI12" s="13">
        <v>36.585377823961025</v>
      </c>
      <c r="AJ12" s="23">
        <v>36.658182316969111</v>
      </c>
      <c r="AK12" s="17">
        <v>61.831079788402832</v>
      </c>
      <c r="AL12" s="17">
        <v>65.91806859762643</v>
      </c>
      <c r="AM12" s="17">
        <v>68.674684622082012</v>
      </c>
      <c r="AN12" s="17">
        <v>73.253312697196122</v>
      </c>
      <c r="AO12" s="17">
        <v>72.907300392669384</v>
      </c>
      <c r="AP12" s="17">
        <v>74.723614111427224</v>
      </c>
      <c r="AQ12" s="18">
        <v>76.183694751599987</v>
      </c>
      <c r="AR12" s="42">
        <f t="shared" si="12"/>
        <v>722.59526732831705</v>
      </c>
      <c r="AS12" s="17">
        <f t="shared" si="13"/>
        <v>729.51712091865761</v>
      </c>
      <c r="AT12" s="17">
        <f t="shared" si="14"/>
        <v>760.18104221199019</v>
      </c>
      <c r="AU12" s="17">
        <f t="shared" si="15"/>
        <v>816.9122632259656</v>
      </c>
      <c r="AV12" s="17">
        <f t="shared" si="16"/>
        <v>818.29982668320076</v>
      </c>
      <c r="AW12" s="17">
        <f t="shared" si="17"/>
        <v>800.06015359770322</v>
      </c>
      <c r="AX12" s="18">
        <f t="shared" si="18"/>
        <v>836.4376872901513</v>
      </c>
      <c r="AY12" s="13">
        <f t="shared" si="34"/>
        <v>100</v>
      </c>
      <c r="AZ12" s="13">
        <f t="shared" si="35"/>
        <v>100.95791571067619</v>
      </c>
      <c r="BA12" s="13">
        <f t="shared" si="36"/>
        <v>105.20149751639541</v>
      </c>
      <c r="BB12" s="13">
        <f t="shared" si="37"/>
        <v>113.0525344078672</v>
      </c>
      <c r="BC12" s="13">
        <f t="shared" si="38"/>
        <v>113.24455939335671</v>
      </c>
      <c r="BD12" s="13">
        <f t="shared" si="39"/>
        <v>110.72037000128722</v>
      </c>
      <c r="BE12" s="23">
        <f t="shared" si="39"/>
        <v>115.75465895074967</v>
      </c>
      <c r="BF12" s="21">
        <f t="shared" si="40"/>
        <v>0.51042814616294063</v>
      </c>
      <c r="BG12" s="21">
        <f t="shared" si="41"/>
        <v>0.33209872046801125</v>
      </c>
      <c r="BH12" s="21">
        <f t="shared" si="42"/>
        <v>0.34276537000010593</v>
      </c>
      <c r="BI12" s="21">
        <f t="shared" si="43"/>
        <v>0.39627726255589546</v>
      </c>
      <c r="BJ12" s="21">
        <f t="shared" si="44"/>
        <v>0.44062060160851985</v>
      </c>
      <c r="BK12" s="21">
        <f t="shared" si="45"/>
        <v>0.48960931907556315</v>
      </c>
      <c r="BL12" s="21">
        <f t="shared" si="46"/>
        <v>0.48118147113361454</v>
      </c>
      <c r="BM12" s="42">
        <f t="shared" si="21"/>
        <v>30.270756356755509</v>
      </c>
      <c r="BN12" s="17">
        <f t="shared" si="22"/>
        <v>32.567317510632094</v>
      </c>
      <c r="BO12" s="17">
        <f t="shared" si="23"/>
        <v>33.918208887953483</v>
      </c>
      <c r="BP12" s="17">
        <f t="shared" si="24"/>
        <v>42.002226438400228</v>
      </c>
      <c r="BQ12" s="17">
        <f t="shared" si="25"/>
        <v>39.481676271998325</v>
      </c>
      <c r="BR12" s="17">
        <f t="shared" si="26"/>
        <v>38.103066536909566</v>
      </c>
      <c r="BS12" s="18">
        <f t="shared" si="27"/>
        <v>39.525512434630876</v>
      </c>
      <c r="BT12" s="17"/>
      <c r="BU12" s="17">
        <v>11.459444850000001</v>
      </c>
      <c r="BV12" s="17">
        <v>11.21717205</v>
      </c>
      <c r="BW12" s="17">
        <v>2.2224640300000003</v>
      </c>
      <c r="BX12" s="17">
        <v>1.3011655600000001</v>
      </c>
      <c r="BY12" s="17">
        <v>3.5169750556636424E-2</v>
      </c>
      <c r="BZ12" s="18">
        <v>0</v>
      </c>
    </row>
    <row r="13" spans="1:81" x14ac:dyDescent="0.25">
      <c r="A13" s="3" t="s">
        <v>99</v>
      </c>
      <c r="B13" s="13">
        <v>76118.023981536069</v>
      </c>
      <c r="C13" s="13">
        <v>89520.362596404026</v>
      </c>
      <c r="D13" s="13">
        <v>90502.879796160036</v>
      </c>
      <c r="E13" s="13">
        <v>88802.19258955204</v>
      </c>
      <c r="F13" s="13">
        <v>90431.943210924001</v>
      </c>
      <c r="G13" s="13">
        <v>89950.493213507987</v>
      </c>
      <c r="H13" s="23">
        <v>91315.735000000292</v>
      </c>
      <c r="I13" s="13">
        <f t="shared" si="28"/>
        <v>100</v>
      </c>
      <c r="J13" s="13">
        <f t="shared" si="29"/>
        <v>117.60731284632264</v>
      </c>
      <c r="K13" s="13">
        <f t="shared" si="30"/>
        <v>118.89809412040609</v>
      </c>
      <c r="L13" s="13">
        <f t="shared" si="31"/>
        <v>116.66381750936252</v>
      </c>
      <c r="M13" s="13">
        <f t="shared" si="32"/>
        <v>118.80490123188177</v>
      </c>
      <c r="N13" s="13">
        <f t="shared" si="33"/>
        <v>118.17239663936527</v>
      </c>
      <c r="O13" s="23">
        <f t="shared" si="33"/>
        <v>119.96598206773041</v>
      </c>
      <c r="P13" s="13">
        <v>3598948.2585729887</v>
      </c>
      <c r="Q13" s="13">
        <v>3234689.3451467422</v>
      </c>
      <c r="R13" s="13">
        <v>3260031.5984858428</v>
      </c>
      <c r="S13" s="13">
        <v>3943842.4504462625</v>
      </c>
      <c r="T13" s="13">
        <v>4329973.1365881898</v>
      </c>
      <c r="U13" s="13">
        <v>4331438.7072107457</v>
      </c>
      <c r="V13" s="23">
        <v>4558857.5290788831</v>
      </c>
      <c r="W13" s="13">
        <f t="shared" si="6"/>
        <v>100</v>
      </c>
      <c r="X13" s="13">
        <f t="shared" si="7"/>
        <v>89.878739919126318</v>
      </c>
      <c r="Y13" s="13">
        <f t="shared" si="8"/>
        <v>90.58289712057352</v>
      </c>
      <c r="Z13" s="13">
        <f t="shared" si="9"/>
        <v>109.583193952614</v>
      </c>
      <c r="AA13" s="13">
        <f t="shared" si="10"/>
        <v>120.31218082321244</v>
      </c>
      <c r="AB13" s="13">
        <f t="shared" si="11"/>
        <v>120.35290301528801</v>
      </c>
      <c r="AC13" s="23">
        <f t="shared" si="11"/>
        <v>126.67193862038199</v>
      </c>
      <c r="AD13" s="13">
        <v>29.532329341492147</v>
      </c>
      <c r="AE13" s="13">
        <v>24.07829494127839</v>
      </c>
      <c r="AF13" s="13">
        <v>25.980999036299746</v>
      </c>
      <c r="AG13" s="13">
        <v>32.055124772921182</v>
      </c>
      <c r="AH13" s="13">
        <v>38.127352648235622</v>
      </c>
      <c r="AI13" s="13">
        <v>42.425978795200479</v>
      </c>
      <c r="AJ13" s="23">
        <v>45.721243855929664</v>
      </c>
      <c r="AK13" s="17">
        <v>55.456138994155566</v>
      </c>
      <c r="AL13" s="17">
        <v>64.617965043576746</v>
      </c>
      <c r="AM13" s="17">
        <v>68.28570253490723</v>
      </c>
      <c r="AN13" s="17">
        <v>72.069504972194565</v>
      </c>
      <c r="AO13" s="17">
        <v>73.946244394103317</v>
      </c>
      <c r="AP13" s="17">
        <v>71.016284884844325</v>
      </c>
      <c r="AQ13" s="18">
        <v>75.003762438818271</v>
      </c>
      <c r="AR13" s="42">
        <f t="shared" si="12"/>
        <v>728.55463257437611</v>
      </c>
      <c r="AS13" s="17">
        <f t="shared" si="13"/>
        <v>721.82421037437143</v>
      </c>
      <c r="AT13" s="17">
        <f t="shared" si="14"/>
        <v>754.51414019871379</v>
      </c>
      <c r="AU13" s="17">
        <f t="shared" si="15"/>
        <v>811.57348563794199</v>
      </c>
      <c r="AV13" s="17">
        <f t="shared" si="16"/>
        <v>817.70049131456415</v>
      </c>
      <c r="AW13" s="17">
        <f t="shared" si="17"/>
        <v>789.50411885212111</v>
      </c>
      <c r="AX13" s="18">
        <f t="shared" si="18"/>
        <v>821.36734089495133</v>
      </c>
      <c r="AY13" s="13">
        <f t="shared" si="34"/>
        <v>100</v>
      </c>
      <c r="AZ13" s="13">
        <f t="shared" si="35"/>
        <v>99.076195264008888</v>
      </c>
      <c r="BA13" s="13">
        <f t="shared" si="36"/>
        <v>103.56315181644082</v>
      </c>
      <c r="BB13" s="13">
        <f t="shared" si="37"/>
        <v>111.39500723099043</v>
      </c>
      <c r="BC13" s="13">
        <f t="shared" si="38"/>
        <v>112.23598818185916</v>
      </c>
      <c r="BD13" s="13">
        <f t="shared" si="39"/>
        <v>108.365808623353</v>
      </c>
      <c r="BE13" s="23">
        <f t="shared" si="39"/>
        <v>112.73929286436872</v>
      </c>
      <c r="BF13" s="21">
        <f t="shared" si="40"/>
        <v>0.53253489833838796</v>
      </c>
      <c r="BG13" s="21">
        <f t="shared" si="41"/>
        <v>0.3726253979839908</v>
      </c>
      <c r="BH13" s="21">
        <f t="shared" si="42"/>
        <v>0.380474946757975</v>
      </c>
      <c r="BI13" s="21">
        <f t="shared" si="43"/>
        <v>0.4447806986504001</v>
      </c>
      <c r="BJ13" s="21">
        <f t="shared" si="44"/>
        <v>0.51560904763509541</v>
      </c>
      <c r="BK13" s="21">
        <f t="shared" si="45"/>
        <v>0.59741197197228579</v>
      </c>
      <c r="BL13" s="21">
        <f t="shared" si="46"/>
        <v>0.60958600434511789</v>
      </c>
      <c r="BM13" s="42">
        <f t="shared" si="21"/>
        <v>25.923809652663419</v>
      </c>
      <c r="BN13" s="17">
        <f t="shared" si="22"/>
        <v>28.96829111229836</v>
      </c>
      <c r="BO13" s="17">
        <f t="shared" si="23"/>
        <v>31.92069980860748</v>
      </c>
      <c r="BP13" s="17">
        <f t="shared" si="24"/>
        <v>38.12127634927338</v>
      </c>
      <c r="BQ13" s="17">
        <f t="shared" si="25"/>
        <v>34.556551445867697</v>
      </c>
      <c r="BR13" s="17">
        <f t="shared" si="26"/>
        <v>28.554635162919997</v>
      </c>
      <c r="BS13" s="18">
        <f t="shared" si="27"/>
        <v>29.282518582888606</v>
      </c>
      <c r="BT13" s="17"/>
      <c r="BU13" s="17">
        <v>11.571378990000001</v>
      </c>
      <c r="BV13" s="17">
        <v>10.38400369</v>
      </c>
      <c r="BW13" s="17">
        <v>1.8931038499999999</v>
      </c>
      <c r="BX13" s="17">
        <v>1.2623403</v>
      </c>
      <c r="BY13" s="17">
        <v>3.5670926723850867E-2</v>
      </c>
      <c r="BZ13" s="18">
        <v>0</v>
      </c>
    </row>
    <row r="14" spans="1:81" x14ac:dyDescent="0.25">
      <c r="A14" s="3" t="s">
        <v>100</v>
      </c>
      <c r="B14" s="13">
        <v>32375.929416048035</v>
      </c>
      <c r="C14" s="13">
        <v>31985.98147749601</v>
      </c>
      <c r="D14" s="13">
        <v>32020.765607928024</v>
      </c>
      <c r="E14" s="13">
        <v>32347.434555864005</v>
      </c>
      <c r="F14" s="13">
        <v>32158.792242407999</v>
      </c>
      <c r="G14" s="13">
        <v>31758.700766136</v>
      </c>
      <c r="H14" s="23">
        <v>31288.497999999934</v>
      </c>
      <c r="I14" s="13">
        <f t="shared" si="28"/>
        <v>100</v>
      </c>
      <c r="J14" s="13">
        <f t="shared" si="29"/>
        <v>98.795562179726232</v>
      </c>
      <c r="K14" s="13">
        <f t="shared" si="30"/>
        <v>98.903000424926915</v>
      </c>
      <c r="L14" s="13">
        <f t="shared" si="31"/>
        <v>99.911987514496175</v>
      </c>
      <c r="M14" s="13">
        <f t="shared" si="32"/>
        <v>99.329325280983568</v>
      </c>
      <c r="N14" s="13">
        <f t="shared" si="33"/>
        <v>98.093556969499417</v>
      </c>
      <c r="O14" s="23">
        <f t="shared" si="33"/>
        <v>96.641234906111805</v>
      </c>
      <c r="P14" s="13">
        <v>1472293.3417813461</v>
      </c>
      <c r="Q14" s="13">
        <v>917625.86011868156</v>
      </c>
      <c r="R14" s="13">
        <v>930131.85277450981</v>
      </c>
      <c r="S14" s="13">
        <v>1089950.6472927111</v>
      </c>
      <c r="T14" s="13">
        <v>1209454.7765000719</v>
      </c>
      <c r="U14" s="13">
        <v>1243396.8713876505</v>
      </c>
      <c r="V14" s="23">
        <v>1252471.7322175789</v>
      </c>
      <c r="W14" s="13">
        <f t="shared" si="6"/>
        <v>100</v>
      </c>
      <c r="X14" s="13">
        <f t="shared" si="7"/>
        <v>62.326292870986876</v>
      </c>
      <c r="Y14" s="13">
        <f t="shared" si="8"/>
        <v>63.175715489491488</v>
      </c>
      <c r="Z14" s="13">
        <f t="shared" si="9"/>
        <v>74.030807337209453</v>
      </c>
      <c r="AA14" s="13">
        <f t="shared" si="10"/>
        <v>82.147676837058668</v>
      </c>
      <c r="AB14" s="13">
        <f t="shared" si="11"/>
        <v>84.453066253987743</v>
      </c>
      <c r="AC14" s="23">
        <f t="shared" si="11"/>
        <v>85.069442119611679</v>
      </c>
      <c r="AD14" s="13">
        <v>10.98724540519285</v>
      </c>
      <c r="AE14" s="13">
        <v>7.307126411542562</v>
      </c>
      <c r="AF14" s="13">
        <v>8.0991440300267428</v>
      </c>
      <c r="AG14" s="13">
        <v>9.3927968960303794</v>
      </c>
      <c r="AH14" s="13">
        <v>11.003208702972159</v>
      </c>
      <c r="AI14" s="13">
        <v>12.441889196545768</v>
      </c>
      <c r="AJ14" s="23">
        <v>12.502936108985306</v>
      </c>
      <c r="AK14" s="17">
        <v>21.24708827193373</v>
      </c>
      <c r="AL14" s="17">
        <v>21.315995735345513</v>
      </c>
      <c r="AM14" s="17">
        <v>22.469458611743079</v>
      </c>
      <c r="AN14" s="17">
        <v>24.576236862215922</v>
      </c>
      <c r="AO14" s="17">
        <v>24.88660871665968</v>
      </c>
      <c r="AP14" s="17">
        <v>23.717433665480801</v>
      </c>
      <c r="AQ14" s="18">
        <v>24.453055254006102</v>
      </c>
      <c r="AR14" s="42">
        <f t="shared" si="12"/>
        <v>656.26187896870124</v>
      </c>
      <c r="AS14" s="17">
        <f t="shared" si="13"/>
        <v>666.41680982472121</v>
      </c>
      <c r="AT14" s="17">
        <f t="shared" si="14"/>
        <v>701.71522089340249</v>
      </c>
      <c r="AU14" s="17">
        <f t="shared" si="15"/>
        <v>759.75845378936526</v>
      </c>
      <c r="AV14" s="17">
        <f t="shared" si="16"/>
        <v>773.8663979999086</v>
      </c>
      <c r="AW14" s="17">
        <f t="shared" si="17"/>
        <v>746.80113144837696</v>
      </c>
      <c r="AX14" s="18">
        <f t="shared" si="18"/>
        <v>781.53496706700832</v>
      </c>
      <c r="AY14" s="13">
        <f t="shared" si="34"/>
        <v>100</v>
      </c>
      <c r="AZ14" s="13">
        <f t="shared" si="35"/>
        <v>101.54739002545419</v>
      </c>
      <c r="BA14" s="13">
        <f t="shared" si="36"/>
        <v>106.92609816010187</v>
      </c>
      <c r="BB14" s="13">
        <f t="shared" si="37"/>
        <v>115.77062117082076</v>
      </c>
      <c r="BC14" s="13">
        <f t="shared" si="38"/>
        <v>117.92036423264747</v>
      </c>
      <c r="BD14" s="13">
        <f t="shared" si="39"/>
        <v>113.79620779161451</v>
      </c>
      <c r="BE14" s="23">
        <f t="shared" si="39"/>
        <v>119.08888693872797</v>
      </c>
      <c r="BF14" s="21">
        <f t="shared" si="40"/>
        <v>0.5171176993558414</v>
      </c>
      <c r="BG14" s="21">
        <f t="shared" si="41"/>
        <v>0.34280014418590427</v>
      </c>
      <c r="BH14" s="21">
        <f t="shared" si="42"/>
        <v>0.36045123160172338</v>
      </c>
      <c r="BI14" s="21">
        <f t="shared" si="43"/>
        <v>0.38219020058644876</v>
      </c>
      <c r="BJ14" s="21">
        <f t="shared" si="44"/>
        <v>0.44213371248153843</v>
      </c>
      <c r="BK14" s="21">
        <f t="shared" si="45"/>
        <v>0.52458834172493707</v>
      </c>
      <c r="BL14" s="21">
        <f t="shared" si="46"/>
        <v>0.51130363789354993</v>
      </c>
      <c r="BM14" s="42">
        <f t="shared" si="21"/>
        <v>10.259842866740881</v>
      </c>
      <c r="BN14" s="17">
        <f t="shared" si="22"/>
        <v>10.937854093802951</v>
      </c>
      <c r="BO14" s="17">
        <f t="shared" si="23"/>
        <v>11.218801911716335</v>
      </c>
      <c r="BP14" s="17">
        <f t="shared" si="24"/>
        <v>14.455078736185541</v>
      </c>
      <c r="BQ14" s="17">
        <f t="shared" si="25"/>
        <v>13.44433519368752</v>
      </c>
      <c r="BR14" s="17">
        <f t="shared" si="26"/>
        <v>11.263539418466129</v>
      </c>
      <c r="BS14" s="18">
        <f t="shared" si="27"/>
        <v>11.950119145020796</v>
      </c>
      <c r="BT14" s="17"/>
      <c r="BU14" s="17">
        <v>3.07101523</v>
      </c>
      <c r="BV14" s="17">
        <v>3.1515126700000007</v>
      </c>
      <c r="BW14" s="17">
        <v>0.72836122999999997</v>
      </c>
      <c r="BX14" s="17">
        <v>0.43906481999999997</v>
      </c>
      <c r="BY14" s="17">
        <v>1.2005050468903948E-2</v>
      </c>
      <c r="BZ14" s="18">
        <v>0</v>
      </c>
    </row>
    <row r="15" spans="1:81" x14ac:dyDescent="0.25">
      <c r="A15" s="3" t="s">
        <v>101</v>
      </c>
      <c r="B15" s="13">
        <v>42670.890877512094</v>
      </c>
      <c r="C15" s="13">
        <v>40424.554363200019</v>
      </c>
      <c r="D15" s="13">
        <v>40861.716664608</v>
      </c>
      <c r="E15" s="13">
        <v>40450.600001999992</v>
      </c>
      <c r="F15" s="13">
        <v>42537.128484875997</v>
      </c>
      <c r="G15" s="13">
        <v>41181.752051196003</v>
      </c>
      <c r="H15" s="23">
        <v>41358.377999999997</v>
      </c>
      <c r="I15" s="13">
        <f t="shared" si="28"/>
        <v>100</v>
      </c>
      <c r="J15" s="13">
        <f t="shared" si="29"/>
        <v>94.735669989266825</v>
      </c>
      <c r="K15" s="13">
        <f t="shared" si="30"/>
        <v>95.760167702855384</v>
      </c>
      <c r="L15" s="13">
        <f t="shared" si="31"/>
        <v>94.796708412098766</v>
      </c>
      <c r="M15" s="13">
        <f t="shared" si="32"/>
        <v>99.686525427790883</v>
      </c>
      <c r="N15" s="13">
        <f t="shared" si="33"/>
        <v>96.510176385605106</v>
      </c>
      <c r="O15" s="23">
        <f t="shared" si="33"/>
        <v>96.92410247238638</v>
      </c>
      <c r="P15" s="13">
        <v>2244147.9152194015</v>
      </c>
      <c r="Q15" s="13">
        <v>1464149.9571731319</v>
      </c>
      <c r="R15" s="13">
        <v>1468687.0123299328</v>
      </c>
      <c r="S15" s="13">
        <v>1788903.8758883206</v>
      </c>
      <c r="T15" s="13">
        <v>1942664.8995964569</v>
      </c>
      <c r="U15" s="13">
        <v>2040069.8931005155</v>
      </c>
      <c r="V15" s="23">
        <v>2020298.7967645428</v>
      </c>
      <c r="W15" s="13">
        <f t="shared" si="6"/>
        <v>100</v>
      </c>
      <c r="X15" s="13">
        <f t="shared" si="7"/>
        <v>65.243023743824295</v>
      </c>
      <c r="Y15" s="13">
        <f t="shared" si="8"/>
        <v>65.445196476113082</v>
      </c>
      <c r="Z15" s="13">
        <f t="shared" si="9"/>
        <v>79.714169630098851</v>
      </c>
      <c r="AA15" s="13">
        <f t="shared" si="10"/>
        <v>86.565813528674212</v>
      </c>
      <c r="AB15" s="13">
        <f t="shared" si="11"/>
        <v>90.906213412455301</v>
      </c>
      <c r="AC15" s="23">
        <f t="shared" si="11"/>
        <v>90.025206585682042</v>
      </c>
      <c r="AD15" s="13">
        <v>17.570427374050301</v>
      </c>
      <c r="AE15" s="13">
        <v>11.886041866698386</v>
      </c>
      <c r="AF15" s="13">
        <v>13.117976109485708</v>
      </c>
      <c r="AG15" s="13">
        <v>15.447762562387444</v>
      </c>
      <c r="AH15" s="13">
        <v>17.734266833638877</v>
      </c>
      <c r="AI15" s="13">
        <v>20.381310347200422</v>
      </c>
      <c r="AJ15" s="23">
        <v>20.608665408757169</v>
      </c>
      <c r="AK15" s="17">
        <v>29.739917149074632</v>
      </c>
      <c r="AL15" s="17">
        <v>29.231105681530764</v>
      </c>
      <c r="AM15" s="17">
        <v>31.039103726644676</v>
      </c>
      <c r="AN15" s="17">
        <v>35.428402022026177</v>
      </c>
      <c r="AO15" s="17">
        <v>36.842064714952038</v>
      </c>
      <c r="AP15" s="17">
        <v>34.759105417557933</v>
      </c>
      <c r="AQ15" s="18">
        <v>36.361548129122092</v>
      </c>
      <c r="AR15" s="42">
        <f t="shared" si="12"/>
        <v>696.96030566701404</v>
      </c>
      <c r="AS15" s="17">
        <f t="shared" si="13"/>
        <v>723.10273154528397</v>
      </c>
      <c r="AT15" s="17">
        <f t="shared" si="14"/>
        <v>759.6133070329106</v>
      </c>
      <c r="AU15" s="17">
        <f t="shared" si="15"/>
        <v>875.84367154688664</v>
      </c>
      <c r="AV15" s="17">
        <f t="shared" si="16"/>
        <v>866.11546259055001</v>
      </c>
      <c r="AW15" s="17">
        <f t="shared" si="17"/>
        <v>844.04144278141405</v>
      </c>
      <c r="AX15" s="18">
        <f t="shared" si="18"/>
        <v>879.18216060412465</v>
      </c>
      <c r="AY15" s="13">
        <f t="shared" si="34"/>
        <v>100</v>
      </c>
      <c r="AZ15" s="13">
        <f t="shared" si="35"/>
        <v>103.75092034161841</v>
      </c>
      <c r="BA15" s="13">
        <f t="shared" si="36"/>
        <v>108.98946480258091</v>
      </c>
      <c r="BB15" s="13">
        <f t="shared" si="37"/>
        <v>125.66622007384987</v>
      </c>
      <c r="BC15" s="13">
        <f t="shared" si="38"/>
        <v>124.27041476367135</v>
      </c>
      <c r="BD15" s="13">
        <f t="shared" si="39"/>
        <v>121.10323011489707</v>
      </c>
      <c r="BE15" s="23">
        <f t="shared" si="39"/>
        <v>126.1452271320844</v>
      </c>
      <c r="BF15" s="21">
        <f t="shared" si="40"/>
        <v>0.59080283532656075</v>
      </c>
      <c r="BG15" s="21">
        <f t="shared" si="41"/>
        <v>0.40662306777565393</v>
      </c>
      <c r="BH15" s="21">
        <f t="shared" si="42"/>
        <v>0.42262741298889173</v>
      </c>
      <c r="BI15" s="21">
        <f t="shared" si="43"/>
        <v>0.43602764112204162</v>
      </c>
      <c r="BJ15" s="21">
        <f t="shared" si="44"/>
        <v>0.48135920097989449</v>
      </c>
      <c r="BK15" s="21">
        <f t="shared" si="45"/>
        <v>0.58635888646619694</v>
      </c>
      <c r="BL15" s="21">
        <f t="shared" si="46"/>
        <v>0.56677084637800712</v>
      </c>
      <c r="BM15" s="42">
        <f t="shared" si="21"/>
        <v>12.169489775024331</v>
      </c>
      <c r="BN15" s="17">
        <f t="shared" si="22"/>
        <v>11.533293324832378</v>
      </c>
      <c r="BO15" s="17">
        <f t="shared" si="23"/>
        <v>13.368160947158966</v>
      </c>
      <c r="BP15" s="17">
        <f t="shared" si="24"/>
        <v>19.020374849638731</v>
      </c>
      <c r="BQ15" s="17">
        <f t="shared" si="25"/>
        <v>18.47574816131316</v>
      </c>
      <c r="BR15" s="17">
        <f t="shared" si="26"/>
        <v>14.360022827810637</v>
      </c>
      <c r="BS15" s="18">
        <f t="shared" si="27"/>
        <v>15.752882720364923</v>
      </c>
      <c r="BT15" s="17"/>
      <c r="BU15" s="17">
        <v>5.8117704899999998</v>
      </c>
      <c r="BV15" s="17">
        <v>4.55296667</v>
      </c>
      <c r="BW15" s="17">
        <v>0.96026460999999996</v>
      </c>
      <c r="BX15" s="17">
        <v>0.63204971999999993</v>
      </c>
      <c r="BY15" s="17">
        <v>1.7772242546874015E-2</v>
      </c>
      <c r="BZ15" s="18">
        <v>0</v>
      </c>
    </row>
    <row r="16" spans="1:81" x14ac:dyDescent="0.25">
      <c r="A16" s="3" t="s">
        <v>102</v>
      </c>
      <c r="B16" s="13">
        <v>63465.552614676039</v>
      </c>
      <c r="C16" s="13">
        <v>60138.396652799958</v>
      </c>
      <c r="D16" s="13">
        <v>64189.061380800034</v>
      </c>
      <c r="E16" s="13">
        <v>70626.050000640011</v>
      </c>
      <c r="F16" s="13">
        <v>73434.666672395993</v>
      </c>
      <c r="G16" s="13">
        <v>74358.421856951987</v>
      </c>
      <c r="H16" s="23">
        <v>75395.332999999853</v>
      </c>
      <c r="I16" s="13">
        <f t="shared" si="28"/>
        <v>100</v>
      </c>
      <c r="J16" s="13">
        <f t="shared" si="29"/>
        <v>94.757540390333432</v>
      </c>
      <c r="K16" s="13">
        <f t="shared" si="30"/>
        <v>101.14000231041349</v>
      </c>
      <c r="L16" s="13">
        <f t="shared" si="31"/>
        <v>111.28249434687527</v>
      </c>
      <c r="M16" s="13">
        <f t="shared" si="32"/>
        <v>115.70791342233528</v>
      </c>
      <c r="N16" s="13">
        <f t="shared" si="33"/>
        <v>117.16343558593239</v>
      </c>
      <c r="O16" s="23">
        <f t="shared" si="33"/>
        <v>118.79725283060895</v>
      </c>
      <c r="P16" s="13">
        <v>3657125.0271278648</v>
      </c>
      <c r="Q16" s="13">
        <v>2259110.1513049854</v>
      </c>
      <c r="R16" s="13">
        <v>2419223.3930715187</v>
      </c>
      <c r="S16" s="13">
        <v>3240531.9863939192</v>
      </c>
      <c r="T16" s="13">
        <v>3504814.5287195025</v>
      </c>
      <c r="U16" s="13">
        <v>3677249.442346816</v>
      </c>
      <c r="V16" s="23">
        <v>3603786.112750547</v>
      </c>
      <c r="W16" s="13">
        <f t="shared" si="6"/>
        <v>100</v>
      </c>
      <c r="X16" s="13">
        <f t="shared" si="7"/>
        <v>61.77284436674524</v>
      </c>
      <c r="Y16" s="13">
        <f t="shared" si="8"/>
        <v>66.150962166351306</v>
      </c>
      <c r="Z16" s="13">
        <f t="shared" si="9"/>
        <v>88.608728505486226</v>
      </c>
      <c r="AA16" s="13">
        <f t="shared" si="10"/>
        <v>95.835239504295004</v>
      </c>
      <c r="AB16" s="13">
        <f t="shared" si="11"/>
        <v>100.55027966147377</v>
      </c>
      <c r="AC16" s="23">
        <f t="shared" si="11"/>
        <v>98.541506949265894</v>
      </c>
      <c r="AD16" s="13">
        <v>26.969091807229667</v>
      </c>
      <c r="AE16" s="13">
        <v>17.276543449307418</v>
      </c>
      <c r="AF16" s="13">
        <v>20.013580848585555</v>
      </c>
      <c r="AG16" s="13">
        <v>26.854819499570674</v>
      </c>
      <c r="AH16" s="13">
        <v>31.216245545445105</v>
      </c>
      <c r="AI16" s="13">
        <v>35.602342171070795</v>
      </c>
      <c r="AJ16" s="23">
        <v>35.549368949224679</v>
      </c>
      <c r="AK16" s="17">
        <v>45.555957987877271</v>
      </c>
      <c r="AL16" s="17">
        <v>44.717492778498183</v>
      </c>
      <c r="AM16" s="17">
        <v>49.172713363252534</v>
      </c>
      <c r="AN16" s="17">
        <v>56.452317048907098</v>
      </c>
      <c r="AO16" s="17">
        <v>58.542155974215675</v>
      </c>
      <c r="AP16" s="17">
        <v>56.365601961420396</v>
      </c>
      <c r="AQ16" s="18">
        <v>58.450175972006605</v>
      </c>
      <c r="AR16" s="42">
        <f t="shared" si="12"/>
        <v>717.80605558522666</v>
      </c>
      <c r="AS16" s="17">
        <f t="shared" si="13"/>
        <v>743.57640488268987</v>
      </c>
      <c r="AT16" s="17">
        <f t="shared" si="14"/>
        <v>766.06063876735345</v>
      </c>
      <c r="AU16" s="17">
        <f t="shared" si="15"/>
        <v>799.31295957221926</v>
      </c>
      <c r="AV16" s="17">
        <f t="shared" si="16"/>
        <v>797.20054065720433</v>
      </c>
      <c r="AW16" s="17">
        <f t="shared" si="17"/>
        <v>758.02579659173614</v>
      </c>
      <c r="AX16" s="18">
        <f t="shared" si="18"/>
        <v>775.24925809408808</v>
      </c>
      <c r="AY16" s="13">
        <f t="shared" si="34"/>
        <v>100</v>
      </c>
      <c r="AZ16" s="13">
        <f t="shared" si="35"/>
        <v>103.59015490283829</v>
      </c>
      <c r="BA16" s="13">
        <f t="shared" si="36"/>
        <v>106.72250990454306</v>
      </c>
      <c r="BB16" s="13">
        <f t="shared" si="37"/>
        <v>111.35500367443126</v>
      </c>
      <c r="BC16" s="13">
        <f t="shared" si="38"/>
        <v>111.06071541946625</v>
      </c>
      <c r="BD16" s="13">
        <f t="shared" si="39"/>
        <v>105.60314874659539</v>
      </c>
      <c r="BE16" s="23">
        <f t="shared" si="39"/>
        <v>108.00260767680874</v>
      </c>
      <c r="BF16" s="21">
        <f t="shared" si="40"/>
        <v>0.59199922465479293</v>
      </c>
      <c r="BG16" s="21">
        <f t="shared" si="41"/>
        <v>0.38634866080002178</v>
      </c>
      <c r="BH16" s="21">
        <f t="shared" si="42"/>
        <v>0.40700582660020523</v>
      </c>
      <c r="BI16" s="21">
        <f t="shared" si="43"/>
        <v>0.47570801170667937</v>
      </c>
      <c r="BJ16" s="21">
        <f t="shared" si="44"/>
        <v>0.5332267837760194</v>
      </c>
      <c r="BK16" s="21">
        <f t="shared" si="45"/>
        <v>0.63163243063453711</v>
      </c>
      <c r="BL16" s="21">
        <f t="shared" si="46"/>
        <v>0.60819951964302466</v>
      </c>
      <c r="BM16" s="42">
        <f t="shared" si="21"/>
        <v>18.586866180647604</v>
      </c>
      <c r="BN16" s="17">
        <f t="shared" si="22"/>
        <v>20.240048289190767</v>
      </c>
      <c r="BO16" s="17">
        <f t="shared" si="23"/>
        <v>21.02731370466698</v>
      </c>
      <c r="BP16" s="17">
        <f t="shared" si="24"/>
        <v>28.146914299336423</v>
      </c>
      <c r="BQ16" s="17">
        <f t="shared" si="25"/>
        <v>26.334525508770568</v>
      </c>
      <c r="BR16" s="17">
        <f t="shared" si="26"/>
        <v>20.735019641399195</v>
      </c>
      <c r="BS16" s="18">
        <f t="shared" si="27"/>
        <v>22.900807022781926</v>
      </c>
      <c r="BT16" s="17"/>
      <c r="BU16" s="17">
        <v>7.2009010399999998</v>
      </c>
      <c r="BV16" s="17">
        <v>8.1318188100000004</v>
      </c>
      <c r="BW16" s="17">
        <v>1.45058325</v>
      </c>
      <c r="BX16" s="17">
        <v>0.99138491999999989</v>
      </c>
      <c r="BY16" s="17">
        <v>2.8240148950404498E-2</v>
      </c>
      <c r="BZ16" s="18">
        <v>0</v>
      </c>
    </row>
    <row r="17" spans="1:78" x14ac:dyDescent="0.25">
      <c r="A17" s="3" t="s">
        <v>103</v>
      </c>
      <c r="B17" s="13">
        <v>44536.415861352005</v>
      </c>
      <c r="C17" s="13">
        <v>45303.399999408015</v>
      </c>
      <c r="D17" s="13">
        <v>45279.633333516067</v>
      </c>
      <c r="E17" s="13">
        <v>45799.033333559979</v>
      </c>
      <c r="F17" s="13">
        <v>45769.166668667989</v>
      </c>
      <c r="G17" s="13">
        <v>45699.191406479993</v>
      </c>
      <c r="H17" s="23">
        <v>46304.185999999667</v>
      </c>
      <c r="I17" s="13">
        <f t="shared" si="28"/>
        <v>100</v>
      </c>
      <c r="J17" s="13">
        <f t="shared" si="29"/>
        <v>101.72215056650211</v>
      </c>
      <c r="K17" s="13">
        <f t="shared" si="30"/>
        <v>101.66878599858103</v>
      </c>
      <c r="L17" s="13">
        <f t="shared" si="31"/>
        <v>102.83502263886406</v>
      </c>
      <c r="M17" s="13">
        <f t="shared" si="32"/>
        <v>102.76796141645907</v>
      </c>
      <c r="N17" s="13">
        <f t="shared" si="33"/>
        <v>102.61084221224237</v>
      </c>
      <c r="O17" s="23">
        <f t="shared" si="33"/>
        <v>103.96926897788761</v>
      </c>
      <c r="P17" s="13">
        <v>1823295.5318168143</v>
      </c>
      <c r="Q17" s="13">
        <v>1360025.3283432606</v>
      </c>
      <c r="R17" s="13">
        <v>1360573.8182233276</v>
      </c>
      <c r="S17" s="13">
        <v>1728536.7366157689</v>
      </c>
      <c r="T17" s="13">
        <v>1798827.41763933</v>
      </c>
      <c r="U17" s="13">
        <v>1771789.6157678135</v>
      </c>
      <c r="V17" s="23">
        <v>1790718.9085393054</v>
      </c>
      <c r="W17" s="13">
        <f t="shared" si="6"/>
        <v>100</v>
      </c>
      <c r="X17" s="13">
        <f t="shared" si="7"/>
        <v>74.591601010949091</v>
      </c>
      <c r="Y17" s="13">
        <f t="shared" si="8"/>
        <v>74.621683346505549</v>
      </c>
      <c r="Z17" s="13">
        <f t="shared" si="9"/>
        <v>94.802883375322949</v>
      </c>
      <c r="AA17" s="13">
        <f t="shared" si="10"/>
        <v>98.658028073314966</v>
      </c>
      <c r="AB17" s="13">
        <f t="shared" si="11"/>
        <v>97.175119713166964</v>
      </c>
      <c r="AC17" s="23">
        <f t="shared" si="11"/>
        <v>98.213310858879353</v>
      </c>
      <c r="AD17" s="13">
        <v>18.629006190779986</v>
      </c>
      <c r="AE17" s="13">
        <v>14.665543457439611</v>
      </c>
      <c r="AF17" s="13">
        <v>16.694776662837061</v>
      </c>
      <c r="AG17" s="13">
        <v>20.084271861450674</v>
      </c>
      <c r="AH17" s="13">
        <v>22.392972969829259</v>
      </c>
      <c r="AI17" s="13">
        <v>24.72567575563119</v>
      </c>
      <c r="AJ17" s="23">
        <v>25.507363161253565</v>
      </c>
      <c r="AK17" s="17">
        <v>37.31103905667468</v>
      </c>
      <c r="AL17" s="17">
        <v>38.392567125626414</v>
      </c>
      <c r="AM17" s="17">
        <v>39.75170064734187</v>
      </c>
      <c r="AN17" s="17">
        <v>43.654645627162914</v>
      </c>
      <c r="AO17" s="17">
        <v>45.526824868245413</v>
      </c>
      <c r="AP17" s="17">
        <v>41.385022296773798</v>
      </c>
      <c r="AQ17" s="18">
        <v>43.111761890544699</v>
      </c>
      <c r="AR17" s="42">
        <f t="shared" si="12"/>
        <v>837.76474453689946</v>
      </c>
      <c r="AS17" s="17">
        <f t="shared" si="13"/>
        <v>847.45443225294559</v>
      </c>
      <c r="AT17" s="17">
        <f t="shared" si="14"/>
        <v>877.91569234986684</v>
      </c>
      <c r="AU17" s="17">
        <f t="shared" si="15"/>
        <v>953.17831949029949</v>
      </c>
      <c r="AV17" s="17">
        <f t="shared" si="16"/>
        <v>994.70512971807125</v>
      </c>
      <c r="AW17" s="17">
        <f t="shared" si="17"/>
        <v>905.59637978420642</v>
      </c>
      <c r="AX17" s="18">
        <f t="shared" si="18"/>
        <v>931.05538861097807</v>
      </c>
      <c r="AY17" s="13">
        <f t="shared" si="34"/>
        <v>100</v>
      </c>
      <c r="AZ17" s="13">
        <f t="shared" si="35"/>
        <v>101.15661201778101</v>
      </c>
      <c r="BA17" s="13">
        <f t="shared" si="36"/>
        <v>104.79262801100111</v>
      </c>
      <c r="BB17" s="13">
        <f t="shared" si="37"/>
        <v>113.77637047942362</v>
      </c>
      <c r="BC17" s="13">
        <f t="shared" si="38"/>
        <v>118.73322865453422</v>
      </c>
      <c r="BD17" s="13">
        <f t="shared" si="39"/>
        <v>108.09674024714455</v>
      </c>
      <c r="BE17" s="23">
        <f t="shared" si="39"/>
        <v>111.13566125603052</v>
      </c>
      <c r="BF17" s="21">
        <f t="shared" si="40"/>
        <v>0.49928939696594671</v>
      </c>
      <c r="BG17" s="21">
        <f t="shared" si="41"/>
        <v>0.3819891337156926</v>
      </c>
      <c r="BH17" s="21">
        <f t="shared" si="42"/>
        <v>0.41997641336015173</v>
      </c>
      <c r="BI17" s="21">
        <f t="shared" si="43"/>
        <v>0.46007181075257159</v>
      </c>
      <c r="BJ17" s="21">
        <f t="shared" si="44"/>
        <v>0.49186327038256017</v>
      </c>
      <c r="BK17" s="21">
        <f t="shared" si="45"/>
        <v>0.5974546921425411</v>
      </c>
      <c r="BL17" s="21">
        <f t="shared" si="46"/>
        <v>0.59165670904412415</v>
      </c>
      <c r="BM17" s="42">
        <f t="shared" si="21"/>
        <v>18.682032865894694</v>
      </c>
      <c r="BN17" s="17">
        <f t="shared" si="22"/>
        <v>18.508994418186802</v>
      </c>
      <c r="BO17" s="17">
        <f t="shared" si="23"/>
        <v>18.908668754504809</v>
      </c>
      <c r="BP17" s="17">
        <f t="shared" si="24"/>
        <v>23.287620995712242</v>
      </c>
      <c r="BQ17" s="17">
        <f t="shared" si="25"/>
        <v>22.499242528416154</v>
      </c>
      <c r="BR17" s="17">
        <f t="shared" si="26"/>
        <v>16.63738485739313</v>
      </c>
      <c r="BS17" s="18">
        <f t="shared" si="27"/>
        <v>17.604398729291134</v>
      </c>
      <c r="BT17" s="17"/>
      <c r="BU17" s="17">
        <v>5.2180292499999998</v>
      </c>
      <c r="BV17" s="17">
        <v>4.1482552300000002</v>
      </c>
      <c r="BW17" s="17">
        <v>0.28275276999999999</v>
      </c>
      <c r="BX17" s="17">
        <v>0.63460936999999995</v>
      </c>
      <c r="BY17" s="17">
        <v>2.1961683749476199E-2</v>
      </c>
      <c r="BZ17" s="18">
        <v>0</v>
      </c>
    </row>
    <row r="18" spans="1:78" x14ac:dyDescent="0.25">
      <c r="A18" s="3" t="s">
        <v>104</v>
      </c>
      <c r="B18" s="13">
        <v>8368.6778672040036</v>
      </c>
      <c r="C18" s="13">
        <v>8483.9500004039983</v>
      </c>
      <c r="D18" s="13">
        <v>8455.458333468001</v>
      </c>
      <c r="E18" s="13">
        <v>8226.4375003199984</v>
      </c>
      <c r="F18" s="13">
        <v>8171.0416657200003</v>
      </c>
      <c r="G18" s="13">
        <v>9071.5335946080013</v>
      </c>
      <c r="H18" s="23">
        <v>10947.875000000065</v>
      </c>
      <c r="I18" s="13">
        <f t="shared" si="28"/>
        <v>100</v>
      </c>
      <c r="J18" s="13">
        <f t="shared" si="29"/>
        <v>101.37742347153467</v>
      </c>
      <c r="K18" s="13">
        <f t="shared" si="30"/>
        <v>101.03696745938903</v>
      </c>
      <c r="L18" s="13">
        <f t="shared" si="31"/>
        <v>98.30032450596012</v>
      </c>
      <c r="M18" s="13">
        <f t="shared" si="32"/>
        <v>97.638382016608389</v>
      </c>
      <c r="N18" s="13">
        <f t="shared" si="33"/>
        <v>108.39864717649628</v>
      </c>
      <c r="O18" s="23">
        <f t="shared" si="33"/>
        <v>130.81964885879611</v>
      </c>
      <c r="P18" s="13">
        <v>282131.75025231851</v>
      </c>
      <c r="Q18" s="13">
        <v>232630.21195247775</v>
      </c>
      <c r="R18" s="13">
        <v>181827.66569465605</v>
      </c>
      <c r="S18" s="13">
        <v>243590.25981376457</v>
      </c>
      <c r="T18" s="13">
        <v>223387.90239791086</v>
      </c>
      <c r="U18" s="13">
        <v>260498.86366702395</v>
      </c>
      <c r="V18" s="23">
        <v>266237.86929651152</v>
      </c>
      <c r="W18" s="13">
        <f t="shared" si="6"/>
        <v>100</v>
      </c>
      <c r="X18" s="13">
        <f t="shared" si="7"/>
        <v>82.454460281209009</v>
      </c>
      <c r="Y18" s="13">
        <f t="shared" si="8"/>
        <v>64.447785664691182</v>
      </c>
      <c r="Z18" s="13">
        <f t="shared" si="9"/>
        <v>86.339187133640522</v>
      </c>
      <c r="AA18" s="13">
        <f t="shared" si="10"/>
        <v>79.178576036950346</v>
      </c>
      <c r="AB18" s="13">
        <f t="shared" si="11"/>
        <v>92.332345946194422</v>
      </c>
      <c r="AC18" s="23">
        <f t="shared" si="11"/>
        <v>94.366503967882863</v>
      </c>
      <c r="AD18" s="13">
        <v>4.3364794444703918</v>
      </c>
      <c r="AE18" s="13">
        <v>3.1540209423251904</v>
      </c>
      <c r="AF18" s="13">
        <v>3.1603443697083482</v>
      </c>
      <c r="AG18" s="13">
        <v>4.0987896693496184</v>
      </c>
      <c r="AH18" s="13">
        <v>4.3298112266011701</v>
      </c>
      <c r="AI18" s="13">
        <v>5.1655230846995259</v>
      </c>
      <c r="AJ18" s="23">
        <v>5.1481499517134184</v>
      </c>
      <c r="AK18" s="17">
        <v>8.4807459666154124</v>
      </c>
      <c r="AL18" s="17">
        <v>8.6470163794677823</v>
      </c>
      <c r="AM18" s="17">
        <v>8.9391524006507819</v>
      </c>
      <c r="AN18" s="17">
        <v>9.7554633460722808</v>
      </c>
      <c r="AO18" s="17">
        <v>10.091709879143398</v>
      </c>
      <c r="AP18" s="17">
        <v>9.6216544464776543</v>
      </c>
      <c r="AQ18" s="18">
        <v>10.660744670802488</v>
      </c>
      <c r="AR18" s="42">
        <f t="shared" si="12"/>
        <v>1013.3913745026072</v>
      </c>
      <c r="AS18" s="17">
        <f t="shared" si="13"/>
        <v>1019.2205728529775</v>
      </c>
      <c r="AT18" s="17">
        <f t="shared" si="14"/>
        <v>1057.2049495257102</v>
      </c>
      <c r="AU18" s="17">
        <f t="shared" si="15"/>
        <v>1185.867314459364</v>
      </c>
      <c r="AV18" s="17">
        <f t="shared" si="16"/>
        <v>1235.0579389995262</v>
      </c>
      <c r="AW18" s="17">
        <f t="shared" si="17"/>
        <v>1060.6425414327559</v>
      </c>
      <c r="AX18" s="18">
        <f t="shared" si="18"/>
        <v>973.77296240616784</v>
      </c>
      <c r="AY18" s="13">
        <f t="shared" si="34"/>
        <v>100</v>
      </c>
      <c r="AZ18" s="13">
        <f t="shared" si="35"/>
        <v>100.5752168902396</v>
      </c>
      <c r="BA18" s="13">
        <f t="shared" si="36"/>
        <v>104.32346042461704</v>
      </c>
      <c r="BB18" s="13">
        <f t="shared" si="37"/>
        <v>117.0196771253763</v>
      </c>
      <c r="BC18" s="13">
        <f t="shared" si="38"/>
        <v>121.87373704514877</v>
      </c>
      <c r="BD18" s="13">
        <f t="shared" si="39"/>
        <v>104.66267703860619</v>
      </c>
      <c r="BE18" s="23">
        <f t="shared" si="39"/>
        <v>96.090512205525243</v>
      </c>
      <c r="BF18" s="21">
        <f t="shared" si="40"/>
        <v>0.51133231222123743</v>
      </c>
      <c r="BG18" s="21">
        <f t="shared" si="41"/>
        <v>0.36475251160786143</v>
      </c>
      <c r="BH18" s="21">
        <f t="shared" si="42"/>
        <v>0.35353960063129375</v>
      </c>
      <c r="BI18" s="21">
        <f t="shared" si="43"/>
        <v>0.42015325402251269</v>
      </c>
      <c r="BJ18" s="21">
        <f t="shared" si="44"/>
        <v>0.42904634382619528</v>
      </c>
      <c r="BK18" s="21">
        <f t="shared" si="45"/>
        <v>0.53686433174603854</v>
      </c>
      <c r="BL18" s="21">
        <f t="shared" si="46"/>
        <v>0.48290716180578885</v>
      </c>
      <c r="BM18" s="42">
        <f t="shared" si="21"/>
        <v>4.1442665221450206</v>
      </c>
      <c r="BN18" s="17">
        <f t="shared" si="22"/>
        <v>4.280819517142592</v>
      </c>
      <c r="BO18" s="17">
        <f t="shared" si="23"/>
        <v>4.3085502309424335</v>
      </c>
      <c r="BP18" s="17">
        <f t="shared" si="24"/>
        <v>5.3919592667226626</v>
      </c>
      <c r="BQ18" s="17">
        <f t="shared" si="25"/>
        <v>5.5887768625422281</v>
      </c>
      <c r="BR18" s="17">
        <f t="shared" si="26"/>
        <v>4.4512632221374089</v>
      </c>
      <c r="BS18" s="18">
        <f t="shared" si="27"/>
        <v>5.5125947190890701</v>
      </c>
      <c r="BT18" s="17"/>
      <c r="BU18" s="17">
        <v>1.21217592</v>
      </c>
      <c r="BV18" s="17">
        <v>1.4702578000000002</v>
      </c>
      <c r="BW18" s="17">
        <v>0.26471441000000001</v>
      </c>
      <c r="BX18" s="17">
        <v>0.17312179</v>
      </c>
      <c r="BY18" s="17">
        <v>4.8681396407197651E-3</v>
      </c>
      <c r="BZ18" s="18">
        <v>0</v>
      </c>
    </row>
    <row r="19" spans="1:78" x14ac:dyDescent="0.25">
      <c r="A19" s="3" t="s">
        <v>105</v>
      </c>
      <c r="B19" s="13">
        <v>33937.588019184026</v>
      </c>
      <c r="C19" s="13">
        <v>34170.112822632022</v>
      </c>
      <c r="D19" s="13">
        <v>34490.124054719978</v>
      </c>
      <c r="E19" s="13">
        <v>34388.353877376008</v>
      </c>
      <c r="F19" s="13">
        <v>34336.248522312009</v>
      </c>
      <c r="G19" s="13">
        <v>34391.025456348005</v>
      </c>
      <c r="H19" s="23">
        <v>34401.570000000014</v>
      </c>
      <c r="I19" s="13">
        <f t="shared" si="28"/>
        <v>100</v>
      </c>
      <c r="J19" s="13">
        <f t="shared" si="29"/>
        <v>100.68515418160111</v>
      </c>
      <c r="K19" s="13">
        <f t="shared" si="30"/>
        <v>101.62809459300294</v>
      </c>
      <c r="L19" s="13">
        <f t="shared" si="31"/>
        <v>101.32822007838971</v>
      </c>
      <c r="M19" s="13">
        <f t="shared" si="32"/>
        <v>101.17468720199747</v>
      </c>
      <c r="N19" s="13">
        <f t="shared" si="33"/>
        <v>101.33609211387579</v>
      </c>
      <c r="O19" s="23">
        <f t="shared" si="33"/>
        <v>101.36716251182527</v>
      </c>
      <c r="P19" s="13">
        <v>847050.57391515723</v>
      </c>
      <c r="Q19" s="13">
        <v>630533.95047173568</v>
      </c>
      <c r="R19" s="13">
        <v>580242.23260674253</v>
      </c>
      <c r="S19" s="13">
        <v>725079.6835115815</v>
      </c>
      <c r="T19" s="13">
        <v>724890.38995436381</v>
      </c>
      <c r="U19" s="13">
        <v>740810.8054820518</v>
      </c>
      <c r="V19" s="23">
        <v>733136.94030612032</v>
      </c>
      <c r="W19" s="13">
        <f t="shared" si="6"/>
        <v>100</v>
      </c>
      <c r="X19" s="13">
        <f t="shared" si="7"/>
        <v>74.43876078819487</v>
      </c>
      <c r="Y19" s="13">
        <f t="shared" si="8"/>
        <v>68.50148627192371</v>
      </c>
      <c r="Z19" s="13">
        <f t="shared" si="9"/>
        <v>85.600518533407822</v>
      </c>
      <c r="AA19" s="13">
        <f t="shared" si="10"/>
        <v>85.578171159703459</v>
      </c>
      <c r="AB19" s="13">
        <f t="shared" si="11"/>
        <v>87.457682964305889</v>
      </c>
      <c r="AC19" s="23">
        <f t="shared" si="11"/>
        <v>86.551731724527841</v>
      </c>
      <c r="AD19" s="13">
        <v>10.769525768868617</v>
      </c>
      <c r="AE19" s="13">
        <v>7.790963338980208</v>
      </c>
      <c r="AF19" s="13">
        <v>8.2119915226408366</v>
      </c>
      <c r="AG19" s="13">
        <v>9.7695495648829365</v>
      </c>
      <c r="AH19" s="13">
        <v>10.916325882096402</v>
      </c>
      <c r="AI19" s="13">
        <v>12.36741338699885</v>
      </c>
      <c r="AJ19" s="23">
        <v>12.427808551557881</v>
      </c>
      <c r="AK19" s="17">
        <v>26.630731963071486</v>
      </c>
      <c r="AL19" s="17">
        <v>27.626803900699972</v>
      </c>
      <c r="AM19" s="17">
        <v>28.857330657614867</v>
      </c>
      <c r="AN19" s="17">
        <v>32.053677224117891</v>
      </c>
      <c r="AO19" s="17">
        <v>32.037171117700758</v>
      </c>
      <c r="AP19" s="17">
        <v>31.512064359512379</v>
      </c>
      <c r="AQ19" s="18">
        <v>32.416337592397085</v>
      </c>
      <c r="AR19" s="42">
        <f t="shared" si="12"/>
        <v>784.69724919808198</v>
      </c>
      <c r="AS19" s="17">
        <f t="shared" si="13"/>
        <v>808.50783385186264</v>
      </c>
      <c r="AT19" s="17">
        <f t="shared" si="14"/>
        <v>836.68387541406184</v>
      </c>
      <c r="AU19" s="17">
        <f t="shared" si="15"/>
        <v>932.10850796803925</v>
      </c>
      <c r="AV19" s="17">
        <f t="shared" si="16"/>
        <v>933.04226572342964</v>
      </c>
      <c r="AW19" s="17">
        <f t="shared" si="17"/>
        <v>916.28743084471716</v>
      </c>
      <c r="AX19" s="18">
        <f t="shared" si="18"/>
        <v>942.29238934144792</v>
      </c>
      <c r="AY19" s="13">
        <f t="shared" si="34"/>
        <v>100</v>
      </c>
      <c r="AZ19" s="13">
        <f t="shared" si="35"/>
        <v>103.03436576056737</v>
      </c>
      <c r="BA19" s="13">
        <f t="shared" si="36"/>
        <v>106.62505523870607</v>
      </c>
      <c r="BB19" s="13">
        <f t="shared" si="37"/>
        <v>118.78574939833211</v>
      </c>
      <c r="BC19" s="13">
        <f t="shared" si="38"/>
        <v>118.90474532400212</v>
      </c>
      <c r="BD19" s="13">
        <f t="shared" si="39"/>
        <v>116.76954797294283</v>
      </c>
      <c r="BE19" s="23">
        <f t="shared" si="39"/>
        <v>120.08355965366511</v>
      </c>
      <c r="BF19" s="21">
        <f t="shared" si="40"/>
        <v>0.40440216903548082</v>
      </c>
      <c r="BG19" s="21">
        <f t="shared" si="41"/>
        <v>0.28200740726229323</v>
      </c>
      <c r="BH19" s="21">
        <f t="shared" si="42"/>
        <v>0.28457211167845348</v>
      </c>
      <c r="BI19" s="21">
        <f t="shared" si="43"/>
        <v>0.30478716986430848</v>
      </c>
      <c r="BJ19" s="21">
        <f t="shared" si="44"/>
        <v>0.34073938182591462</v>
      </c>
      <c r="BK19" s="21">
        <f t="shared" si="45"/>
        <v>0.39246598527797066</v>
      </c>
      <c r="BL19" s="21">
        <f t="shared" si="46"/>
        <v>0.38338101940524871</v>
      </c>
      <c r="BM19" s="42">
        <f t="shared" si="21"/>
        <v>15.86120619420287</v>
      </c>
      <c r="BN19" s="17">
        <f t="shared" si="22"/>
        <v>16.869413191719762</v>
      </c>
      <c r="BO19" s="17">
        <f t="shared" si="23"/>
        <v>17.62784705497403</v>
      </c>
      <c r="BP19" s="17">
        <f t="shared" si="24"/>
        <v>21.584237659234955</v>
      </c>
      <c r="BQ19" s="17">
        <f t="shared" si="25"/>
        <v>20.593473755604357</v>
      </c>
      <c r="BR19" s="17">
        <f t="shared" si="26"/>
        <v>19.12919656245197</v>
      </c>
      <c r="BS19" s="18">
        <f t="shared" si="27"/>
        <v>19.988529040839204</v>
      </c>
      <c r="BT19" s="17"/>
      <c r="BU19" s="17">
        <v>2.9664273700000003</v>
      </c>
      <c r="BV19" s="17">
        <v>3.0174920799999998</v>
      </c>
      <c r="BW19" s="17">
        <v>0.6998899999999999</v>
      </c>
      <c r="BX19" s="17">
        <v>0.52737148</v>
      </c>
      <c r="BY19" s="17">
        <v>1.5454410061562271E-2</v>
      </c>
      <c r="BZ19" s="18">
        <v>0</v>
      </c>
    </row>
    <row r="20" spans="1:78" x14ac:dyDescent="0.25">
      <c r="A20" s="3" t="s">
        <v>106</v>
      </c>
      <c r="B20" s="13">
        <v>63651.633156239935</v>
      </c>
      <c r="C20" s="13">
        <v>63902.517555432038</v>
      </c>
      <c r="D20" s="13">
        <v>62805.998782620089</v>
      </c>
      <c r="E20" s="13">
        <v>63194.216740128024</v>
      </c>
      <c r="F20" s="13">
        <v>62773.492095497983</v>
      </c>
      <c r="G20" s="13">
        <v>61656.212898924008</v>
      </c>
      <c r="H20" s="23">
        <v>61535.61800000006</v>
      </c>
      <c r="I20" s="13">
        <f t="shared" si="28"/>
        <v>100</v>
      </c>
      <c r="J20" s="13">
        <f t="shared" si="29"/>
        <v>100.3941523363215</v>
      </c>
      <c r="K20" s="13">
        <f t="shared" si="30"/>
        <v>98.671464765807116</v>
      </c>
      <c r="L20" s="13">
        <f t="shared" si="31"/>
        <v>99.281375208411177</v>
      </c>
      <c r="M20" s="13">
        <f t="shared" si="32"/>
        <v>98.620395083050809</v>
      </c>
      <c r="N20" s="13">
        <f t="shared" si="33"/>
        <v>96.865091815605183</v>
      </c>
      <c r="O20" s="23">
        <f t="shared" si="33"/>
        <v>96.675631006912454</v>
      </c>
      <c r="P20" s="13">
        <v>2671418.6699182456</v>
      </c>
      <c r="Q20" s="13">
        <v>1789256.5120847838</v>
      </c>
      <c r="R20" s="13">
        <v>1651927.9720978884</v>
      </c>
      <c r="S20" s="13">
        <v>2097583.9300022456</v>
      </c>
      <c r="T20" s="13">
        <v>2092619.3093826384</v>
      </c>
      <c r="U20" s="13">
        <v>2117006.3397936779</v>
      </c>
      <c r="V20" s="23">
        <v>2088319.7744083679</v>
      </c>
      <c r="W20" s="13">
        <f t="shared" si="6"/>
        <v>100</v>
      </c>
      <c r="X20" s="13">
        <f t="shared" si="7"/>
        <v>66.977764744735467</v>
      </c>
      <c r="Y20" s="13">
        <f t="shared" si="8"/>
        <v>61.837105156880668</v>
      </c>
      <c r="Z20" s="13">
        <f t="shared" si="9"/>
        <v>78.519475573869471</v>
      </c>
      <c r="AA20" s="13">
        <f t="shared" si="10"/>
        <v>78.333633471487246</v>
      </c>
      <c r="AB20" s="13">
        <f t="shared" si="11"/>
        <v>79.246520346377054</v>
      </c>
      <c r="AC20" s="23">
        <f t="shared" si="11"/>
        <v>78.172687715485552</v>
      </c>
      <c r="AD20" s="13">
        <v>24.621737461464214</v>
      </c>
      <c r="AE20" s="13">
        <v>17.209363927441871</v>
      </c>
      <c r="AF20" s="13">
        <v>17.734265358924628</v>
      </c>
      <c r="AG20" s="13">
        <v>21.661497793051591</v>
      </c>
      <c r="AH20" s="13">
        <v>23.781819505140419</v>
      </c>
      <c r="AI20" s="13">
        <v>26.935288985099739</v>
      </c>
      <c r="AJ20" s="23">
        <v>26.953428048957829</v>
      </c>
      <c r="AK20" s="17">
        <v>53.272208876074266</v>
      </c>
      <c r="AL20" s="17">
        <v>54.149266053994658</v>
      </c>
      <c r="AM20" s="17">
        <v>54.863903516326999</v>
      </c>
      <c r="AN20" s="17">
        <v>58.170995413313136</v>
      </c>
      <c r="AO20" s="17">
        <v>58.534220618909458</v>
      </c>
      <c r="AP20" s="17">
        <v>55.043120686732898</v>
      </c>
      <c r="AQ20" s="18">
        <v>58.451537958468556</v>
      </c>
      <c r="AR20" s="42">
        <f t="shared" si="12"/>
        <v>836.93388895948317</v>
      </c>
      <c r="AS20" s="17">
        <f t="shared" si="13"/>
        <v>847.37296941428087</v>
      </c>
      <c r="AT20" s="17">
        <f t="shared" si="14"/>
        <v>873.54559404776387</v>
      </c>
      <c r="AU20" s="17">
        <f t="shared" si="15"/>
        <v>920.51137610468766</v>
      </c>
      <c r="AV20" s="17">
        <f t="shared" si="16"/>
        <v>932.4671714911243</v>
      </c>
      <c r="AW20" s="17">
        <f t="shared" si="17"/>
        <v>892.74248447545313</v>
      </c>
      <c r="AX20" s="18">
        <f t="shared" si="18"/>
        <v>949.88138346913979</v>
      </c>
      <c r="AY20" s="13">
        <f t="shared" si="34"/>
        <v>100</v>
      </c>
      <c r="AZ20" s="13">
        <f t="shared" si="35"/>
        <v>101.2473004848419</v>
      </c>
      <c r="BA20" s="13">
        <f t="shared" si="36"/>
        <v>104.37450383731004</v>
      </c>
      <c r="BB20" s="13">
        <f t="shared" si="37"/>
        <v>109.98615162412793</v>
      </c>
      <c r="BC20" s="13">
        <f t="shared" si="38"/>
        <v>111.41467489748955</v>
      </c>
      <c r="BD20" s="13">
        <f t="shared" si="39"/>
        <v>106.66822030415734</v>
      </c>
      <c r="BE20" s="23">
        <f t="shared" si="39"/>
        <v>113.49539025717772</v>
      </c>
      <c r="BF20" s="21">
        <f t="shared" si="40"/>
        <v>0.46218728265503523</v>
      </c>
      <c r="BG20" s="21">
        <f t="shared" si="41"/>
        <v>0.31781342909212551</v>
      </c>
      <c r="BH20" s="21">
        <f t="shared" si="42"/>
        <v>0.32324104233026496</v>
      </c>
      <c r="BI20" s="21">
        <f t="shared" si="43"/>
        <v>0.37237626138496671</v>
      </c>
      <c r="BJ20" s="21">
        <f t="shared" si="44"/>
        <v>0.40628916305170226</v>
      </c>
      <c r="BK20" s="21">
        <f t="shared" si="45"/>
        <v>0.48934887137661837</v>
      </c>
      <c r="BL20" s="21">
        <f t="shared" si="46"/>
        <v>0.46112436028815851</v>
      </c>
      <c r="BM20" s="42">
        <f t="shared" si="21"/>
        <v>28.650471414610053</v>
      </c>
      <c r="BN20" s="17">
        <f t="shared" si="22"/>
        <v>28.995796596552786</v>
      </c>
      <c r="BO20" s="17">
        <f t="shared" si="23"/>
        <v>27.768052777402367</v>
      </c>
      <c r="BP20" s="17">
        <f t="shared" si="24"/>
        <v>34.282638710261544</v>
      </c>
      <c r="BQ20" s="17">
        <f t="shared" si="25"/>
        <v>33.63752747376904</v>
      </c>
      <c r="BR20" s="17">
        <f t="shared" si="26"/>
        <v>28.079595380618574</v>
      </c>
      <c r="BS20" s="18">
        <f t="shared" si="27"/>
        <v>31.498109909510728</v>
      </c>
      <c r="BT20" s="17"/>
      <c r="BU20" s="17">
        <v>7.9441055299999999</v>
      </c>
      <c r="BV20" s="17">
        <v>9.3615853800000011</v>
      </c>
      <c r="BW20" s="17">
        <v>2.2268589099999998</v>
      </c>
      <c r="BX20" s="17">
        <v>1.1148736399999999</v>
      </c>
      <c r="BY20" s="17">
        <v>2.8236321014584741E-2</v>
      </c>
      <c r="BZ20" s="18">
        <v>0</v>
      </c>
    </row>
    <row r="21" spans="1:78" x14ac:dyDescent="0.25">
      <c r="A21" s="3" t="s">
        <v>107</v>
      </c>
      <c r="B21" s="13">
        <v>75413.75728380002</v>
      </c>
      <c r="C21" s="13">
        <v>73274.047718663904</v>
      </c>
      <c r="D21" s="13">
        <v>72979.402438271951</v>
      </c>
      <c r="E21" s="13">
        <v>73695.351118536026</v>
      </c>
      <c r="F21" s="13">
        <v>72875.603622233335</v>
      </c>
      <c r="G21" s="13">
        <v>72818.107728264004</v>
      </c>
      <c r="H21" s="23">
        <v>68712.702999999907</v>
      </c>
      <c r="I21" s="13">
        <f t="shared" si="28"/>
        <v>100</v>
      </c>
      <c r="J21" s="13">
        <f t="shared" si="29"/>
        <v>97.16270659067699</v>
      </c>
      <c r="K21" s="13">
        <f t="shared" si="30"/>
        <v>96.772001643722632</v>
      </c>
      <c r="L21" s="13">
        <f t="shared" si="31"/>
        <v>97.721362484569994</v>
      </c>
      <c r="M21" s="13">
        <f t="shared" si="32"/>
        <v>96.634362544734373</v>
      </c>
      <c r="N21" s="13">
        <f t="shared" si="33"/>
        <v>96.558121954104521</v>
      </c>
      <c r="O21" s="23">
        <f t="shared" si="33"/>
        <v>91.114281365689763</v>
      </c>
      <c r="P21" s="13">
        <v>4032923.0216536038</v>
      </c>
      <c r="Q21" s="13">
        <v>2345007.0782391643</v>
      </c>
      <c r="R21" s="13">
        <v>2392800.3591220481</v>
      </c>
      <c r="S21" s="13">
        <v>2852795.6090436145</v>
      </c>
      <c r="T21" s="13">
        <v>3107474.8583353544</v>
      </c>
      <c r="U21" s="13">
        <v>3223371.9762787367</v>
      </c>
      <c r="V21" s="23">
        <v>3184229.1516444338</v>
      </c>
      <c r="W21" s="13">
        <f t="shared" si="6"/>
        <v>100</v>
      </c>
      <c r="X21" s="13">
        <f t="shared" si="7"/>
        <v>58.146586623358118</v>
      </c>
      <c r="Y21" s="13">
        <f t="shared" si="8"/>
        <v>59.33166455879779</v>
      </c>
      <c r="Z21" s="13">
        <f t="shared" si="9"/>
        <v>70.737665800372596</v>
      </c>
      <c r="AA21" s="13">
        <f t="shared" si="10"/>
        <v>77.052669779479416</v>
      </c>
      <c r="AB21" s="13">
        <f t="shared" si="11"/>
        <v>79.926444392114135</v>
      </c>
      <c r="AC21" s="23">
        <f t="shared" si="11"/>
        <v>78.955862399248488</v>
      </c>
      <c r="AD21" s="13">
        <v>27.68260160770479</v>
      </c>
      <c r="AE21" s="13">
        <v>16.710151906260084</v>
      </c>
      <c r="AF21" s="13">
        <v>18.319650942766767</v>
      </c>
      <c r="AG21" s="13">
        <v>21.505062857934302</v>
      </c>
      <c r="AH21" s="13">
        <v>25.313730199821844</v>
      </c>
      <c r="AI21" s="13">
        <v>28.723218238040694</v>
      </c>
      <c r="AJ21" s="23">
        <v>28.651344094789767</v>
      </c>
      <c r="AK21" s="17">
        <v>47.664646696446859</v>
      </c>
      <c r="AL21" s="17">
        <v>48.72419326721279</v>
      </c>
      <c r="AM21" s="17">
        <v>50.449228063359485</v>
      </c>
      <c r="AN21" s="17">
        <v>55.183088312756482</v>
      </c>
      <c r="AO21" s="17">
        <v>55.32376217148601</v>
      </c>
      <c r="AP21" s="17">
        <v>52.565236778099653</v>
      </c>
      <c r="AQ21" s="18">
        <v>53.431622167050321</v>
      </c>
      <c r="AR21" s="42">
        <f t="shared" si="12"/>
        <v>632.04179732185185</v>
      </c>
      <c r="AS21" s="17">
        <f t="shared" si="13"/>
        <v>664.95839637915992</v>
      </c>
      <c r="AT21" s="17">
        <f t="shared" si="14"/>
        <v>691.28036648465127</v>
      </c>
      <c r="AU21" s="17">
        <f t="shared" si="15"/>
        <v>748.80012748696572</v>
      </c>
      <c r="AV21" s="17">
        <f t="shared" si="16"/>
        <v>759.15339869112938</v>
      </c>
      <c r="AW21" s="17">
        <f t="shared" si="17"/>
        <v>721.87040309064093</v>
      </c>
      <c r="AX21" s="18">
        <f t="shared" si="18"/>
        <v>777.60908586364883</v>
      </c>
      <c r="AY21" s="13">
        <f t="shared" si="34"/>
        <v>100</v>
      </c>
      <c r="AZ21" s="13">
        <f t="shared" si="35"/>
        <v>105.2079782059961</v>
      </c>
      <c r="BA21" s="13">
        <f t="shared" si="36"/>
        <v>109.37257146818624</v>
      </c>
      <c r="BB21" s="13">
        <f t="shared" si="37"/>
        <v>118.47319760494534</v>
      </c>
      <c r="BC21" s="13">
        <f t="shared" si="38"/>
        <v>120.11126509479072</v>
      </c>
      <c r="BD21" s="13">
        <f t="shared" si="39"/>
        <v>114.21244704850525</v>
      </c>
      <c r="BE21" s="23">
        <f t="shared" si="39"/>
        <v>123.03127564642222</v>
      </c>
      <c r="BF21" s="21">
        <f t="shared" si="40"/>
        <v>0.58077849153067107</v>
      </c>
      <c r="BG21" s="21">
        <f t="shared" si="41"/>
        <v>0.34295389591405684</v>
      </c>
      <c r="BH21" s="21">
        <f t="shared" si="42"/>
        <v>0.36313045106971725</v>
      </c>
      <c r="BI21" s="21">
        <f t="shared" si="43"/>
        <v>0.38970386608396929</v>
      </c>
      <c r="BJ21" s="21">
        <f t="shared" si="44"/>
        <v>0.4575561965825346</v>
      </c>
      <c r="BK21" s="21">
        <f t="shared" si="45"/>
        <v>0.54642992210410246</v>
      </c>
      <c r="BL21" s="21">
        <f t="shared" si="46"/>
        <v>0.53622448529100042</v>
      </c>
      <c r="BM21" s="42">
        <f t="shared" si="21"/>
        <v>19.982045088742069</v>
      </c>
      <c r="BN21" s="17">
        <f t="shared" si="22"/>
        <v>25.464301380952705</v>
      </c>
      <c r="BO21" s="17">
        <f t="shared" si="23"/>
        <v>26.016236520592713</v>
      </c>
      <c r="BP21" s="17">
        <f t="shared" si="24"/>
        <v>31.813404404822176</v>
      </c>
      <c r="BQ21" s="17">
        <f t="shared" si="25"/>
        <v>28.994869571664164</v>
      </c>
      <c r="BR21" s="17">
        <f t="shared" si="26"/>
        <v>23.815330912003244</v>
      </c>
      <c r="BS21" s="18">
        <f t="shared" si="27"/>
        <v>24.780278072260554</v>
      </c>
      <c r="BT21" s="17"/>
      <c r="BU21" s="17">
        <v>6.54973998</v>
      </c>
      <c r="BV21" s="17">
        <v>6.1133406000000008</v>
      </c>
      <c r="BW21" s="17">
        <v>1.86462105</v>
      </c>
      <c r="BX21" s="17">
        <v>1.0151623999999999</v>
      </c>
      <c r="BY21" s="17">
        <v>2.6687628055714903E-2</v>
      </c>
      <c r="BZ21" s="18">
        <v>0</v>
      </c>
    </row>
    <row r="22" spans="1:78" x14ac:dyDescent="0.25">
      <c r="A22" s="3" t="s">
        <v>108</v>
      </c>
      <c r="B22" s="13">
        <v>64430.290103256048</v>
      </c>
      <c r="C22" s="13">
        <v>64012.170941880031</v>
      </c>
      <c r="D22" s="13">
        <v>62826.949998588061</v>
      </c>
      <c r="E22" s="13">
        <v>61328.757503639979</v>
      </c>
      <c r="F22" s="13">
        <v>61362.212553599988</v>
      </c>
      <c r="G22" s="13">
        <v>61414.623939600009</v>
      </c>
      <c r="H22" s="23">
        <v>61482.347000000278</v>
      </c>
      <c r="I22" s="13">
        <f t="shared" si="28"/>
        <v>100</v>
      </c>
      <c r="J22" s="13">
        <f t="shared" si="29"/>
        <v>99.351051872176981</v>
      </c>
      <c r="K22" s="13">
        <f t="shared" si="30"/>
        <v>97.511511895882393</v>
      </c>
      <c r="L22" s="13">
        <f t="shared" si="31"/>
        <v>95.186219719567376</v>
      </c>
      <c r="M22" s="13">
        <f t="shared" si="32"/>
        <v>95.238144132613471</v>
      </c>
      <c r="N22" s="13">
        <f t="shared" si="33"/>
        <v>95.319490011882408</v>
      </c>
      <c r="O22" s="23">
        <f t="shared" si="33"/>
        <v>95.424600605504978</v>
      </c>
      <c r="P22" s="13">
        <v>2273047.4092304795</v>
      </c>
      <c r="Q22" s="13">
        <v>1576356.53954155</v>
      </c>
      <c r="R22" s="13">
        <v>1541386.8872542318</v>
      </c>
      <c r="S22" s="13">
        <v>1987677.8558196572</v>
      </c>
      <c r="T22" s="13">
        <v>1999294.0323733829</v>
      </c>
      <c r="U22" s="13">
        <v>2028885.5804475551</v>
      </c>
      <c r="V22" s="23">
        <v>1989083.4691565537</v>
      </c>
      <c r="W22" s="13">
        <f t="shared" si="6"/>
        <v>100</v>
      </c>
      <c r="X22" s="13">
        <f t="shared" si="7"/>
        <v>69.349919105964091</v>
      </c>
      <c r="Y22" s="13">
        <f t="shared" si="8"/>
        <v>67.811471111201101</v>
      </c>
      <c r="Z22" s="13">
        <f t="shared" si="9"/>
        <v>87.44550807642716</v>
      </c>
      <c r="AA22" s="13">
        <f t="shared" si="10"/>
        <v>87.956547859695831</v>
      </c>
      <c r="AB22" s="13">
        <f t="shared" si="11"/>
        <v>89.258392597029754</v>
      </c>
      <c r="AC22" s="23">
        <f t="shared" si="11"/>
        <v>87.507346352707202</v>
      </c>
      <c r="AD22" s="13">
        <v>22.902631217926348</v>
      </c>
      <c r="AE22" s="13">
        <v>16.221249069200347</v>
      </c>
      <c r="AF22" s="13">
        <v>17.433583575684406</v>
      </c>
      <c r="AG22" s="13">
        <v>20.949562885277516</v>
      </c>
      <c r="AH22" s="13">
        <v>23.533644751649746</v>
      </c>
      <c r="AI22" s="13">
        <v>26.36190062892981</v>
      </c>
      <c r="AJ22" s="23">
        <v>26.295567959126121</v>
      </c>
      <c r="AK22" s="17">
        <v>55.049255842589744</v>
      </c>
      <c r="AL22" s="17">
        <v>55.341115747324437</v>
      </c>
      <c r="AM22" s="17">
        <v>57.191345001120801</v>
      </c>
      <c r="AN22" s="17">
        <v>62.745927728095239</v>
      </c>
      <c r="AO22" s="17">
        <v>61.291548680340391</v>
      </c>
      <c r="AP22" s="17">
        <v>59.909298021389304</v>
      </c>
      <c r="AQ22" s="18">
        <v>61.919584718468762</v>
      </c>
      <c r="AR22" s="42">
        <f t="shared" si="12"/>
        <v>854.40024799465823</v>
      </c>
      <c r="AS22" s="17">
        <f t="shared" si="13"/>
        <v>864.54052304477386</v>
      </c>
      <c r="AT22" s="17">
        <f t="shared" si="14"/>
        <v>910.29956097512434</v>
      </c>
      <c r="AU22" s="17">
        <f t="shared" si="15"/>
        <v>1023.1077602439793</v>
      </c>
      <c r="AV22" s="17">
        <f t="shared" si="16"/>
        <v>998.84841386386017</v>
      </c>
      <c r="AW22" s="17">
        <f t="shared" si="17"/>
        <v>975.48912910887213</v>
      </c>
      <c r="AX22" s="18">
        <f t="shared" si="18"/>
        <v>1007.1115977154952</v>
      </c>
      <c r="AY22" s="13">
        <f t="shared" si="34"/>
        <v>100</v>
      </c>
      <c r="AZ22" s="13">
        <f t="shared" si="35"/>
        <v>101.18682960051986</v>
      </c>
      <c r="BA22" s="13">
        <f t="shared" si="36"/>
        <v>106.54252068765967</v>
      </c>
      <c r="BB22" s="13">
        <f t="shared" si="37"/>
        <v>119.74572369861669</v>
      </c>
      <c r="BC22" s="13">
        <f t="shared" si="38"/>
        <v>116.90638154755135</v>
      </c>
      <c r="BD22" s="13">
        <f t="shared" si="39"/>
        <v>114.17238365724012</v>
      </c>
      <c r="BE22" s="23">
        <f t="shared" si="39"/>
        <v>117.87351420827206</v>
      </c>
      <c r="BF22" s="21">
        <f t="shared" si="40"/>
        <v>0.41603888858034949</v>
      </c>
      <c r="BG22" s="21">
        <f t="shared" si="41"/>
        <v>0.29311387835516473</v>
      </c>
      <c r="BH22" s="21">
        <f t="shared" si="42"/>
        <v>0.30482905368535662</v>
      </c>
      <c r="BI22" s="21">
        <f t="shared" si="43"/>
        <v>0.33387924354327619</v>
      </c>
      <c r="BJ22" s="21">
        <f t="shared" si="44"/>
        <v>0.38396231223307781</v>
      </c>
      <c r="BK22" s="21">
        <f t="shared" si="45"/>
        <v>0.44003020398466147</v>
      </c>
      <c r="BL22" s="21">
        <f t="shared" si="46"/>
        <v>0.42467287335153814</v>
      </c>
      <c r="BM22" s="42">
        <f t="shared" si="21"/>
        <v>32.146624624663396</v>
      </c>
      <c r="BN22" s="17">
        <f t="shared" si="22"/>
        <v>32.72951286812409</v>
      </c>
      <c r="BO22" s="17">
        <f t="shared" si="23"/>
        <v>33.830248935436401</v>
      </c>
      <c r="BP22" s="17">
        <f t="shared" si="24"/>
        <v>41.032281792817727</v>
      </c>
      <c r="BQ22" s="17">
        <f t="shared" si="25"/>
        <v>36.840841558690649</v>
      </c>
      <c r="BR22" s="17">
        <f t="shared" si="26"/>
        <v>33.517830964040016</v>
      </c>
      <c r="BS22" s="18">
        <f t="shared" si="27"/>
        <v>35.624016759342638</v>
      </c>
      <c r="BT22" s="17"/>
      <c r="BU22" s="17">
        <v>6.3903538100000006</v>
      </c>
      <c r="BV22" s="17">
        <v>5.9275124899999998</v>
      </c>
      <c r="BW22" s="17">
        <v>0.76408304999999999</v>
      </c>
      <c r="BX22" s="17">
        <v>0.9170623699999999</v>
      </c>
      <c r="BY22" s="17">
        <v>2.9566428419481695E-2</v>
      </c>
      <c r="BZ22" s="18">
        <v>0</v>
      </c>
    </row>
    <row r="23" spans="1:78" x14ac:dyDescent="0.25">
      <c r="A23" s="3" t="s">
        <v>109</v>
      </c>
      <c r="B23" s="13">
        <v>50821.533368280085</v>
      </c>
      <c r="C23" s="13">
        <v>51179.833335600008</v>
      </c>
      <c r="D23" s="13">
        <v>56936.731896395955</v>
      </c>
      <c r="E23" s="13">
        <v>57296.591771195963</v>
      </c>
      <c r="F23" s="13">
        <v>55921.08333159599</v>
      </c>
      <c r="G23" s="13">
        <v>55177.466664399995</v>
      </c>
      <c r="H23" s="23">
        <v>54889.516999999832</v>
      </c>
      <c r="I23" s="13">
        <f t="shared" si="28"/>
        <v>100</v>
      </c>
      <c r="J23" s="13">
        <f t="shared" si="29"/>
        <v>100.70501605042786</v>
      </c>
      <c r="K23" s="13">
        <f t="shared" si="30"/>
        <v>112.03269189814063</v>
      </c>
      <c r="L23" s="13">
        <f t="shared" si="31"/>
        <v>112.74077733151837</v>
      </c>
      <c r="M23" s="13">
        <f t="shared" si="32"/>
        <v>110.03423081779495</v>
      </c>
      <c r="N23" s="13">
        <f t="shared" si="33"/>
        <v>108.57103870627924</v>
      </c>
      <c r="O23" s="23">
        <f t="shared" si="33"/>
        <v>108.00444882731293</v>
      </c>
      <c r="P23" s="13">
        <v>2868228.5250575584</v>
      </c>
      <c r="Q23" s="13">
        <v>1885564.7260155608</v>
      </c>
      <c r="R23" s="13">
        <v>2053313.2834169907</v>
      </c>
      <c r="S23" s="13">
        <v>2585874.1168378154</v>
      </c>
      <c r="T23" s="13">
        <v>2776157.5964029236</v>
      </c>
      <c r="U23" s="13">
        <v>2894872.4057560619</v>
      </c>
      <c r="V23" s="23">
        <v>2832123.4818556476</v>
      </c>
      <c r="W23" s="13">
        <f t="shared" si="6"/>
        <v>100</v>
      </c>
      <c r="X23" s="13">
        <f t="shared" si="7"/>
        <v>65.739696455243987</v>
      </c>
      <c r="Y23" s="13">
        <f t="shared" si="8"/>
        <v>71.588203850520799</v>
      </c>
      <c r="Z23" s="13">
        <f t="shared" si="9"/>
        <v>90.15579108313635</v>
      </c>
      <c r="AA23" s="13">
        <f t="shared" si="10"/>
        <v>96.789972352262723</v>
      </c>
      <c r="AB23" s="13">
        <f t="shared" si="11"/>
        <v>100.92893158497434</v>
      </c>
      <c r="AC23" s="23">
        <f t="shared" si="11"/>
        <v>98.741207582084613</v>
      </c>
      <c r="AD23" s="13">
        <v>22.147490995413175</v>
      </c>
      <c r="AE23" s="13">
        <v>15.151566114257356</v>
      </c>
      <c r="AF23" s="13">
        <v>17.34929748715664</v>
      </c>
      <c r="AG23" s="13">
        <v>21.185555698448564</v>
      </c>
      <c r="AH23" s="13">
        <v>24.319513211590557</v>
      </c>
      <c r="AI23" s="13">
        <v>27.678544277498162</v>
      </c>
      <c r="AJ23" s="23">
        <v>27.664518087435436</v>
      </c>
      <c r="AK23" s="17">
        <v>36.181800839259878</v>
      </c>
      <c r="AL23" s="17">
        <v>37.181136246041824</v>
      </c>
      <c r="AM23" s="17">
        <v>42.192220476825568</v>
      </c>
      <c r="AN23" s="17">
        <v>47.845304370388646</v>
      </c>
      <c r="AO23" s="17">
        <v>46.097100132902845</v>
      </c>
      <c r="AP23" s="17">
        <v>44.13418765703927</v>
      </c>
      <c r="AQ23" s="18">
        <v>45.922267712426724</v>
      </c>
      <c r="AR23" s="42">
        <f t="shared" si="12"/>
        <v>711.93839385103058</v>
      </c>
      <c r="AS23" s="17">
        <f t="shared" si="13"/>
        <v>726.48021345116661</v>
      </c>
      <c r="AT23" s="17">
        <f t="shared" si="14"/>
        <v>741.03692065782752</v>
      </c>
      <c r="AU23" s="17">
        <f t="shared" si="15"/>
        <v>835.04625478336663</v>
      </c>
      <c r="AV23" s="17">
        <f t="shared" si="16"/>
        <v>824.32416159680349</v>
      </c>
      <c r="AW23" s="17">
        <f t="shared" si="17"/>
        <v>799.8588975726617</v>
      </c>
      <c r="AX23" s="18">
        <f t="shared" si="18"/>
        <v>836.63093104694042</v>
      </c>
      <c r="AY23" s="13">
        <f t="shared" si="34"/>
        <v>100</v>
      </c>
      <c r="AZ23" s="13">
        <f t="shared" si="35"/>
        <v>102.04256712739934</v>
      </c>
      <c r="BA23" s="13">
        <f t="shared" si="36"/>
        <v>104.08722539170793</v>
      </c>
      <c r="BB23" s="13">
        <f t="shared" si="37"/>
        <v>117.29192609860787</v>
      </c>
      <c r="BC23" s="13">
        <f t="shared" si="38"/>
        <v>115.78588382315691</v>
      </c>
      <c r="BD23" s="13">
        <f t="shared" si="39"/>
        <v>112.34945389671287</v>
      </c>
      <c r="BE23" s="23">
        <f t="shared" si="39"/>
        <v>117.51451224893499</v>
      </c>
      <c r="BF23" s="21">
        <f t="shared" si="40"/>
        <v>0.61211687869835218</v>
      </c>
      <c r="BG23" s="21">
        <f t="shared" si="41"/>
        <v>0.40750680705381453</v>
      </c>
      <c r="BH23" s="21">
        <f t="shared" si="42"/>
        <v>0.41119659717093787</v>
      </c>
      <c r="BI23" s="21">
        <f t="shared" si="43"/>
        <v>0.44279278765671848</v>
      </c>
      <c r="BJ23" s="21">
        <f t="shared" si="44"/>
        <v>0.52757143380982341</v>
      </c>
      <c r="BK23" s="21">
        <f t="shared" si="45"/>
        <v>0.62714520753354153</v>
      </c>
      <c r="BL23" s="21">
        <f t="shared" si="46"/>
        <v>0.60242055685654483</v>
      </c>
      <c r="BM23" s="42">
        <f t="shared" si="21"/>
        <v>14.034309843846703</v>
      </c>
      <c r="BN23" s="17">
        <f t="shared" si="22"/>
        <v>13.658445871784467</v>
      </c>
      <c r="BO23" s="17">
        <f t="shared" si="23"/>
        <v>18.183403119668927</v>
      </c>
      <c r="BP23" s="17">
        <f t="shared" si="24"/>
        <v>25.453401301940083</v>
      </c>
      <c r="BQ23" s="17">
        <f t="shared" si="25"/>
        <v>20.987349211312289</v>
      </c>
      <c r="BR23" s="17">
        <f t="shared" si="26"/>
        <v>16.433406600722982</v>
      </c>
      <c r="BS23" s="18">
        <f t="shared" si="27"/>
        <v>18.257749624991288</v>
      </c>
      <c r="BT23" s="17"/>
      <c r="BU23" s="17">
        <v>8.3711242600000002</v>
      </c>
      <c r="BV23" s="17">
        <v>6.6595198700000005</v>
      </c>
      <c r="BW23" s="17">
        <v>1.20634737</v>
      </c>
      <c r="BX23" s="17">
        <v>0.79023770999999998</v>
      </c>
      <c r="BY23" s="17">
        <v>2.2236778818126277E-2</v>
      </c>
      <c r="BZ23" s="18">
        <v>0</v>
      </c>
    </row>
    <row r="24" spans="1:78" x14ac:dyDescent="0.25">
      <c r="A24" s="3" t="s">
        <v>110</v>
      </c>
      <c r="B24" s="13">
        <v>7020.7521449999977</v>
      </c>
      <c r="C24" s="13">
        <v>7105.97319384</v>
      </c>
      <c r="D24" s="13">
        <v>7118.7701953920014</v>
      </c>
      <c r="E24" s="13">
        <v>7145.4143822400001</v>
      </c>
      <c r="F24" s="13">
        <v>7131.0018008399993</v>
      </c>
      <c r="G24" s="13">
        <v>7130.1208550400015</v>
      </c>
      <c r="H24" s="23">
        <v>7141.766000000066</v>
      </c>
      <c r="I24" s="13">
        <f t="shared" si="28"/>
        <v>100</v>
      </c>
      <c r="J24" s="13">
        <f t="shared" si="29"/>
        <v>101.21384499950898</v>
      </c>
      <c r="K24" s="13">
        <f t="shared" si="30"/>
        <v>101.39611893950435</v>
      </c>
      <c r="L24" s="13">
        <f t="shared" si="31"/>
        <v>101.77562509921083</v>
      </c>
      <c r="M24" s="13">
        <f t="shared" si="32"/>
        <v>101.57033966679082</v>
      </c>
      <c r="N24" s="13">
        <f t="shared" si="33"/>
        <v>101.55779192572541</v>
      </c>
      <c r="O24" s="23">
        <f t="shared" si="33"/>
        <v>101.72365940999998</v>
      </c>
      <c r="P24" s="13">
        <v>228773.67698568248</v>
      </c>
      <c r="Q24" s="13">
        <v>171003.60101674296</v>
      </c>
      <c r="R24" s="13">
        <v>165620.28680132402</v>
      </c>
      <c r="S24" s="13">
        <v>204616.9921065383</v>
      </c>
      <c r="T24" s="13">
        <v>215621.82573089493</v>
      </c>
      <c r="U24" s="13">
        <v>221693.49154529307</v>
      </c>
      <c r="V24" s="23">
        <v>216919.43443231759</v>
      </c>
      <c r="W24" s="13">
        <f t="shared" si="6"/>
        <v>100</v>
      </c>
      <c r="X24" s="13">
        <f t="shared" si="7"/>
        <v>74.747935719652318</v>
      </c>
      <c r="Y24" s="13">
        <f t="shared" si="8"/>
        <v>72.394817875698678</v>
      </c>
      <c r="Z24" s="13">
        <f t="shared" si="9"/>
        <v>89.440793539959586</v>
      </c>
      <c r="AA24" s="13">
        <f t="shared" si="10"/>
        <v>94.251151868485877</v>
      </c>
      <c r="AB24" s="13">
        <f t="shared" si="11"/>
        <v>96.905157300578551</v>
      </c>
      <c r="AC24" s="23">
        <f t="shared" si="11"/>
        <v>94.818353794214374</v>
      </c>
      <c r="AD24" s="13">
        <v>3.1517399314202192</v>
      </c>
      <c r="AE24" s="13">
        <v>2.1945405818061507</v>
      </c>
      <c r="AF24" s="13">
        <v>2.3394206367003338</v>
      </c>
      <c r="AG24" s="13">
        <v>2.899715507558045</v>
      </c>
      <c r="AH24" s="13">
        <v>3.3772970102755648</v>
      </c>
      <c r="AI24" s="13">
        <v>3.7687714417065128</v>
      </c>
      <c r="AJ24" s="23">
        <v>3.7575672394974013</v>
      </c>
      <c r="AK24" s="17">
        <v>6.3905276894730401</v>
      </c>
      <c r="AL24" s="17">
        <v>6.5101267512592385</v>
      </c>
      <c r="AM24" s="17">
        <v>6.8161934279024115</v>
      </c>
      <c r="AN24" s="17">
        <v>7.3779915343140701</v>
      </c>
      <c r="AO24" s="17">
        <v>7.3721728909797948</v>
      </c>
      <c r="AP24" s="17">
        <v>6.9409172498234328</v>
      </c>
      <c r="AQ24" s="18">
        <v>7.1881935516135202</v>
      </c>
      <c r="AR24" s="42">
        <f t="shared" si="12"/>
        <v>910.23405434191443</v>
      </c>
      <c r="AS24" s="17">
        <f t="shared" si="13"/>
        <v>916.14850966546192</v>
      </c>
      <c r="AT24" s="17">
        <f t="shared" si="14"/>
        <v>957.49592146050054</v>
      </c>
      <c r="AU24" s="17">
        <f t="shared" si="15"/>
        <v>1032.5491482554382</v>
      </c>
      <c r="AV24" s="17">
        <f t="shared" si="16"/>
        <v>1033.8200854347542</v>
      </c>
      <c r="AW24" s="17">
        <f t="shared" si="17"/>
        <v>973.46417977153521</v>
      </c>
      <c r="AX24" s="18">
        <f t="shared" si="18"/>
        <v>1006.5008502957746</v>
      </c>
      <c r="AY24" s="13">
        <f t="shared" si="34"/>
        <v>100</v>
      </c>
      <c r="AZ24" s="13">
        <f t="shared" si="35"/>
        <v>100.64977302215128</v>
      </c>
      <c r="BA24" s="13">
        <f t="shared" si="36"/>
        <v>105.19227630444522</v>
      </c>
      <c r="BB24" s="13">
        <f t="shared" si="37"/>
        <v>113.4377628841799</v>
      </c>
      <c r="BC24" s="13">
        <f t="shared" si="38"/>
        <v>113.5773903979225</v>
      </c>
      <c r="BD24" s="13">
        <f t="shared" si="39"/>
        <v>106.9465787538937</v>
      </c>
      <c r="BE24" s="23">
        <f t="shared" si="39"/>
        <v>110.57604859922097</v>
      </c>
      <c r="BF24" s="21">
        <f t="shared" si="40"/>
        <v>0.49318930839029196</v>
      </c>
      <c r="BG24" s="21">
        <f t="shared" si="41"/>
        <v>0.33709644460941807</v>
      </c>
      <c r="BH24" s="21">
        <f t="shared" si="42"/>
        <v>0.34321511873823951</v>
      </c>
      <c r="BI24" s="21">
        <f t="shared" si="43"/>
        <v>0.39302234138814729</v>
      </c>
      <c r="BJ24" s="21">
        <f t="shared" si="44"/>
        <v>0.45811418969946416</v>
      </c>
      <c r="BK24" s="21">
        <f t="shared" si="45"/>
        <v>0.54297887527795907</v>
      </c>
      <c r="BL24" s="21">
        <f t="shared" si="46"/>
        <v>0.52274152226381654</v>
      </c>
      <c r="BM24" s="42">
        <f t="shared" si="21"/>
        <v>3.2387877580528208</v>
      </c>
      <c r="BN24" s="17">
        <f t="shared" si="22"/>
        <v>3.5449717794530877</v>
      </c>
      <c r="BO24" s="17">
        <f t="shared" si="23"/>
        <v>3.5814928212020778</v>
      </c>
      <c r="BP24" s="17">
        <f t="shared" si="24"/>
        <v>4.3080665467560255</v>
      </c>
      <c r="BQ24" s="17">
        <f t="shared" si="25"/>
        <v>3.87230966070423</v>
      </c>
      <c r="BR24" s="17">
        <f t="shared" si="26"/>
        <v>3.1685895458463418</v>
      </c>
      <c r="BS24" s="18">
        <f t="shared" si="27"/>
        <v>3.4306263121161189</v>
      </c>
      <c r="BT24" s="17"/>
      <c r="BU24" s="17">
        <v>0.77061438999999998</v>
      </c>
      <c r="BV24" s="17">
        <v>0.89527996999999993</v>
      </c>
      <c r="BW24" s="17">
        <v>0.17020948000000002</v>
      </c>
      <c r="BX24" s="17">
        <v>0.12256622</v>
      </c>
      <c r="BY24" s="17">
        <v>3.5562622705781451E-3</v>
      </c>
      <c r="BZ24" s="18">
        <v>0</v>
      </c>
    </row>
    <row r="25" spans="1:78" x14ac:dyDescent="0.25">
      <c r="A25" s="3" t="s">
        <v>111</v>
      </c>
      <c r="B25" s="13">
        <v>30022.146076800025</v>
      </c>
      <c r="C25" s="13">
        <v>30531.067571195981</v>
      </c>
      <c r="D25" s="13">
        <v>30980.433738635991</v>
      </c>
      <c r="E25" s="13">
        <v>31416.862727280008</v>
      </c>
      <c r="F25" s="13">
        <v>32630.141738759998</v>
      </c>
      <c r="G25" s="13">
        <v>35339.5802712</v>
      </c>
      <c r="H25" s="23">
        <v>36677.967000000215</v>
      </c>
      <c r="I25" s="13">
        <f t="shared" si="28"/>
        <v>100</v>
      </c>
      <c r="J25" s="13">
        <f t="shared" si="29"/>
        <v>101.69515361458197</v>
      </c>
      <c r="K25" s="13">
        <f t="shared" si="30"/>
        <v>103.19193591085913</v>
      </c>
      <c r="L25" s="13">
        <f t="shared" si="31"/>
        <v>104.64562608852859</v>
      </c>
      <c r="M25" s="13">
        <f t="shared" si="32"/>
        <v>108.68690617682168</v>
      </c>
      <c r="N25" s="13">
        <f t="shared" si="33"/>
        <v>117.71170582142057</v>
      </c>
      <c r="O25" s="23">
        <f t="shared" si="33"/>
        <v>122.1697040117447</v>
      </c>
      <c r="P25" s="13">
        <v>896502.32547372801</v>
      </c>
      <c r="Q25" s="13">
        <v>651855.83354199852</v>
      </c>
      <c r="R25" s="13">
        <v>627155.63423079043</v>
      </c>
      <c r="S25" s="13">
        <v>800914.72413719876</v>
      </c>
      <c r="T25" s="13">
        <v>768613.98415267793</v>
      </c>
      <c r="U25" s="13">
        <v>874430.18940419215</v>
      </c>
      <c r="V25" s="23">
        <v>849115.58451951947</v>
      </c>
      <c r="W25" s="13">
        <f t="shared" si="6"/>
        <v>100</v>
      </c>
      <c r="X25" s="13">
        <f t="shared" si="7"/>
        <v>72.711003086081917</v>
      </c>
      <c r="Y25" s="13">
        <f t="shared" si="8"/>
        <v>69.95582904923198</v>
      </c>
      <c r="Z25" s="13">
        <f t="shared" si="9"/>
        <v>89.337718528948713</v>
      </c>
      <c r="AA25" s="13">
        <f t="shared" si="10"/>
        <v>85.734745166057252</v>
      </c>
      <c r="AB25" s="13">
        <f t="shared" si="11"/>
        <v>97.537972245875366</v>
      </c>
      <c r="AC25" s="23">
        <f t="shared" si="11"/>
        <v>94.714264580499716</v>
      </c>
      <c r="AD25" s="13">
        <v>10.073588253118782</v>
      </c>
      <c r="AE25" s="13">
        <v>7.009979941677039</v>
      </c>
      <c r="AF25" s="13">
        <v>7.4332870558788509</v>
      </c>
      <c r="AG25" s="13">
        <v>8.9430747184270487</v>
      </c>
      <c r="AH25" s="13">
        <v>9.910965641341777</v>
      </c>
      <c r="AI25" s="13">
        <v>11.910701547117585</v>
      </c>
      <c r="AJ25" s="23">
        <v>11.854795419418087</v>
      </c>
      <c r="AK25" s="17">
        <v>27.522194226453369</v>
      </c>
      <c r="AL25" s="17">
        <v>28.238738840798664</v>
      </c>
      <c r="AM25" s="17">
        <v>29.79878791178114</v>
      </c>
      <c r="AN25" s="17">
        <v>32.972047610396757</v>
      </c>
      <c r="AO25" s="17">
        <v>31.914058310221247</v>
      </c>
      <c r="AP25" s="17">
        <v>33.047635314539363</v>
      </c>
      <c r="AQ25" s="18">
        <v>35.24505171855278</v>
      </c>
      <c r="AR25" s="42">
        <f t="shared" si="12"/>
        <v>916.72974197275903</v>
      </c>
      <c r="AS25" s="17">
        <f t="shared" si="13"/>
        <v>924.91816000040649</v>
      </c>
      <c r="AT25" s="17">
        <f t="shared" si="14"/>
        <v>961.85831880780904</v>
      </c>
      <c r="AU25" s="17">
        <f t="shared" si="15"/>
        <v>1049.5015971714561</v>
      </c>
      <c r="AV25" s="17">
        <f t="shared" si="16"/>
        <v>978.05454128051963</v>
      </c>
      <c r="AW25" s="17">
        <f t="shared" si="17"/>
        <v>935.14509965675904</v>
      </c>
      <c r="AX25" s="18">
        <f t="shared" si="18"/>
        <v>960.93253256246658</v>
      </c>
      <c r="AY25" s="13">
        <f t="shared" si="34"/>
        <v>100</v>
      </c>
      <c r="AZ25" s="13">
        <f t="shared" si="35"/>
        <v>100.89322050466328</v>
      </c>
      <c r="BA25" s="13">
        <f t="shared" si="36"/>
        <v>104.92277873934093</v>
      </c>
      <c r="BB25" s="13">
        <f t="shared" si="37"/>
        <v>114.48320580425136</v>
      </c>
      <c r="BC25" s="13">
        <f t="shared" si="38"/>
        <v>106.68951780442866</v>
      </c>
      <c r="BD25" s="13">
        <f t="shared" si="39"/>
        <v>102.00880988592897</v>
      </c>
      <c r="BE25" s="23">
        <f t="shared" si="39"/>
        <v>104.82179082513296</v>
      </c>
      <c r="BF25" s="21">
        <f t="shared" si="40"/>
        <v>0.36601690149531763</v>
      </c>
      <c r="BG25" s="21">
        <f t="shared" si="41"/>
        <v>0.24823983752238912</v>
      </c>
      <c r="BH25" s="21">
        <f t="shared" si="42"/>
        <v>0.24944930907542229</v>
      </c>
      <c r="BI25" s="21">
        <f t="shared" si="43"/>
        <v>0.27123200912785034</v>
      </c>
      <c r="BJ25" s="21">
        <f t="shared" si="44"/>
        <v>0.31055171814884952</v>
      </c>
      <c r="BK25" s="21">
        <f t="shared" si="45"/>
        <v>0.36041009995887519</v>
      </c>
      <c r="BL25" s="21">
        <f t="shared" si="46"/>
        <v>0.33635346924963638</v>
      </c>
      <c r="BM25" s="42">
        <f t="shared" si="21"/>
        <v>17.448605973334587</v>
      </c>
      <c r="BN25" s="17">
        <f t="shared" si="22"/>
        <v>18.070538899121626</v>
      </c>
      <c r="BO25" s="17">
        <f t="shared" si="23"/>
        <v>19.449366775902291</v>
      </c>
      <c r="BP25" s="17">
        <f t="shared" si="24"/>
        <v>23.374355101969709</v>
      </c>
      <c r="BQ25" s="17">
        <f t="shared" si="25"/>
        <v>21.486140388879466</v>
      </c>
      <c r="BR25" s="17">
        <f t="shared" si="26"/>
        <v>21.121538745743905</v>
      </c>
      <c r="BS25" s="18">
        <f t="shared" si="27"/>
        <v>23.390256299134691</v>
      </c>
      <c r="BT25" s="17"/>
      <c r="BU25" s="17">
        <v>3.1582199999999996</v>
      </c>
      <c r="BV25" s="17">
        <v>2.9161340800000004</v>
      </c>
      <c r="BW25" s="17">
        <v>0.65461778999999998</v>
      </c>
      <c r="BX25" s="17">
        <v>0.51695228000000004</v>
      </c>
      <c r="BY25" s="17">
        <v>1.5395021677874203E-2</v>
      </c>
      <c r="BZ25" s="18">
        <v>0</v>
      </c>
    </row>
    <row r="26" spans="1:78" x14ac:dyDescent="0.25">
      <c r="A26" s="3" t="s">
        <v>112</v>
      </c>
      <c r="B26" s="13">
        <v>28948.285462343974</v>
      </c>
      <c r="C26" s="13">
        <v>28144.246285199988</v>
      </c>
      <c r="D26" s="13">
        <v>27661.131472823985</v>
      </c>
      <c r="E26" s="13">
        <v>27787.328518319999</v>
      </c>
      <c r="F26" s="13">
        <v>27474.101877599998</v>
      </c>
      <c r="G26" s="13">
        <v>27507.919158479999</v>
      </c>
      <c r="H26" s="23">
        <v>27707.01399999993</v>
      </c>
      <c r="I26" s="13">
        <f t="shared" si="28"/>
        <v>100</v>
      </c>
      <c r="J26" s="13">
        <f t="shared" si="29"/>
        <v>97.22249810549269</v>
      </c>
      <c r="K26" s="13">
        <f t="shared" si="30"/>
        <v>95.553608896131962</v>
      </c>
      <c r="L26" s="13">
        <f t="shared" si="31"/>
        <v>95.989548515630901</v>
      </c>
      <c r="M26" s="13">
        <f t="shared" si="32"/>
        <v>94.907527125702842</v>
      </c>
      <c r="N26" s="13">
        <f t="shared" si="33"/>
        <v>95.024346758851721</v>
      </c>
      <c r="O26" s="23">
        <f t="shared" si="33"/>
        <v>95.712107150668061</v>
      </c>
      <c r="P26" s="13">
        <v>915010.11031420634</v>
      </c>
      <c r="Q26" s="13">
        <v>665469.40574806777</v>
      </c>
      <c r="R26" s="13">
        <v>628913.48125743261</v>
      </c>
      <c r="S26" s="13">
        <v>792586.54484725092</v>
      </c>
      <c r="T26" s="13">
        <v>777022.9787853983</v>
      </c>
      <c r="U26" s="13">
        <v>841336.38305933424</v>
      </c>
      <c r="V26" s="23">
        <v>816689.63482615317</v>
      </c>
      <c r="W26" s="13">
        <f t="shared" si="6"/>
        <v>100</v>
      </c>
      <c r="X26" s="13">
        <f t="shared" si="7"/>
        <v>72.728093192276475</v>
      </c>
      <c r="Y26" s="13">
        <f t="shared" si="8"/>
        <v>68.732954332217091</v>
      </c>
      <c r="Z26" s="13">
        <f t="shared" si="9"/>
        <v>86.620523195649042</v>
      </c>
      <c r="AA26" s="13">
        <f t="shared" si="10"/>
        <v>84.919605808352813</v>
      </c>
      <c r="AB26" s="13">
        <f t="shared" si="11"/>
        <v>91.948315496801101</v>
      </c>
      <c r="AC26" s="23">
        <f t="shared" si="11"/>
        <v>89.254711573155106</v>
      </c>
      <c r="AD26" s="13">
        <v>9.5721518359099349</v>
      </c>
      <c r="AE26" s="13">
        <v>6.8597768406448782</v>
      </c>
      <c r="AF26" s="13">
        <v>7.1602703984400513</v>
      </c>
      <c r="AG26" s="13">
        <v>8.6195939229917631</v>
      </c>
      <c r="AH26" s="13">
        <v>9.5691450220188354</v>
      </c>
      <c r="AI26" s="13">
        <v>11.23964931216733</v>
      </c>
      <c r="AJ26" s="23">
        <v>11.212659944911723</v>
      </c>
      <c r="AK26" s="17">
        <v>25.3811612878131</v>
      </c>
      <c r="AL26" s="17">
        <v>24.952464786823917</v>
      </c>
      <c r="AM26" s="17">
        <v>25.141522649493258</v>
      </c>
      <c r="AN26" s="17">
        <v>27.278530842743574</v>
      </c>
      <c r="AO26" s="17">
        <v>24.000706856629588</v>
      </c>
      <c r="AP26" s="17">
        <v>22.979802359453945</v>
      </c>
      <c r="AQ26" s="18">
        <v>24.274225316731044</v>
      </c>
      <c r="AR26" s="42">
        <f t="shared" si="12"/>
        <v>876.77597765950588</v>
      </c>
      <c r="AS26" s="17">
        <f t="shared" si="13"/>
        <v>886.59204208092399</v>
      </c>
      <c r="AT26" s="17">
        <f t="shared" si="14"/>
        <v>908.91157775645775</v>
      </c>
      <c r="AU26" s="17">
        <f t="shared" si="15"/>
        <v>981.68957929003591</v>
      </c>
      <c r="AV26" s="17">
        <f t="shared" si="16"/>
        <v>873.57566640595758</v>
      </c>
      <c r="AW26" s="17">
        <f t="shared" si="17"/>
        <v>835.38861035113416</v>
      </c>
      <c r="AX26" s="18">
        <f t="shared" si="18"/>
        <v>876.10398279407173</v>
      </c>
      <c r="AY26" s="13">
        <f t="shared" si="34"/>
        <v>100</v>
      </c>
      <c r="AZ26" s="13">
        <f t="shared" si="35"/>
        <v>101.11956356829272</v>
      </c>
      <c r="BA26" s="13">
        <f t="shared" si="36"/>
        <v>103.66520079424799</v>
      </c>
      <c r="BB26" s="13">
        <f t="shared" si="37"/>
        <v>111.96583897184202</v>
      </c>
      <c r="BC26" s="13">
        <f t="shared" si="38"/>
        <v>99.634990997119772</v>
      </c>
      <c r="BD26" s="13">
        <f t="shared" si="39"/>
        <v>95.279596115435041</v>
      </c>
      <c r="BE26" s="23">
        <f t="shared" si="39"/>
        <v>99.923356149967972</v>
      </c>
      <c r="BF26" s="21">
        <f t="shared" si="40"/>
        <v>0.37713608638175489</v>
      </c>
      <c r="BG26" s="21">
        <f t="shared" si="41"/>
        <v>0.27491379706373398</v>
      </c>
      <c r="BH26" s="21">
        <f t="shared" si="42"/>
        <v>0.28479859785200284</v>
      </c>
      <c r="BI26" s="21">
        <f t="shared" si="43"/>
        <v>0.31598453643571794</v>
      </c>
      <c r="BJ26" s="21">
        <f t="shared" si="44"/>
        <v>0.39870263318413895</v>
      </c>
      <c r="BK26" s="21">
        <f t="shared" si="45"/>
        <v>0.48910992080588162</v>
      </c>
      <c r="BL26" s="21">
        <f t="shared" si="46"/>
        <v>0.46191628357274006</v>
      </c>
      <c r="BM26" s="42">
        <f t="shared" si="21"/>
        <v>15.809009451903165</v>
      </c>
      <c r="BN26" s="17">
        <f t="shared" si="22"/>
        <v>15.61806855617904</v>
      </c>
      <c r="BO26" s="17">
        <f t="shared" si="23"/>
        <v>15.463624671053207</v>
      </c>
      <c r="BP26" s="17">
        <f t="shared" si="24"/>
        <v>18.162891629751808</v>
      </c>
      <c r="BQ26" s="17">
        <f t="shared" si="25"/>
        <v>14.043808564610753</v>
      </c>
      <c r="BR26" s="17">
        <f t="shared" si="26"/>
        <v>11.728575346990699</v>
      </c>
      <c r="BS26" s="18">
        <f t="shared" si="27"/>
        <v>13.061565371819322</v>
      </c>
      <c r="BT26" s="17"/>
      <c r="BU26" s="17">
        <v>2.4746193900000004</v>
      </c>
      <c r="BV26" s="17">
        <v>2.5176275799999996</v>
      </c>
      <c r="BW26" s="17">
        <v>0.49604528999999992</v>
      </c>
      <c r="BX26" s="17">
        <v>0.38775326999999993</v>
      </c>
      <c r="BY26" s="17">
        <v>1.1577700295915637E-2</v>
      </c>
      <c r="BZ26" s="18">
        <v>0</v>
      </c>
    </row>
    <row r="27" spans="1:78" x14ac:dyDescent="0.25">
      <c r="A27" s="3" t="s">
        <v>113</v>
      </c>
      <c r="B27" s="13">
        <v>32435.300894279975</v>
      </c>
      <c r="C27" s="13">
        <v>33055.93086024002</v>
      </c>
      <c r="D27" s="13">
        <v>34099.012917119988</v>
      </c>
      <c r="E27" s="13">
        <v>35393.119189919998</v>
      </c>
      <c r="F27" s="13">
        <v>35295.678570839998</v>
      </c>
      <c r="G27" s="13">
        <v>34781.740668120008</v>
      </c>
      <c r="H27" s="23">
        <v>34565.942999999992</v>
      </c>
      <c r="I27" s="13">
        <f t="shared" si="28"/>
        <v>100</v>
      </c>
      <c r="J27" s="13">
        <f t="shared" si="29"/>
        <v>101.91343982897811</v>
      </c>
      <c r="K27" s="13">
        <f t="shared" si="30"/>
        <v>105.12932507783029</v>
      </c>
      <c r="L27" s="13">
        <f t="shared" si="31"/>
        <v>109.11913321008112</v>
      </c>
      <c r="M27" s="13">
        <f t="shared" si="32"/>
        <v>108.81871787125755</v>
      </c>
      <c r="N27" s="13">
        <f t="shared" si="33"/>
        <v>107.23421614458903</v>
      </c>
      <c r="O27" s="23">
        <f t="shared" si="33"/>
        <v>106.56889884470213</v>
      </c>
      <c r="P27" s="13">
        <v>1047249.9350354009</v>
      </c>
      <c r="Q27" s="13">
        <v>743896.72784631513</v>
      </c>
      <c r="R27" s="13">
        <v>766664.34970429086</v>
      </c>
      <c r="S27" s="13">
        <v>938574.04695971566</v>
      </c>
      <c r="T27" s="13">
        <v>957528.82589643705</v>
      </c>
      <c r="U27" s="13">
        <v>1004021.7555345526</v>
      </c>
      <c r="V27" s="23">
        <v>972324.00346166291</v>
      </c>
      <c r="W27" s="13">
        <f t="shared" si="6"/>
        <v>100</v>
      </c>
      <c r="X27" s="13">
        <f t="shared" si="7"/>
        <v>71.033351539063943</v>
      </c>
      <c r="Y27" s="13">
        <f t="shared" si="8"/>
        <v>73.207390524056208</v>
      </c>
      <c r="Z27" s="13">
        <f t="shared" si="9"/>
        <v>89.622736231345613</v>
      </c>
      <c r="AA27" s="13">
        <f t="shared" si="10"/>
        <v>91.432693749851509</v>
      </c>
      <c r="AB27" s="13">
        <f t="shared" si="11"/>
        <v>95.872219414424023</v>
      </c>
      <c r="AC27" s="23">
        <f t="shared" si="11"/>
        <v>92.845458465346653</v>
      </c>
      <c r="AD27" s="13">
        <v>12.498888867821277</v>
      </c>
      <c r="AE27" s="13">
        <v>8.9705650531163297</v>
      </c>
      <c r="AF27" s="13">
        <v>9.8867658632024824</v>
      </c>
      <c r="AG27" s="13">
        <v>11.996306035847098</v>
      </c>
      <c r="AH27" s="13">
        <v>13.856484784747604</v>
      </c>
      <c r="AI27" s="13">
        <v>15.94399856970292</v>
      </c>
      <c r="AJ27" s="23">
        <v>15.837541640994198</v>
      </c>
      <c r="AK27" s="17">
        <v>26.923425332854418</v>
      </c>
      <c r="AL27" s="17">
        <v>27.413044809623191</v>
      </c>
      <c r="AM27" s="17">
        <v>29.143779036709958</v>
      </c>
      <c r="AN27" s="17">
        <v>32.969408145714716</v>
      </c>
      <c r="AO27" s="17">
        <v>33.421646084798326</v>
      </c>
      <c r="AP27" s="17">
        <v>32.761509696374247</v>
      </c>
      <c r="AQ27" s="18">
        <v>33.653937969730897</v>
      </c>
      <c r="AR27" s="42">
        <f t="shared" si="12"/>
        <v>830.06553324752451</v>
      </c>
      <c r="AS27" s="17">
        <f t="shared" si="13"/>
        <v>829.29278033418973</v>
      </c>
      <c r="AT27" s="17">
        <f t="shared" si="14"/>
        <v>854.68101694163204</v>
      </c>
      <c r="AU27" s="17">
        <f t="shared" si="15"/>
        <v>931.52027570105884</v>
      </c>
      <c r="AV27" s="17">
        <f t="shared" si="16"/>
        <v>946.90476109474969</v>
      </c>
      <c r="AW27" s="17">
        <f t="shared" si="17"/>
        <v>941.91691005282416</v>
      </c>
      <c r="AX27" s="18">
        <f t="shared" si="18"/>
        <v>973.61550268514031</v>
      </c>
      <c r="AY27" s="13">
        <f t="shared" si="34"/>
        <v>100</v>
      </c>
      <c r="AZ27" s="13">
        <f t="shared" si="35"/>
        <v>99.906904589772395</v>
      </c>
      <c r="BA27" s="13">
        <f t="shared" si="36"/>
        <v>102.96548678485694</v>
      </c>
      <c r="BB27" s="13">
        <f t="shared" si="37"/>
        <v>112.22249791008738</v>
      </c>
      <c r="BC27" s="13">
        <f t="shared" si="38"/>
        <v>114.07590403014407</v>
      </c>
      <c r="BD27" s="13">
        <f t="shared" si="39"/>
        <v>113.4750055658492</v>
      </c>
      <c r="BE27" s="23">
        <f t="shared" si="39"/>
        <v>117.29381159533212</v>
      </c>
      <c r="BF27" s="21">
        <f t="shared" si="40"/>
        <v>0.46423843598269771</v>
      </c>
      <c r="BG27" s="21">
        <f t="shared" si="41"/>
        <v>0.32723709151663682</v>
      </c>
      <c r="BH27" s="21">
        <f t="shared" si="42"/>
        <v>0.33924103839618597</v>
      </c>
      <c r="BI27" s="21">
        <f t="shared" si="43"/>
        <v>0.36386173457609822</v>
      </c>
      <c r="BJ27" s="21">
        <f t="shared" si="44"/>
        <v>0.41459611981978828</v>
      </c>
      <c r="BK27" s="21">
        <f t="shared" si="45"/>
        <v>0.48666861562449487</v>
      </c>
      <c r="BL27" s="21">
        <f t="shared" si="46"/>
        <v>0.47059995342116684</v>
      </c>
      <c r="BM27" s="42">
        <f t="shared" si="21"/>
        <v>14.424536465033141</v>
      </c>
      <c r="BN27" s="17">
        <f t="shared" si="22"/>
        <v>14.937580676506863</v>
      </c>
      <c r="BO27" s="17">
        <f t="shared" si="23"/>
        <v>15.696782283507474</v>
      </c>
      <c r="BP27" s="17">
        <f t="shared" si="24"/>
        <v>20.113997119867619</v>
      </c>
      <c r="BQ27" s="17">
        <f t="shared" si="25"/>
        <v>18.994256700050723</v>
      </c>
      <c r="BR27" s="17">
        <f t="shared" si="26"/>
        <v>16.80138885976988</v>
      </c>
      <c r="BS27" s="18">
        <f t="shared" si="27"/>
        <v>17.816396328736701</v>
      </c>
      <c r="BT27" s="17"/>
      <c r="BU27" s="17">
        <v>3.5048990799999999</v>
      </c>
      <c r="BV27" s="17">
        <v>3.5602308900000001</v>
      </c>
      <c r="BW27" s="17">
        <v>0.85910499000000007</v>
      </c>
      <c r="BX27" s="17">
        <v>0.57090459999999998</v>
      </c>
      <c r="BY27" s="17">
        <v>1.6122266901446376E-2</v>
      </c>
      <c r="BZ27" s="18">
        <v>0</v>
      </c>
    </row>
    <row r="28" spans="1:78" x14ac:dyDescent="0.25">
      <c r="A28" s="3" t="s">
        <v>114</v>
      </c>
      <c r="B28" s="13">
        <v>35575.990151124017</v>
      </c>
      <c r="C28" s="13">
        <v>34179.290322959998</v>
      </c>
      <c r="D28" s="13">
        <v>36715.618278996015</v>
      </c>
      <c r="E28" s="13">
        <v>38901.066666995983</v>
      </c>
      <c r="F28" s="13">
        <v>38590.383334140002</v>
      </c>
      <c r="G28" s="13">
        <v>38356.377161627999</v>
      </c>
      <c r="H28" s="23">
        <v>38848.342000000142</v>
      </c>
      <c r="I28" s="13">
        <f t="shared" si="28"/>
        <v>100</v>
      </c>
      <c r="J28" s="13">
        <f t="shared" si="29"/>
        <v>96.074038073906181</v>
      </c>
      <c r="K28" s="13">
        <f t="shared" si="30"/>
        <v>103.20336306320905</v>
      </c>
      <c r="L28" s="13">
        <f t="shared" si="31"/>
        <v>109.34640610632987</v>
      </c>
      <c r="M28" s="13">
        <f t="shared" si="32"/>
        <v>108.47311113537832</v>
      </c>
      <c r="N28" s="13">
        <f t="shared" si="33"/>
        <v>107.81534680747637</v>
      </c>
      <c r="O28" s="23">
        <f t="shared" si="33"/>
        <v>109.19820315604831</v>
      </c>
      <c r="P28" s="13">
        <v>694416.67434737179</v>
      </c>
      <c r="Q28" s="13">
        <v>558589.42534838407</v>
      </c>
      <c r="R28" s="13">
        <v>547816.69404481887</v>
      </c>
      <c r="S28" s="13">
        <v>730267.84970082028</v>
      </c>
      <c r="T28" s="13">
        <v>690623.37067172304</v>
      </c>
      <c r="U28" s="13">
        <v>682939.39064132585</v>
      </c>
      <c r="V28" s="23">
        <v>697174.16743281216</v>
      </c>
      <c r="W28" s="13">
        <f t="shared" si="6"/>
        <v>100</v>
      </c>
      <c r="X28" s="13">
        <f t="shared" si="7"/>
        <v>80.440093964241115</v>
      </c>
      <c r="Y28" s="13">
        <f t="shared" si="8"/>
        <v>78.888758620272071</v>
      </c>
      <c r="Z28" s="13">
        <f t="shared" si="9"/>
        <v>105.16277570482337</v>
      </c>
      <c r="AA28" s="13">
        <f t="shared" si="10"/>
        <v>99.453742426445373</v>
      </c>
      <c r="AB28" s="13">
        <f t="shared" si="11"/>
        <v>98.347205052811773</v>
      </c>
      <c r="AC28" s="23">
        <f t="shared" si="11"/>
        <v>100.3970948837068</v>
      </c>
      <c r="AD28" s="13">
        <v>11.371847103337752</v>
      </c>
      <c r="AE28" s="13">
        <v>9.0139575170856503</v>
      </c>
      <c r="AF28" s="13">
        <v>9.8477675265980356</v>
      </c>
      <c r="AG28" s="13">
        <v>12.148887973416469</v>
      </c>
      <c r="AH28" s="13">
        <v>13.080227210759022</v>
      </c>
      <c r="AI28" s="13">
        <v>14.247546760641985</v>
      </c>
      <c r="AJ28" s="23">
        <v>14.680271835012848</v>
      </c>
      <c r="AK28" s="17">
        <v>33.094649703787596</v>
      </c>
      <c r="AL28" s="17">
        <v>33.072878305244124</v>
      </c>
      <c r="AM28" s="17">
        <v>37.04726253162336</v>
      </c>
      <c r="AN28" s="17">
        <v>41.564863887276189</v>
      </c>
      <c r="AO28" s="17">
        <v>40.14256658096874</v>
      </c>
      <c r="AP28" s="17">
        <v>38.829506266220477</v>
      </c>
      <c r="AQ28" s="18">
        <v>40.858288020297572</v>
      </c>
      <c r="AR28" s="42">
        <f t="shared" si="12"/>
        <v>930.25238547694994</v>
      </c>
      <c r="AS28" s="17">
        <f t="shared" si="13"/>
        <v>967.62916938118406</v>
      </c>
      <c r="AT28" s="17">
        <f t="shared" si="14"/>
        <v>1009.0327840895185</v>
      </c>
      <c r="AU28" s="17">
        <f t="shared" si="15"/>
        <v>1068.4761999737193</v>
      </c>
      <c r="AV28" s="17">
        <f t="shared" si="16"/>
        <v>1040.2220219837918</v>
      </c>
      <c r="AW28" s="17">
        <f t="shared" si="17"/>
        <v>1012.3350832274588</v>
      </c>
      <c r="AX28" s="18">
        <f t="shared" si="18"/>
        <v>1051.7382703307499</v>
      </c>
      <c r="AY28" s="13">
        <f t="shared" si="34"/>
        <v>100</v>
      </c>
      <c r="AZ28" s="13">
        <f t="shared" si="35"/>
        <v>104.01791863022964</v>
      </c>
      <c r="BA28" s="13">
        <f t="shared" si="36"/>
        <v>108.46871234543269</v>
      </c>
      <c r="BB28" s="13">
        <f t="shared" si="37"/>
        <v>114.85874335338582</v>
      </c>
      <c r="BC28" s="13">
        <f t="shared" si="38"/>
        <v>111.82148395679302</v>
      </c>
      <c r="BD28" s="13">
        <f t="shared" si="39"/>
        <v>108.8237019363755</v>
      </c>
      <c r="BE28" s="23">
        <f t="shared" si="39"/>
        <v>113.05945426751181</v>
      </c>
      <c r="BF28" s="21">
        <f t="shared" si="40"/>
        <v>0.34361587764551177</v>
      </c>
      <c r="BG28" s="21">
        <f t="shared" si="41"/>
        <v>0.27254832294582515</v>
      </c>
      <c r="BH28" s="21">
        <f t="shared" si="42"/>
        <v>0.26581633442395453</v>
      </c>
      <c r="BI28" s="21">
        <f t="shared" si="43"/>
        <v>0.29228744755099462</v>
      </c>
      <c r="BJ28" s="21">
        <f t="shared" si="44"/>
        <v>0.32584431751208082</v>
      </c>
      <c r="BK28" s="21">
        <f t="shared" si="45"/>
        <v>0.36692577708711588</v>
      </c>
      <c r="BL28" s="21">
        <f t="shared" si="46"/>
        <v>0.35929728205254186</v>
      </c>
      <c r="BM28" s="42">
        <f t="shared" si="21"/>
        <v>21.722802600449846</v>
      </c>
      <c r="BN28" s="17">
        <f t="shared" si="22"/>
        <v>21.391080448158476</v>
      </c>
      <c r="BO28" s="17">
        <f t="shared" si="23"/>
        <v>24.108724675025325</v>
      </c>
      <c r="BP28" s="17">
        <f t="shared" si="24"/>
        <v>29.180246633859717</v>
      </c>
      <c r="BQ28" s="17">
        <f t="shared" si="25"/>
        <v>26.510889930209721</v>
      </c>
      <c r="BR28" s="17">
        <f t="shared" si="26"/>
        <v>24.562595134030623</v>
      </c>
      <c r="BS28" s="18">
        <f t="shared" si="27"/>
        <v>26.178016185284726</v>
      </c>
      <c r="BT28" s="17"/>
      <c r="BU28" s="17">
        <v>2.6678403399999997</v>
      </c>
      <c r="BV28" s="17">
        <v>3.0907703300000002</v>
      </c>
      <c r="BW28" s="17">
        <v>0.23572928000000001</v>
      </c>
      <c r="BX28" s="17">
        <v>0.55144943999999996</v>
      </c>
      <c r="BY28" s="17">
        <v>1.9364371547870331E-2</v>
      </c>
      <c r="BZ28" s="18">
        <v>0</v>
      </c>
    </row>
    <row r="29" spans="1:78" x14ac:dyDescent="0.25">
      <c r="A29" s="3" t="s">
        <v>115</v>
      </c>
      <c r="B29" s="13">
        <v>13844.430905976005</v>
      </c>
      <c r="C29" s="13">
        <v>17503.491230520009</v>
      </c>
      <c r="D29" s="13">
        <v>18154.169875992011</v>
      </c>
      <c r="E29" s="13">
        <v>18559.796119056002</v>
      </c>
      <c r="F29" s="13">
        <v>17962.456783583995</v>
      </c>
      <c r="G29" s="13">
        <v>17527.66210052399</v>
      </c>
      <c r="H29" s="23">
        <v>17070.975999999937</v>
      </c>
      <c r="I29" s="13">
        <f t="shared" si="28"/>
        <v>100</v>
      </c>
      <c r="J29" s="13">
        <f t="shared" si="29"/>
        <v>126.42983557355582</v>
      </c>
      <c r="K29" s="13">
        <f t="shared" si="30"/>
        <v>131.12976618024572</v>
      </c>
      <c r="L29" s="13">
        <f t="shared" si="31"/>
        <v>134.05965362609876</v>
      </c>
      <c r="M29" s="13">
        <f t="shared" si="32"/>
        <v>129.7449993110979</v>
      </c>
      <c r="N29" s="13">
        <f t="shared" si="33"/>
        <v>126.60442469295074</v>
      </c>
      <c r="O29" s="23">
        <f t="shared" si="33"/>
        <v>123.30572571698255</v>
      </c>
      <c r="P29" s="13">
        <v>252846.9177801999</v>
      </c>
      <c r="Q29" s="13">
        <v>255531.52123283816</v>
      </c>
      <c r="R29" s="13">
        <v>265094.59646614833</v>
      </c>
      <c r="S29" s="13">
        <v>365056.54442856944</v>
      </c>
      <c r="T29" s="13">
        <v>331795.42314494937</v>
      </c>
      <c r="U29" s="13">
        <v>320564.05276395194</v>
      </c>
      <c r="V29" s="23">
        <v>317403.69681401848</v>
      </c>
      <c r="W29" s="13">
        <f t="shared" si="6"/>
        <v>100</v>
      </c>
      <c r="X29" s="13">
        <f t="shared" si="7"/>
        <v>101.06175051537389</v>
      </c>
      <c r="Y29" s="13">
        <f t="shared" si="8"/>
        <v>104.8439106133757</v>
      </c>
      <c r="Z29" s="13">
        <f t="shared" si="9"/>
        <v>144.37848308908929</v>
      </c>
      <c r="AA29" s="13">
        <f t="shared" si="10"/>
        <v>131.22383537749093</v>
      </c>
      <c r="AB29" s="13">
        <f t="shared" si="11"/>
        <v>126.78187085619079</v>
      </c>
      <c r="AC29" s="23">
        <f t="shared" si="11"/>
        <v>125.53196202689638</v>
      </c>
      <c r="AD29" s="13">
        <v>5.5222017620206083</v>
      </c>
      <c r="AE29" s="13">
        <v>4.4026116532086048</v>
      </c>
      <c r="AF29" s="13">
        <v>4.902201633247798</v>
      </c>
      <c r="AG29" s="13">
        <v>9.7701069259835389</v>
      </c>
      <c r="AH29" s="13">
        <v>10.067616052972319</v>
      </c>
      <c r="AI29" s="13">
        <v>7.32553497554545</v>
      </c>
      <c r="AJ29" s="23">
        <v>7.2915347097981513</v>
      </c>
      <c r="AK29" s="17">
        <v>12.880503225959524</v>
      </c>
      <c r="AL29" s="17">
        <v>15.898815370294479</v>
      </c>
      <c r="AM29" s="17">
        <v>15.016881455333678</v>
      </c>
      <c r="AN29" s="17">
        <v>20.02369024743485</v>
      </c>
      <c r="AO29" s="17">
        <v>19.698454917799552</v>
      </c>
      <c r="AP29" s="17">
        <v>19.453461687440605</v>
      </c>
      <c r="AQ29" s="18">
        <v>19.728188727645509</v>
      </c>
      <c r="AR29" s="42">
        <f t="shared" si="12"/>
        <v>930.37433704837974</v>
      </c>
      <c r="AS29" s="17">
        <f t="shared" si="13"/>
        <v>908.32252611253159</v>
      </c>
      <c r="AT29" s="17">
        <f t="shared" si="14"/>
        <v>827.18634660308862</v>
      </c>
      <c r="AU29" s="17">
        <f t="shared" si="15"/>
        <v>1078.8744724881874</v>
      </c>
      <c r="AV29" s="17">
        <f t="shared" si="16"/>
        <v>1096.6459184916228</v>
      </c>
      <c r="AW29" s="17">
        <f t="shared" si="17"/>
        <v>1109.8720169222706</v>
      </c>
      <c r="AX29" s="18">
        <f t="shared" si="18"/>
        <v>1155.6567549298636</v>
      </c>
      <c r="AY29" s="13">
        <f t="shared" si="34"/>
        <v>100</v>
      </c>
      <c r="AZ29" s="13">
        <f t="shared" si="35"/>
        <v>97.629791573378128</v>
      </c>
      <c r="BA29" s="13">
        <f t="shared" si="36"/>
        <v>88.908981435079568</v>
      </c>
      <c r="BB29" s="13">
        <f t="shared" si="37"/>
        <v>115.961331856049</v>
      </c>
      <c r="BC29" s="13">
        <f t="shared" si="38"/>
        <v>117.87147117264014</v>
      </c>
      <c r="BD29" s="13">
        <f t="shared" si="39"/>
        <v>119.29306008626041</v>
      </c>
      <c r="BE29" s="23">
        <f t="shared" si="39"/>
        <v>124.21416938435708</v>
      </c>
      <c r="BF29" s="21">
        <f t="shared" si="40"/>
        <v>0.42872562237250911</v>
      </c>
      <c r="BG29" s="21">
        <f t="shared" si="41"/>
        <v>0.27691444618159999</v>
      </c>
      <c r="BH29" s="21">
        <f t="shared" si="42"/>
        <v>0.32644604992247839</v>
      </c>
      <c r="BI29" s="21">
        <f t="shared" si="43"/>
        <v>0.48792739026889143</v>
      </c>
      <c r="BJ29" s="21">
        <f t="shared" si="44"/>
        <v>0.5110865849623164</v>
      </c>
      <c r="BK29" s="21">
        <f t="shared" si="45"/>
        <v>0.37656716800562573</v>
      </c>
      <c r="BL29" s="21">
        <f t="shared" si="46"/>
        <v>0.36959980515496471</v>
      </c>
      <c r="BM29" s="42">
        <f t="shared" si="21"/>
        <v>7.3583014639389157</v>
      </c>
      <c r="BN29" s="17">
        <f t="shared" si="22"/>
        <v>10.749968407085873</v>
      </c>
      <c r="BO29" s="17">
        <f t="shared" si="23"/>
        <v>9.0671050320858786</v>
      </c>
      <c r="BP29" s="17">
        <f t="shared" si="24"/>
        <v>10.817149431451311</v>
      </c>
      <c r="BQ29" s="17">
        <f t="shared" si="25"/>
        <v>9.468499074827232</v>
      </c>
      <c r="BR29" s="17">
        <f t="shared" si="26"/>
        <v>12.118424374789283</v>
      </c>
      <c r="BS29" s="18">
        <f t="shared" si="27"/>
        <v>12.436654017847358</v>
      </c>
      <c r="BT29" s="17"/>
      <c r="BU29" s="17">
        <v>0.74623530999999987</v>
      </c>
      <c r="BV29" s="17">
        <v>1.0475747899999999</v>
      </c>
      <c r="BW29" s="17">
        <v>-0.56356611000000001</v>
      </c>
      <c r="BX29" s="17">
        <v>0.16233979000000001</v>
      </c>
      <c r="BY29" s="17">
        <v>9.5023371058712072E-3</v>
      </c>
      <c r="BZ29" s="18">
        <v>0</v>
      </c>
    </row>
    <row r="30" spans="1:78" x14ac:dyDescent="0.25">
      <c r="A30" s="3" t="s">
        <v>116</v>
      </c>
      <c r="B30" s="13">
        <v>28933.375848587984</v>
      </c>
      <c r="C30" s="13">
        <v>29061.472501067979</v>
      </c>
      <c r="D30" s="13">
        <v>29412.969333239991</v>
      </c>
      <c r="E30" s="13">
        <v>29746.040333843994</v>
      </c>
      <c r="F30" s="13">
        <v>28746.073001004006</v>
      </c>
      <c r="G30" s="13">
        <v>27919.797249719995</v>
      </c>
      <c r="H30" s="23">
        <v>27859.583999999999</v>
      </c>
      <c r="I30" s="13">
        <f t="shared" si="28"/>
        <v>100</v>
      </c>
      <c r="J30" s="13">
        <f t="shared" si="29"/>
        <v>100.44272971515782</v>
      </c>
      <c r="K30" s="13">
        <f t="shared" si="30"/>
        <v>101.6575787324707</v>
      </c>
      <c r="L30" s="13">
        <f t="shared" si="31"/>
        <v>102.80874409370267</v>
      </c>
      <c r="M30" s="13">
        <f t="shared" si="32"/>
        <v>99.352640878948378</v>
      </c>
      <c r="N30" s="13">
        <f t="shared" si="33"/>
        <v>96.496853308192669</v>
      </c>
      <c r="O30" s="23">
        <f t="shared" si="33"/>
        <v>96.288743303901782</v>
      </c>
      <c r="P30" s="13">
        <v>540245.79382898565</v>
      </c>
      <c r="Q30" s="13">
        <v>443141.32352432952</v>
      </c>
      <c r="R30" s="13">
        <v>404169.42650273454</v>
      </c>
      <c r="S30" s="13">
        <v>481761.10513374908</v>
      </c>
      <c r="T30" s="13">
        <v>469909.86664331768</v>
      </c>
      <c r="U30" s="13">
        <v>432629.78363961109</v>
      </c>
      <c r="V30" s="23">
        <v>459701.4713973063</v>
      </c>
      <c r="W30" s="13">
        <f t="shared" si="6"/>
        <v>100</v>
      </c>
      <c r="X30" s="13">
        <f t="shared" si="7"/>
        <v>82.025872035684102</v>
      </c>
      <c r="Y30" s="13">
        <f t="shared" si="8"/>
        <v>74.812137571342959</v>
      </c>
      <c r="Z30" s="13">
        <f t="shared" si="9"/>
        <v>89.174429609025367</v>
      </c>
      <c r="AA30" s="13">
        <f t="shared" si="10"/>
        <v>86.980754317925744</v>
      </c>
      <c r="AB30" s="13">
        <f t="shared" si="11"/>
        <v>80.080176205232917</v>
      </c>
      <c r="AC30" s="23">
        <f t="shared" si="11"/>
        <v>85.091170842659892</v>
      </c>
      <c r="AD30" s="13">
        <v>10.227304511721103</v>
      </c>
      <c r="AE30" s="13">
        <v>7.8961419210091437</v>
      </c>
      <c r="AF30" s="13">
        <v>8.0986393569748589</v>
      </c>
      <c r="AG30" s="13">
        <v>9.5334728278645091</v>
      </c>
      <c r="AH30" s="13">
        <v>10.437457135562473</v>
      </c>
      <c r="AI30" s="13">
        <v>10.977407504933689</v>
      </c>
      <c r="AJ30" s="23">
        <v>11.479311821823387</v>
      </c>
      <c r="AK30" s="17">
        <v>28.44782216154454</v>
      </c>
      <c r="AL30" s="17">
        <v>28.63749471265918</v>
      </c>
      <c r="AM30" s="17">
        <v>29.923441196677658</v>
      </c>
      <c r="AN30" s="17">
        <v>32.82125943584014</v>
      </c>
      <c r="AO30" s="17">
        <v>31.537108853782833</v>
      </c>
      <c r="AP30" s="17">
        <v>30.268316779293176</v>
      </c>
      <c r="AQ30" s="18">
        <v>31.464432844884833</v>
      </c>
      <c r="AR30" s="42">
        <f t="shared" si="12"/>
        <v>983.21821519948423</v>
      </c>
      <c r="AS30" s="17">
        <f t="shared" si="13"/>
        <v>985.41100116681218</v>
      </c>
      <c r="AT30" s="17">
        <f t="shared" si="14"/>
        <v>1017.3553325287963</v>
      </c>
      <c r="AU30" s="17">
        <f t="shared" si="15"/>
        <v>1103.3824693129752</v>
      </c>
      <c r="AV30" s="17">
        <f t="shared" si="16"/>
        <v>1097.092769947441</v>
      </c>
      <c r="AW30" s="17">
        <f t="shared" si="17"/>
        <v>1084.1166398368719</v>
      </c>
      <c r="AX30" s="18">
        <f t="shared" si="18"/>
        <v>1129.3934914780075</v>
      </c>
      <c r="AY30" s="13">
        <f t="shared" si="34"/>
        <v>100</v>
      </c>
      <c r="AZ30" s="13">
        <f t="shared" si="35"/>
        <v>100.22302129206211</v>
      </c>
      <c r="BA30" s="13">
        <f t="shared" si="36"/>
        <v>103.47197771578978</v>
      </c>
      <c r="BB30" s="13">
        <f t="shared" si="37"/>
        <v>112.2215244038284</v>
      </c>
      <c r="BC30" s="13">
        <f t="shared" si="38"/>
        <v>111.58181907002738</v>
      </c>
      <c r="BD30" s="13">
        <f t="shared" si="39"/>
        <v>110.26205811462886</v>
      </c>
      <c r="BE30" s="23">
        <f t="shared" si="39"/>
        <v>114.86702280519346</v>
      </c>
      <c r="BF30" s="21">
        <f t="shared" si="40"/>
        <v>0.35951098307786328</v>
      </c>
      <c r="BG30" s="21">
        <f t="shared" si="41"/>
        <v>0.27572739865120466</v>
      </c>
      <c r="BH30" s="21">
        <f t="shared" si="42"/>
        <v>0.2706453212966039</v>
      </c>
      <c r="BI30" s="21">
        <f t="shared" si="43"/>
        <v>0.29046639256792667</v>
      </c>
      <c r="BJ30" s="21">
        <f t="shared" si="44"/>
        <v>0.33095795762237462</v>
      </c>
      <c r="BK30" s="21">
        <f t="shared" si="45"/>
        <v>0.36266990282206346</v>
      </c>
      <c r="BL30" s="21">
        <f t="shared" si="46"/>
        <v>0.36483453804537835</v>
      </c>
      <c r="BM30" s="42">
        <f t="shared" si="21"/>
        <v>18.220517649823435</v>
      </c>
      <c r="BN30" s="17">
        <f t="shared" si="22"/>
        <v>18.492320021650038</v>
      </c>
      <c r="BO30" s="17">
        <f t="shared" si="23"/>
        <v>19.021224129702802</v>
      </c>
      <c r="BP30" s="17">
        <f t="shared" si="24"/>
        <v>22.628270437975633</v>
      </c>
      <c r="BQ30" s="17">
        <f t="shared" si="25"/>
        <v>20.590781098220358</v>
      </c>
      <c r="BR30" s="17">
        <f t="shared" si="26"/>
        <v>19.275696089319151</v>
      </c>
      <c r="BS30" s="18">
        <f t="shared" si="27"/>
        <v>19.985121023061446</v>
      </c>
      <c r="BT30" s="17"/>
      <c r="BU30" s="17">
        <v>2.2490327699999999</v>
      </c>
      <c r="BV30" s="17">
        <v>2.8035777099999999</v>
      </c>
      <c r="BW30" s="17">
        <v>0.65951616999999996</v>
      </c>
      <c r="BX30" s="17">
        <v>0.50887061999999994</v>
      </c>
      <c r="BY30" s="17">
        <v>1.521318504033586E-2</v>
      </c>
      <c r="BZ30" s="18">
        <v>0</v>
      </c>
    </row>
    <row r="31" spans="1:78" x14ac:dyDescent="0.25">
      <c r="A31" s="3" t="s">
        <v>117</v>
      </c>
      <c r="B31" s="13">
        <v>71450.241922103989</v>
      </c>
      <c r="C31" s="13">
        <v>71903.336838000032</v>
      </c>
      <c r="D31" s="13">
        <v>72589.433333555979</v>
      </c>
      <c r="E31" s="13">
        <v>83450.884449060017</v>
      </c>
      <c r="F31" s="13">
        <v>83479.033446599991</v>
      </c>
      <c r="G31" s="13">
        <v>86636.860660400023</v>
      </c>
      <c r="H31" s="23">
        <v>84166.771000000183</v>
      </c>
      <c r="I31" s="13">
        <f t="shared" si="28"/>
        <v>100</v>
      </c>
      <c r="J31" s="13">
        <f t="shared" si="29"/>
        <v>100.63414049233033</v>
      </c>
      <c r="K31" s="13">
        <f t="shared" si="30"/>
        <v>101.59438426071945</v>
      </c>
      <c r="L31" s="13">
        <f t="shared" si="31"/>
        <v>116.79580391069815</v>
      </c>
      <c r="M31" s="13">
        <f t="shared" si="32"/>
        <v>116.83520055482801</v>
      </c>
      <c r="N31" s="13">
        <f t="shared" si="33"/>
        <v>121.25481780013101</v>
      </c>
      <c r="O31" s="23">
        <f t="shared" si="33"/>
        <v>117.79774110738481</v>
      </c>
      <c r="P31" s="13">
        <v>2552575.8356276266</v>
      </c>
      <c r="Q31" s="13">
        <v>1840019.9657463515</v>
      </c>
      <c r="R31" s="13">
        <v>1719268.9481765234</v>
      </c>
      <c r="S31" s="13">
        <v>2231362.760281981</v>
      </c>
      <c r="T31" s="13">
        <v>2388323.6095856777</v>
      </c>
      <c r="U31" s="13">
        <v>2518073.7459653183</v>
      </c>
      <c r="V31" s="23">
        <v>2453666.4471761864</v>
      </c>
      <c r="W31" s="13">
        <f t="shared" si="6"/>
        <v>100</v>
      </c>
      <c r="X31" s="13">
        <f t="shared" si="7"/>
        <v>72.084830548978701</v>
      </c>
      <c r="Y31" s="13">
        <f t="shared" si="8"/>
        <v>67.354275010355963</v>
      </c>
      <c r="Z31" s="13">
        <f t="shared" si="9"/>
        <v>87.416120184861583</v>
      </c>
      <c r="AA31" s="13">
        <f t="shared" si="10"/>
        <v>93.565236192030213</v>
      </c>
      <c r="AB31" s="13">
        <f t="shared" si="11"/>
        <v>98.648342228240793</v>
      </c>
      <c r="AC31" s="23">
        <f t="shared" si="11"/>
        <v>96.125114597148865</v>
      </c>
      <c r="AD31" s="13">
        <v>26.260029066044527</v>
      </c>
      <c r="AE31" s="13">
        <v>19.286541457050614</v>
      </c>
      <c r="AF31" s="13">
        <v>20.565917040312254</v>
      </c>
      <c r="AG31" s="13">
        <v>26.219375957019917</v>
      </c>
      <c r="AH31" s="13">
        <v>29.885405220497066</v>
      </c>
      <c r="AI31" s="13">
        <v>35.476131871458897</v>
      </c>
      <c r="AJ31" s="23">
        <v>35.432812606253286</v>
      </c>
      <c r="AK31" s="17">
        <v>58.827001047738378</v>
      </c>
      <c r="AL31" s="17">
        <v>60.011290215249552</v>
      </c>
      <c r="AM31" s="17">
        <v>62.194322957716551</v>
      </c>
      <c r="AN31" s="17">
        <v>73.509786092010359</v>
      </c>
      <c r="AO31" s="17">
        <v>74.079955280159993</v>
      </c>
      <c r="AP31" s="17">
        <v>73.169671858205049</v>
      </c>
      <c r="AQ31" s="18">
        <v>75.231532840778783</v>
      </c>
      <c r="AR31" s="42">
        <f t="shared" si="12"/>
        <v>823.32822766187928</v>
      </c>
      <c r="AS31" s="17">
        <f t="shared" si="13"/>
        <v>834.61064332044077</v>
      </c>
      <c r="AT31" s="17">
        <f t="shared" si="14"/>
        <v>856.79581864108491</v>
      </c>
      <c r="AU31" s="17">
        <f t="shared" si="15"/>
        <v>880.87485923390204</v>
      </c>
      <c r="AV31" s="17">
        <f t="shared" si="16"/>
        <v>887.40791815165881</v>
      </c>
      <c r="AW31" s="17">
        <f t="shared" si="17"/>
        <v>844.55590034611498</v>
      </c>
      <c r="AX31" s="18">
        <f t="shared" si="18"/>
        <v>893.83888614164152</v>
      </c>
      <c r="AY31" s="13">
        <f t="shared" si="34"/>
        <v>100</v>
      </c>
      <c r="AZ31" s="13">
        <f t="shared" si="35"/>
        <v>101.37034238345038</v>
      </c>
      <c r="BA31" s="13">
        <f t="shared" si="36"/>
        <v>104.0649148000486</v>
      </c>
      <c r="BB31" s="13">
        <f t="shared" si="37"/>
        <v>106.98951276521225</v>
      </c>
      <c r="BC31" s="13">
        <f t="shared" si="38"/>
        <v>107.78300662322189</v>
      </c>
      <c r="BD31" s="13">
        <f t="shared" si="39"/>
        <v>102.57827582864721</v>
      </c>
      <c r="BE31" s="23">
        <f t="shared" si="39"/>
        <v>108.56410069651095</v>
      </c>
      <c r="BF31" s="21">
        <f t="shared" si="40"/>
        <v>0.44639414891699808</v>
      </c>
      <c r="BG31" s="21">
        <f t="shared" si="41"/>
        <v>0.32138188310688387</v>
      </c>
      <c r="BH31" s="21">
        <f t="shared" si="42"/>
        <v>0.33067193374376314</v>
      </c>
      <c r="BI31" s="21">
        <f t="shared" si="43"/>
        <v>0.35667871382732336</v>
      </c>
      <c r="BJ31" s="21">
        <f t="shared" si="44"/>
        <v>0.40342094035390086</v>
      </c>
      <c r="BK31" s="21">
        <f t="shared" si="45"/>
        <v>0.48484749173411384</v>
      </c>
      <c r="BL31" s="21">
        <f t="shared" si="46"/>
        <v>0.47098352603347665</v>
      </c>
      <c r="BM31" s="42">
        <f t="shared" si="21"/>
        <v>32.566971981693854</v>
      </c>
      <c r="BN31" s="17">
        <f t="shared" si="22"/>
        <v>33.07685508819894</v>
      </c>
      <c r="BO31" s="17">
        <f t="shared" si="23"/>
        <v>34.657404007404295</v>
      </c>
      <c r="BP31" s="17">
        <f t="shared" si="24"/>
        <v>44.305103284990437</v>
      </c>
      <c r="BQ31" s="17">
        <f t="shared" si="25"/>
        <v>42.75487953966293</v>
      </c>
      <c r="BR31" s="17">
        <f t="shared" si="26"/>
        <v>37.657804559231792</v>
      </c>
      <c r="BS31" s="18">
        <f t="shared" si="27"/>
        <v>39.798720234525497</v>
      </c>
      <c r="BT31" s="17"/>
      <c r="BU31" s="17">
        <v>7.6478936699999984</v>
      </c>
      <c r="BV31" s="17">
        <v>6.9710019099999991</v>
      </c>
      <c r="BW31" s="17">
        <v>2.9853068499999997</v>
      </c>
      <c r="BX31" s="17">
        <v>1.43967052</v>
      </c>
      <c r="BY31" s="17">
        <v>3.5735427514361442E-2</v>
      </c>
      <c r="BZ31" s="18">
        <v>0</v>
      </c>
    </row>
    <row r="32" spans="1:78" x14ac:dyDescent="0.25">
      <c r="A32" s="3" t="s">
        <v>118</v>
      </c>
      <c r="B32" s="13">
        <v>62537.894899931933</v>
      </c>
      <c r="C32" s="13">
        <v>63592.096282535989</v>
      </c>
      <c r="D32" s="13">
        <v>64276.843470371983</v>
      </c>
      <c r="E32" s="13">
        <v>64845.528991859945</v>
      </c>
      <c r="F32" s="13">
        <v>65478.63856867599</v>
      </c>
      <c r="G32" s="13">
        <v>66096.699506400008</v>
      </c>
      <c r="H32" s="23">
        <v>67522.108999999968</v>
      </c>
      <c r="I32" s="13">
        <f t="shared" si="28"/>
        <v>100</v>
      </c>
      <c r="J32" s="13">
        <f t="shared" si="29"/>
        <v>101.68570014115585</v>
      </c>
      <c r="K32" s="13">
        <f t="shared" si="30"/>
        <v>102.78063176450468</v>
      </c>
      <c r="L32" s="13">
        <f t="shared" si="31"/>
        <v>103.68997724598901</v>
      </c>
      <c r="M32" s="13">
        <f t="shared" si="32"/>
        <v>104.70233875548513</v>
      </c>
      <c r="N32" s="13">
        <f t="shared" si="33"/>
        <v>105.69063703241464</v>
      </c>
      <c r="O32" s="23">
        <f t="shared" si="33"/>
        <v>107.96991025688243</v>
      </c>
      <c r="P32" s="13">
        <v>2699189.6939356332</v>
      </c>
      <c r="Q32" s="13">
        <v>1990429.0221782855</v>
      </c>
      <c r="R32" s="13">
        <v>1862360.509074894</v>
      </c>
      <c r="S32" s="13">
        <v>2427259.2724542613</v>
      </c>
      <c r="T32" s="13">
        <v>2550012.088475937</v>
      </c>
      <c r="U32" s="13">
        <v>2668091.9382873289</v>
      </c>
      <c r="V32" s="23">
        <v>2668314.9797053603</v>
      </c>
      <c r="W32" s="13">
        <f t="shared" si="6"/>
        <v>100</v>
      </c>
      <c r="X32" s="13">
        <f t="shared" si="7"/>
        <v>73.741724290451103</v>
      </c>
      <c r="Y32" s="13">
        <f t="shared" si="8"/>
        <v>68.997022078853021</v>
      </c>
      <c r="Z32" s="13">
        <f t="shared" si="9"/>
        <v>89.925479409901129</v>
      </c>
      <c r="AA32" s="13">
        <f t="shared" si="10"/>
        <v>94.473244848449937</v>
      </c>
      <c r="AB32" s="13">
        <f t="shared" si="11"/>
        <v>98.847885507336784</v>
      </c>
      <c r="AC32" s="23">
        <f t="shared" si="11"/>
        <v>98.856148780515866</v>
      </c>
      <c r="AD32" s="13">
        <v>23.976264948180312</v>
      </c>
      <c r="AE32" s="13">
        <v>17.918946079457761</v>
      </c>
      <c r="AF32" s="13">
        <v>18.74116338102699</v>
      </c>
      <c r="AG32" s="13">
        <v>23.305500912974907</v>
      </c>
      <c r="AH32" s="13">
        <v>26.359786467832539</v>
      </c>
      <c r="AI32" s="13">
        <v>30.384743016841682</v>
      </c>
      <c r="AJ32" s="23">
        <v>32.978897168545416</v>
      </c>
      <c r="AK32" s="17">
        <v>50.905435012055918</v>
      </c>
      <c r="AL32" s="17">
        <v>51.619206405672834</v>
      </c>
      <c r="AM32" s="17">
        <v>54.428591315134241</v>
      </c>
      <c r="AN32" s="17">
        <v>59.367823025794188</v>
      </c>
      <c r="AO32" s="17">
        <v>60.418298929957651</v>
      </c>
      <c r="AP32" s="17">
        <v>56.006914759484097</v>
      </c>
      <c r="AQ32" s="18">
        <v>66.084618760343886</v>
      </c>
      <c r="AR32" s="42">
        <f t="shared" si="12"/>
        <v>813.99342100514684</v>
      </c>
      <c r="AS32" s="17">
        <f t="shared" si="13"/>
        <v>811.72361697799204</v>
      </c>
      <c r="AT32" s="17">
        <f t="shared" si="14"/>
        <v>846.78382410335325</v>
      </c>
      <c r="AU32" s="17">
        <f t="shared" si="15"/>
        <v>915.52685202470354</v>
      </c>
      <c r="AV32" s="17">
        <f t="shared" si="16"/>
        <v>922.71770230208892</v>
      </c>
      <c r="AW32" s="17">
        <f t="shared" si="17"/>
        <v>847.34813050780338</v>
      </c>
      <c r="AX32" s="18">
        <f t="shared" si="18"/>
        <v>978.71082137472808</v>
      </c>
      <c r="AY32" s="13">
        <f t="shared" si="34"/>
        <v>100</v>
      </c>
      <c r="AZ32" s="13">
        <f t="shared" si="35"/>
        <v>99.721152042684565</v>
      </c>
      <c r="BA32" s="13">
        <f t="shared" si="36"/>
        <v>104.02833760716588</v>
      </c>
      <c r="BB32" s="13">
        <f t="shared" si="37"/>
        <v>112.47349528871864</v>
      </c>
      <c r="BC32" s="13">
        <f t="shared" si="38"/>
        <v>113.35689926863115</v>
      </c>
      <c r="BD32" s="13">
        <f t="shared" si="39"/>
        <v>104.09766327858878</v>
      </c>
      <c r="BE32" s="23">
        <f t="shared" si="39"/>
        <v>120.23571642215272</v>
      </c>
      <c r="BF32" s="21">
        <f t="shared" si="40"/>
        <v>0.47099617049735498</v>
      </c>
      <c r="BG32" s="21">
        <f t="shared" si="41"/>
        <v>0.34713718646957947</v>
      </c>
      <c r="BH32" s="21">
        <f t="shared" si="42"/>
        <v>0.34432571059056383</v>
      </c>
      <c r="BI32" s="21">
        <f t="shared" si="43"/>
        <v>0.39256115055539614</v>
      </c>
      <c r="BJ32" s="21">
        <f t="shared" si="44"/>
        <v>0.43628812685360746</v>
      </c>
      <c r="BK32" s="21">
        <f t="shared" si="45"/>
        <v>0.54251770781029129</v>
      </c>
      <c r="BL32" s="21">
        <f t="shared" si="46"/>
        <v>0.49904043917002089</v>
      </c>
      <c r="BM32" s="42">
        <f t="shared" si="21"/>
        <v>26.929170063875606</v>
      </c>
      <c r="BN32" s="17">
        <f t="shared" si="22"/>
        <v>27.381395696215073</v>
      </c>
      <c r="BO32" s="17">
        <f t="shared" si="23"/>
        <v>28.55353831410725</v>
      </c>
      <c r="BP32" s="17">
        <f t="shared" si="24"/>
        <v>34.974247902819279</v>
      </c>
      <c r="BQ32" s="17">
        <f t="shared" si="25"/>
        <v>33.102204202125108</v>
      </c>
      <c r="BR32" s="17">
        <f t="shared" si="26"/>
        <v>25.593026561145109</v>
      </c>
      <c r="BS32" s="18">
        <f t="shared" si="27"/>
        <v>33.105721591798471</v>
      </c>
      <c r="BT32" s="17"/>
      <c r="BU32" s="17">
        <v>6.3188646300000011</v>
      </c>
      <c r="BV32" s="17">
        <v>7.1338896199999997</v>
      </c>
      <c r="BW32" s="17">
        <v>1.08807421</v>
      </c>
      <c r="BX32" s="17">
        <v>0.95630825999999991</v>
      </c>
      <c r="BY32" s="17">
        <v>2.9145181497305262E-2</v>
      </c>
      <c r="BZ32" s="18">
        <v>0</v>
      </c>
    </row>
    <row r="33" spans="1:78" x14ac:dyDescent="0.25">
      <c r="A33" s="3" t="s">
        <v>119</v>
      </c>
      <c r="B33" s="13">
        <v>27155.129103359995</v>
      </c>
      <c r="C33" s="13">
        <v>26811.656405280006</v>
      </c>
      <c r="D33" s="13">
        <v>26922.655830119998</v>
      </c>
      <c r="E33" s="13">
        <v>27952.89813311999</v>
      </c>
      <c r="F33" s="13">
        <v>26902.407371040001</v>
      </c>
      <c r="G33" s="13">
        <v>24830.169069000003</v>
      </c>
      <c r="H33" s="23">
        <v>24063.104000000072</v>
      </c>
      <c r="I33" s="13">
        <f t="shared" si="28"/>
        <v>100</v>
      </c>
      <c r="J33" s="13">
        <f t="shared" si="29"/>
        <v>98.735146142105833</v>
      </c>
      <c r="K33" s="13">
        <f t="shared" si="30"/>
        <v>99.143906580759975</v>
      </c>
      <c r="L33" s="13">
        <f t="shared" si="31"/>
        <v>102.93782079519292</v>
      </c>
      <c r="M33" s="13">
        <f t="shared" si="32"/>
        <v>99.069340707760716</v>
      </c>
      <c r="N33" s="13">
        <f t="shared" si="33"/>
        <v>91.43822875777704</v>
      </c>
      <c r="O33" s="23">
        <f t="shared" si="33"/>
        <v>88.613476696830233</v>
      </c>
      <c r="P33" s="13">
        <v>783258.33513005974</v>
      </c>
      <c r="Q33" s="13">
        <v>559925.43138875021</v>
      </c>
      <c r="R33" s="13">
        <v>523129.23914431653</v>
      </c>
      <c r="S33" s="13">
        <v>670638.07076244848</v>
      </c>
      <c r="T33" s="13">
        <v>645285.67658163467</v>
      </c>
      <c r="U33" s="13">
        <v>648991.86016088119</v>
      </c>
      <c r="V33" s="23">
        <v>584611.88647477003</v>
      </c>
      <c r="W33" s="13">
        <f t="shared" si="6"/>
        <v>100</v>
      </c>
      <c r="X33" s="13">
        <f t="shared" si="7"/>
        <v>71.486686610972967</v>
      </c>
      <c r="Y33" s="13">
        <f t="shared" si="8"/>
        <v>66.788850584967108</v>
      </c>
      <c r="Z33" s="13">
        <f t="shared" si="9"/>
        <v>85.621568348977632</v>
      </c>
      <c r="AA33" s="13">
        <f t="shared" si="10"/>
        <v>82.384782598513326</v>
      </c>
      <c r="AB33" s="13">
        <f t="shared" si="11"/>
        <v>82.85795772005622</v>
      </c>
      <c r="AC33" s="23">
        <f t="shared" si="11"/>
        <v>74.638450719799295</v>
      </c>
      <c r="AD33" s="13">
        <v>8.6216478542829442</v>
      </c>
      <c r="AE33" s="13">
        <v>6.11944767359042</v>
      </c>
      <c r="AF33" s="13">
        <v>6.4437690115674142</v>
      </c>
      <c r="AG33" s="13">
        <v>7.9630239328751644</v>
      </c>
      <c r="AH33" s="13">
        <v>8.6775317893590422</v>
      </c>
      <c r="AI33" s="13">
        <v>9.9969682769880119</v>
      </c>
      <c r="AJ33" s="23">
        <v>9.8234933296119991</v>
      </c>
      <c r="AK33" s="17">
        <v>21.028913050836259</v>
      </c>
      <c r="AL33" s="17">
        <v>20.961857277886029</v>
      </c>
      <c r="AM33" s="17">
        <v>21.859568227199986</v>
      </c>
      <c r="AN33" s="17">
        <v>24.256789162890087</v>
      </c>
      <c r="AO33" s="17">
        <v>24.178377099252266</v>
      </c>
      <c r="AP33" s="17">
        <v>22.678646684403954</v>
      </c>
      <c r="AQ33" s="18">
        <v>22.614906523633135</v>
      </c>
      <c r="AR33" s="42">
        <f t="shared" si="12"/>
        <v>774.39930301175696</v>
      </c>
      <c r="AS33" s="17">
        <f t="shared" si="13"/>
        <v>781.81880899227178</v>
      </c>
      <c r="AT33" s="17">
        <f t="shared" si="14"/>
        <v>811.93951908505142</v>
      </c>
      <c r="AU33" s="17">
        <f t="shared" si="15"/>
        <v>867.77367582323893</v>
      </c>
      <c r="AV33" s="17">
        <f t="shared" si="16"/>
        <v>898.74399587301957</v>
      </c>
      <c r="AW33" s="17">
        <f t="shared" si="17"/>
        <v>913.35047382813912</v>
      </c>
      <c r="AX33" s="18">
        <f t="shared" si="18"/>
        <v>939.81668049280199</v>
      </c>
      <c r="AY33" s="13">
        <f t="shared" si="34"/>
        <v>100</v>
      </c>
      <c r="AZ33" s="13">
        <f t="shared" si="35"/>
        <v>100.95809822550964</v>
      </c>
      <c r="BA33" s="13">
        <f t="shared" si="36"/>
        <v>104.84765623203623</v>
      </c>
      <c r="BB33" s="13">
        <f t="shared" si="37"/>
        <v>112.0576519695117</v>
      </c>
      <c r="BC33" s="13">
        <f t="shared" si="38"/>
        <v>116.05692210435458</v>
      </c>
      <c r="BD33" s="13">
        <f t="shared" si="39"/>
        <v>117.94309089328721</v>
      </c>
      <c r="BE33" s="23">
        <f t="shared" si="39"/>
        <v>121.36073429272362</v>
      </c>
      <c r="BF33" s="21">
        <f t="shared" si="40"/>
        <v>0.40999018035029094</v>
      </c>
      <c r="BG33" s="21">
        <f t="shared" si="41"/>
        <v>0.29193251306248552</v>
      </c>
      <c r="BH33" s="21">
        <f t="shared" si="42"/>
        <v>0.29478025112817169</v>
      </c>
      <c r="BI33" s="21">
        <f t="shared" si="43"/>
        <v>0.32828021381566919</v>
      </c>
      <c r="BJ33" s="21">
        <f t="shared" si="44"/>
        <v>0.35889637065952623</v>
      </c>
      <c r="BK33" s="21">
        <f t="shared" si="45"/>
        <v>0.44080973684655095</v>
      </c>
      <c r="BL33" s="21">
        <f t="shared" si="46"/>
        <v>0.43438133690034075</v>
      </c>
      <c r="BM33" s="42">
        <f t="shared" si="21"/>
        <v>12.407265196553315</v>
      </c>
      <c r="BN33" s="17">
        <f t="shared" si="22"/>
        <v>12.236681614295609</v>
      </c>
      <c r="BO33" s="17">
        <f t="shared" si="23"/>
        <v>12.954824335632571</v>
      </c>
      <c r="BP33" s="17">
        <f t="shared" si="24"/>
        <v>15.863650220014923</v>
      </c>
      <c r="BQ33" s="17">
        <f t="shared" si="25"/>
        <v>15.118580519893223</v>
      </c>
      <c r="BR33" s="17">
        <f t="shared" si="26"/>
        <v>12.670015000776756</v>
      </c>
      <c r="BS33" s="18">
        <f t="shared" si="27"/>
        <v>12.791413194021136</v>
      </c>
      <c r="BT33" s="17"/>
      <c r="BU33" s="17">
        <v>2.6057279900000001</v>
      </c>
      <c r="BV33" s="17">
        <v>2.4609748799999998</v>
      </c>
      <c r="BW33" s="17">
        <v>0.43011500999999991</v>
      </c>
      <c r="BX33" s="17">
        <v>0.38226479000000002</v>
      </c>
      <c r="BY33" s="17">
        <v>1.1663406639186075E-2</v>
      </c>
      <c r="BZ33" s="18">
        <v>0</v>
      </c>
    </row>
    <row r="34" spans="1:78" x14ac:dyDescent="0.25">
      <c r="A34" s="3" t="s">
        <v>120</v>
      </c>
      <c r="B34" s="13">
        <v>705216.10640799499</v>
      </c>
      <c r="C34" s="13">
        <v>676030.58724726085</v>
      </c>
      <c r="D34" s="13">
        <v>658944.59814392484</v>
      </c>
      <c r="E34" s="13">
        <v>664530.07965825626</v>
      </c>
      <c r="F34" s="13">
        <v>668975.0721893959</v>
      </c>
      <c r="G34" s="13">
        <v>657811.43682502012</v>
      </c>
      <c r="H34" s="23">
        <v>651318.6169999995</v>
      </c>
      <c r="I34" s="13">
        <f t="shared" si="28"/>
        <v>100</v>
      </c>
      <c r="J34" s="13">
        <f t="shared" si="29"/>
        <v>95.861478645263787</v>
      </c>
      <c r="K34" s="13">
        <f t="shared" si="30"/>
        <v>93.438676762538336</v>
      </c>
      <c r="L34" s="13">
        <f t="shared" si="31"/>
        <v>94.230700861758208</v>
      </c>
      <c r="M34" s="13">
        <f t="shared" si="32"/>
        <v>94.861003047251415</v>
      </c>
      <c r="N34" s="13">
        <f t="shared" si="33"/>
        <v>93.277993915307803</v>
      </c>
      <c r="O34" s="23">
        <f t="shared" si="33"/>
        <v>92.357308785455658</v>
      </c>
      <c r="P34" s="13">
        <v>35115967.021254443</v>
      </c>
      <c r="Q34" s="13">
        <v>21626416.783762958</v>
      </c>
      <c r="R34" s="13">
        <v>21133855.862768549</v>
      </c>
      <c r="S34" s="13">
        <v>26730887.641120803</v>
      </c>
      <c r="T34" s="13">
        <v>27849423.936865944</v>
      </c>
      <c r="U34" s="13">
        <v>28740521.992187683</v>
      </c>
      <c r="V34" s="23">
        <v>28450066.671673115</v>
      </c>
      <c r="W34" s="13">
        <f t="shared" si="6"/>
        <v>100</v>
      </c>
      <c r="X34" s="13">
        <f t="shared" si="7"/>
        <v>61.585707637421059</v>
      </c>
      <c r="Y34" s="13">
        <f t="shared" si="8"/>
        <v>60.183038245755782</v>
      </c>
      <c r="Z34" s="13">
        <f t="shared" si="9"/>
        <v>76.121747195347197</v>
      </c>
      <c r="AA34" s="13">
        <f t="shared" si="10"/>
        <v>79.30701130915655</v>
      </c>
      <c r="AB34" s="13">
        <f t="shared" si="11"/>
        <v>81.844597857128832</v>
      </c>
      <c r="AC34" s="23">
        <f t="shared" si="11"/>
        <v>81.017466084454696</v>
      </c>
      <c r="AD34" s="13">
        <v>380.85725398751424</v>
      </c>
      <c r="AE34" s="13">
        <v>244.04138674634217</v>
      </c>
      <c r="AF34" s="13">
        <v>259.88332318919595</v>
      </c>
      <c r="AG34" s="13">
        <v>319.42257575089491</v>
      </c>
      <c r="AH34" s="13">
        <v>365.55028462211146</v>
      </c>
      <c r="AI34" s="13">
        <v>414.70004126163155</v>
      </c>
      <c r="AJ34" s="23">
        <v>426.50290133864746</v>
      </c>
      <c r="AK34" s="17">
        <v>562.17458050257233</v>
      </c>
      <c r="AL34" s="17">
        <v>535.95882214726032</v>
      </c>
      <c r="AM34" s="17">
        <v>544.98964967031316</v>
      </c>
      <c r="AN34" s="17">
        <v>595.48380249896877</v>
      </c>
      <c r="AO34" s="17">
        <v>611.10861217023341</v>
      </c>
      <c r="AP34" s="17">
        <v>594.99083237973753</v>
      </c>
      <c r="AQ34" s="18">
        <v>610.11647011858099</v>
      </c>
      <c r="AR34" s="42">
        <f t="shared" si="12"/>
        <v>797.16639395262541</v>
      </c>
      <c r="AS34" s="17">
        <f t="shared" si="13"/>
        <v>792.80262203761981</v>
      </c>
      <c r="AT34" s="17">
        <f t="shared" si="14"/>
        <v>827.06444700420479</v>
      </c>
      <c r="AU34" s="17">
        <f t="shared" si="15"/>
        <v>896.09758945028409</v>
      </c>
      <c r="AV34" s="17">
        <f t="shared" si="16"/>
        <v>913.49982618966737</v>
      </c>
      <c r="AW34" s="17">
        <f t="shared" si="17"/>
        <v>904.50058948732885</v>
      </c>
      <c r="AX34" s="18">
        <f t="shared" si="18"/>
        <v>936.74041274730121</v>
      </c>
      <c r="AY34" s="13">
        <f t="shared" si="34"/>
        <v>100</v>
      </c>
      <c r="AZ34" s="13">
        <f t="shared" si="35"/>
        <v>99.452589578774322</v>
      </c>
      <c r="BA34" s="13">
        <f t="shared" si="36"/>
        <v>103.7505410762908</v>
      </c>
      <c r="BB34" s="13">
        <f t="shared" si="37"/>
        <v>112.41035701556908</v>
      </c>
      <c r="BC34" s="13">
        <f t="shared" si="38"/>
        <v>114.59336885241997</v>
      </c>
      <c r="BD34" s="13">
        <f t="shared" si="39"/>
        <v>113.46446568106107</v>
      </c>
      <c r="BE34" s="23">
        <f t="shared" si="39"/>
        <v>117.50876853985524</v>
      </c>
      <c r="BF34" s="21">
        <f t="shared" si="40"/>
        <v>0.67747149585994415</v>
      </c>
      <c r="BG34" s="21">
        <f t="shared" si="41"/>
        <v>0.45533607557501726</v>
      </c>
      <c r="BH34" s="21">
        <f t="shared" si="42"/>
        <v>0.47685919053033421</v>
      </c>
      <c r="BI34" s="21">
        <f t="shared" si="43"/>
        <v>0.53640850416153518</v>
      </c>
      <c r="BJ34" s="21">
        <f t="shared" si="44"/>
        <v>0.59817563906345661</v>
      </c>
      <c r="BK34" s="21">
        <f t="shared" si="45"/>
        <v>0.69698559825365503</v>
      </c>
      <c r="BL34" s="21">
        <f t="shared" si="46"/>
        <v>0.6990516110075724</v>
      </c>
      <c r="BM34" s="42">
        <f t="shared" si="21"/>
        <v>181.31732651505808</v>
      </c>
      <c r="BN34" s="17">
        <f t="shared" si="22"/>
        <v>170.44662349091817</v>
      </c>
      <c r="BO34" s="17">
        <f t="shared" si="23"/>
        <v>180.47832675111721</v>
      </c>
      <c r="BP34" s="17">
        <f t="shared" si="24"/>
        <v>252.63919098807386</v>
      </c>
      <c r="BQ34" s="17">
        <f t="shared" si="25"/>
        <v>233.89963149812195</v>
      </c>
      <c r="BR34" s="17">
        <f t="shared" si="26"/>
        <v>179.99599845211389</v>
      </c>
      <c r="BS34" s="18">
        <f t="shared" si="27"/>
        <v>183.61356877993353</v>
      </c>
      <c r="BT34" s="17"/>
      <c r="BU34" s="17">
        <v>121.47081190999999</v>
      </c>
      <c r="BV34" s="17">
        <v>104.62799973</v>
      </c>
      <c r="BW34" s="17">
        <v>23.42203576</v>
      </c>
      <c r="BX34" s="17">
        <v>11.65869605</v>
      </c>
      <c r="BY34" s="17">
        <v>0.29479266599206644</v>
      </c>
      <c r="BZ34" s="18">
        <v>0</v>
      </c>
    </row>
    <row r="35" spans="1:78" x14ac:dyDescent="0.25">
      <c r="A35" s="3" t="s">
        <v>121</v>
      </c>
      <c r="B35" s="13">
        <v>367373.36003988003</v>
      </c>
      <c r="C35" s="13">
        <v>335204.05810881639</v>
      </c>
      <c r="D35" s="13">
        <v>338782.83147332747</v>
      </c>
      <c r="E35" s="13">
        <v>345060.81377781555</v>
      </c>
      <c r="F35" s="13">
        <v>342353.35747391201</v>
      </c>
      <c r="G35" s="13">
        <v>341413.56770546403</v>
      </c>
      <c r="H35" s="23">
        <v>340448.87499999971</v>
      </c>
      <c r="I35" s="13">
        <f t="shared" si="28"/>
        <v>100</v>
      </c>
      <c r="J35" s="13">
        <f t="shared" si="29"/>
        <v>91.243430953302777</v>
      </c>
      <c r="K35" s="13">
        <f t="shared" si="30"/>
        <v>92.217582526003255</v>
      </c>
      <c r="L35" s="13">
        <f t="shared" si="31"/>
        <v>93.926465909329309</v>
      </c>
      <c r="M35" s="13">
        <f t="shared" si="32"/>
        <v>93.189489144435512</v>
      </c>
      <c r="N35" s="13">
        <f t="shared" si="33"/>
        <v>92.93367588450127</v>
      </c>
      <c r="O35" s="23">
        <f t="shared" si="33"/>
        <v>92.671083979263614</v>
      </c>
      <c r="P35" s="13">
        <v>8741727.2972746585</v>
      </c>
      <c r="Q35" s="13">
        <v>6216054.2728729928</v>
      </c>
      <c r="R35" s="13">
        <v>6082628.1035606703</v>
      </c>
      <c r="S35" s="13">
        <v>7485496.3463440379</v>
      </c>
      <c r="T35" s="13">
        <v>7635954.101726722</v>
      </c>
      <c r="U35" s="13">
        <v>7760099.832463949</v>
      </c>
      <c r="V35" s="23">
        <v>7710152.4028570252</v>
      </c>
      <c r="W35" s="13">
        <f t="shared" si="6"/>
        <v>100</v>
      </c>
      <c r="X35" s="13">
        <f t="shared" si="7"/>
        <v>71.107849301257943</v>
      </c>
      <c r="Y35" s="13">
        <f t="shared" si="8"/>
        <v>69.581535739018136</v>
      </c>
      <c r="Z35" s="13">
        <f t="shared" si="9"/>
        <v>85.629488221140619</v>
      </c>
      <c r="AA35" s="13">
        <f t="shared" si="10"/>
        <v>87.350632684541935</v>
      </c>
      <c r="AB35" s="13">
        <f t="shared" si="11"/>
        <v>88.770783720092211</v>
      </c>
      <c r="AC35" s="23">
        <f t="shared" si="11"/>
        <v>88.199415752316597</v>
      </c>
      <c r="AD35" s="13">
        <v>125.76531192875102</v>
      </c>
      <c r="AE35" s="13">
        <v>90.110166487481592</v>
      </c>
      <c r="AF35" s="13">
        <v>99.465447048579378</v>
      </c>
      <c r="AG35" s="13">
        <v>113.09563615337004</v>
      </c>
      <c r="AH35" s="13">
        <v>125.0872790779854</v>
      </c>
      <c r="AI35" s="13">
        <v>137.40924798777675</v>
      </c>
      <c r="AJ35" s="23">
        <v>138.98974643779246</v>
      </c>
      <c r="AK35" s="17">
        <v>259.17038552613485</v>
      </c>
      <c r="AL35" s="17">
        <v>239.23673254593393</v>
      </c>
      <c r="AM35" s="17">
        <v>243.79911654977769</v>
      </c>
      <c r="AN35" s="17">
        <v>260.69522277337268</v>
      </c>
      <c r="AO35" s="17">
        <v>263.41551155023092</v>
      </c>
      <c r="AP35" s="17">
        <v>265.20262351487389</v>
      </c>
      <c r="AQ35" s="18">
        <v>267.88313983144786</v>
      </c>
      <c r="AR35" s="42">
        <f t="shared" si="12"/>
        <v>705.46864230438689</v>
      </c>
      <c r="AS35" s="17">
        <f t="shared" si="13"/>
        <v>713.70476209530602</v>
      </c>
      <c r="AT35" s="17">
        <f t="shared" si="14"/>
        <v>719.63244267580922</v>
      </c>
      <c r="AU35" s="17">
        <f t="shared" si="15"/>
        <v>755.50515261125588</v>
      </c>
      <c r="AV35" s="17">
        <f t="shared" si="16"/>
        <v>769.42581633744805</v>
      </c>
      <c r="AW35" s="17">
        <f t="shared" si="17"/>
        <v>776.7782203185991</v>
      </c>
      <c r="AX35" s="18">
        <f t="shared" si="18"/>
        <v>786.85276851465028</v>
      </c>
      <c r="AY35" s="13">
        <f t="shared" si="34"/>
        <v>100</v>
      </c>
      <c r="AZ35" s="13">
        <f t="shared" si="35"/>
        <v>101.16746787837603</v>
      </c>
      <c r="BA35" s="13">
        <f t="shared" si="36"/>
        <v>102.00771508782542</v>
      </c>
      <c r="BB35" s="13">
        <f t="shared" si="37"/>
        <v>107.09266256589756</v>
      </c>
      <c r="BC35" s="13">
        <f t="shared" si="38"/>
        <v>109.06591309631388</v>
      </c>
      <c r="BD35" s="13">
        <f t="shared" si="39"/>
        <v>110.10811448419339</v>
      </c>
      <c r="BE35" s="23">
        <f t="shared" si="39"/>
        <v>111.53617911980116</v>
      </c>
      <c r="BF35" s="21">
        <f t="shared" si="40"/>
        <v>0.48526112145659789</v>
      </c>
      <c r="BG35" s="21">
        <f t="shared" si="41"/>
        <v>0.37665690184169465</v>
      </c>
      <c r="BH35" s="21">
        <f t="shared" si="42"/>
        <v>0.40798116275483309</v>
      </c>
      <c r="BI35" s="21">
        <f t="shared" si="43"/>
        <v>0.43382320147725234</v>
      </c>
      <c r="BJ35" s="21">
        <f t="shared" si="44"/>
        <v>0.47486679255079633</v>
      </c>
      <c r="BK35" s="21">
        <f t="shared" si="45"/>
        <v>0.51812929361941307</v>
      </c>
      <c r="BL35" s="21">
        <f t="shared" si="46"/>
        <v>0.51884469670336419</v>
      </c>
      <c r="BM35" s="42">
        <f t="shared" si="21"/>
        <v>133.40507359738382</v>
      </c>
      <c r="BN35" s="17">
        <f t="shared" si="22"/>
        <v>108.60183595845234</v>
      </c>
      <c r="BO35" s="17">
        <f t="shared" si="23"/>
        <v>113.6915709511983</v>
      </c>
      <c r="BP35" s="17">
        <f t="shared" si="24"/>
        <v>139.09906683000264</v>
      </c>
      <c r="BQ35" s="17">
        <f t="shared" si="25"/>
        <v>133.56102186224552</v>
      </c>
      <c r="BR35" s="17">
        <f t="shared" si="26"/>
        <v>127.66630652599473</v>
      </c>
      <c r="BS35" s="18">
        <f t="shared" si="27"/>
        <v>128.8933933936554</v>
      </c>
      <c r="BT35" s="17"/>
      <c r="BU35" s="17">
        <v>40.524730099999999</v>
      </c>
      <c r="BV35" s="17">
        <v>30.64209855</v>
      </c>
      <c r="BW35" s="17">
        <v>8.5005197900000002</v>
      </c>
      <c r="BX35" s="17">
        <v>4.7672106100000002</v>
      </c>
      <c r="BY35" s="17">
        <v>0.12706900110241798</v>
      </c>
      <c r="BZ35" s="18">
        <v>0</v>
      </c>
    </row>
    <row r="36" spans="1:78" x14ac:dyDescent="0.25">
      <c r="A36" s="3" t="s">
        <v>122</v>
      </c>
      <c r="B36" s="13">
        <v>37295.683170203971</v>
      </c>
      <c r="C36" s="13">
        <v>37463.049551052012</v>
      </c>
      <c r="D36" s="13">
        <v>35812.563840828007</v>
      </c>
      <c r="E36" s="13">
        <v>35293.269495636006</v>
      </c>
      <c r="F36" s="13">
        <v>32758.093112351995</v>
      </c>
      <c r="G36" s="13">
        <v>32349.873803388</v>
      </c>
      <c r="H36" s="23">
        <v>32204.430999999942</v>
      </c>
      <c r="I36" s="13">
        <f t="shared" si="28"/>
        <v>100</v>
      </c>
      <c r="J36" s="13">
        <f t="shared" si="29"/>
        <v>100.44875536958055</v>
      </c>
      <c r="K36" s="13">
        <f t="shared" si="30"/>
        <v>96.023348539809433</v>
      </c>
      <c r="L36" s="13">
        <f t="shared" si="31"/>
        <v>94.630977356200518</v>
      </c>
      <c r="M36" s="13">
        <f t="shared" si="32"/>
        <v>87.833471136206143</v>
      </c>
      <c r="N36" s="13">
        <f t="shared" si="33"/>
        <v>86.738922721310431</v>
      </c>
      <c r="O36" s="23">
        <f t="shared" si="33"/>
        <v>86.348950501940408</v>
      </c>
      <c r="P36" s="13">
        <v>714906.53683048626</v>
      </c>
      <c r="Q36" s="13">
        <v>504060.14626519935</v>
      </c>
      <c r="R36" s="13">
        <v>463420.68688788469</v>
      </c>
      <c r="S36" s="13">
        <v>583151.73441201262</v>
      </c>
      <c r="T36" s="13">
        <v>572856.08449876367</v>
      </c>
      <c r="U36" s="13">
        <v>561932.82130445866</v>
      </c>
      <c r="V36" s="23">
        <v>552163.17432218639</v>
      </c>
      <c r="W36" s="13">
        <f t="shared" si="6"/>
        <v>100</v>
      </c>
      <c r="X36" s="13">
        <f t="shared" si="7"/>
        <v>70.507139087010287</v>
      </c>
      <c r="Y36" s="13">
        <f t="shared" si="8"/>
        <v>64.8225555388603</v>
      </c>
      <c r="Z36" s="13">
        <f t="shared" si="9"/>
        <v>81.570345824140304</v>
      </c>
      <c r="AA36" s="13">
        <f t="shared" si="10"/>
        <v>80.130206535598575</v>
      </c>
      <c r="AB36" s="13">
        <f t="shared" si="11"/>
        <v>78.602277690139559</v>
      </c>
      <c r="AC36" s="23">
        <f t="shared" si="11"/>
        <v>77.235714862838293</v>
      </c>
      <c r="AD36" s="13">
        <v>9.2162486996487907</v>
      </c>
      <c r="AE36" s="13">
        <v>7.2433088458102466</v>
      </c>
      <c r="AF36" s="13">
        <v>7.3594374917165997</v>
      </c>
      <c r="AG36" s="13">
        <v>8.5615741607861207</v>
      </c>
      <c r="AH36" s="13">
        <v>9.3314734241673261</v>
      </c>
      <c r="AI36" s="13">
        <v>7.6974065925831319</v>
      </c>
      <c r="AJ36" s="23">
        <v>7.8420407155897811</v>
      </c>
      <c r="AK36" s="17">
        <v>27.511676996896227</v>
      </c>
      <c r="AL36" s="17">
        <v>27.291852766201135</v>
      </c>
      <c r="AM36" s="17">
        <v>27.298370787827988</v>
      </c>
      <c r="AN36" s="17">
        <v>29.266397677702241</v>
      </c>
      <c r="AO36" s="17">
        <v>27.051419237377974</v>
      </c>
      <c r="AP36" s="17">
        <v>26.53009526472335</v>
      </c>
      <c r="AQ36" s="18">
        <v>28.012432493564265</v>
      </c>
      <c r="AR36" s="42">
        <f t="shared" si="12"/>
        <v>737.66384359666802</v>
      </c>
      <c r="AS36" s="17">
        <f t="shared" si="13"/>
        <v>728.50056504368968</v>
      </c>
      <c r="AT36" s="17">
        <f t="shared" si="14"/>
        <v>762.2568132557592</v>
      </c>
      <c r="AU36" s="17">
        <f t="shared" si="15"/>
        <v>829.23452816750273</v>
      </c>
      <c r="AV36" s="17">
        <f t="shared" si="16"/>
        <v>825.79346559027204</v>
      </c>
      <c r="AW36" s="17">
        <f t="shared" si="17"/>
        <v>820.09887970397131</v>
      </c>
      <c r="AX36" s="18">
        <f t="shared" si="18"/>
        <v>869.83162328079379</v>
      </c>
      <c r="AY36" s="13">
        <f t="shared" si="34"/>
        <v>100</v>
      </c>
      <c r="AZ36" s="13">
        <f t="shared" si="35"/>
        <v>98.757797520846296</v>
      </c>
      <c r="BA36" s="13">
        <f t="shared" si="36"/>
        <v>103.33389929201108</v>
      </c>
      <c r="BB36" s="13">
        <f t="shared" si="37"/>
        <v>112.41360619280979</v>
      </c>
      <c r="BC36" s="13">
        <f t="shared" si="38"/>
        <v>111.94712507039868</v>
      </c>
      <c r="BD36" s="13">
        <f t="shared" si="39"/>
        <v>111.17514933433232</v>
      </c>
      <c r="BE36" s="23">
        <f t="shared" si="39"/>
        <v>117.91707440067934</v>
      </c>
      <c r="BF36" s="21">
        <f t="shared" si="40"/>
        <v>0.33499407181498009</v>
      </c>
      <c r="BG36" s="21">
        <f t="shared" si="41"/>
        <v>0.26540187314730529</v>
      </c>
      <c r="BH36" s="21">
        <f t="shared" si="42"/>
        <v>0.26959255366983598</v>
      </c>
      <c r="BI36" s="21">
        <f t="shared" si="43"/>
        <v>0.29253939125241551</v>
      </c>
      <c r="BJ36" s="21">
        <f t="shared" si="44"/>
        <v>0.3449531923734957</v>
      </c>
      <c r="BK36" s="21">
        <f t="shared" si="45"/>
        <v>0.29013867141360222</v>
      </c>
      <c r="BL36" s="21">
        <f t="shared" si="46"/>
        <v>0.27994858059511452</v>
      </c>
      <c r="BM36" s="42">
        <f t="shared" si="21"/>
        <v>18.295428297247437</v>
      </c>
      <c r="BN36" s="17">
        <f t="shared" si="22"/>
        <v>17.811298480390889</v>
      </c>
      <c r="BO36" s="17">
        <f t="shared" si="23"/>
        <v>17.604893406111387</v>
      </c>
      <c r="BP36" s="17">
        <f t="shared" si="24"/>
        <v>20.240667496916121</v>
      </c>
      <c r="BQ36" s="17">
        <f t="shared" si="25"/>
        <v>17.300955883210651</v>
      </c>
      <c r="BR36" s="17">
        <f t="shared" si="26"/>
        <v>18.819639338785979</v>
      </c>
      <c r="BS36" s="18">
        <f t="shared" si="27"/>
        <v>20.170391777974483</v>
      </c>
      <c r="BT36" s="17"/>
      <c r="BU36" s="17">
        <v>2.2372454400000001</v>
      </c>
      <c r="BV36" s="17">
        <v>2.3340398899999997</v>
      </c>
      <c r="BW36" s="17">
        <v>0.46415601999999995</v>
      </c>
      <c r="BX36" s="17">
        <v>0.41898993000000001</v>
      </c>
      <c r="BY36" s="17">
        <v>1.3049333354239018E-2</v>
      </c>
      <c r="BZ36" s="18">
        <v>0</v>
      </c>
    </row>
    <row r="37" spans="1:78" x14ac:dyDescent="0.25">
      <c r="A37" s="3" t="s">
        <v>123</v>
      </c>
      <c r="B37" s="13">
        <v>26676.489606000006</v>
      </c>
      <c r="C37" s="13">
        <v>28879.61666399999</v>
      </c>
      <c r="D37" s="13">
        <v>29097.758330639994</v>
      </c>
      <c r="E37" s="13">
        <v>29382.962500080001</v>
      </c>
      <c r="F37" s="13">
        <v>29330.575001239995</v>
      </c>
      <c r="G37" s="13">
        <v>28437.986453196001</v>
      </c>
      <c r="H37" s="23">
        <v>28065.331999999838</v>
      </c>
      <c r="I37" s="13">
        <f t="shared" si="28"/>
        <v>100</v>
      </c>
      <c r="J37" s="13">
        <f t="shared" si="29"/>
        <v>108.25868429669421</v>
      </c>
      <c r="K37" s="13">
        <f t="shared" si="30"/>
        <v>109.07641432737611</v>
      </c>
      <c r="L37" s="13">
        <f t="shared" si="31"/>
        <v>110.14553614082439</v>
      </c>
      <c r="M37" s="13">
        <f t="shared" si="32"/>
        <v>109.94915535904333</v>
      </c>
      <c r="N37" s="13">
        <f t="shared" si="33"/>
        <v>106.60318082780952</v>
      </c>
      <c r="O37" s="23">
        <f t="shared" si="33"/>
        <v>105.20624120531757</v>
      </c>
      <c r="P37" s="13">
        <v>646803.22819751082</v>
      </c>
      <c r="Q37" s="13">
        <v>534277.9823202173</v>
      </c>
      <c r="R37" s="13">
        <v>503227.03248385905</v>
      </c>
      <c r="S37" s="13">
        <v>613274.47751100943</v>
      </c>
      <c r="T37" s="13">
        <v>625564.01320019923</v>
      </c>
      <c r="U37" s="13">
        <v>646783.38644484186</v>
      </c>
      <c r="V37" s="23">
        <v>687169.32940454769</v>
      </c>
      <c r="W37" s="13">
        <f t="shared" si="6"/>
        <v>100</v>
      </c>
      <c r="X37" s="13">
        <f t="shared" si="7"/>
        <v>82.602862668005685</v>
      </c>
      <c r="Y37" s="13">
        <f t="shared" si="8"/>
        <v>77.802183190432586</v>
      </c>
      <c r="Z37" s="13">
        <f t="shared" si="9"/>
        <v>94.816236341315403</v>
      </c>
      <c r="AA37" s="13">
        <f t="shared" si="10"/>
        <v>96.716278758147155</v>
      </c>
      <c r="AB37" s="13">
        <f t="shared" si="11"/>
        <v>99.996932335553694</v>
      </c>
      <c r="AC37" s="23">
        <f t="shared" si="11"/>
        <v>106.24086266846994</v>
      </c>
      <c r="AD37" s="13">
        <v>5.6878204639382473</v>
      </c>
      <c r="AE37" s="13">
        <v>4.8591762922723252</v>
      </c>
      <c r="AF37" s="13">
        <v>5.0016410822754009</v>
      </c>
      <c r="AG37" s="13">
        <v>5.7152817695107316</v>
      </c>
      <c r="AH37" s="13">
        <v>6.5118533182815534</v>
      </c>
      <c r="AI37" s="13">
        <v>6.5858148107019288</v>
      </c>
      <c r="AJ37" s="23">
        <v>6.9989027403815065</v>
      </c>
      <c r="AK37" s="17">
        <v>17.694338095155242</v>
      </c>
      <c r="AL37" s="17">
        <v>18.849020311113499</v>
      </c>
      <c r="AM37" s="17">
        <v>19.608811139810431</v>
      </c>
      <c r="AN37" s="17">
        <v>21.550669662688964</v>
      </c>
      <c r="AO37" s="17">
        <v>22.177033335974549</v>
      </c>
      <c r="AP37" s="17">
        <v>18.680311317209043</v>
      </c>
      <c r="AQ37" s="18">
        <v>18.375486859313597</v>
      </c>
      <c r="AR37" s="42">
        <f t="shared" si="12"/>
        <v>663.29334768152853</v>
      </c>
      <c r="AS37" s="17">
        <f t="shared" si="13"/>
        <v>652.67557150818504</v>
      </c>
      <c r="AT37" s="17">
        <f t="shared" si="14"/>
        <v>673.89421951320276</v>
      </c>
      <c r="AU37" s="17">
        <f t="shared" si="15"/>
        <v>733.44100897349233</v>
      </c>
      <c r="AV37" s="17">
        <f t="shared" si="16"/>
        <v>756.10632710190578</v>
      </c>
      <c r="AW37" s="17">
        <f t="shared" si="17"/>
        <v>656.878831697652</v>
      </c>
      <c r="AX37" s="18">
        <f t="shared" si="18"/>
        <v>654.73969306023889</v>
      </c>
      <c r="AY37" s="13">
        <f t="shared" si="34"/>
        <v>100</v>
      </c>
      <c r="AZ37" s="13">
        <f t="shared" si="35"/>
        <v>98.399233731130153</v>
      </c>
      <c r="BA37" s="13">
        <f t="shared" si="36"/>
        <v>101.59821772202729</v>
      </c>
      <c r="BB37" s="13">
        <f t="shared" si="37"/>
        <v>110.57566181496581</v>
      </c>
      <c r="BC37" s="13">
        <f t="shared" si="38"/>
        <v>113.99274992652877</v>
      </c>
      <c r="BD37" s="13">
        <f t="shared" si="39"/>
        <v>99.03292924521287</v>
      </c>
      <c r="BE37" s="23">
        <f t="shared" si="39"/>
        <v>98.710426593122321</v>
      </c>
      <c r="BF37" s="21">
        <f t="shared" si="40"/>
        <v>0.32144861442969647</v>
      </c>
      <c r="BG37" s="21">
        <f t="shared" si="41"/>
        <v>0.25779463399523872</v>
      </c>
      <c r="BH37" s="21">
        <f t="shared" si="42"/>
        <v>0.25507110281259787</v>
      </c>
      <c r="BI37" s="21">
        <f t="shared" si="43"/>
        <v>0.26520204981869749</v>
      </c>
      <c r="BJ37" s="21">
        <f t="shared" si="44"/>
        <v>0.29363049690322324</v>
      </c>
      <c r="BK37" s="21">
        <f t="shared" si="45"/>
        <v>0.35255380378135431</v>
      </c>
      <c r="BL37" s="21">
        <f t="shared" si="46"/>
        <v>0.38088257437566175</v>
      </c>
      <c r="BM37" s="42">
        <f t="shared" si="21"/>
        <v>12.006517631216994</v>
      </c>
      <c r="BN37" s="17">
        <f t="shared" si="22"/>
        <v>12.914888178841174</v>
      </c>
      <c r="BO37" s="17">
        <f t="shared" si="23"/>
        <v>12.677305127535028</v>
      </c>
      <c r="BP37" s="17">
        <f t="shared" si="24"/>
        <v>15.262157933178232</v>
      </c>
      <c r="BQ37" s="17">
        <f t="shared" si="25"/>
        <v>15.285931257692997</v>
      </c>
      <c r="BR37" s="17">
        <f t="shared" si="26"/>
        <v>12.083798528028803</v>
      </c>
      <c r="BS37" s="18">
        <f t="shared" si="27"/>
        <v>11.37658411893209</v>
      </c>
      <c r="BT37" s="17"/>
      <c r="BU37" s="17">
        <v>1.0749558399999999</v>
      </c>
      <c r="BV37" s="17">
        <v>1.9298649300000001</v>
      </c>
      <c r="BW37" s="17">
        <v>0.57322996000000004</v>
      </c>
      <c r="BX37" s="17">
        <v>0.37924876000000002</v>
      </c>
      <c r="BY37" s="17">
        <v>1.0697978478309689E-2</v>
      </c>
      <c r="BZ37" s="18">
        <v>0</v>
      </c>
    </row>
    <row r="38" spans="1:78" x14ac:dyDescent="0.25">
      <c r="A38" s="3" t="s">
        <v>124</v>
      </c>
      <c r="B38" s="13">
        <v>86897.305259519693</v>
      </c>
      <c r="C38" s="13">
        <v>97290.288670860245</v>
      </c>
      <c r="D38" s="13">
        <v>96426.887774592004</v>
      </c>
      <c r="E38" s="13">
        <v>95682.416222736007</v>
      </c>
      <c r="F38" s="13">
        <v>95673.571367664001</v>
      </c>
      <c r="G38" s="13">
        <v>95187.415211279993</v>
      </c>
      <c r="H38" s="23">
        <v>94803.377000000051</v>
      </c>
      <c r="I38" s="13">
        <f t="shared" si="28"/>
        <v>100</v>
      </c>
      <c r="J38" s="13">
        <f t="shared" si="29"/>
        <v>111.96007560913633</v>
      </c>
      <c r="K38" s="13">
        <f t="shared" si="30"/>
        <v>110.96648795565307</v>
      </c>
      <c r="L38" s="13">
        <f t="shared" si="31"/>
        <v>110.1097622497953</v>
      </c>
      <c r="M38" s="13">
        <f t="shared" si="32"/>
        <v>110.09958373500064</v>
      </c>
      <c r="N38" s="13">
        <f t="shared" si="33"/>
        <v>109.54012316837883</v>
      </c>
      <c r="O38" s="23">
        <f t="shared" si="33"/>
        <v>109.09817826556163</v>
      </c>
      <c r="P38" s="13">
        <v>3067120.6634951476</v>
      </c>
      <c r="Q38" s="13">
        <v>2252738.5972664189</v>
      </c>
      <c r="R38" s="13">
        <v>2068922.0150908339</v>
      </c>
      <c r="S38" s="13">
        <v>2604419.0055746064</v>
      </c>
      <c r="T38" s="13">
        <v>2720835.5257498883</v>
      </c>
      <c r="U38" s="13">
        <v>2752022.4439110048</v>
      </c>
      <c r="V38" s="23">
        <v>2773999.9334546947</v>
      </c>
      <c r="W38" s="13">
        <f t="shared" si="6"/>
        <v>100</v>
      </c>
      <c r="X38" s="13">
        <f t="shared" si="7"/>
        <v>73.447993881639562</v>
      </c>
      <c r="Y38" s="13">
        <f t="shared" si="8"/>
        <v>67.454862135524422</v>
      </c>
      <c r="Z38" s="13">
        <f t="shared" si="9"/>
        <v>84.914135807318786</v>
      </c>
      <c r="AA38" s="13">
        <f t="shared" si="10"/>
        <v>88.709764768411532</v>
      </c>
      <c r="AB38" s="13">
        <f t="shared" si="11"/>
        <v>89.726578959398623</v>
      </c>
      <c r="AC38" s="23">
        <f t="shared" si="11"/>
        <v>90.443130147138518</v>
      </c>
      <c r="AD38" s="13">
        <v>27.003633478978379</v>
      </c>
      <c r="AE38" s="13">
        <v>22.489967163061969</v>
      </c>
      <c r="AF38" s="13">
        <v>22.983023960022567</v>
      </c>
      <c r="AG38" s="13">
        <v>27.724258871964349</v>
      </c>
      <c r="AH38" s="13">
        <v>30.777564277884306</v>
      </c>
      <c r="AI38" s="13">
        <v>34.216767856472828</v>
      </c>
      <c r="AJ38" s="23">
        <v>35.465251798771391</v>
      </c>
      <c r="AK38" s="17">
        <v>66.645693643604503</v>
      </c>
      <c r="AL38" s="17">
        <v>74.261146974368685</v>
      </c>
      <c r="AM38" s="17">
        <v>74.769349658807329</v>
      </c>
      <c r="AN38" s="17">
        <v>79.370732230551639</v>
      </c>
      <c r="AO38" s="17">
        <v>81.223592038069441</v>
      </c>
      <c r="AP38" s="17">
        <v>71.21143646385535</v>
      </c>
      <c r="AQ38" s="18">
        <v>75.453766598012422</v>
      </c>
      <c r="AR38" s="42">
        <f t="shared" si="12"/>
        <v>766.94776028516026</v>
      </c>
      <c r="AS38" s="17">
        <f t="shared" si="13"/>
        <v>763.29454860185763</v>
      </c>
      <c r="AT38" s="17">
        <f t="shared" si="14"/>
        <v>775.39938687628853</v>
      </c>
      <c r="AU38" s="17">
        <f t="shared" si="15"/>
        <v>829.52265801677788</v>
      </c>
      <c r="AV38" s="17">
        <f t="shared" si="16"/>
        <v>848.96582072739056</v>
      </c>
      <c r="AW38" s="17">
        <f t="shared" si="17"/>
        <v>748.11818669298827</v>
      </c>
      <c r="AX38" s="18">
        <f t="shared" si="18"/>
        <v>795.89745624791806</v>
      </c>
      <c r="AY38" s="13">
        <f t="shared" si="34"/>
        <v>100</v>
      </c>
      <c r="AZ38" s="13">
        <f t="shared" si="35"/>
        <v>99.523668772180216</v>
      </c>
      <c r="BA38" s="13">
        <f t="shared" si="36"/>
        <v>101.10198204216489</v>
      </c>
      <c r="BB38" s="13">
        <f t="shared" si="37"/>
        <v>108.15895175290055</v>
      </c>
      <c r="BC38" s="13">
        <f t="shared" si="38"/>
        <v>110.69408696255074</v>
      </c>
      <c r="BD38" s="13">
        <f t="shared" si="39"/>
        <v>97.544868820638982</v>
      </c>
      <c r="BE38" s="23">
        <f t="shared" si="39"/>
        <v>103.77466334238905</v>
      </c>
      <c r="BF38" s="21">
        <f t="shared" si="40"/>
        <v>0.4051819705468655</v>
      </c>
      <c r="BG38" s="21">
        <f t="shared" si="41"/>
        <v>0.30284971454621357</v>
      </c>
      <c r="BH38" s="21">
        <f t="shared" si="42"/>
        <v>0.30738563415223341</v>
      </c>
      <c r="BI38" s="21">
        <f t="shared" si="43"/>
        <v>0.34930078245256047</v>
      </c>
      <c r="BJ38" s="21">
        <f t="shared" si="44"/>
        <v>0.3789239493798659</v>
      </c>
      <c r="BK38" s="21">
        <f t="shared" si="45"/>
        <v>0.48049540292366055</v>
      </c>
      <c r="BL38" s="21">
        <f t="shared" si="46"/>
        <v>0.47002626108403717</v>
      </c>
      <c r="BM38" s="42">
        <f t="shared" si="21"/>
        <v>39.642060164626123</v>
      </c>
      <c r="BN38" s="17">
        <f t="shared" si="22"/>
        <v>42.274818061306718</v>
      </c>
      <c r="BO38" s="17">
        <f t="shared" si="23"/>
        <v>42.480783408784767</v>
      </c>
      <c r="BP38" s="17">
        <f t="shared" si="24"/>
        <v>49.648660318587289</v>
      </c>
      <c r="BQ38" s="17">
        <f t="shared" si="25"/>
        <v>49.073973850185133</v>
      </c>
      <c r="BR38" s="17">
        <f t="shared" si="26"/>
        <v>36.955487161136297</v>
      </c>
      <c r="BS38" s="18">
        <f t="shared" si="27"/>
        <v>39.988514799241031</v>
      </c>
      <c r="BT38" s="17"/>
      <c r="BU38" s="17">
        <v>9.4963617500000002</v>
      </c>
      <c r="BV38" s="17">
        <v>9.30554229</v>
      </c>
      <c r="BW38" s="17">
        <v>1.99781304</v>
      </c>
      <c r="BX38" s="17">
        <v>1.3720539100000002</v>
      </c>
      <c r="BY38" s="17">
        <v>3.9181446246226895E-2</v>
      </c>
      <c r="BZ38" s="18">
        <v>0</v>
      </c>
    </row>
    <row r="39" spans="1:78" x14ac:dyDescent="0.25">
      <c r="A39" s="3" t="s">
        <v>125</v>
      </c>
      <c r="B39" s="13">
        <v>102230.52167957994</v>
      </c>
      <c r="C39" s="13">
        <v>103957.50660919193</v>
      </c>
      <c r="D39" s="13">
        <v>104336.61553915164</v>
      </c>
      <c r="E39" s="13">
        <v>105046.58463529215</v>
      </c>
      <c r="F39" s="13">
        <v>104621.61537720398</v>
      </c>
      <c r="G39" s="13">
        <v>100869.045618312</v>
      </c>
      <c r="H39" s="23">
        <v>97166.852999999785</v>
      </c>
      <c r="I39" s="13">
        <f t="shared" si="28"/>
        <v>100</v>
      </c>
      <c r="J39" s="13">
        <f t="shared" si="29"/>
        <v>101.68930462374522</v>
      </c>
      <c r="K39" s="13">
        <f t="shared" si="30"/>
        <v>102.06014194681781</v>
      </c>
      <c r="L39" s="13">
        <f t="shared" si="31"/>
        <v>102.75462054721638</v>
      </c>
      <c r="M39" s="13">
        <f t="shared" si="32"/>
        <v>102.33892350184657</v>
      </c>
      <c r="N39" s="13">
        <f t="shared" si="33"/>
        <v>98.668229371326902</v>
      </c>
      <c r="O39" s="23">
        <f t="shared" si="33"/>
        <v>95.046813225260493</v>
      </c>
      <c r="P39" s="13">
        <v>3857010.246266257</v>
      </c>
      <c r="Q39" s="13">
        <v>2646452.0218137838</v>
      </c>
      <c r="R39" s="13">
        <v>2536398.5581377605</v>
      </c>
      <c r="S39" s="13">
        <v>3312988.5480458369</v>
      </c>
      <c r="T39" s="13">
        <v>3485357.8281660564</v>
      </c>
      <c r="U39" s="13">
        <v>3520714.1008503223</v>
      </c>
      <c r="V39" s="23">
        <v>3443330.5992107601</v>
      </c>
      <c r="W39" s="13">
        <f t="shared" si="6"/>
        <v>100</v>
      </c>
      <c r="X39" s="13">
        <f t="shared" si="7"/>
        <v>68.614078077071667</v>
      </c>
      <c r="Y39" s="13">
        <f t="shared" si="8"/>
        <v>65.760742030516965</v>
      </c>
      <c r="Z39" s="13">
        <f t="shared" si="9"/>
        <v>85.895248820065873</v>
      </c>
      <c r="AA39" s="13">
        <f t="shared" si="10"/>
        <v>90.364235654806066</v>
      </c>
      <c r="AB39" s="13">
        <f t="shared" si="11"/>
        <v>91.280911277290926</v>
      </c>
      <c r="AC39" s="23">
        <f t="shared" si="11"/>
        <v>89.274603367829897</v>
      </c>
      <c r="AD39" s="13">
        <v>29.35989957566251</v>
      </c>
      <c r="AE39" s="13">
        <v>21.455350554992261</v>
      </c>
      <c r="AF39" s="13">
        <v>23.212717834654832</v>
      </c>
      <c r="AG39" s="13">
        <v>28.975539588571596</v>
      </c>
      <c r="AH39" s="13">
        <v>32.550603378076524</v>
      </c>
      <c r="AI39" s="13">
        <v>36.074368088991918</v>
      </c>
      <c r="AJ39" s="23">
        <v>36.404289196112686</v>
      </c>
      <c r="AK39" s="17">
        <v>76.800603628656944</v>
      </c>
      <c r="AL39" s="17">
        <v>78.971123751385804</v>
      </c>
      <c r="AM39" s="17">
        <v>80.897310008322989</v>
      </c>
      <c r="AN39" s="17">
        <v>89.147055518856945</v>
      </c>
      <c r="AO39" s="17">
        <v>92.837980756921368</v>
      </c>
      <c r="AP39" s="17">
        <v>88.692891218214172</v>
      </c>
      <c r="AQ39" s="18">
        <v>89.210318804321332</v>
      </c>
      <c r="AR39" s="42">
        <f t="shared" si="12"/>
        <v>751.24925870350421</v>
      </c>
      <c r="AS39" s="17">
        <f t="shared" si="13"/>
        <v>759.64811322632454</v>
      </c>
      <c r="AT39" s="17">
        <f t="shared" si="14"/>
        <v>775.34918676719769</v>
      </c>
      <c r="AU39" s="17">
        <f t="shared" si="15"/>
        <v>848.64306467805432</v>
      </c>
      <c r="AV39" s="17">
        <f t="shared" si="16"/>
        <v>887.36902429007841</v>
      </c>
      <c r="AW39" s="17">
        <f t="shared" si="17"/>
        <v>879.28750266784186</v>
      </c>
      <c r="AX39" s="18">
        <f t="shared" si="18"/>
        <v>918.11472791365929</v>
      </c>
      <c r="AY39" s="13">
        <f t="shared" si="34"/>
        <v>100</v>
      </c>
      <c r="AZ39" s="13">
        <f t="shared" si="35"/>
        <v>101.1179850662768</v>
      </c>
      <c r="BA39" s="13">
        <f t="shared" si="36"/>
        <v>103.20798027878055</v>
      </c>
      <c r="BB39" s="13">
        <f t="shared" si="37"/>
        <v>112.96424653285261</v>
      </c>
      <c r="BC39" s="13">
        <f t="shared" si="38"/>
        <v>118.11912145131269</v>
      </c>
      <c r="BD39" s="13">
        <f t="shared" si="39"/>
        <v>117.04337707904089</v>
      </c>
      <c r="BE39" s="23">
        <f t="shared" si="39"/>
        <v>122.21173162927698</v>
      </c>
      <c r="BF39" s="21">
        <f t="shared" si="40"/>
        <v>0.38228735437578415</v>
      </c>
      <c r="BG39" s="21">
        <f t="shared" si="41"/>
        <v>0.27168602314103146</v>
      </c>
      <c r="BH39" s="21">
        <f t="shared" si="42"/>
        <v>0.28694054020172771</v>
      </c>
      <c r="BI39" s="21">
        <f t="shared" si="43"/>
        <v>0.32503080914929949</v>
      </c>
      <c r="BJ39" s="21">
        <f t="shared" si="44"/>
        <v>0.35061731322338968</v>
      </c>
      <c r="BK39" s="21">
        <f t="shared" si="45"/>
        <v>0.40673347766098761</v>
      </c>
      <c r="BL39" s="21">
        <f t="shared" si="46"/>
        <v>0.40807262751704537</v>
      </c>
      <c r="BM39" s="42">
        <f t="shared" si="21"/>
        <v>47.440704052994434</v>
      </c>
      <c r="BN39" s="17">
        <f t="shared" si="22"/>
        <v>48.859729866393536</v>
      </c>
      <c r="BO39" s="17">
        <f t="shared" si="23"/>
        <v>49.195661183668157</v>
      </c>
      <c r="BP39" s="17">
        <f t="shared" si="24"/>
        <v>59.179599050285354</v>
      </c>
      <c r="BQ39" s="17">
        <f t="shared" si="25"/>
        <v>58.925355328844844</v>
      </c>
      <c r="BR39" s="17">
        <f t="shared" si="26"/>
        <v>52.573739018333256</v>
      </c>
      <c r="BS39" s="18">
        <f t="shared" si="27"/>
        <v>52.806029608208647</v>
      </c>
      <c r="BT39" s="17"/>
      <c r="BU39" s="17">
        <v>8.656043330000001</v>
      </c>
      <c r="BV39" s="17">
        <v>8.4889309900000001</v>
      </c>
      <c r="BW39" s="17">
        <v>0.99191688</v>
      </c>
      <c r="BX39" s="17">
        <v>1.36202205</v>
      </c>
      <c r="BY39" s="17">
        <v>4.4784110888997371E-2</v>
      </c>
      <c r="BZ39" s="18">
        <v>0</v>
      </c>
    </row>
    <row r="40" spans="1:78" x14ac:dyDescent="0.25">
      <c r="A40" s="3" t="s">
        <v>126</v>
      </c>
      <c r="B40" s="13">
        <v>7240.6320986280007</v>
      </c>
      <c r="C40" s="13">
        <v>11827.75445004</v>
      </c>
      <c r="D40" s="13">
        <v>11905.217600915992</v>
      </c>
      <c r="E40" s="13">
        <v>12161.475245676</v>
      </c>
      <c r="F40" s="13">
        <v>12272.104783439998</v>
      </c>
      <c r="G40" s="13">
        <v>12267.753946919996</v>
      </c>
      <c r="H40" s="23">
        <v>12206.551999999861</v>
      </c>
      <c r="I40" s="13">
        <f t="shared" si="28"/>
        <v>100</v>
      </c>
      <c r="J40" s="13">
        <f t="shared" si="29"/>
        <v>163.35251244544239</v>
      </c>
      <c r="K40" s="13">
        <f t="shared" si="30"/>
        <v>164.42235206470255</v>
      </c>
      <c r="L40" s="13">
        <f t="shared" si="31"/>
        <v>167.96151330462473</v>
      </c>
      <c r="M40" s="13">
        <f t="shared" si="32"/>
        <v>169.48941219876909</v>
      </c>
      <c r="N40" s="13">
        <f t="shared" si="33"/>
        <v>169.42932301786976</v>
      </c>
      <c r="O40" s="23">
        <f t="shared" si="33"/>
        <v>168.58406605568089</v>
      </c>
      <c r="P40" s="13">
        <v>151008.772491838</v>
      </c>
      <c r="Q40" s="13">
        <v>180992.31606916199</v>
      </c>
      <c r="R40" s="13">
        <v>170472.65187938444</v>
      </c>
      <c r="S40" s="13">
        <v>220992.52531351201</v>
      </c>
      <c r="T40" s="13">
        <v>219591.57900200918</v>
      </c>
      <c r="U40" s="13">
        <v>221221.33667999756</v>
      </c>
      <c r="V40" s="23">
        <v>221370.00526328935</v>
      </c>
      <c r="W40" s="13">
        <f t="shared" si="6"/>
        <v>100</v>
      </c>
      <c r="X40" s="13">
        <f t="shared" si="7"/>
        <v>119.85549785125535</v>
      </c>
      <c r="Y40" s="13">
        <f t="shared" si="8"/>
        <v>112.88923753657984</v>
      </c>
      <c r="Z40" s="13">
        <f t="shared" si="9"/>
        <v>146.3441637640334</v>
      </c>
      <c r="AA40" s="13">
        <f t="shared" si="10"/>
        <v>145.41643864688595</v>
      </c>
      <c r="AB40" s="13">
        <f t="shared" si="11"/>
        <v>146.4956856675029</v>
      </c>
      <c r="AC40" s="23">
        <f t="shared" si="11"/>
        <v>146.59413596336225</v>
      </c>
      <c r="AD40" s="13">
        <v>1.5326262501132786</v>
      </c>
      <c r="AE40" s="13">
        <v>2.2273964772060122</v>
      </c>
      <c r="AF40" s="13">
        <v>2.3233107954500327</v>
      </c>
      <c r="AG40" s="13">
        <v>2.7859099888200705</v>
      </c>
      <c r="AH40" s="13">
        <v>3.0061577718157175</v>
      </c>
      <c r="AI40" s="13">
        <v>3.273975161042574</v>
      </c>
      <c r="AJ40" s="23">
        <v>3.3681252111409399</v>
      </c>
      <c r="AK40" s="17">
        <v>5.0447463969977795</v>
      </c>
      <c r="AL40" s="17">
        <v>7.6082193394975706</v>
      </c>
      <c r="AM40" s="17">
        <v>7.8182090738375516</v>
      </c>
      <c r="AN40" s="17">
        <v>8.527617841715081</v>
      </c>
      <c r="AO40" s="17">
        <v>8.9062452581184193</v>
      </c>
      <c r="AP40" s="17">
        <v>8.5289366976710124</v>
      </c>
      <c r="AQ40" s="18">
        <v>8.9408533864990183</v>
      </c>
      <c r="AR40" s="42">
        <f t="shared" si="12"/>
        <v>696.7273475963085</v>
      </c>
      <c r="AS40" s="17">
        <f t="shared" si="13"/>
        <v>643.25137722755483</v>
      </c>
      <c r="AT40" s="17">
        <f t="shared" si="14"/>
        <v>656.70442455718035</v>
      </c>
      <c r="AU40" s="17">
        <f t="shared" si="15"/>
        <v>701.19929280348344</v>
      </c>
      <c r="AV40" s="17">
        <f t="shared" si="16"/>
        <v>725.73086811779217</v>
      </c>
      <c r="AW40" s="17">
        <f t="shared" si="17"/>
        <v>695.23212925315727</v>
      </c>
      <c r="AX40" s="18">
        <f t="shared" si="18"/>
        <v>732.46346605487929</v>
      </c>
      <c r="AY40" s="13">
        <f t="shared" si="34"/>
        <v>100</v>
      </c>
      <c r="AZ40" s="13">
        <f t="shared" si="35"/>
        <v>92.324691925292669</v>
      </c>
      <c r="BA40" s="13">
        <f t="shared" si="36"/>
        <v>94.255583166470174</v>
      </c>
      <c r="BB40" s="13">
        <f t="shared" si="37"/>
        <v>100.64185010429159</v>
      </c>
      <c r="BC40" s="13">
        <f t="shared" si="38"/>
        <v>104.16282217449123</v>
      </c>
      <c r="BD40" s="13">
        <f t="shared" si="39"/>
        <v>99.7853940500097</v>
      </c>
      <c r="BE40" s="23">
        <f t="shared" si="39"/>
        <v>105.12913962425323</v>
      </c>
      <c r="BF40" s="21">
        <f t="shared" si="40"/>
        <v>0.30380640165090805</v>
      </c>
      <c r="BG40" s="21">
        <f t="shared" si="41"/>
        <v>0.29276186421737738</v>
      </c>
      <c r="BH40" s="21">
        <f t="shared" si="42"/>
        <v>0.29716662390426973</v>
      </c>
      <c r="BI40" s="21">
        <f t="shared" si="43"/>
        <v>0.32669264037514212</v>
      </c>
      <c r="BJ40" s="21">
        <f t="shared" si="44"/>
        <v>0.33753368391415872</v>
      </c>
      <c r="BK40" s="21">
        <f t="shared" si="45"/>
        <v>0.38386674413196137</v>
      </c>
      <c r="BL40" s="21">
        <f t="shared" si="46"/>
        <v>0.37671182666152647</v>
      </c>
      <c r="BM40" s="42">
        <f t="shared" si="21"/>
        <v>3.5121201468845009</v>
      </c>
      <c r="BN40" s="17">
        <f t="shared" si="22"/>
        <v>4.5107365622915587</v>
      </c>
      <c r="BO40" s="17">
        <f t="shared" si="23"/>
        <v>4.7679520683875189</v>
      </c>
      <c r="BP40" s="17">
        <f t="shared" si="24"/>
        <v>5.6176781728950109</v>
      </c>
      <c r="BQ40" s="17">
        <f t="shared" si="25"/>
        <v>5.7655514863027024</v>
      </c>
      <c r="BR40" s="17">
        <f t="shared" si="26"/>
        <v>5.2506652532324374</v>
      </c>
      <c r="BS40" s="18">
        <f t="shared" si="27"/>
        <v>5.572728175358078</v>
      </c>
      <c r="BT40" s="17"/>
      <c r="BU40" s="17">
        <v>0.87008630000000009</v>
      </c>
      <c r="BV40" s="17">
        <v>0.72694620999999993</v>
      </c>
      <c r="BW40" s="17">
        <v>0.12402968</v>
      </c>
      <c r="BX40" s="17">
        <v>0.13453599999999999</v>
      </c>
      <c r="BY40" s="17">
        <v>4.2962833960005749E-3</v>
      </c>
      <c r="BZ40" s="18">
        <v>0</v>
      </c>
    </row>
    <row r="41" spans="1:78" x14ac:dyDescent="0.25">
      <c r="A41" s="3" t="s">
        <v>127</v>
      </c>
      <c r="B41" s="13">
        <v>22878.039351756019</v>
      </c>
      <c r="C41" s="13">
        <v>22491.207999924016</v>
      </c>
      <c r="D41" s="13">
        <v>22449.360221795974</v>
      </c>
      <c r="E41" s="13">
        <v>22529.429113115984</v>
      </c>
      <c r="F41" s="13">
        <v>21927.024666035999</v>
      </c>
      <c r="G41" s="13">
        <v>22146.87137664</v>
      </c>
      <c r="H41" s="23">
        <v>22059.699999999943</v>
      </c>
      <c r="I41" s="13">
        <f t="shared" si="28"/>
        <v>100</v>
      </c>
      <c r="J41" s="13">
        <f t="shared" si="29"/>
        <v>98.309158639495436</v>
      </c>
      <c r="K41" s="13">
        <f t="shared" si="30"/>
        <v>98.126241836684571</v>
      </c>
      <c r="L41" s="13">
        <f t="shared" si="31"/>
        <v>98.476223275604795</v>
      </c>
      <c r="M41" s="13">
        <f t="shared" si="32"/>
        <v>95.84311106778901</v>
      </c>
      <c r="N41" s="13">
        <f t="shared" si="33"/>
        <v>96.80406190463215</v>
      </c>
      <c r="O41" s="23">
        <f t="shared" si="33"/>
        <v>96.42303547443953</v>
      </c>
      <c r="P41" s="13">
        <v>404985.69438454258</v>
      </c>
      <c r="Q41" s="13">
        <v>306129.17086410371</v>
      </c>
      <c r="R41" s="13">
        <v>268986.26763476158</v>
      </c>
      <c r="S41" s="13">
        <v>360488.77342818398</v>
      </c>
      <c r="T41" s="13">
        <v>345718.97974183207</v>
      </c>
      <c r="U41" s="13">
        <v>356886.3542401811</v>
      </c>
      <c r="V41" s="23">
        <v>354851.86866062274</v>
      </c>
      <c r="W41" s="13">
        <f t="shared" si="6"/>
        <v>100</v>
      </c>
      <c r="X41" s="13">
        <f t="shared" si="7"/>
        <v>75.590119628627548</v>
      </c>
      <c r="Y41" s="13">
        <f t="shared" si="8"/>
        <v>66.418708454267858</v>
      </c>
      <c r="Z41" s="13">
        <f t="shared" si="9"/>
        <v>89.012717838347186</v>
      </c>
      <c r="AA41" s="13">
        <f t="shared" si="10"/>
        <v>85.365726378859321</v>
      </c>
      <c r="AB41" s="13">
        <f t="shared" si="11"/>
        <v>88.123200199093915</v>
      </c>
      <c r="AC41" s="23">
        <f t="shared" si="11"/>
        <v>87.620840336074508</v>
      </c>
      <c r="AD41" s="13">
        <v>4.268808558894599</v>
      </c>
      <c r="AE41" s="13">
        <v>3.7739152090819208</v>
      </c>
      <c r="AF41" s="13">
        <v>3.6671227760603009</v>
      </c>
      <c r="AG41" s="13">
        <v>4.5530569991038883</v>
      </c>
      <c r="AH41" s="13">
        <v>4.4778914338191207</v>
      </c>
      <c r="AI41" s="13">
        <v>5.4105990499312648</v>
      </c>
      <c r="AJ41" s="23">
        <v>5.5737004742695797</v>
      </c>
      <c r="AK41" s="17">
        <v>17.638443222975962</v>
      </c>
      <c r="AL41" s="17">
        <v>18.167696270558114</v>
      </c>
      <c r="AM41" s="17">
        <v>18.350797476722619</v>
      </c>
      <c r="AN41" s="17">
        <v>19.712056777790561</v>
      </c>
      <c r="AO41" s="17">
        <v>18.266197529351814</v>
      </c>
      <c r="AP41" s="17">
        <v>18.227065887785084</v>
      </c>
      <c r="AQ41" s="18">
        <v>19.446012667041174</v>
      </c>
      <c r="AR41" s="42">
        <f t="shared" si="12"/>
        <v>770.97704710531116</v>
      </c>
      <c r="AS41" s="17">
        <f t="shared" si="13"/>
        <v>807.76880773231449</v>
      </c>
      <c r="AT41" s="17">
        <f t="shared" si="14"/>
        <v>817.43075506026764</v>
      </c>
      <c r="AU41" s="17">
        <f t="shared" si="15"/>
        <v>874.94701613698544</v>
      </c>
      <c r="AV41" s="17">
        <f t="shared" si="16"/>
        <v>833.04496654511252</v>
      </c>
      <c r="AW41" s="17">
        <f t="shared" si="17"/>
        <v>823.00861272037571</v>
      </c>
      <c r="AX41" s="18">
        <f t="shared" si="18"/>
        <v>881.51754860860422</v>
      </c>
      <c r="AY41" s="13">
        <f t="shared" si="34"/>
        <v>100</v>
      </c>
      <c r="AZ41" s="13">
        <f t="shared" si="35"/>
        <v>104.77209545538879</v>
      </c>
      <c r="BA41" s="13">
        <f t="shared" si="36"/>
        <v>106.02530362341788</v>
      </c>
      <c r="BB41" s="13">
        <f t="shared" si="37"/>
        <v>113.48548175617381</v>
      </c>
      <c r="BC41" s="13">
        <f t="shared" si="38"/>
        <v>108.05055347274472</v>
      </c>
      <c r="BD41" s="13">
        <f t="shared" si="39"/>
        <v>106.74878270506507</v>
      </c>
      <c r="BE41" s="23">
        <f t="shared" si="39"/>
        <v>114.33771626773135</v>
      </c>
      <c r="BF41" s="21">
        <f t="shared" si="40"/>
        <v>0.24201730872336957</v>
      </c>
      <c r="BG41" s="21">
        <f t="shared" si="41"/>
        <v>0.20772667887440335</v>
      </c>
      <c r="BH41" s="21">
        <f t="shared" si="42"/>
        <v>0.19983451840237054</v>
      </c>
      <c r="BI41" s="21">
        <f t="shared" si="43"/>
        <v>0.23097828148677951</v>
      </c>
      <c r="BJ41" s="21">
        <f t="shared" si="44"/>
        <v>0.24514633801718344</v>
      </c>
      <c r="BK41" s="21">
        <f t="shared" si="45"/>
        <v>0.29684421416159973</v>
      </c>
      <c r="BL41" s="21">
        <f t="shared" si="46"/>
        <v>0.28662433629472955</v>
      </c>
      <c r="BM41" s="42">
        <f t="shared" si="21"/>
        <v>13.369634664081364</v>
      </c>
      <c r="BN41" s="17">
        <f t="shared" si="22"/>
        <v>13.328513711476194</v>
      </c>
      <c r="BO41" s="17">
        <f t="shared" si="23"/>
        <v>13.173028600662317</v>
      </c>
      <c r="BP41" s="17">
        <f t="shared" si="24"/>
        <v>14.910008538686673</v>
      </c>
      <c r="BQ41" s="17">
        <f t="shared" si="25"/>
        <v>13.513577615532693</v>
      </c>
      <c r="BR41" s="17">
        <f t="shared" si="26"/>
        <v>12.807655407348705</v>
      </c>
      <c r="BS41" s="18">
        <f t="shared" si="27"/>
        <v>13.872312192771595</v>
      </c>
      <c r="BT41" s="17"/>
      <c r="BU41" s="17">
        <v>1.0652673499999998</v>
      </c>
      <c r="BV41" s="17">
        <v>1.5106461000000002</v>
      </c>
      <c r="BW41" s="17">
        <v>0.24899124</v>
      </c>
      <c r="BX41" s="17">
        <v>0.27472848</v>
      </c>
      <c r="BY41" s="17">
        <v>8.8114305051150438E-3</v>
      </c>
      <c r="BZ41" s="18">
        <v>0</v>
      </c>
    </row>
    <row r="42" spans="1:78" x14ac:dyDescent="0.25">
      <c r="A42" s="3" t="s">
        <v>128</v>
      </c>
      <c r="B42" s="13">
        <v>61486.185641604083</v>
      </c>
      <c r="C42" s="13">
        <v>60830.860092467999</v>
      </c>
      <c r="D42" s="13">
        <v>58969.932156096045</v>
      </c>
      <c r="E42" s="13">
        <v>58746.650153687995</v>
      </c>
      <c r="F42" s="13">
        <v>56655.488668344005</v>
      </c>
      <c r="G42" s="13">
        <v>54239.604244751994</v>
      </c>
      <c r="H42" s="23">
        <v>53185.15599999993</v>
      </c>
      <c r="I42" s="13">
        <f t="shared" si="28"/>
        <v>100</v>
      </c>
      <c r="J42" s="13">
        <f t="shared" si="29"/>
        <v>98.934190595338109</v>
      </c>
      <c r="K42" s="13">
        <f t="shared" si="30"/>
        <v>95.907611670408386</v>
      </c>
      <c r="L42" s="13">
        <f t="shared" si="31"/>
        <v>95.544469933645701</v>
      </c>
      <c r="M42" s="13">
        <f t="shared" si="32"/>
        <v>92.143443404641076</v>
      </c>
      <c r="N42" s="13">
        <f t="shared" si="33"/>
        <v>88.214293468956456</v>
      </c>
      <c r="O42" s="23">
        <f t="shared" si="33"/>
        <v>86.499358262374741</v>
      </c>
      <c r="P42" s="13">
        <v>1048386.6079045823</v>
      </c>
      <c r="Q42" s="13">
        <v>770206.56373167201</v>
      </c>
      <c r="R42" s="13">
        <v>682447.74783574347</v>
      </c>
      <c r="S42" s="13">
        <v>807354.13868929632</v>
      </c>
      <c r="T42" s="13">
        <v>836659.49224920094</v>
      </c>
      <c r="U42" s="13">
        <v>924155.32913067343</v>
      </c>
      <c r="V42" s="23">
        <v>913119.23499595071</v>
      </c>
      <c r="W42" s="13">
        <f t="shared" si="6"/>
        <v>100</v>
      </c>
      <c r="X42" s="13">
        <f t="shared" si="7"/>
        <v>73.465891105866874</v>
      </c>
      <c r="Y42" s="13">
        <f t="shared" si="8"/>
        <v>65.095046301645979</v>
      </c>
      <c r="Z42" s="13">
        <f t="shared" si="9"/>
        <v>77.009199907938608</v>
      </c>
      <c r="AA42" s="13">
        <f t="shared" si="10"/>
        <v>79.804481089417777</v>
      </c>
      <c r="AB42" s="13">
        <f t="shared" si="11"/>
        <v>88.150241729793663</v>
      </c>
      <c r="AC42" s="23">
        <f t="shared" si="11"/>
        <v>87.09756764453607</v>
      </c>
      <c r="AD42" s="13">
        <v>10.211012263019743</v>
      </c>
      <c r="AE42" s="13">
        <v>7.058836776909561</v>
      </c>
      <c r="AF42" s="13">
        <v>8.5662560620439319</v>
      </c>
      <c r="AG42" s="13">
        <v>8.2560293121466621</v>
      </c>
      <c r="AH42" s="13">
        <v>9.318760937886859</v>
      </c>
      <c r="AI42" s="13">
        <v>10.207876323081972</v>
      </c>
      <c r="AJ42" s="23">
        <v>10.614944111820654</v>
      </c>
      <c r="AK42" s="17">
        <v>40.119157639074558</v>
      </c>
      <c r="AL42" s="17">
        <v>40.47190344622436</v>
      </c>
      <c r="AM42" s="17">
        <v>41.312950315574525</v>
      </c>
      <c r="AN42" s="17">
        <v>44.972356008613659</v>
      </c>
      <c r="AO42" s="17">
        <v>45.227654729240676</v>
      </c>
      <c r="AP42" s="17">
        <v>44.051634318844016</v>
      </c>
      <c r="AQ42" s="18">
        <v>46.45191896985618</v>
      </c>
      <c r="AR42" s="42">
        <f t="shared" si="12"/>
        <v>652.49059151147412</v>
      </c>
      <c r="AS42" s="17">
        <f t="shared" si="13"/>
        <v>665.31861270256047</v>
      </c>
      <c r="AT42" s="17">
        <f t="shared" si="14"/>
        <v>700.57652781789375</v>
      </c>
      <c r="AU42" s="17">
        <f t="shared" si="15"/>
        <v>765.53056031213362</v>
      </c>
      <c r="AV42" s="17">
        <f t="shared" si="16"/>
        <v>798.29255368353085</v>
      </c>
      <c r="AW42" s="17">
        <f t="shared" si="17"/>
        <v>812.16732555909596</v>
      </c>
      <c r="AX42" s="18">
        <f t="shared" si="18"/>
        <v>873.40006993410418</v>
      </c>
      <c r="AY42" s="13">
        <f t="shared" si="34"/>
        <v>100</v>
      </c>
      <c r="AZ42" s="13">
        <f t="shared" si="35"/>
        <v>101.96600860732271</v>
      </c>
      <c r="BA42" s="13">
        <f t="shared" si="36"/>
        <v>107.36959841750821</v>
      </c>
      <c r="BB42" s="13">
        <f t="shared" si="37"/>
        <v>117.32438295222096</v>
      </c>
      <c r="BC42" s="13">
        <f t="shared" si="38"/>
        <v>122.345450504399</v>
      </c>
      <c r="BD42" s="13">
        <f t="shared" si="39"/>
        <v>124.47188298573558</v>
      </c>
      <c r="BE42" s="23">
        <f t="shared" si="39"/>
        <v>133.85634694147853</v>
      </c>
      <c r="BF42" s="21">
        <f t="shared" si="40"/>
        <v>0.25451711511197334</v>
      </c>
      <c r="BG42" s="21">
        <f t="shared" si="41"/>
        <v>0.1744132639150206</v>
      </c>
      <c r="BH42" s="21">
        <f t="shared" si="42"/>
        <v>0.20735038278819193</v>
      </c>
      <c r="BI42" s="21">
        <f t="shared" si="43"/>
        <v>0.18358009330365893</v>
      </c>
      <c r="BJ42" s="21">
        <f t="shared" si="44"/>
        <v>0.20604121512986776</v>
      </c>
      <c r="BK42" s="21">
        <f t="shared" si="45"/>
        <v>0.23172525789163145</v>
      </c>
      <c r="BL42" s="21">
        <f t="shared" si="46"/>
        <v>0.22851465229475143</v>
      </c>
      <c r="BM42" s="42">
        <f t="shared" si="21"/>
        <v>29.908145376054815</v>
      </c>
      <c r="BN42" s="17">
        <f t="shared" si="22"/>
        <v>28.447235989314802</v>
      </c>
      <c r="BO42" s="17">
        <f t="shared" si="23"/>
        <v>30.433373623530592</v>
      </c>
      <c r="BP42" s="17">
        <f t="shared" si="24"/>
        <v>35.577890716466996</v>
      </c>
      <c r="BQ42" s="17">
        <f t="shared" si="25"/>
        <v>35.145616941353822</v>
      </c>
      <c r="BR42" s="17">
        <f t="shared" si="26"/>
        <v>33.821940628687393</v>
      </c>
      <c r="BS42" s="18">
        <f t="shared" si="27"/>
        <v>35.836974858035525</v>
      </c>
      <c r="BT42" s="17"/>
      <c r="BU42" s="17">
        <v>4.9658306799999998</v>
      </c>
      <c r="BV42" s="17">
        <v>2.3133206299999998</v>
      </c>
      <c r="BW42" s="17">
        <v>1.1384359799999999</v>
      </c>
      <c r="BX42" s="17">
        <v>0.76327685000000001</v>
      </c>
      <c r="BY42" s="17">
        <v>2.1817367074655977E-2</v>
      </c>
      <c r="BZ42" s="18">
        <v>0</v>
      </c>
    </row>
    <row r="43" spans="1:78" x14ac:dyDescent="0.25">
      <c r="A43" s="3" t="s">
        <v>129</v>
      </c>
      <c r="B43" s="13">
        <v>26812.025855404012</v>
      </c>
      <c r="C43" s="13">
        <v>27223.907307767986</v>
      </c>
      <c r="D43" s="13">
        <v>27064.453328364005</v>
      </c>
      <c r="E43" s="13">
        <v>27701.105318363985</v>
      </c>
      <c r="F43" s="13">
        <v>27853.357386531996</v>
      </c>
      <c r="G43" s="13">
        <v>22108.265538891999</v>
      </c>
      <c r="H43" s="23">
        <v>19995.167999999998</v>
      </c>
      <c r="I43" s="13">
        <f t="shared" si="28"/>
        <v>100</v>
      </c>
      <c r="J43" s="13">
        <f t="shared" si="29"/>
        <v>101.53618176629111</v>
      </c>
      <c r="K43" s="13">
        <f t="shared" si="30"/>
        <v>100.94147109331209</v>
      </c>
      <c r="L43" s="13">
        <f t="shared" si="31"/>
        <v>103.31597271968458</v>
      </c>
      <c r="M43" s="13">
        <f t="shared" si="32"/>
        <v>103.88382264265981</v>
      </c>
      <c r="N43" s="13">
        <f t="shared" si="33"/>
        <v>82.456527746619486</v>
      </c>
      <c r="O43" s="23">
        <f t="shared" si="33"/>
        <v>74.575371916441497</v>
      </c>
      <c r="P43" s="13">
        <v>508861.29201092548</v>
      </c>
      <c r="Q43" s="13">
        <v>417322.04907271673</v>
      </c>
      <c r="R43" s="13">
        <v>334190.85684995615</v>
      </c>
      <c r="S43" s="13">
        <v>411965.22021772276</v>
      </c>
      <c r="T43" s="13">
        <v>431087.67686330207</v>
      </c>
      <c r="U43" s="13">
        <v>326932.38187720539</v>
      </c>
      <c r="V43" s="23">
        <v>270046.32597600709</v>
      </c>
      <c r="W43" s="13">
        <f t="shared" si="6"/>
        <v>100</v>
      </c>
      <c r="X43" s="13">
        <f t="shared" si="7"/>
        <v>82.01096362105622</v>
      </c>
      <c r="Y43" s="13">
        <f t="shared" si="8"/>
        <v>65.674253887399431</v>
      </c>
      <c r="Z43" s="13">
        <f t="shared" si="9"/>
        <v>80.958254574584089</v>
      </c>
      <c r="AA43" s="13">
        <f t="shared" si="10"/>
        <v>84.716146350948307</v>
      </c>
      <c r="AB43" s="13">
        <f t="shared" si="11"/>
        <v>64.247838656626683</v>
      </c>
      <c r="AC43" s="23">
        <f t="shared" si="11"/>
        <v>53.068749817623996</v>
      </c>
      <c r="AD43" s="13">
        <v>5.9746864683384704</v>
      </c>
      <c r="AE43" s="13">
        <v>4.3137517547987692</v>
      </c>
      <c r="AF43" s="13">
        <v>4.7339493951495308</v>
      </c>
      <c r="AG43" s="13">
        <v>4.7518534336601812</v>
      </c>
      <c r="AH43" s="13">
        <v>5.3061846954103951</v>
      </c>
      <c r="AI43" s="13">
        <v>4.2309559870655136</v>
      </c>
      <c r="AJ43" s="23">
        <v>3.674550231581148</v>
      </c>
      <c r="AK43" s="17">
        <v>19.026708794091974</v>
      </c>
      <c r="AL43" s="17">
        <v>19.639075730099041</v>
      </c>
      <c r="AM43" s="17">
        <v>20.506153044218067</v>
      </c>
      <c r="AN43" s="17">
        <v>22.091722214040495</v>
      </c>
      <c r="AO43" s="17">
        <v>22.644122662425819</v>
      </c>
      <c r="AP43" s="17">
        <v>19.118952014465556</v>
      </c>
      <c r="AQ43" s="18">
        <v>18.28313972794307</v>
      </c>
      <c r="AR43" s="42">
        <f t="shared" si="12"/>
        <v>709.63338975958459</v>
      </c>
      <c r="AS43" s="17">
        <f t="shared" si="13"/>
        <v>721.39078009919933</v>
      </c>
      <c r="AT43" s="17">
        <f t="shared" si="14"/>
        <v>757.67844986276782</v>
      </c>
      <c r="AU43" s="17">
        <f t="shared" si="15"/>
        <v>797.50327505506277</v>
      </c>
      <c r="AV43" s="17">
        <f t="shared" si="16"/>
        <v>812.97641602713895</v>
      </c>
      <c r="AW43" s="17">
        <f t="shared" si="17"/>
        <v>864.78751491528089</v>
      </c>
      <c r="AX43" s="18">
        <f t="shared" si="18"/>
        <v>914.37790009781725</v>
      </c>
      <c r="AY43" s="13">
        <f t="shared" si="34"/>
        <v>100</v>
      </c>
      <c r="AZ43" s="13">
        <f t="shared" si="35"/>
        <v>101.65682597652261</v>
      </c>
      <c r="BA43" s="13">
        <f t="shared" si="36"/>
        <v>106.77040578931332</v>
      </c>
      <c r="BB43" s="13">
        <f t="shared" si="37"/>
        <v>112.38243388254989</v>
      </c>
      <c r="BC43" s="13">
        <f t="shared" si="38"/>
        <v>114.5628753887364</v>
      </c>
      <c r="BD43" s="13">
        <f t="shared" si="39"/>
        <v>121.86398320522385</v>
      </c>
      <c r="BE43" s="23">
        <f t="shared" si="39"/>
        <v>128.8521528570686</v>
      </c>
      <c r="BF43" s="21">
        <f t="shared" si="40"/>
        <v>0.31401576242096496</v>
      </c>
      <c r="BG43" s="21">
        <f t="shared" si="41"/>
        <v>0.21965146497131077</v>
      </c>
      <c r="BH43" s="21">
        <f t="shared" si="42"/>
        <v>0.23085506993640231</v>
      </c>
      <c r="BI43" s="21">
        <f t="shared" si="43"/>
        <v>0.21509655913743653</v>
      </c>
      <c r="BJ43" s="21">
        <f t="shared" si="44"/>
        <v>0.23432944497404318</v>
      </c>
      <c r="BK43" s="21">
        <f t="shared" si="45"/>
        <v>0.22129643841693505</v>
      </c>
      <c r="BL43" s="21">
        <f t="shared" si="46"/>
        <v>0.20098026303245622</v>
      </c>
      <c r="BM43" s="42">
        <f t="shared" si="21"/>
        <v>13.052022325753503</v>
      </c>
      <c r="BN43" s="17">
        <f t="shared" si="22"/>
        <v>12.618491465300272</v>
      </c>
      <c r="BO43" s="17">
        <f t="shared" si="23"/>
        <v>14.372856829068537</v>
      </c>
      <c r="BP43" s="17">
        <f t="shared" si="24"/>
        <v>16.626728960380316</v>
      </c>
      <c r="BQ43" s="17">
        <f t="shared" si="25"/>
        <v>16.934488227015425</v>
      </c>
      <c r="BR43" s="17">
        <f t="shared" si="26"/>
        <v>14.87707272971487</v>
      </c>
      <c r="BS43" s="18">
        <f t="shared" si="27"/>
        <v>14.608589496361922</v>
      </c>
      <c r="BT43" s="17"/>
      <c r="BU43" s="17">
        <v>2.7068325100000004</v>
      </c>
      <c r="BV43" s="17">
        <v>1.3993468199999999</v>
      </c>
      <c r="BW43" s="17">
        <v>0.71313981999999998</v>
      </c>
      <c r="BX43" s="17">
        <v>0.40344974000000006</v>
      </c>
      <c r="BY43" s="17">
        <v>1.092329768517215E-2</v>
      </c>
      <c r="BZ43" s="18">
        <v>0</v>
      </c>
    </row>
    <row r="44" spans="1:78" x14ac:dyDescent="0.25">
      <c r="A44" s="3" t="s">
        <v>130</v>
      </c>
      <c r="B44" s="13">
        <v>31288.126740839965</v>
      </c>
      <c r="C44" s="13">
        <v>31358.275000440008</v>
      </c>
      <c r="D44" s="13">
        <v>31362.516666492014</v>
      </c>
      <c r="E44" s="13">
        <v>31424.441666015991</v>
      </c>
      <c r="F44" s="13">
        <v>31362.086539427994</v>
      </c>
      <c r="G44" s="13">
        <v>31596.586538867996</v>
      </c>
      <c r="H44" s="23">
        <v>31448.191999999857</v>
      </c>
      <c r="I44" s="13">
        <f t="shared" si="28"/>
        <v>100</v>
      </c>
      <c r="J44" s="13">
        <f t="shared" si="29"/>
        <v>100.22420089314097</v>
      </c>
      <c r="K44" s="13">
        <f t="shared" si="30"/>
        <v>100.23775768446677</v>
      </c>
      <c r="L44" s="13">
        <f t="shared" si="31"/>
        <v>100.43567621131531</v>
      </c>
      <c r="M44" s="13">
        <f t="shared" si="32"/>
        <v>100.23638295510831</v>
      </c>
      <c r="N44" s="13">
        <f t="shared" si="33"/>
        <v>100.98586853915228</v>
      </c>
      <c r="O44" s="23">
        <f t="shared" si="33"/>
        <v>100.51158466751851</v>
      </c>
      <c r="P44" s="13">
        <v>386950.9132241534</v>
      </c>
      <c r="Q44" s="13">
        <v>333191.60293651861</v>
      </c>
      <c r="R44" s="13">
        <v>294400.89092125196</v>
      </c>
      <c r="S44" s="13">
        <v>330672.3110078894</v>
      </c>
      <c r="T44" s="13">
        <v>321456.90290119138</v>
      </c>
      <c r="U44" s="13">
        <v>327856.94380168134</v>
      </c>
      <c r="V44" s="23">
        <v>321065.5725434795</v>
      </c>
      <c r="W44" s="13">
        <f t="shared" si="6"/>
        <v>100</v>
      </c>
      <c r="X44" s="13">
        <f t="shared" si="7"/>
        <v>86.106943167622646</v>
      </c>
      <c r="Y44" s="13">
        <f t="shared" si="8"/>
        <v>76.082231843890511</v>
      </c>
      <c r="Z44" s="13">
        <f t="shared" si="9"/>
        <v>85.455880760859486</v>
      </c>
      <c r="AA44" s="13">
        <f t="shared" si="10"/>
        <v>83.074336282798072</v>
      </c>
      <c r="AB44" s="13">
        <f t="shared" si="11"/>
        <v>84.72830340931641</v>
      </c>
      <c r="AC44" s="23">
        <f t="shared" si="11"/>
        <v>82.973204499841103</v>
      </c>
      <c r="AD44" s="13">
        <v>4.0221006357298537</v>
      </c>
      <c r="AE44" s="13">
        <v>3.4342806978928277</v>
      </c>
      <c r="AF44" s="13">
        <v>4.2120221177883632</v>
      </c>
      <c r="AG44" s="13">
        <v>3.9608107989672976</v>
      </c>
      <c r="AH44" s="13">
        <v>4.1703978960099057</v>
      </c>
      <c r="AI44" s="13">
        <v>4.3216958450422691</v>
      </c>
      <c r="AJ44" s="23">
        <v>4.3421632697923682</v>
      </c>
      <c r="AK44" s="17">
        <v>21.480918454771256</v>
      </c>
      <c r="AL44" s="17">
        <v>21.914785812787102</v>
      </c>
      <c r="AM44" s="17">
        <v>22.79709489519492</v>
      </c>
      <c r="AN44" s="17">
        <v>24.855797111348586</v>
      </c>
      <c r="AO44" s="17">
        <v>25.308683527327791</v>
      </c>
      <c r="AP44" s="17">
        <v>25.63274935103194</v>
      </c>
      <c r="AQ44" s="18">
        <v>26.397166028693096</v>
      </c>
      <c r="AR44" s="42">
        <f t="shared" si="12"/>
        <v>686.55175916084829</v>
      </c>
      <c r="AS44" s="17">
        <f t="shared" si="13"/>
        <v>698.85176440603323</v>
      </c>
      <c r="AT44" s="17">
        <f t="shared" si="14"/>
        <v>726.88984553180126</v>
      </c>
      <c r="AU44" s="17">
        <f t="shared" si="15"/>
        <v>790.97020642466737</v>
      </c>
      <c r="AV44" s="17">
        <f t="shared" si="16"/>
        <v>806.98340958628671</v>
      </c>
      <c r="AW44" s="17">
        <f t="shared" si="17"/>
        <v>811.25058618279081</v>
      </c>
      <c r="AX44" s="18">
        <f t="shared" si="18"/>
        <v>839.38580725700274</v>
      </c>
      <c r="AY44" s="13">
        <f t="shared" si="34"/>
        <v>100</v>
      </c>
      <c r="AZ44" s="13">
        <f t="shared" si="35"/>
        <v>101.79156270172824</v>
      </c>
      <c r="BA44" s="13">
        <f t="shared" si="36"/>
        <v>105.87546180352913</v>
      </c>
      <c r="BB44" s="13">
        <f t="shared" si="37"/>
        <v>115.20911509883052</v>
      </c>
      <c r="BC44" s="13">
        <f t="shared" si="38"/>
        <v>117.5415252846542</v>
      </c>
      <c r="BD44" s="13">
        <f t="shared" si="39"/>
        <v>118.16306277830503</v>
      </c>
      <c r="BE44" s="23">
        <f t="shared" si="39"/>
        <v>122.26111084224137</v>
      </c>
      <c r="BF44" s="21">
        <f t="shared" si="40"/>
        <v>0.18724062680087503</v>
      </c>
      <c r="BG44" s="21">
        <f t="shared" si="41"/>
        <v>0.15671066681787749</v>
      </c>
      <c r="BH44" s="21">
        <f t="shared" si="42"/>
        <v>0.184761353898481</v>
      </c>
      <c r="BI44" s="21">
        <f t="shared" si="43"/>
        <v>0.15935159034424537</v>
      </c>
      <c r="BJ44" s="21">
        <f t="shared" si="44"/>
        <v>0.16478130486347883</v>
      </c>
      <c r="BK44" s="21">
        <f t="shared" si="45"/>
        <v>0.16860055805399912</v>
      </c>
      <c r="BL44" s="21">
        <f t="shared" si="46"/>
        <v>0.16449353938496805</v>
      </c>
      <c r="BM44" s="42">
        <f t="shared" si="21"/>
        <v>17.458817819041403</v>
      </c>
      <c r="BN44" s="17">
        <f t="shared" si="22"/>
        <v>17.214879794894273</v>
      </c>
      <c r="BO44" s="17">
        <f t="shared" si="23"/>
        <v>17.948022917406558</v>
      </c>
      <c r="BP44" s="17">
        <f t="shared" si="24"/>
        <v>20.555810042381289</v>
      </c>
      <c r="BQ44" s="17">
        <f t="shared" si="25"/>
        <v>20.759316601317884</v>
      </c>
      <c r="BR44" s="17">
        <f t="shared" si="26"/>
        <v>21.298844850864889</v>
      </c>
      <c r="BS44" s="18">
        <f t="shared" si="27"/>
        <v>22.055002758900727</v>
      </c>
      <c r="BT44" s="17"/>
      <c r="BU44" s="17">
        <v>1.2656253200000001</v>
      </c>
      <c r="BV44" s="17">
        <v>0.63704985999999997</v>
      </c>
      <c r="BW44" s="17">
        <v>0.33917627000000006</v>
      </c>
      <c r="BX44" s="17">
        <v>0.37896903000000004</v>
      </c>
      <c r="BY44" s="17">
        <v>1.2208655124781819E-2</v>
      </c>
      <c r="BZ44" s="18">
        <v>0</v>
      </c>
    </row>
    <row r="45" spans="1:78" x14ac:dyDescent="0.25">
      <c r="A45" s="3" t="s">
        <v>131</v>
      </c>
      <c r="B45" s="13">
        <v>71259.709383527908</v>
      </c>
      <c r="C45" s="13">
        <v>71243.024564699954</v>
      </c>
      <c r="D45" s="13">
        <v>71281.71192145189</v>
      </c>
      <c r="E45" s="13">
        <v>70448.337092940114</v>
      </c>
      <c r="F45" s="13">
        <v>72549.46957449599</v>
      </c>
      <c r="G45" s="13">
        <v>70870.56897477599</v>
      </c>
      <c r="H45" s="23">
        <v>66262.409999999567</v>
      </c>
      <c r="I45" s="13">
        <f t="shared" si="28"/>
        <v>100</v>
      </c>
      <c r="J45" s="13">
        <f t="shared" si="29"/>
        <v>99.976585901104158</v>
      </c>
      <c r="K45" s="13">
        <f t="shared" si="30"/>
        <v>100.03087654737064</v>
      </c>
      <c r="L45" s="13">
        <f t="shared" si="31"/>
        <v>98.861387033981714</v>
      </c>
      <c r="M45" s="13">
        <f t="shared" si="32"/>
        <v>101.80994309705424</v>
      </c>
      <c r="N45" s="13">
        <f t="shared" si="33"/>
        <v>99.453912439275442</v>
      </c>
      <c r="O45" s="23">
        <f t="shared" si="33"/>
        <v>92.987202127597371</v>
      </c>
      <c r="P45" s="13">
        <v>1943131.2180764663</v>
      </c>
      <c r="Q45" s="13">
        <v>1497336.1522090624</v>
      </c>
      <c r="R45" s="13">
        <v>1331376.2247414335</v>
      </c>
      <c r="S45" s="13">
        <v>1580466.4296958204</v>
      </c>
      <c r="T45" s="13">
        <v>1775216.0856967578</v>
      </c>
      <c r="U45" s="13">
        <v>1726274.9434391817</v>
      </c>
      <c r="V45" s="23">
        <v>1688027.6529809106</v>
      </c>
      <c r="W45" s="13">
        <f t="shared" si="6"/>
        <v>100</v>
      </c>
      <c r="X45" s="13">
        <f t="shared" si="7"/>
        <v>77.057902126203132</v>
      </c>
      <c r="Y45" s="13">
        <f t="shared" si="8"/>
        <v>68.517051877710145</v>
      </c>
      <c r="Z45" s="13">
        <f t="shared" si="9"/>
        <v>81.336062896480399</v>
      </c>
      <c r="AA45" s="13">
        <f t="shared" si="10"/>
        <v>91.35852839902752</v>
      </c>
      <c r="AB45" s="13">
        <f t="shared" si="11"/>
        <v>88.839854322758811</v>
      </c>
      <c r="AC45" s="23">
        <f t="shared" si="11"/>
        <v>86.871521453497806</v>
      </c>
      <c r="AD45" s="13">
        <v>23.149344148572613</v>
      </c>
      <c r="AE45" s="13">
        <v>18.137092198151876</v>
      </c>
      <c r="AF45" s="13">
        <v>16.938490575074646</v>
      </c>
      <c r="AG45" s="13">
        <v>18.481202631604027</v>
      </c>
      <c r="AH45" s="13">
        <v>21.907983384000023</v>
      </c>
      <c r="AI45" s="13">
        <v>22.972480886840835</v>
      </c>
      <c r="AJ45" s="23">
        <v>22.938981243836846</v>
      </c>
      <c r="AK45" s="17">
        <v>57.515743565015399</v>
      </c>
      <c r="AL45" s="17">
        <v>58.997371803832579</v>
      </c>
      <c r="AM45" s="17">
        <v>61.486888970177823</v>
      </c>
      <c r="AN45" s="17">
        <v>62.090423576834638</v>
      </c>
      <c r="AO45" s="17">
        <v>63.993645735548519</v>
      </c>
      <c r="AP45" s="17">
        <v>62.809663563470615</v>
      </c>
      <c r="AQ45" s="18">
        <v>64.886144380171814</v>
      </c>
      <c r="AR45" s="42">
        <f t="shared" si="12"/>
        <v>807.1285171184054</v>
      </c>
      <c r="AS45" s="17">
        <f t="shared" si="13"/>
        <v>828.11436157168782</v>
      </c>
      <c r="AT45" s="17">
        <f t="shared" si="14"/>
        <v>862.58995908982422</v>
      </c>
      <c r="AU45" s="17">
        <f t="shared" si="15"/>
        <v>881.36109579025037</v>
      </c>
      <c r="AV45" s="17">
        <f t="shared" si="16"/>
        <v>882.06910554787601</v>
      </c>
      <c r="AW45" s="17">
        <f t="shared" si="17"/>
        <v>886.25877387587525</v>
      </c>
      <c r="AX45" s="18">
        <f t="shared" si="18"/>
        <v>979.23006996232459</v>
      </c>
      <c r="AY45" s="13">
        <f t="shared" si="34"/>
        <v>100</v>
      </c>
      <c r="AZ45" s="13">
        <f t="shared" si="35"/>
        <v>102.60006232070768</v>
      </c>
      <c r="BA45" s="13">
        <f t="shared" si="36"/>
        <v>106.87145117476781</v>
      </c>
      <c r="BB45" s="13">
        <f t="shared" si="37"/>
        <v>109.19712004934092</v>
      </c>
      <c r="BC45" s="13">
        <f t="shared" si="38"/>
        <v>109.28483963087095</v>
      </c>
      <c r="BD45" s="13">
        <f t="shared" si="39"/>
        <v>109.80392280525277</v>
      </c>
      <c r="BE45" s="23">
        <f t="shared" si="39"/>
        <v>121.32269510912002</v>
      </c>
      <c r="BF45" s="21">
        <f t="shared" si="40"/>
        <v>0.40248708812057266</v>
      </c>
      <c r="BG45" s="21">
        <f t="shared" si="41"/>
        <v>0.30742203667068535</v>
      </c>
      <c r="BH45" s="21">
        <f t="shared" si="42"/>
        <v>0.27548134014863068</v>
      </c>
      <c r="BI45" s="21">
        <f t="shared" si="43"/>
        <v>0.29764980760252363</v>
      </c>
      <c r="BJ45" s="21">
        <f t="shared" si="44"/>
        <v>0.34234623035127565</v>
      </c>
      <c r="BK45" s="21">
        <f t="shared" si="45"/>
        <v>0.3657475551294207</v>
      </c>
      <c r="BL45" s="21">
        <f t="shared" si="46"/>
        <v>0.35352664984123544</v>
      </c>
      <c r="BM45" s="42">
        <f t="shared" si="21"/>
        <v>34.366399416442789</v>
      </c>
      <c r="BN45" s="17">
        <f t="shared" si="22"/>
        <v>33.416090645680704</v>
      </c>
      <c r="BO45" s="17">
        <f t="shared" si="23"/>
        <v>35.979982795103176</v>
      </c>
      <c r="BP45" s="17">
        <f t="shared" si="24"/>
        <v>40.21684517523061</v>
      </c>
      <c r="BQ45" s="17">
        <f t="shared" si="25"/>
        <v>40.717167751548494</v>
      </c>
      <c r="BR45" s="17">
        <f t="shared" si="26"/>
        <v>39.806312783688917</v>
      </c>
      <c r="BS45" s="18">
        <f t="shared" si="27"/>
        <v>41.947163136334964</v>
      </c>
      <c r="BT45" s="17"/>
      <c r="BU45" s="17">
        <v>7.44418896</v>
      </c>
      <c r="BV45" s="17">
        <v>8.5684155999999998</v>
      </c>
      <c r="BW45" s="17">
        <v>3.3923757699999997</v>
      </c>
      <c r="BX45" s="17">
        <v>1.3684945999999998</v>
      </c>
      <c r="BY45" s="17">
        <v>3.0869892940862453E-2</v>
      </c>
      <c r="BZ45" s="18">
        <v>0</v>
      </c>
    </row>
    <row r="46" spans="1:78" x14ac:dyDescent="0.25">
      <c r="A46" s="3" t="s">
        <v>132</v>
      </c>
      <c r="B46" s="13">
        <v>83825.262575244051</v>
      </c>
      <c r="C46" s="13">
        <v>80896.647185003938</v>
      </c>
      <c r="D46" s="13">
        <v>75480.954609024062</v>
      </c>
      <c r="E46" s="13">
        <v>74841.127593527941</v>
      </c>
      <c r="F46" s="13">
        <v>69323.274687983983</v>
      </c>
      <c r="G46" s="13">
        <v>60170.154341387999</v>
      </c>
      <c r="H46" s="23">
        <v>56917.926000000036</v>
      </c>
      <c r="I46" s="13">
        <f t="shared" si="28"/>
        <v>100</v>
      </c>
      <c r="J46" s="13">
        <f t="shared" si="29"/>
        <v>96.506285455877574</v>
      </c>
      <c r="K46" s="13">
        <f t="shared" si="30"/>
        <v>90.045592808337588</v>
      </c>
      <c r="L46" s="13">
        <f t="shared" si="31"/>
        <v>89.282306185856939</v>
      </c>
      <c r="M46" s="13">
        <f t="shared" si="32"/>
        <v>82.699740577319815</v>
      </c>
      <c r="N46" s="13">
        <f t="shared" si="33"/>
        <v>71.780454355722995</v>
      </c>
      <c r="O46" s="23">
        <f t="shared" si="33"/>
        <v>67.90068322053726</v>
      </c>
      <c r="P46" s="13">
        <v>2066581.6876190098</v>
      </c>
      <c r="Q46" s="13">
        <v>1612033.4596564174</v>
      </c>
      <c r="R46" s="13">
        <v>1444590.1494046778</v>
      </c>
      <c r="S46" s="13">
        <v>1776971.6794322168</v>
      </c>
      <c r="T46" s="13">
        <v>1805132.9287692667</v>
      </c>
      <c r="U46" s="13">
        <v>1576865.2936603508</v>
      </c>
      <c r="V46" s="23">
        <v>1473753.8676442713</v>
      </c>
      <c r="W46" s="13">
        <f t="shared" si="6"/>
        <v>100</v>
      </c>
      <c r="X46" s="13">
        <f t="shared" si="7"/>
        <v>78.004826487827088</v>
      </c>
      <c r="Y46" s="13">
        <f t="shared" si="8"/>
        <v>69.902397667572828</v>
      </c>
      <c r="Z46" s="13">
        <f t="shared" si="9"/>
        <v>85.986036268401079</v>
      </c>
      <c r="AA46" s="13">
        <f t="shared" si="10"/>
        <v>87.348733397953964</v>
      </c>
      <c r="AB46" s="13">
        <f t="shared" si="11"/>
        <v>76.303071062103498</v>
      </c>
      <c r="AC46" s="23">
        <f t="shared" si="11"/>
        <v>71.313603351544316</v>
      </c>
      <c r="AD46" s="13">
        <v>23.063811994655804</v>
      </c>
      <c r="AE46" s="13">
        <v>15.390511494227983</v>
      </c>
      <c r="AF46" s="13">
        <v>19.164690090631172</v>
      </c>
      <c r="AG46" s="13">
        <v>19.123167082121522</v>
      </c>
      <c r="AH46" s="13">
        <v>20.988262889500461</v>
      </c>
      <c r="AI46" s="13">
        <v>19.941789206739109</v>
      </c>
      <c r="AJ46" s="23">
        <v>19.094109634331726</v>
      </c>
      <c r="AK46" s="17">
        <v>56.971968049421754</v>
      </c>
      <c r="AL46" s="17">
        <v>58.466241002811316</v>
      </c>
      <c r="AM46" s="17">
        <v>58.094014713261984</v>
      </c>
      <c r="AN46" s="17">
        <v>63.790867109144294</v>
      </c>
      <c r="AO46" s="17">
        <v>62.780235871831422</v>
      </c>
      <c r="AP46" s="17">
        <v>56.807335757496475</v>
      </c>
      <c r="AQ46" s="18">
        <v>57.648199844831815</v>
      </c>
      <c r="AR46" s="42">
        <f t="shared" si="12"/>
        <v>679.65153104390242</v>
      </c>
      <c r="AS46" s="17">
        <f t="shared" si="13"/>
        <v>722.72761649940639</v>
      </c>
      <c r="AT46" s="17">
        <f t="shared" si="14"/>
        <v>769.65129831991555</v>
      </c>
      <c r="AU46" s="17">
        <f t="shared" si="15"/>
        <v>852.3504276365386</v>
      </c>
      <c r="AV46" s="17">
        <f t="shared" si="16"/>
        <v>905.61555486808697</v>
      </c>
      <c r="AW46" s="17">
        <f t="shared" si="17"/>
        <v>944.11151806571968</v>
      </c>
      <c r="AX46" s="18">
        <f t="shared" si="18"/>
        <v>1012.8302961150022</v>
      </c>
      <c r="AY46" s="13">
        <f t="shared" si="34"/>
        <v>100</v>
      </c>
      <c r="AZ46" s="13">
        <f t="shared" si="35"/>
        <v>106.33796636775641</v>
      </c>
      <c r="BA46" s="13">
        <f t="shared" si="36"/>
        <v>113.2420458374866</v>
      </c>
      <c r="BB46" s="13">
        <f t="shared" si="37"/>
        <v>125.40991798067186</v>
      </c>
      <c r="BC46" s="13">
        <f t="shared" si="38"/>
        <v>133.24704109429695</v>
      </c>
      <c r="BD46" s="13">
        <f t="shared" si="39"/>
        <v>138.91111473193081</v>
      </c>
      <c r="BE46" s="23">
        <f t="shared" si="39"/>
        <v>149.02199875270756</v>
      </c>
      <c r="BF46" s="21">
        <f t="shared" si="40"/>
        <v>0.40482737009626429</v>
      </c>
      <c r="BG46" s="21">
        <f t="shared" si="41"/>
        <v>0.2632375748851023</v>
      </c>
      <c r="BH46" s="21">
        <f t="shared" si="42"/>
        <v>0.32989095667124146</v>
      </c>
      <c r="BI46" s="21">
        <f t="shared" si="43"/>
        <v>0.29977907416436816</v>
      </c>
      <c r="BJ46" s="21">
        <f t="shared" si="44"/>
        <v>0.33431322131934821</v>
      </c>
      <c r="BK46" s="21">
        <f t="shared" si="45"/>
        <v>0.35104250077609966</v>
      </c>
      <c r="BL46" s="21">
        <f t="shared" si="46"/>
        <v>0.33121779493073833</v>
      </c>
      <c r="BM46" s="42">
        <f t="shared" si="21"/>
        <v>33.908156054765954</v>
      </c>
      <c r="BN46" s="17">
        <f t="shared" si="22"/>
        <v>34.109308838583338</v>
      </c>
      <c r="BO46" s="17">
        <f t="shared" si="23"/>
        <v>36.965239402630814</v>
      </c>
      <c r="BP46" s="17">
        <f t="shared" si="24"/>
        <v>43.903641857022777</v>
      </c>
      <c r="BQ46" s="17">
        <f t="shared" si="25"/>
        <v>40.85707030233096</v>
      </c>
      <c r="BR46" s="17">
        <f t="shared" si="26"/>
        <v>36.835261994566046</v>
      </c>
      <c r="BS46" s="18">
        <f t="shared" si="27"/>
        <v>38.554090210500092</v>
      </c>
      <c r="BT46" s="17"/>
      <c r="BU46" s="17">
        <v>8.9664206699999998</v>
      </c>
      <c r="BV46" s="17">
        <v>1.9640852200000001</v>
      </c>
      <c r="BW46" s="17">
        <v>0.76405816999999998</v>
      </c>
      <c r="BX46" s="17">
        <v>0.93490267999999999</v>
      </c>
      <c r="BY46" s="17">
        <v>3.0284556191318222E-2</v>
      </c>
      <c r="BZ46" s="18">
        <v>0</v>
      </c>
    </row>
    <row r="47" spans="1:78" x14ac:dyDescent="0.25">
      <c r="A47" s="1" t="s">
        <v>133</v>
      </c>
      <c r="B47" s="13">
        <v>13945.133333160004</v>
      </c>
      <c r="C47" s="13">
        <v>16949.123788080011</v>
      </c>
      <c r="D47" s="13">
        <v>16681.666666559999</v>
      </c>
      <c r="E47" s="13">
        <v>15245.183332680006</v>
      </c>
      <c r="F47" s="13">
        <v>15230.28333192</v>
      </c>
      <c r="G47" s="13">
        <v>16129.133332356003</v>
      </c>
      <c r="H47" s="23">
        <v>16855.524000000001</v>
      </c>
      <c r="I47" s="13">
        <f t="shared" si="28"/>
        <v>100</v>
      </c>
      <c r="J47" s="13">
        <f t="shared" si="29"/>
        <v>121.5414968301296</v>
      </c>
      <c r="K47" s="13">
        <f t="shared" si="30"/>
        <v>119.6235723820067</v>
      </c>
      <c r="L47" s="13">
        <f t="shared" si="31"/>
        <v>109.32260716667818</v>
      </c>
      <c r="M47" s="13">
        <f t="shared" si="32"/>
        <v>109.21575985009804</v>
      </c>
      <c r="N47" s="13">
        <f t="shared" si="33"/>
        <v>115.66137767935632</v>
      </c>
      <c r="O47" s="23">
        <f t="shared" si="33"/>
        <v>120.87029644900853</v>
      </c>
      <c r="P47" s="13">
        <v>180471.97120453435</v>
      </c>
      <c r="Q47" s="13">
        <v>196961.03655927017</v>
      </c>
      <c r="R47" s="13">
        <v>180457.26953307676</v>
      </c>
      <c r="S47" s="13">
        <v>210677.34149882343</v>
      </c>
      <c r="T47" s="13">
        <v>216378.86571975556</v>
      </c>
      <c r="U47" s="13">
        <v>223056.81066709009</v>
      </c>
      <c r="V47" s="23">
        <v>225230.27601702564</v>
      </c>
      <c r="W47" s="13">
        <f t="shared" si="6"/>
        <v>100</v>
      </c>
      <c r="X47" s="13">
        <f t="shared" si="7"/>
        <v>109.13663503794075</v>
      </c>
      <c r="Y47" s="13">
        <f t="shared" si="8"/>
        <v>99.991853764681878</v>
      </c>
      <c r="Z47" s="13">
        <f t="shared" si="9"/>
        <v>116.73687614352947</v>
      </c>
      <c r="AA47" s="13">
        <f t="shared" si="10"/>
        <v>119.89610590252092</v>
      </c>
      <c r="AB47" s="13">
        <f t="shared" si="11"/>
        <v>123.59637298707899</v>
      </c>
      <c r="AC47" s="23">
        <f t="shared" si="11"/>
        <v>124.80069592732788</v>
      </c>
      <c r="AD47" s="13">
        <v>2.740750988221238</v>
      </c>
      <c r="AE47" s="13">
        <v>3.1770445514654897</v>
      </c>
      <c r="AF47" s="13">
        <v>3.0961438225811571</v>
      </c>
      <c r="AG47" s="13">
        <v>3.3138667035102278</v>
      </c>
      <c r="AH47" s="13">
        <v>3.7457688192412899</v>
      </c>
      <c r="AI47" s="13">
        <v>4.2798821605635222</v>
      </c>
      <c r="AJ47" s="23">
        <v>4.5497577404249467</v>
      </c>
      <c r="AK47" s="17">
        <v>12.064573687762358</v>
      </c>
      <c r="AL47" s="17">
        <v>14.154787156572713</v>
      </c>
      <c r="AM47" s="17">
        <v>14.115534563548293</v>
      </c>
      <c r="AN47" s="17">
        <v>12.431696490932033</v>
      </c>
      <c r="AO47" s="17">
        <v>12.011432490613405</v>
      </c>
      <c r="AP47" s="17">
        <v>12.44044588508855</v>
      </c>
      <c r="AQ47" s="18">
        <v>12.90033960880227</v>
      </c>
      <c r="AR47" s="42">
        <f t="shared" si="12"/>
        <v>865.14581105324544</v>
      </c>
      <c r="AS47" s="17">
        <f t="shared" si="13"/>
        <v>835.13385904512063</v>
      </c>
      <c r="AT47" s="17">
        <f t="shared" si="14"/>
        <v>846.17052034999813</v>
      </c>
      <c r="AU47" s="17">
        <f t="shared" si="15"/>
        <v>815.45077023003694</v>
      </c>
      <c r="AV47" s="17">
        <f t="shared" si="16"/>
        <v>788.65456596198385</v>
      </c>
      <c r="AW47" s="17">
        <f t="shared" si="17"/>
        <v>771.30281142460854</v>
      </c>
      <c r="AX47" s="18">
        <f t="shared" si="18"/>
        <v>765.34788291377174</v>
      </c>
      <c r="AY47" s="13">
        <f t="shared" si="34"/>
        <v>100</v>
      </c>
      <c r="AZ47" s="13">
        <f t="shared" si="35"/>
        <v>96.530994934647183</v>
      </c>
      <c r="BA47" s="13">
        <f t="shared" si="36"/>
        <v>97.8066944946371</v>
      </c>
      <c r="BB47" s="13">
        <f t="shared" si="37"/>
        <v>94.255876848931536</v>
      </c>
      <c r="BC47" s="13">
        <f t="shared" si="38"/>
        <v>91.158571871469888</v>
      </c>
      <c r="BD47" s="13">
        <f t="shared" si="39"/>
        <v>89.15292677492242</v>
      </c>
      <c r="BE47" s="23">
        <f t="shared" si="39"/>
        <v>88.464611760880203</v>
      </c>
      <c r="BF47" s="21">
        <f t="shared" si="40"/>
        <v>0.22717346332770177</v>
      </c>
      <c r="BG47" s="21">
        <f t="shared" si="41"/>
        <v>0.22445018185880974</v>
      </c>
      <c r="BH47" s="21">
        <f t="shared" si="42"/>
        <v>0.21934300884194527</v>
      </c>
      <c r="BI47" s="21">
        <f t="shared" si="43"/>
        <v>0.26656592733963852</v>
      </c>
      <c r="BJ47" s="21">
        <f t="shared" si="44"/>
        <v>0.31185029946831921</v>
      </c>
      <c r="BK47" s="21">
        <f t="shared" si="45"/>
        <v>0.34402964331797004</v>
      </c>
      <c r="BL47" s="21">
        <f t="shared" si="46"/>
        <v>0.3526851136012355</v>
      </c>
      <c r="BM47" s="42">
        <f t="shared" si="21"/>
        <v>9.32382269954112</v>
      </c>
      <c r="BN47" s="17">
        <f t="shared" si="22"/>
        <v>9.9217657751072235</v>
      </c>
      <c r="BO47" s="17">
        <f t="shared" si="23"/>
        <v>10.181488830967137</v>
      </c>
      <c r="BP47" s="17">
        <f t="shared" si="24"/>
        <v>8.968533057421805</v>
      </c>
      <c r="BQ47" s="17">
        <f t="shared" si="25"/>
        <v>8.0871550913721144</v>
      </c>
      <c r="BR47" s="17">
        <f t="shared" si="26"/>
        <v>8.1547695299485241</v>
      </c>
      <c r="BS47" s="18">
        <f t="shared" si="27"/>
        <v>8.3505818683773221</v>
      </c>
      <c r="BT47" s="17"/>
      <c r="BU47" s="17">
        <v>1.0559768300000001</v>
      </c>
      <c r="BV47" s="17">
        <v>0.83790190999999992</v>
      </c>
      <c r="BW47" s="17">
        <v>0.14929672999999996</v>
      </c>
      <c r="BX47" s="17">
        <v>0.17850858000000003</v>
      </c>
      <c r="BY47" s="17">
        <v>5.7941945765039859E-3</v>
      </c>
      <c r="BZ47" s="18">
        <v>0</v>
      </c>
    </row>
    <row r="48" spans="1:78" x14ac:dyDescent="0.25">
      <c r="A48" s="1" t="s">
        <v>134</v>
      </c>
      <c r="B48" s="13">
        <v>54433.309841232069</v>
      </c>
      <c r="C48" s="13">
        <v>56726.57328859203</v>
      </c>
      <c r="D48" s="13">
        <v>56494.431410556004</v>
      </c>
      <c r="E48" s="13">
        <v>56681.19370519209</v>
      </c>
      <c r="F48" s="13">
        <v>56478.471196968007</v>
      </c>
      <c r="G48" s="13">
        <v>57130.116387984002</v>
      </c>
      <c r="H48" s="23">
        <v>57611.907999999356</v>
      </c>
      <c r="I48" s="13">
        <f t="shared" si="28"/>
        <v>100</v>
      </c>
      <c r="J48" s="13">
        <f t="shared" si="29"/>
        <v>104.21297814527321</v>
      </c>
      <c r="K48" s="13">
        <f t="shared" si="30"/>
        <v>103.786507885219</v>
      </c>
      <c r="L48" s="13">
        <f t="shared" si="31"/>
        <v>104.12961084034119</v>
      </c>
      <c r="M48" s="13">
        <f t="shared" si="32"/>
        <v>103.75718721073758</v>
      </c>
      <c r="N48" s="13">
        <f t="shared" si="33"/>
        <v>104.95433137286309</v>
      </c>
      <c r="O48" s="23">
        <f t="shared" si="33"/>
        <v>105.83943575733028</v>
      </c>
      <c r="P48" s="13">
        <v>1587208.8381648513</v>
      </c>
      <c r="Q48" s="13">
        <v>1283827.6398758597</v>
      </c>
      <c r="R48" s="13">
        <v>1128140.1984991715</v>
      </c>
      <c r="S48" s="13">
        <v>1350189.0166295927</v>
      </c>
      <c r="T48" s="13">
        <v>1471197.0357180859</v>
      </c>
      <c r="U48" s="13">
        <v>1476132.5146165378</v>
      </c>
      <c r="V48" s="23">
        <v>1467252.8541679229</v>
      </c>
      <c r="W48" s="13">
        <f t="shared" si="6"/>
        <v>100</v>
      </c>
      <c r="X48" s="13">
        <f t="shared" si="7"/>
        <v>80.885867631649262</v>
      </c>
      <c r="Y48" s="13">
        <f t="shared" si="8"/>
        <v>71.076985672757459</v>
      </c>
      <c r="Z48" s="13">
        <f t="shared" si="9"/>
        <v>85.066878671788174</v>
      </c>
      <c r="AA48" s="13">
        <f t="shared" si="10"/>
        <v>92.690829356715312</v>
      </c>
      <c r="AB48" s="13">
        <f t="shared" si="11"/>
        <v>93.001782696929709</v>
      </c>
      <c r="AC48" s="23">
        <f t="shared" si="11"/>
        <v>92.442331398833261</v>
      </c>
      <c r="AD48" s="13">
        <v>16.762278236743349</v>
      </c>
      <c r="AE48" s="13">
        <v>12.962510049916736</v>
      </c>
      <c r="AF48" s="13">
        <v>15.63747483664711</v>
      </c>
      <c r="AG48" s="13">
        <v>15.471794624284589</v>
      </c>
      <c r="AH48" s="13">
        <v>17.651889646608588</v>
      </c>
      <c r="AI48" s="13">
        <v>18.311942230178975</v>
      </c>
      <c r="AJ48" s="23">
        <v>18.770279619036483</v>
      </c>
      <c r="AK48" s="17">
        <v>39.43115610077389</v>
      </c>
      <c r="AL48" s="17">
        <v>41.718601676059393</v>
      </c>
      <c r="AM48" s="17">
        <v>43.083688492973799</v>
      </c>
      <c r="AN48" s="17">
        <v>46.646060907879381</v>
      </c>
      <c r="AO48" s="17">
        <v>48.501894271775242</v>
      </c>
      <c r="AP48" s="17">
        <v>49.30594751146257</v>
      </c>
      <c r="AQ48" s="18">
        <v>54.595252865433544</v>
      </c>
      <c r="AR48" s="42">
        <f t="shared" si="12"/>
        <v>724.39387235103675</v>
      </c>
      <c r="AS48" s="17">
        <f t="shared" si="13"/>
        <v>735.43313578663128</v>
      </c>
      <c r="AT48" s="17">
        <f t="shared" si="14"/>
        <v>762.61832214712047</v>
      </c>
      <c r="AU48" s="17">
        <f t="shared" si="15"/>
        <v>822.95480844127894</v>
      </c>
      <c r="AV48" s="17">
        <f t="shared" si="16"/>
        <v>858.76783212890905</v>
      </c>
      <c r="AW48" s="17">
        <f t="shared" si="17"/>
        <v>863.0465090708783</v>
      </c>
      <c r="AX48" s="18">
        <f t="shared" si="18"/>
        <v>947.63834007084358</v>
      </c>
      <c r="AY48" s="13">
        <f t="shared" si="34"/>
        <v>100</v>
      </c>
      <c r="AZ48" s="13">
        <f t="shared" si="35"/>
        <v>101.52393109010798</v>
      </c>
      <c r="BA48" s="13">
        <f t="shared" si="36"/>
        <v>105.27674946669903</v>
      </c>
      <c r="BB48" s="13">
        <f t="shared" si="37"/>
        <v>113.60598699853168</v>
      </c>
      <c r="BC48" s="13">
        <f t="shared" si="38"/>
        <v>118.54984765977639</v>
      </c>
      <c r="BD48" s="13">
        <f t="shared" si="39"/>
        <v>119.14050380766493</v>
      </c>
      <c r="BE48" s="23">
        <f t="shared" si="39"/>
        <v>130.8181054866273</v>
      </c>
      <c r="BF48" s="21">
        <f t="shared" si="40"/>
        <v>0.42510237827935171</v>
      </c>
      <c r="BG48" s="21">
        <f t="shared" si="41"/>
        <v>0.31071295607099392</v>
      </c>
      <c r="BH48" s="21">
        <f t="shared" si="42"/>
        <v>0.36295580493757656</v>
      </c>
      <c r="BI48" s="21">
        <f t="shared" si="43"/>
        <v>0.33168491236247383</v>
      </c>
      <c r="BJ48" s="21">
        <f t="shared" si="44"/>
        <v>0.3639422730109898</v>
      </c>
      <c r="BK48" s="21">
        <f t="shared" si="45"/>
        <v>0.37139418578097183</v>
      </c>
      <c r="BL48" s="21">
        <f t="shared" si="46"/>
        <v>0.34380790698600655</v>
      </c>
      <c r="BM48" s="42">
        <f t="shared" si="21"/>
        <v>22.668877864030542</v>
      </c>
      <c r="BN48" s="17">
        <f t="shared" si="22"/>
        <v>23.684527216142655</v>
      </c>
      <c r="BO48" s="17">
        <f t="shared" si="23"/>
        <v>24.430891156326691</v>
      </c>
      <c r="BP48" s="17">
        <f t="shared" si="24"/>
        <v>29.741513763594789</v>
      </c>
      <c r="BQ48" s="17">
        <f t="shared" si="25"/>
        <v>29.997909575166656</v>
      </c>
      <c r="BR48" s="17">
        <f t="shared" si="26"/>
        <v>30.970608453889419</v>
      </c>
      <c r="BS48" s="18">
        <f t="shared" si="27"/>
        <v>35.824973246397064</v>
      </c>
      <c r="BT48" s="17"/>
      <c r="BU48" s="17">
        <v>5.0715644099999997</v>
      </c>
      <c r="BV48" s="17">
        <v>3.0153225000000003</v>
      </c>
      <c r="BW48" s="17">
        <v>1.43275252</v>
      </c>
      <c r="BX48" s="17">
        <v>0.85209505000000008</v>
      </c>
      <c r="BY48" s="17">
        <v>2.3396827394176825E-2</v>
      </c>
      <c r="BZ48" s="18">
        <v>0</v>
      </c>
    </row>
    <row r="49" spans="1:78" x14ac:dyDescent="0.25">
      <c r="A49" s="1" t="s">
        <v>135</v>
      </c>
      <c r="B49" s="13">
        <v>39712.874379479952</v>
      </c>
      <c r="C49" s="13">
        <v>40780.859548799934</v>
      </c>
      <c r="D49" s="13">
        <v>41237.26666581598</v>
      </c>
      <c r="E49" s="13">
        <v>41274.299999135997</v>
      </c>
      <c r="F49" s="13">
        <v>41195.683331352004</v>
      </c>
      <c r="G49" s="13">
        <v>40056.177892499989</v>
      </c>
      <c r="H49" s="23">
        <v>38339.77500000038</v>
      </c>
      <c r="I49" s="13">
        <f t="shared" si="28"/>
        <v>100</v>
      </c>
      <c r="J49" s="13">
        <f t="shared" si="29"/>
        <v>102.68926685868858</v>
      </c>
      <c r="K49" s="13">
        <f t="shared" si="30"/>
        <v>103.83853425407983</v>
      </c>
      <c r="L49" s="13">
        <f t="shared" si="31"/>
        <v>103.93178696846697</v>
      </c>
      <c r="M49" s="13">
        <f t="shared" si="32"/>
        <v>103.73382429512137</v>
      </c>
      <c r="N49" s="13">
        <f t="shared" si="33"/>
        <v>100.86446402680292</v>
      </c>
      <c r="O49" s="23">
        <f t="shared" si="33"/>
        <v>96.542432647008127</v>
      </c>
      <c r="P49" s="13">
        <v>1088343.5106252099</v>
      </c>
      <c r="Q49" s="13">
        <v>874529.74416413961</v>
      </c>
      <c r="R49" s="13">
        <v>784639.03956711676</v>
      </c>
      <c r="S49" s="13">
        <v>1025715.6194519135</v>
      </c>
      <c r="T49" s="13">
        <v>1042982.3851289786</v>
      </c>
      <c r="U49" s="13">
        <v>1065157.5985141082</v>
      </c>
      <c r="V49" s="23">
        <v>988207.7773876962</v>
      </c>
      <c r="W49" s="13">
        <f t="shared" si="6"/>
        <v>100</v>
      </c>
      <c r="X49" s="13">
        <f t="shared" si="7"/>
        <v>80.354202108648323</v>
      </c>
      <c r="Y49" s="13">
        <f t="shared" si="8"/>
        <v>72.09479653316194</v>
      </c>
      <c r="Z49" s="13">
        <f t="shared" si="9"/>
        <v>94.245576827364076</v>
      </c>
      <c r="AA49" s="13">
        <f t="shared" si="10"/>
        <v>95.83209482544963</v>
      </c>
      <c r="AB49" s="13">
        <f t="shared" si="11"/>
        <v>97.869614521082383</v>
      </c>
      <c r="AC49" s="23">
        <f t="shared" si="11"/>
        <v>90.799252969313912</v>
      </c>
      <c r="AD49" s="13">
        <v>10.993269672232787</v>
      </c>
      <c r="AE49" s="13">
        <v>7.7738095105381859</v>
      </c>
      <c r="AF49" s="13">
        <v>9.6244876317379813</v>
      </c>
      <c r="AG49" s="13">
        <v>9.7847905760786382</v>
      </c>
      <c r="AH49" s="13">
        <v>10.812156723502959</v>
      </c>
      <c r="AI49" s="13">
        <v>11.358149234636839</v>
      </c>
      <c r="AJ49" s="23">
        <v>11.04281905020521</v>
      </c>
      <c r="AK49" s="17">
        <v>26.884172021624028</v>
      </c>
      <c r="AL49" s="17">
        <v>28.336440907358771</v>
      </c>
      <c r="AM49" s="17">
        <v>29.009584713614185</v>
      </c>
      <c r="AN49" s="17">
        <v>33.869826933423646</v>
      </c>
      <c r="AO49" s="17">
        <v>33.510213799943841</v>
      </c>
      <c r="AP49" s="17">
        <v>32.798958082333108</v>
      </c>
      <c r="AQ49" s="18">
        <v>34.14635604176042</v>
      </c>
      <c r="AR49" s="42">
        <f t="shared" si="12"/>
        <v>676.96364067556271</v>
      </c>
      <c r="AS49" s="17">
        <f t="shared" si="13"/>
        <v>694.84658295272811</v>
      </c>
      <c r="AT49" s="17">
        <f t="shared" si="14"/>
        <v>703.47981471967807</v>
      </c>
      <c r="AU49" s="17">
        <f t="shared" si="15"/>
        <v>820.60330360860507</v>
      </c>
      <c r="AV49" s="17">
        <f t="shared" si="16"/>
        <v>813.43993083957105</v>
      </c>
      <c r="AW49" s="17">
        <f t="shared" si="17"/>
        <v>818.82395695257526</v>
      </c>
      <c r="AX49" s="18">
        <f t="shared" si="18"/>
        <v>890.6248417409879</v>
      </c>
      <c r="AY49" s="13">
        <f t="shared" si="34"/>
        <v>100</v>
      </c>
      <c r="AZ49" s="13">
        <f t="shared" si="35"/>
        <v>102.64163999403564</v>
      </c>
      <c r="BA49" s="13">
        <f t="shared" si="36"/>
        <v>103.91692735781999</v>
      </c>
      <c r="BB49" s="13">
        <f t="shared" si="37"/>
        <v>121.21822418552641</v>
      </c>
      <c r="BC49" s="13">
        <f t="shared" si="38"/>
        <v>120.16006207184398</v>
      </c>
      <c r="BD49" s="13">
        <f t="shared" si="39"/>
        <v>120.95538190728321</v>
      </c>
      <c r="BE49" s="23">
        <f t="shared" si="39"/>
        <v>131.56169522667511</v>
      </c>
      <c r="BF49" s="21">
        <f t="shared" si="40"/>
        <v>0.40891233932703802</v>
      </c>
      <c r="BG49" s="21">
        <f t="shared" si="41"/>
        <v>0.27433965810855881</v>
      </c>
      <c r="BH49" s="21">
        <f t="shared" si="42"/>
        <v>0.33176923167814992</v>
      </c>
      <c r="BI49" s="21">
        <f t="shared" si="43"/>
        <v>0.28889402344193105</v>
      </c>
      <c r="BJ49" s="21">
        <f t="shared" si="44"/>
        <v>0.32265257357209337</v>
      </c>
      <c r="BK49" s="21">
        <f t="shared" si="45"/>
        <v>0.34629603800600034</v>
      </c>
      <c r="BL49" s="21">
        <f t="shared" si="46"/>
        <v>0.32339670554304617</v>
      </c>
      <c r="BM49" s="42">
        <f t="shared" si="21"/>
        <v>15.890902349391242</v>
      </c>
      <c r="BN49" s="17">
        <f t="shared" si="22"/>
        <v>15.924203746820584</v>
      </c>
      <c r="BO49" s="17">
        <f t="shared" si="23"/>
        <v>17.871406581876204</v>
      </c>
      <c r="BP49" s="17">
        <f t="shared" si="24"/>
        <v>23.509426127345009</v>
      </c>
      <c r="BQ49" s="17">
        <f t="shared" si="25"/>
        <v>22.174520336440882</v>
      </c>
      <c r="BR49" s="17">
        <f t="shared" si="26"/>
        <v>21.424643856617237</v>
      </c>
      <c r="BS49" s="18">
        <f t="shared" si="27"/>
        <v>23.10353699155521</v>
      </c>
      <c r="BT49" s="17"/>
      <c r="BU49" s="17">
        <v>4.6384276500000006</v>
      </c>
      <c r="BV49" s="17">
        <v>1.5136904999999998</v>
      </c>
      <c r="BW49" s="17">
        <v>0.57561023</v>
      </c>
      <c r="BX49" s="17">
        <v>0.52353674000000006</v>
      </c>
      <c r="BY49" s="17">
        <v>1.6164991079028912E-2</v>
      </c>
      <c r="BZ49" s="18">
        <v>0</v>
      </c>
    </row>
    <row r="50" spans="1:78" x14ac:dyDescent="0.25">
      <c r="A50" s="1" t="s">
        <v>136</v>
      </c>
      <c r="B50" s="13">
        <v>51152.024846159962</v>
      </c>
      <c r="C50" s="13">
        <v>54028.500000000073</v>
      </c>
      <c r="D50" s="13">
        <v>53226.88333178404</v>
      </c>
      <c r="E50" s="13">
        <v>52240.130941356074</v>
      </c>
      <c r="F50" s="13">
        <v>51618.450001068006</v>
      </c>
      <c r="G50" s="13">
        <v>49336.200000876001</v>
      </c>
      <c r="H50" s="23">
        <v>45608.558999999797</v>
      </c>
      <c r="I50" s="13">
        <f t="shared" si="28"/>
        <v>100</v>
      </c>
      <c r="J50" s="13">
        <f t="shared" si="29"/>
        <v>105.62338472913071</v>
      </c>
      <c r="K50" s="13">
        <f t="shared" si="30"/>
        <v>104.05625875390902</v>
      </c>
      <c r="L50" s="13">
        <f t="shared" si="31"/>
        <v>102.1272004353075</v>
      </c>
      <c r="M50" s="13">
        <f t="shared" si="32"/>
        <v>100.91184103915889</v>
      </c>
      <c r="N50" s="13">
        <f t="shared" si="33"/>
        <v>96.450140828745162</v>
      </c>
      <c r="O50" s="23">
        <f t="shared" si="33"/>
        <v>89.162763619168203</v>
      </c>
      <c r="P50" s="13">
        <v>644889.34209543082</v>
      </c>
      <c r="Q50" s="13">
        <v>530915.74408946384</v>
      </c>
      <c r="R50" s="13">
        <v>452170.42275174637</v>
      </c>
      <c r="S50" s="13">
        <v>509401.92677406821</v>
      </c>
      <c r="T50" s="13">
        <v>458826.73127789656</v>
      </c>
      <c r="U50" s="13">
        <v>458404.33391382481</v>
      </c>
      <c r="V50" s="23">
        <v>405159.67581954645</v>
      </c>
      <c r="W50" s="13">
        <f t="shared" si="6"/>
        <v>100</v>
      </c>
      <c r="X50" s="13">
        <f t="shared" si="7"/>
        <v>82.326642639862214</v>
      </c>
      <c r="Y50" s="13">
        <f t="shared" si="8"/>
        <v>70.115970793146417</v>
      </c>
      <c r="Z50" s="13">
        <f t="shared" si="9"/>
        <v>78.990594745894697</v>
      </c>
      <c r="AA50" s="13">
        <f t="shared" si="10"/>
        <v>71.148133691748825</v>
      </c>
      <c r="AB50" s="13">
        <f t="shared" si="11"/>
        <v>71.082634491110881</v>
      </c>
      <c r="AC50" s="23">
        <f t="shared" si="11"/>
        <v>62.826232249871929</v>
      </c>
      <c r="AD50" s="13">
        <v>8.2030698627235292</v>
      </c>
      <c r="AE50" s="13">
        <v>7.9516320631222284</v>
      </c>
      <c r="AF50" s="13">
        <v>7.367210232945113</v>
      </c>
      <c r="AG50" s="13">
        <v>7.4269879964838967</v>
      </c>
      <c r="AH50" s="13">
        <v>7.550708503358635</v>
      </c>
      <c r="AI50" s="13">
        <v>7.9942146360840258</v>
      </c>
      <c r="AJ50" s="23">
        <v>6.989412192724175</v>
      </c>
      <c r="AK50" s="17">
        <v>40.521952387315935</v>
      </c>
      <c r="AL50" s="17">
        <v>42.699620820328953</v>
      </c>
      <c r="AM50" s="17">
        <v>43.83806164065183</v>
      </c>
      <c r="AN50" s="17">
        <v>49.295476349608549</v>
      </c>
      <c r="AO50" s="17">
        <v>46.325488661504771</v>
      </c>
      <c r="AP50" s="17">
        <v>44.569924068923982</v>
      </c>
      <c r="AQ50" s="18">
        <v>42.883042470692374</v>
      </c>
      <c r="AR50" s="42">
        <f t="shared" si="12"/>
        <v>792.18667314120921</v>
      </c>
      <c r="AS50" s="17">
        <f t="shared" si="13"/>
        <v>790.31660735221033</v>
      </c>
      <c r="AT50" s="17">
        <f t="shared" si="14"/>
        <v>823.60752493043788</v>
      </c>
      <c r="AU50" s="17">
        <f t="shared" si="15"/>
        <v>943.63232750979989</v>
      </c>
      <c r="AV50" s="17">
        <f t="shared" si="16"/>
        <v>897.45989390511102</v>
      </c>
      <c r="AW50" s="17">
        <f t="shared" si="17"/>
        <v>903.39191239156253</v>
      </c>
      <c r="AX50" s="18">
        <f t="shared" si="18"/>
        <v>940.24111725811304</v>
      </c>
      <c r="AY50" s="13">
        <f t="shared" si="34"/>
        <v>100</v>
      </c>
      <c r="AZ50" s="13">
        <f t="shared" si="35"/>
        <v>99.763936222054369</v>
      </c>
      <c r="BA50" s="13">
        <f t="shared" si="36"/>
        <v>103.96634440524448</v>
      </c>
      <c r="BB50" s="13">
        <f t="shared" si="37"/>
        <v>119.11742011110493</v>
      </c>
      <c r="BC50" s="13">
        <f t="shared" si="38"/>
        <v>113.28894114646846</v>
      </c>
      <c r="BD50" s="13">
        <f t="shared" si="39"/>
        <v>114.03775688492688</v>
      </c>
      <c r="BE50" s="23">
        <f t="shared" si="39"/>
        <v>118.68933789681573</v>
      </c>
      <c r="BF50" s="21">
        <f t="shared" si="40"/>
        <v>0.20243520806493101</v>
      </c>
      <c r="BG50" s="21">
        <f t="shared" si="41"/>
        <v>0.18622254508022515</v>
      </c>
      <c r="BH50" s="21">
        <f t="shared" si="42"/>
        <v>0.16805510912721025</v>
      </c>
      <c r="BI50" s="21">
        <f t="shared" si="43"/>
        <v>0.15066266818908372</v>
      </c>
      <c r="BJ50" s="21">
        <f t="shared" si="44"/>
        <v>0.16299252790468824</v>
      </c>
      <c r="BK50" s="21">
        <f t="shared" si="45"/>
        <v>0.17936343404403346</v>
      </c>
      <c r="BL50" s="21">
        <f t="shared" si="46"/>
        <v>0.16298778701396852</v>
      </c>
      <c r="BM50" s="42">
        <f t="shared" si="21"/>
        <v>32.318882524592404</v>
      </c>
      <c r="BN50" s="17">
        <f t="shared" si="22"/>
        <v>31.791937577206728</v>
      </c>
      <c r="BO50" s="17">
        <f t="shared" si="23"/>
        <v>33.695049987706717</v>
      </c>
      <c r="BP50" s="17">
        <f t="shared" si="24"/>
        <v>40.814985493124652</v>
      </c>
      <c r="BQ50" s="17">
        <f t="shared" si="25"/>
        <v>38.014375048146135</v>
      </c>
      <c r="BR50" s="17">
        <f t="shared" si="26"/>
        <v>36.553362481686037</v>
      </c>
      <c r="BS50" s="18">
        <f t="shared" si="27"/>
        <v>35.893630277968199</v>
      </c>
      <c r="BT50" s="17"/>
      <c r="BU50" s="17">
        <v>2.9560511799999993</v>
      </c>
      <c r="BV50" s="17">
        <v>2.7758014199999996</v>
      </c>
      <c r="BW50" s="17">
        <v>1.0535028599999998</v>
      </c>
      <c r="BX50" s="17">
        <v>0.76040510999999988</v>
      </c>
      <c r="BY50" s="17">
        <v>2.2346951153923496E-2</v>
      </c>
      <c r="BZ50" s="18">
        <v>0</v>
      </c>
    </row>
    <row r="51" spans="1:78" x14ac:dyDescent="0.25">
      <c r="A51" s="1" t="s">
        <v>137</v>
      </c>
      <c r="B51" s="13">
        <v>49441.437001739949</v>
      </c>
      <c r="C51" s="13">
        <v>48929.619995279987</v>
      </c>
      <c r="D51" s="13">
        <v>48849.616664640023</v>
      </c>
      <c r="E51" s="13">
        <v>47902.833327912071</v>
      </c>
      <c r="F51" s="13">
        <v>43072.666665360004</v>
      </c>
      <c r="G51" s="13">
        <v>40447.300005639998</v>
      </c>
      <c r="H51" s="23">
        <v>40908.986000000106</v>
      </c>
      <c r="I51" s="13">
        <f t="shared" si="28"/>
        <v>100</v>
      </c>
      <c r="J51" s="13">
        <f t="shared" si="29"/>
        <v>98.964801515696337</v>
      </c>
      <c r="K51" s="13">
        <f t="shared" si="30"/>
        <v>98.802987184456029</v>
      </c>
      <c r="L51" s="13">
        <f t="shared" si="31"/>
        <v>96.888028004174458</v>
      </c>
      <c r="M51" s="13">
        <f t="shared" si="32"/>
        <v>87.118557383039217</v>
      </c>
      <c r="N51" s="13">
        <f t="shared" si="33"/>
        <v>81.808504077696142</v>
      </c>
      <c r="O51" s="23">
        <f t="shared" si="33"/>
        <v>82.74230783089989</v>
      </c>
      <c r="P51" s="13">
        <v>723057.22038700723</v>
      </c>
      <c r="Q51" s="13">
        <v>593905.37277510483</v>
      </c>
      <c r="R51" s="13">
        <v>558798.47018518031</v>
      </c>
      <c r="S51" s="13">
        <v>658190.34178339422</v>
      </c>
      <c r="T51" s="13">
        <v>688829.20928616531</v>
      </c>
      <c r="U51" s="13">
        <v>660837.41377681133</v>
      </c>
      <c r="V51" s="23">
        <v>661646.54759056505</v>
      </c>
      <c r="W51" s="13">
        <f t="shared" si="6"/>
        <v>100</v>
      </c>
      <c r="X51" s="13">
        <f t="shared" si="7"/>
        <v>82.138087557887118</v>
      </c>
      <c r="Y51" s="13">
        <f t="shared" si="8"/>
        <v>77.282745324926083</v>
      </c>
      <c r="Z51" s="13">
        <f t="shared" si="9"/>
        <v>91.028804253016958</v>
      </c>
      <c r="AA51" s="13">
        <f t="shared" si="10"/>
        <v>95.26620990209851</v>
      </c>
      <c r="AB51" s="13">
        <f t="shared" si="11"/>
        <v>91.394898653125466</v>
      </c>
      <c r="AC51" s="23">
        <f t="shared" si="11"/>
        <v>91.506803187225913</v>
      </c>
      <c r="AD51" s="13">
        <v>12.962719435649745</v>
      </c>
      <c r="AE51" s="13">
        <v>11.408412991758135</v>
      </c>
      <c r="AF51" s="13">
        <v>11.164826353950737</v>
      </c>
      <c r="AG51" s="13">
        <v>12.243354328465699</v>
      </c>
      <c r="AH51" s="13">
        <v>13.666792681428962</v>
      </c>
      <c r="AI51" s="13">
        <v>14.136922564606433</v>
      </c>
      <c r="AJ51" s="23">
        <v>14.115306979968533</v>
      </c>
      <c r="AK51" s="17">
        <v>33.837641221311628</v>
      </c>
      <c r="AL51" s="17">
        <v>33.515379757574038</v>
      </c>
      <c r="AM51" s="17">
        <v>34.595322218316355</v>
      </c>
      <c r="AN51" s="17">
        <v>36.755410674345569</v>
      </c>
      <c r="AO51" s="17">
        <v>30.216905028871924</v>
      </c>
      <c r="AP51" s="17">
        <v>28.719440581631208</v>
      </c>
      <c r="AQ51" s="18">
        <v>30.522839683897395</v>
      </c>
      <c r="AR51" s="42">
        <f t="shared" si="12"/>
        <v>684.39841706301559</v>
      </c>
      <c r="AS51" s="17">
        <f t="shared" si="13"/>
        <v>684.97118434206334</v>
      </c>
      <c r="AT51" s="17">
        <f t="shared" si="14"/>
        <v>708.20048508913487</v>
      </c>
      <c r="AU51" s="17">
        <f t="shared" si="15"/>
        <v>767.29095380938327</v>
      </c>
      <c r="AV51" s="17">
        <f t="shared" si="16"/>
        <v>701.53318492288827</v>
      </c>
      <c r="AW51" s="17">
        <f t="shared" si="17"/>
        <v>710.04592587457137</v>
      </c>
      <c r="AX51" s="18">
        <f t="shared" si="18"/>
        <v>746.11577231215938</v>
      </c>
      <c r="AY51" s="13">
        <f t="shared" si="34"/>
        <v>100</v>
      </c>
      <c r="AZ51" s="13">
        <f t="shared" si="35"/>
        <v>100.08368915894133</v>
      </c>
      <c r="BA51" s="13">
        <f t="shared" si="36"/>
        <v>103.47780874892463</v>
      </c>
      <c r="BB51" s="13">
        <f t="shared" si="37"/>
        <v>112.11173706422166</v>
      </c>
      <c r="BC51" s="13">
        <f t="shared" si="38"/>
        <v>102.50362470641059</v>
      </c>
      <c r="BD51" s="13">
        <f t="shared" si="39"/>
        <v>103.74745297068597</v>
      </c>
      <c r="BE51" s="23">
        <f t="shared" si="39"/>
        <v>109.01775248312143</v>
      </c>
      <c r="BF51" s="21">
        <f t="shared" si="40"/>
        <v>0.38308578753667866</v>
      </c>
      <c r="BG51" s="21">
        <f t="shared" si="41"/>
        <v>0.34039336788896096</v>
      </c>
      <c r="BH51" s="21">
        <f t="shared" si="42"/>
        <v>0.32272647392888176</v>
      </c>
      <c r="BI51" s="21">
        <f t="shared" si="43"/>
        <v>0.33310345616710191</v>
      </c>
      <c r="BJ51" s="21">
        <f t="shared" si="44"/>
        <v>0.45228962623308017</v>
      </c>
      <c r="BK51" s="21">
        <f t="shared" si="45"/>
        <v>0.49224226789599546</v>
      </c>
      <c r="BL51" s="21">
        <f t="shared" si="46"/>
        <v>0.46245064765108318</v>
      </c>
      <c r="BM51" s="42">
        <f t="shared" si="21"/>
        <v>20.874921785661883</v>
      </c>
      <c r="BN51" s="17">
        <f t="shared" si="22"/>
        <v>17.876115195815906</v>
      </c>
      <c r="BO51" s="17">
        <f t="shared" si="23"/>
        <v>20.620785704365616</v>
      </c>
      <c r="BP51" s="17">
        <f t="shared" si="24"/>
        <v>23.96744817587987</v>
      </c>
      <c r="BQ51" s="17">
        <f t="shared" si="25"/>
        <v>16.072807017442962</v>
      </c>
      <c r="BR51" s="17">
        <f t="shared" si="26"/>
        <v>14.567941685069878</v>
      </c>
      <c r="BS51" s="18">
        <f t="shared" si="27"/>
        <v>16.407532703928862</v>
      </c>
      <c r="BT51" s="17"/>
      <c r="BU51" s="17">
        <v>4.2308515699999996</v>
      </c>
      <c r="BV51" s="17">
        <v>2.8097101600000003</v>
      </c>
      <c r="BW51" s="17">
        <v>0.54460816999999995</v>
      </c>
      <c r="BX51" s="17">
        <v>0.47730532999999997</v>
      </c>
      <c r="BY51" s="17">
        <v>1.4576331954897799E-2</v>
      </c>
      <c r="BZ51" s="18">
        <v>0</v>
      </c>
    </row>
    <row r="52" spans="1:78" x14ac:dyDescent="0.25">
      <c r="A52" s="1" t="s">
        <v>138</v>
      </c>
      <c r="B52" s="13">
        <v>48869.650000968039</v>
      </c>
      <c r="C52" s="13">
        <v>48630.199999079989</v>
      </c>
      <c r="D52" s="13">
        <v>48678.355556220056</v>
      </c>
      <c r="E52" s="13">
        <v>48843.785723075969</v>
      </c>
      <c r="F52" s="13">
        <v>48835.816666356004</v>
      </c>
      <c r="G52" s="13">
        <v>47807.733332627999</v>
      </c>
      <c r="H52" s="23">
        <v>46764.234999999309</v>
      </c>
      <c r="I52" s="13">
        <f t="shared" si="28"/>
        <v>100</v>
      </c>
      <c r="J52" s="13">
        <f t="shared" si="29"/>
        <v>99.510023088188049</v>
      </c>
      <c r="K52" s="13">
        <f t="shared" si="30"/>
        <v>99.608561868676787</v>
      </c>
      <c r="L52" s="13">
        <f t="shared" si="31"/>
        <v>99.947074968018896</v>
      </c>
      <c r="M52" s="13">
        <f t="shared" si="32"/>
        <v>99.93076820764756</v>
      </c>
      <c r="N52" s="13">
        <f t="shared" si="33"/>
        <v>97.827042615776861</v>
      </c>
      <c r="O52" s="23">
        <f t="shared" si="33"/>
        <v>95.691773931413422</v>
      </c>
      <c r="P52" s="13">
        <v>871749.29516689188</v>
      </c>
      <c r="Q52" s="13">
        <v>691138.26456464501</v>
      </c>
      <c r="R52" s="13">
        <v>651255.51044775604</v>
      </c>
      <c r="S52" s="13">
        <v>766049.72056698659</v>
      </c>
      <c r="T52" s="13">
        <v>737005.5519039213</v>
      </c>
      <c r="U52" s="13">
        <v>737537.67470283702</v>
      </c>
      <c r="V52" s="23">
        <v>711943.99217974639</v>
      </c>
      <c r="W52" s="13">
        <f t="shared" si="6"/>
        <v>100</v>
      </c>
      <c r="X52" s="13">
        <f t="shared" si="7"/>
        <v>79.281769242191373</v>
      </c>
      <c r="Y52" s="13">
        <f t="shared" si="8"/>
        <v>74.706743562445496</v>
      </c>
      <c r="Z52" s="13">
        <f t="shared" si="9"/>
        <v>87.875003147588473</v>
      </c>
      <c r="AA52" s="13">
        <f t="shared" si="10"/>
        <v>84.54329197511143</v>
      </c>
      <c r="AB52" s="13">
        <f t="shared" si="11"/>
        <v>84.604332781437947</v>
      </c>
      <c r="AC52" s="23">
        <f t="shared" si="11"/>
        <v>81.66843335886476</v>
      </c>
      <c r="AD52" s="13">
        <v>14.48640290459589</v>
      </c>
      <c r="AE52" s="13">
        <v>11.542570839372281</v>
      </c>
      <c r="AF52" s="13">
        <v>11.290439492684904</v>
      </c>
      <c r="AG52" s="13">
        <v>12.425730919611659</v>
      </c>
      <c r="AH52" s="13">
        <v>12.51166690404278</v>
      </c>
      <c r="AI52" s="13">
        <v>13.281609951770296</v>
      </c>
      <c r="AJ52" s="23">
        <v>13.167751901642202</v>
      </c>
      <c r="AK52" s="17">
        <v>34.174403108752671</v>
      </c>
      <c r="AL52" s="17">
        <v>34.143324901795879</v>
      </c>
      <c r="AM52" s="17">
        <v>36.237657302681299</v>
      </c>
      <c r="AN52" s="17">
        <v>39.629381981837049</v>
      </c>
      <c r="AO52" s="17">
        <v>41.462594994534804</v>
      </c>
      <c r="AP52" s="17">
        <v>39.756469511365026</v>
      </c>
      <c r="AQ52" s="18">
        <v>41.286507982220293</v>
      </c>
      <c r="AR52" s="42">
        <f t="shared" si="12"/>
        <v>699.29707104666636</v>
      </c>
      <c r="AS52" s="17">
        <f t="shared" si="13"/>
        <v>702.10126428519357</v>
      </c>
      <c r="AT52" s="17">
        <f t="shared" si="14"/>
        <v>744.43059730786035</v>
      </c>
      <c r="AU52" s="17">
        <f t="shared" si="15"/>
        <v>811.34951755212478</v>
      </c>
      <c r="AV52" s="17">
        <f t="shared" si="16"/>
        <v>849.0202033029426</v>
      </c>
      <c r="AW52" s="17">
        <f t="shared" si="17"/>
        <v>831.59076450570569</v>
      </c>
      <c r="AX52" s="18">
        <f t="shared" si="18"/>
        <v>882.86503526083345</v>
      </c>
      <c r="AY52" s="13">
        <f t="shared" si="34"/>
        <v>100</v>
      </c>
      <c r="AZ52" s="13">
        <f t="shared" si="35"/>
        <v>100.40100171366799</v>
      </c>
      <c r="BA52" s="13">
        <f t="shared" si="36"/>
        <v>106.45412774196821</v>
      </c>
      <c r="BB52" s="13">
        <f t="shared" si="37"/>
        <v>116.02358298709088</v>
      </c>
      <c r="BC52" s="13">
        <f t="shared" si="38"/>
        <v>121.41051899905422</v>
      </c>
      <c r="BD52" s="13">
        <f t="shared" si="39"/>
        <v>118.91809631935537</v>
      </c>
      <c r="BE52" s="23">
        <f t="shared" si="39"/>
        <v>126.25035508005395</v>
      </c>
      <c r="BF52" s="21">
        <f t="shared" si="40"/>
        <v>0.42389629625705633</v>
      </c>
      <c r="BG52" s="21">
        <f t="shared" si="41"/>
        <v>0.33806229687856681</v>
      </c>
      <c r="BH52" s="21">
        <f t="shared" si="42"/>
        <v>0.31156648451028596</v>
      </c>
      <c r="BI52" s="21">
        <f t="shared" si="43"/>
        <v>0.31354844053098341</v>
      </c>
      <c r="BJ52" s="21">
        <f t="shared" si="44"/>
        <v>0.30175793159332998</v>
      </c>
      <c r="BK52" s="21">
        <f t="shared" si="45"/>
        <v>0.33407418000166073</v>
      </c>
      <c r="BL52" s="21">
        <f t="shared" si="46"/>
        <v>0.31893595620421056</v>
      </c>
      <c r="BM52" s="169">
        <f t="shared" si="21"/>
        <v>19.688000204156779</v>
      </c>
      <c r="BN52" s="167">
        <f t="shared" si="22"/>
        <v>17.791561632423598</v>
      </c>
      <c r="BO52" s="167">
        <f t="shared" si="23"/>
        <v>20.714842959996396</v>
      </c>
      <c r="BP52" s="167">
        <f t="shared" si="24"/>
        <v>25.727571842225391</v>
      </c>
      <c r="BQ52" s="167">
        <f t="shared" si="25"/>
        <v>28.177552100492022</v>
      </c>
      <c r="BR52" s="167">
        <f t="shared" si="26"/>
        <v>26.454858419578095</v>
      </c>
      <c r="BS52" s="166">
        <f t="shared" si="27"/>
        <v>28.118756080578091</v>
      </c>
      <c r="BT52" s="17"/>
      <c r="BU52" s="17">
        <v>4.8091924300000004</v>
      </c>
      <c r="BV52" s="17">
        <v>4.2323748499999994</v>
      </c>
      <c r="BW52" s="17">
        <v>1.4760792200000001</v>
      </c>
      <c r="BX52" s="17">
        <v>0.77337599000000001</v>
      </c>
      <c r="BY52" s="17">
        <v>2.0001140016634774E-2</v>
      </c>
      <c r="BZ52" s="18">
        <v>0</v>
      </c>
    </row>
    <row r="53" spans="1:78" ht="16.5" thickBot="1" x14ac:dyDescent="0.3">
      <c r="A53" s="25" t="s">
        <v>27</v>
      </c>
      <c r="B53" s="26">
        <f t="shared" ref="B53:H53" si="47">SUM(B6:B52)</f>
        <v>4232703.616542913</v>
      </c>
      <c r="C53" s="26">
        <f t="shared" si="47"/>
        <v>4084195.8992786179</v>
      </c>
      <c r="D53" s="26">
        <f t="shared" si="47"/>
        <v>4077598.3166151098</v>
      </c>
      <c r="E53" s="26">
        <f t="shared" si="47"/>
        <v>4119023.9781517927</v>
      </c>
      <c r="F53" s="26">
        <f t="shared" si="47"/>
        <v>4114493.9799717814</v>
      </c>
      <c r="G53" s="26">
        <f t="shared" si="47"/>
        <v>4063325.9040185204</v>
      </c>
      <c r="H53" s="26">
        <f t="shared" si="47"/>
        <v>4001022.0019999975</v>
      </c>
      <c r="I53" s="26">
        <f t="shared" si="28"/>
        <v>100</v>
      </c>
      <c r="J53" s="26">
        <f t="shared" si="29"/>
        <v>96.491421778650562</v>
      </c>
      <c r="K53" s="26">
        <f t="shared" si="30"/>
        <v>96.335550183065109</v>
      </c>
      <c r="L53" s="26">
        <f t="shared" si="31"/>
        <v>97.314254701254782</v>
      </c>
      <c r="M53" s="26">
        <f t="shared" si="32"/>
        <v>97.20723095023412</v>
      </c>
      <c r="N53" s="26">
        <f t="shared" si="33"/>
        <v>95.998356420175412</v>
      </c>
      <c r="O53" s="27">
        <f t="shared" si="33"/>
        <v>94.526391745516477</v>
      </c>
      <c r="P53" s="26">
        <f t="shared" ref="P53:V53" si="48">SUM(P6:P52)</f>
        <v>192768088.90863076</v>
      </c>
      <c r="Q53" s="26">
        <f t="shared" si="48"/>
        <v>122143872.54422235</v>
      </c>
      <c r="R53" s="26">
        <f t="shared" si="48"/>
        <v>120234793.53361161</v>
      </c>
      <c r="S53" s="26">
        <f t="shared" si="48"/>
        <v>150288700.04416904</v>
      </c>
      <c r="T53" s="26">
        <f t="shared" si="48"/>
        <v>160111680.38315192</v>
      </c>
      <c r="U53" s="26">
        <f t="shared" si="48"/>
        <v>163994527.22642446</v>
      </c>
      <c r="V53" s="27">
        <f t="shared" si="48"/>
        <v>160743847.31185833</v>
      </c>
      <c r="W53" s="26">
        <f t="shared" si="6"/>
        <v>100</v>
      </c>
      <c r="X53" s="26">
        <f t="shared" si="7"/>
        <v>63.363118468283794</v>
      </c>
      <c r="Y53" s="26">
        <f t="shared" si="8"/>
        <v>62.372768342690343</v>
      </c>
      <c r="Z53" s="26">
        <f t="shared" si="9"/>
        <v>77.96347460569767</v>
      </c>
      <c r="AA53" s="26">
        <f t="shared" si="10"/>
        <v>83.059224838319849</v>
      </c>
      <c r="AB53" s="26">
        <f t="shared" si="11"/>
        <v>85.07348293739399</v>
      </c>
      <c r="AC53" s="27">
        <f t="shared" si="11"/>
        <v>83.38716652840219</v>
      </c>
      <c r="AD53" s="26">
        <f t="shared" ref="AD53:AQ53" si="49">SUM(AD6:AD52)</f>
        <v>1696.3557801938475</v>
      </c>
      <c r="AE53" s="26">
        <f t="shared" si="49"/>
        <v>1116.017030682621</v>
      </c>
      <c r="AF53" s="26">
        <f t="shared" si="49"/>
        <v>1205.1068834021467</v>
      </c>
      <c r="AG53" s="26">
        <f t="shared" si="49"/>
        <v>1451.5634273399983</v>
      </c>
      <c r="AH53" s="26">
        <f t="shared" si="49"/>
        <v>1663.997676506161</v>
      </c>
      <c r="AI53" s="26">
        <f t="shared" si="49"/>
        <v>1858.0843435441961</v>
      </c>
      <c r="AJ53" s="27">
        <f t="shared" si="49"/>
        <v>1873.2275033172662</v>
      </c>
      <c r="AK53" s="28">
        <f t="shared" si="49"/>
        <v>3110.7431038200007</v>
      </c>
      <c r="AL53" s="28">
        <f t="shared" si="49"/>
        <v>3060.2947947600005</v>
      </c>
      <c r="AM53" s="28">
        <f t="shared" si="49"/>
        <v>3173.096798269999</v>
      </c>
      <c r="AN53" s="28">
        <f t="shared" si="49"/>
        <v>3480.306228590001</v>
      </c>
      <c r="AO53" s="28">
        <f t="shared" si="49"/>
        <v>3512.4327308900001</v>
      </c>
      <c r="AP53" s="28">
        <f t="shared" si="49"/>
        <v>3398.7224048666426</v>
      </c>
      <c r="AQ53" s="29">
        <f t="shared" si="49"/>
        <v>3526.522534226986</v>
      </c>
      <c r="AR53" s="43">
        <f t="shared" si="12"/>
        <v>734.93052801101146</v>
      </c>
      <c r="AS53" s="28">
        <f t="shared" si="13"/>
        <v>749.30166677375428</v>
      </c>
      <c r="AT53" s="28">
        <f t="shared" si="14"/>
        <v>778.17787626125119</v>
      </c>
      <c r="AU53" s="28">
        <f t="shared" si="15"/>
        <v>844.93468526775018</v>
      </c>
      <c r="AV53" s="28">
        <f t="shared" si="16"/>
        <v>853.67307571418291</v>
      </c>
      <c r="AW53" s="28">
        <f t="shared" si="17"/>
        <v>836.43854447052775</v>
      </c>
      <c r="AX53" s="29">
        <f t="shared" si="18"/>
        <v>881.40543402765024</v>
      </c>
      <c r="AY53" s="26">
        <f t="shared" si="34"/>
        <v>100</v>
      </c>
      <c r="AZ53" s="26">
        <f t="shared" si="35"/>
        <v>101.95544180232059</v>
      </c>
      <c r="BA53" s="26">
        <f t="shared" si="36"/>
        <v>105.88454916511398</v>
      </c>
      <c r="BB53" s="26">
        <f t="shared" si="37"/>
        <v>114.96796677564203</v>
      </c>
      <c r="BC53" s="26">
        <f t="shared" si="38"/>
        <v>116.15697581981412</v>
      </c>
      <c r="BD53" s="26">
        <f t="shared" si="39"/>
        <v>113.81191998299944</v>
      </c>
      <c r="BE53" s="27">
        <f t="shared" si="39"/>
        <v>119.93044246141918</v>
      </c>
      <c r="BF53" s="30">
        <f t="shared" ref="BF53" si="50">IFERROR(AD53/AK53,"")</f>
        <v>0.5453217201094871</v>
      </c>
      <c r="BG53" s="30">
        <f t="shared" ref="BG53" si="51">IFERROR(AE53/AL53,"")</f>
        <v>0.36467631569139181</v>
      </c>
      <c r="BH53" s="30">
        <f t="shared" ref="BH53" si="52">IFERROR(AF53/AM53,"")</f>
        <v>0.37978888134114969</v>
      </c>
      <c r="BI53" s="30">
        <f t="shared" ref="BI53" si="53">IFERROR(AG53/AN53,"")</f>
        <v>0.41707922579217394</v>
      </c>
      <c r="BJ53" s="30">
        <f t="shared" ref="BJ53" si="54">IFERROR(AH53/AO53,"")</f>
        <v>0.47374506616800827</v>
      </c>
      <c r="BK53" s="30">
        <f t="shared" ref="BK53" si="55">IFERROR(AI53/AP53,"")</f>
        <v>0.54670082525233554</v>
      </c>
      <c r="BL53" s="31">
        <f t="shared" ref="BL53" si="56">IFERROR(AJ53/AQ53,"")</f>
        <v>0.53118262683322903</v>
      </c>
      <c r="BM53" s="28">
        <f t="shared" ref="BM53:BZ53" si="57">SUM(BM6:BM52)</f>
        <v>1414.3873236261536</v>
      </c>
      <c r="BN53" s="28">
        <f t="shared" si="57"/>
        <v>1448.6167391973779</v>
      </c>
      <c r="BO53" s="28">
        <f t="shared" si="57"/>
        <v>1522.3530226078526</v>
      </c>
      <c r="BP53" s="28">
        <f t="shared" si="57"/>
        <v>1925.0024422300012</v>
      </c>
      <c r="BQ53" s="28">
        <f t="shared" si="57"/>
        <v>1786.3788335138397</v>
      </c>
      <c r="BR53" s="28">
        <f t="shared" si="57"/>
        <v>1538.9436989975884</v>
      </c>
      <c r="BS53" s="29">
        <f t="shared" si="57"/>
        <v>1653.2950309097198</v>
      </c>
      <c r="BT53" s="28">
        <f t="shared" si="57"/>
        <v>0</v>
      </c>
      <c r="BU53" s="28">
        <f t="shared" si="57"/>
        <v>495.66102487999996</v>
      </c>
      <c r="BV53" s="28">
        <f t="shared" si="57"/>
        <v>445.63689226000002</v>
      </c>
      <c r="BW53" s="28">
        <f t="shared" si="57"/>
        <v>103.74035902</v>
      </c>
      <c r="BX53" s="28">
        <f t="shared" si="57"/>
        <v>62.05622086999999</v>
      </c>
      <c r="BY53" s="28">
        <f t="shared" si="57"/>
        <v>1.6943623248569424</v>
      </c>
      <c r="BZ53" s="29">
        <f t="shared" si="57"/>
        <v>0</v>
      </c>
    </row>
    <row r="54" spans="1:78" ht="16.5" thickTop="1" x14ac:dyDescent="0.25">
      <c r="B54" s="1" t="s">
        <v>139</v>
      </c>
      <c r="P54" s="1" t="s">
        <v>139</v>
      </c>
      <c r="W54" s="1" t="s">
        <v>139</v>
      </c>
      <c r="AD54" s="1" t="s">
        <v>139</v>
      </c>
    </row>
    <row r="55" spans="1:78" ht="49.9" customHeight="1" x14ac:dyDescent="0.25">
      <c r="A55" s="40" t="s">
        <v>240</v>
      </c>
      <c r="B55" s="40"/>
      <c r="C55" s="40"/>
      <c r="D55" s="40"/>
      <c r="E55" s="40"/>
      <c r="F55" s="40"/>
      <c r="G55" s="40"/>
      <c r="H55" s="40"/>
      <c r="I55" s="40"/>
      <c r="J55" s="40"/>
      <c r="K55" s="40"/>
      <c r="L55" s="40"/>
      <c r="M55" s="40"/>
      <c r="N55" s="40"/>
      <c r="O55" s="40"/>
      <c r="P55" s="44"/>
      <c r="Q55" s="44"/>
      <c r="R55" s="44"/>
      <c r="S55" s="44"/>
      <c r="AB55" s="32"/>
      <c r="AC55" s="32"/>
      <c r="AR55" s="33">
        <f t="shared" ref="AR55:AW55" si="58">+AR53/$AR$53*100</f>
        <v>100</v>
      </c>
      <c r="AS55" s="33">
        <f t="shared" si="58"/>
        <v>101.95544180232059</v>
      </c>
      <c r="AT55" s="33">
        <f t="shared" si="58"/>
        <v>105.88454916511398</v>
      </c>
      <c r="AU55" s="33">
        <f t="shared" si="58"/>
        <v>114.96796677564203</v>
      </c>
      <c r="AV55" s="33">
        <f t="shared" si="58"/>
        <v>116.15697581981412</v>
      </c>
      <c r="AW55" s="33">
        <f t="shared" si="58"/>
        <v>113.81191998299944</v>
      </c>
      <c r="AX55" s="33"/>
      <c r="AY55" s="33"/>
      <c r="AZ55" s="33"/>
      <c r="BA55" s="33"/>
      <c r="BB55" s="33"/>
      <c r="BC55" s="33"/>
      <c r="BD55" s="33"/>
      <c r="BE55" s="33"/>
    </row>
  </sheetData>
  <mergeCells count="11">
    <mergeCell ref="B4:H4"/>
    <mergeCell ref="I4:O4"/>
    <mergeCell ref="P4:V4"/>
    <mergeCell ref="W4:AC4"/>
    <mergeCell ref="AD4:AJ4"/>
    <mergeCell ref="AK4:AQ4"/>
    <mergeCell ref="AR4:AX4"/>
    <mergeCell ref="BT4:BZ4"/>
    <mergeCell ref="AY4:BE4"/>
    <mergeCell ref="BF4:BL4"/>
    <mergeCell ref="BM4:BS4"/>
  </mergeCells>
  <pageMargins left="0.70866141732283472" right="0.70866141732283472" top="0.74803149606299213" bottom="0.74803149606299213" header="0.31496062992125984" footer="0.31496062992125984"/>
  <pageSetup paperSize="8" scale="2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BEE1A-E2EC-4186-B5E7-06F87FCAD83B}">
  <sheetPr>
    <pageSetUpPr fitToPage="1"/>
  </sheetPr>
  <dimension ref="A2:BZ48"/>
  <sheetViews>
    <sheetView zoomScale="85" zoomScaleNormal="85" workbookViewId="0">
      <pane xSplit="1" ySplit="5" topLeftCell="S6" activePane="bottomRight" state="frozen"/>
      <selection activeCell="AI16" sqref="AI16"/>
      <selection pane="topRight" activeCell="AI16" sqref="AI16"/>
      <selection pane="bottomLeft" activeCell="AI16" sqref="AI16"/>
      <selection pane="bottomRight" activeCell="AI20" sqref="AI20:AJ20"/>
    </sheetView>
  </sheetViews>
  <sheetFormatPr defaultColWidth="9" defaultRowHeight="15.75" outlineLevelCol="1" x14ac:dyDescent="0.25"/>
  <cols>
    <col min="1" max="1" width="30.125" style="1" customWidth="1"/>
    <col min="2" max="8" width="10.625" style="1" customWidth="1"/>
    <col min="9" max="15" width="8.625" style="1" customWidth="1"/>
    <col min="16" max="22" width="12.625" style="1" customWidth="1"/>
    <col min="23" max="29" width="8.625" style="1" customWidth="1"/>
    <col min="30" max="36" width="8.625" style="17" customWidth="1"/>
    <col min="37" max="43" width="8.625" style="17" customWidth="1" outlineLevel="1"/>
    <col min="44" max="50" width="8.625" style="1" customWidth="1" outlineLevel="1"/>
    <col min="51" max="71" width="8.625" style="1" customWidth="1"/>
    <col min="72" max="75" width="6.75" style="1" bestFit="1" customWidth="1"/>
    <col min="76" max="76" width="7.5" style="1" bestFit="1" customWidth="1"/>
    <col min="77" max="77" width="6.75" style="1" bestFit="1" customWidth="1"/>
    <col min="78" max="78" width="6.75" style="1" customWidth="1"/>
    <col min="79" max="16384" width="9" style="1"/>
  </cols>
  <sheetData>
    <row r="2" spans="1:78" x14ac:dyDescent="0.25">
      <c r="A2" s="2" t="s">
        <v>0</v>
      </c>
      <c r="B2" s="2"/>
      <c r="C2" s="2"/>
      <c r="D2" s="2"/>
      <c r="P2" s="2"/>
      <c r="Q2" s="2"/>
      <c r="R2" s="2"/>
      <c r="AD2" s="35"/>
      <c r="AE2" s="35"/>
      <c r="AF2" s="35"/>
      <c r="AK2" s="35"/>
      <c r="AL2" s="35"/>
      <c r="AM2" s="35"/>
    </row>
    <row r="4" spans="1:78" s="6" customFormat="1" ht="40.9" customHeight="1" x14ac:dyDescent="0.25">
      <c r="A4" s="5"/>
      <c r="B4" s="213" t="s">
        <v>1</v>
      </c>
      <c r="C4" s="214"/>
      <c r="D4" s="214"/>
      <c r="E4" s="214"/>
      <c r="F4" s="214"/>
      <c r="G4" s="214"/>
      <c r="H4" s="215"/>
      <c r="I4" s="213" t="s">
        <v>156</v>
      </c>
      <c r="J4" s="214"/>
      <c r="K4" s="214"/>
      <c r="L4" s="214"/>
      <c r="M4" s="214"/>
      <c r="N4" s="214"/>
      <c r="O4" s="215"/>
      <c r="P4" s="213" t="s">
        <v>2</v>
      </c>
      <c r="Q4" s="214"/>
      <c r="R4" s="214"/>
      <c r="S4" s="214"/>
      <c r="T4" s="214"/>
      <c r="U4" s="214"/>
      <c r="V4" s="215"/>
      <c r="W4" s="213" t="s">
        <v>7</v>
      </c>
      <c r="X4" s="214"/>
      <c r="Y4" s="214"/>
      <c r="Z4" s="214"/>
      <c r="AA4" s="214"/>
      <c r="AB4" s="214"/>
      <c r="AC4" s="215"/>
      <c r="AD4" s="213" t="s">
        <v>3</v>
      </c>
      <c r="AE4" s="214"/>
      <c r="AF4" s="214"/>
      <c r="AG4" s="214"/>
      <c r="AH4" s="214"/>
      <c r="AI4" s="214"/>
      <c r="AJ4" s="215"/>
      <c r="AK4" s="216" t="s">
        <v>4</v>
      </c>
      <c r="AL4" s="217"/>
      <c r="AM4" s="217"/>
      <c r="AN4" s="217"/>
      <c r="AO4" s="217"/>
      <c r="AP4" s="217"/>
      <c r="AQ4" s="218"/>
      <c r="AR4" s="216" t="s">
        <v>8</v>
      </c>
      <c r="AS4" s="217"/>
      <c r="AT4" s="217"/>
      <c r="AU4" s="217"/>
      <c r="AV4" s="217"/>
      <c r="AW4" s="217"/>
      <c r="AX4" s="218"/>
      <c r="AY4" s="213" t="s">
        <v>155</v>
      </c>
      <c r="AZ4" s="214"/>
      <c r="BA4" s="214"/>
      <c r="BB4" s="214"/>
      <c r="BC4" s="214"/>
      <c r="BD4" s="214"/>
      <c r="BE4" s="215"/>
      <c r="BF4" s="214" t="s">
        <v>242</v>
      </c>
      <c r="BG4" s="214"/>
      <c r="BH4" s="214"/>
      <c r="BI4" s="214"/>
      <c r="BJ4" s="214"/>
      <c r="BK4" s="214"/>
      <c r="BL4" s="215"/>
      <c r="BM4" s="213" t="s">
        <v>243</v>
      </c>
      <c r="BN4" s="214"/>
      <c r="BO4" s="214"/>
      <c r="BP4" s="214"/>
      <c r="BQ4" s="214"/>
      <c r="BR4" s="214"/>
      <c r="BS4" s="215" t="s">
        <v>5</v>
      </c>
      <c r="BT4" s="213" t="s">
        <v>6</v>
      </c>
      <c r="BU4" s="214"/>
      <c r="BV4" s="214"/>
      <c r="BW4" s="214"/>
      <c r="BX4" s="214"/>
      <c r="BY4" s="214"/>
      <c r="BZ4" s="215"/>
    </row>
    <row r="5" spans="1:78" x14ac:dyDescent="0.25">
      <c r="A5" s="7" t="s">
        <v>9</v>
      </c>
      <c r="B5" s="8" t="s">
        <v>10</v>
      </c>
      <c r="C5" s="9" t="s">
        <v>11</v>
      </c>
      <c r="D5" s="9" t="s">
        <v>12</v>
      </c>
      <c r="E5" s="10" t="s">
        <v>13</v>
      </c>
      <c r="F5" s="10" t="s">
        <v>157</v>
      </c>
      <c r="G5" s="10" t="s">
        <v>158</v>
      </c>
      <c r="H5" s="11" t="s">
        <v>159</v>
      </c>
      <c r="I5" s="8" t="s">
        <v>10</v>
      </c>
      <c r="J5" s="9" t="s">
        <v>11</v>
      </c>
      <c r="K5" s="9" t="s">
        <v>12</v>
      </c>
      <c r="L5" s="10" t="s">
        <v>13</v>
      </c>
      <c r="M5" s="10" t="s">
        <v>157</v>
      </c>
      <c r="N5" s="10" t="s">
        <v>158</v>
      </c>
      <c r="O5" s="11" t="s">
        <v>159</v>
      </c>
      <c r="P5" s="8" t="s">
        <v>10</v>
      </c>
      <c r="Q5" s="9" t="s">
        <v>11</v>
      </c>
      <c r="R5" s="9" t="s">
        <v>12</v>
      </c>
      <c r="S5" s="10" t="s">
        <v>13</v>
      </c>
      <c r="T5" s="10" t="s">
        <v>157</v>
      </c>
      <c r="U5" s="10" t="s">
        <v>158</v>
      </c>
      <c r="V5" s="11" t="s">
        <v>159</v>
      </c>
      <c r="W5" s="8" t="s">
        <v>10</v>
      </c>
      <c r="X5" s="9" t="s">
        <v>11</v>
      </c>
      <c r="Y5" s="9" t="s">
        <v>12</v>
      </c>
      <c r="Z5" s="10" t="s">
        <v>13</v>
      </c>
      <c r="AA5" s="10" t="s">
        <v>157</v>
      </c>
      <c r="AB5" s="10" t="s">
        <v>158</v>
      </c>
      <c r="AC5" s="11" t="s">
        <v>159</v>
      </c>
      <c r="AD5" s="8" t="s">
        <v>10</v>
      </c>
      <c r="AE5" s="9" t="s">
        <v>11</v>
      </c>
      <c r="AF5" s="9" t="s">
        <v>12</v>
      </c>
      <c r="AG5" s="10" t="s">
        <v>13</v>
      </c>
      <c r="AH5" s="10" t="s">
        <v>157</v>
      </c>
      <c r="AI5" s="10" t="s">
        <v>158</v>
      </c>
      <c r="AJ5" s="11" t="s">
        <v>159</v>
      </c>
      <c r="AK5" s="77" t="s">
        <v>10</v>
      </c>
      <c r="AL5" s="78" t="s">
        <v>11</v>
      </c>
      <c r="AM5" s="78" t="s">
        <v>12</v>
      </c>
      <c r="AN5" s="79" t="s">
        <v>13</v>
      </c>
      <c r="AO5" s="79" t="s">
        <v>157</v>
      </c>
      <c r="AP5" s="79" t="s">
        <v>158</v>
      </c>
      <c r="AQ5" s="80" t="s">
        <v>159</v>
      </c>
      <c r="AR5" s="77" t="s">
        <v>10</v>
      </c>
      <c r="AS5" s="78" t="s">
        <v>11</v>
      </c>
      <c r="AT5" s="78" t="s">
        <v>12</v>
      </c>
      <c r="AU5" s="79" t="s">
        <v>13</v>
      </c>
      <c r="AV5" s="79" t="s">
        <v>157</v>
      </c>
      <c r="AW5" s="79" t="s">
        <v>158</v>
      </c>
      <c r="AX5" s="80" t="s">
        <v>159</v>
      </c>
      <c r="AY5" s="8" t="s">
        <v>10</v>
      </c>
      <c r="AZ5" s="9" t="s">
        <v>11</v>
      </c>
      <c r="BA5" s="9" t="s">
        <v>12</v>
      </c>
      <c r="BB5" s="10" t="s">
        <v>13</v>
      </c>
      <c r="BC5" s="10" t="s">
        <v>157</v>
      </c>
      <c r="BD5" s="10" t="s">
        <v>158</v>
      </c>
      <c r="BE5" s="11" t="s">
        <v>159</v>
      </c>
      <c r="BF5" s="10" t="s">
        <v>10</v>
      </c>
      <c r="BG5" s="9" t="s">
        <v>11</v>
      </c>
      <c r="BH5" s="9" t="s">
        <v>12</v>
      </c>
      <c r="BI5" s="10" t="s">
        <v>13</v>
      </c>
      <c r="BJ5" s="10" t="s">
        <v>157</v>
      </c>
      <c r="BK5" s="10" t="s">
        <v>158</v>
      </c>
      <c r="BL5" s="11" t="s">
        <v>159</v>
      </c>
      <c r="BM5" s="8" t="s">
        <v>10</v>
      </c>
      <c r="BN5" s="9" t="s">
        <v>11</v>
      </c>
      <c r="BO5" s="9" t="s">
        <v>12</v>
      </c>
      <c r="BP5" s="10" t="s">
        <v>13</v>
      </c>
      <c r="BQ5" s="10" t="s">
        <v>157</v>
      </c>
      <c r="BR5" s="10" t="s">
        <v>158</v>
      </c>
      <c r="BS5" s="11" t="s">
        <v>159</v>
      </c>
      <c r="BT5" s="8" t="s">
        <v>10</v>
      </c>
      <c r="BU5" s="9" t="s">
        <v>11</v>
      </c>
      <c r="BV5" s="9" t="s">
        <v>12</v>
      </c>
      <c r="BW5" s="10" t="s">
        <v>13</v>
      </c>
      <c r="BX5" s="10" t="s">
        <v>157</v>
      </c>
      <c r="BY5" s="10" t="s">
        <v>158</v>
      </c>
      <c r="BZ5" s="11" t="s">
        <v>159</v>
      </c>
    </row>
    <row r="6" spans="1:78" x14ac:dyDescent="0.25">
      <c r="A6" s="3" t="s">
        <v>14</v>
      </c>
      <c r="B6" s="13">
        <v>22728.050000000003</v>
      </c>
      <c r="C6" s="13">
        <v>23174.230000000003</v>
      </c>
      <c r="D6" s="13">
        <v>23681.31</v>
      </c>
      <c r="E6" s="14">
        <v>24017.32</v>
      </c>
      <c r="F6" s="13">
        <v>20580.54</v>
      </c>
      <c r="G6" s="13">
        <v>17511.16</v>
      </c>
      <c r="H6" s="23">
        <v>17265.879999999997</v>
      </c>
      <c r="I6" s="13">
        <f t="shared" ref="I6" si="0">+B6/$B6*100</f>
        <v>100</v>
      </c>
      <c r="J6" s="13">
        <f t="shared" ref="J6" si="1">+C6/$B6*100</f>
        <v>101.96312486112976</v>
      </c>
      <c r="K6" s="13">
        <f t="shared" ref="K6" si="2">+D6/$B6*100</f>
        <v>104.1942005583409</v>
      </c>
      <c r="L6" s="14">
        <f t="shared" ref="L6" si="3">+E6/$B6*100</f>
        <v>105.67259399728528</v>
      </c>
      <c r="M6" s="13">
        <f t="shared" ref="M6" si="4">+F6/$B6*100</f>
        <v>90.551279146253194</v>
      </c>
      <c r="N6" s="13">
        <f t="shared" ref="N6:O6" si="5">+G6/$B6*100</f>
        <v>77.046469010759822</v>
      </c>
      <c r="O6" s="23">
        <f t="shared" si="5"/>
        <v>75.967273919231943</v>
      </c>
      <c r="P6" s="13" t="s">
        <v>15</v>
      </c>
      <c r="Q6" s="13" t="s">
        <v>15</v>
      </c>
      <c r="R6" s="13" t="s">
        <v>15</v>
      </c>
      <c r="S6" s="14" t="s">
        <v>15</v>
      </c>
      <c r="T6" s="14" t="s">
        <v>15</v>
      </c>
      <c r="U6" s="14" t="s">
        <v>15</v>
      </c>
      <c r="V6" s="14" t="s">
        <v>15</v>
      </c>
      <c r="W6" s="13">
        <v>100</v>
      </c>
      <c r="X6" s="13">
        <v>79.14158634952814</v>
      </c>
      <c r="Y6" s="13">
        <v>72.598504830782446</v>
      </c>
      <c r="Z6" s="14">
        <v>85.210136723791862</v>
      </c>
      <c r="AA6" s="13">
        <v>97.123910809520169</v>
      </c>
      <c r="AB6" s="13">
        <v>92.606721482106423</v>
      </c>
      <c r="AC6" s="23">
        <v>96.328369525714976</v>
      </c>
      <c r="AD6" s="17">
        <v>3.7650759711204018</v>
      </c>
      <c r="AE6" s="17">
        <v>3.0363559269749696</v>
      </c>
      <c r="AF6" s="17">
        <v>2.8159618048716699</v>
      </c>
      <c r="AG6" s="19">
        <v>3.3051436935427114</v>
      </c>
      <c r="AH6" s="19">
        <v>3.6567890281016546</v>
      </c>
      <c r="AI6" s="17">
        <v>3.4867134181651842</v>
      </c>
      <c r="AJ6" s="18">
        <v>3.6268362943847623</v>
      </c>
      <c r="AK6" s="17">
        <v>17.335452919750001</v>
      </c>
      <c r="AL6" s="17">
        <v>18.058541875499998</v>
      </c>
      <c r="AM6" s="17">
        <v>19.383496160499998</v>
      </c>
      <c r="AN6" s="19">
        <v>21.672319554354917</v>
      </c>
      <c r="AO6" s="17">
        <v>19.501531764899998</v>
      </c>
      <c r="AP6" s="17">
        <v>18.30867833031855</v>
      </c>
      <c r="AQ6" s="18">
        <v>19.043418854939741</v>
      </c>
      <c r="AR6" s="13">
        <f t="shared" ref="AR6:AR18" si="6">IFERROR(AK6*1000000/B6,"")</f>
        <v>762.73384297157031</v>
      </c>
      <c r="AS6" s="13">
        <f t="shared" ref="AS6:AS18" si="7">IFERROR(AL6*1000000/C6,"")</f>
        <v>779.25099886813905</v>
      </c>
      <c r="AT6" s="13">
        <f t="shared" ref="AT6:AT18" si="8">IFERROR(AM6*1000000/D6,"")</f>
        <v>818.51452307748161</v>
      </c>
      <c r="AU6" s="14">
        <f t="shared" ref="AU6:AU18" si="9">IFERROR(AN6*1000000/E6,"")</f>
        <v>902.36211010865986</v>
      </c>
      <c r="AV6" s="13">
        <f t="shared" ref="AV6:AV18" si="10">IFERROR(AO6*1000000/F6,"")</f>
        <v>947.57143228020243</v>
      </c>
      <c r="AW6" s="13">
        <f t="shared" ref="AW6:AW18" si="11">IFERROR(AP6*1000000/G6,"")</f>
        <v>1045.5434323207915</v>
      </c>
      <c r="AX6" s="23">
        <f t="shared" ref="AX6:AX18" si="12">IFERROR(AQ6*1000000/H6,"")</f>
        <v>1102.9509561597638</v>
      </c>
      <c r="AY6" s="13">
        <f t="shared" ref="AY6:BE6" si="13">AR6/$AR6*100</f>
        <v>100</v>
      </c>
      <c r="AZ6" s="13">
        <f t="shared" si="13"/>
        <v>102.1655202596254</v>
      </c>
      <c r="BA6" s="13">
        <f t="shared" si="13"/>
        <v>107.31325620593846</v>
      </c>
      <c r="BB6" s="14">
        <f t="shared" si="13"/>
        <v>118.30628972658475</v>
      </c>
      <c r="BC6" s="13">
        <f t="shared" si="13"/>
        <v>124.23356338673983</v>
      </c>
      <c r="BD6" s="13">
        <f t="shared" si="13"/>
        <v>137.07841102833592</v>
      </c>
      <c r="BE6" s="23">
        <f t="shared" si="13"/>
        <v>144.60495837744995</v>
      </c>
      <c r="BF6" s="21">
        <f>IFERROR(AD6/AK6,"")</f>
        <v>0.21718936266331476</v>
      </c>
      <c r="BG6" s="21">
        <f t="shared" ref="BG6:BL6" si="14">IFERROR(AE6/AL6,"")</f>
        <v>0.16813959553923841</v>
      </c>
      <c r="BH6" s="21">
        <f t="shared" si="14"/>
        <v>0.14527625881083736</v>
      </c>
      <c r="BI6" s="21">
        <f t="shared" si="14"/>
        <v>0.15250530453158456</v>
      </c>
      <c r="BJ6" s="21">
        <f t="shared" si="14"/>
        <v>0.18751291294375955</v>
      </c>
      <c r="BK6" s="21">
        <f t="shared" si="14"/>
        <v>0.1904404761096985</v>
      </c>
      <c r="BL6" s="21">
        <f t="shared" si="14"/>
        <v>0.19045090180558541</v>
      </c>
      <c r="BM6" s="17">
        <f t="shared" ref="BM6:BS6" si="15">+AK6-AD6-BT6</f>
        <v>13.570376948629599</v>
      </c>
      <c r="BN6" s="17">
        <f t="shared" si="15"/>
        <v>13.168447154550845</v>
      </c>
      <c r="BO6" s="17">
        <f t="shared" si="15"/>
        <v>14.740930716939175</v>
      </c>
      <c r="BP6" s="19">
        <f t="shared" si="15"/>
        <v>17.924077691634405</v>
      </c>
      <c r="BQ6" s="19">
        <f t="shared" si="15"/>
        <v>15.532655266798344</v>
      </c>
      <c r="BR6" s="17">
        <f t="shared" si="15"/>
        <v>14.806348322153365</v>
      </c>
      <c r="BS6" s="18">
        <f t="shared" si="15"/>
        <v>15.416582560554978</v>
      </c>
      <c r="BT6" s="42">
        <v>0</v>
      </c>
      <c r="BU6" s="17">
        <v>1.8537387939741825</v>
      </c>
      <c r="BV6" s="17">
        <v>1.8266036386891527</v>
      </c>
      <c r="BW6" s="19">
        <v>0.4430981691778012</v>
      </c>
      <c r="BX6" s="17">
        <v>0.31208746999999998</v>
      </c>
      <c r="BY6" s="17">
        <v>1.561659E-2</v>
      </c>
      <c r="BZ6" s="18">
        <v>0</v>
      </c>
    </row>
    <row r="7" spans="1:78" x14ac:dyDescent="0.25">
      <c r="A7" s="3" t="s">
        <v>16</v>
      </c>
      <c r="B7" s="13">
        <v>31442.150000000005</v>
      </c>
      <c r="C7" s="13">
        <v>29549.989999999998</v>
      </c>
      <c r="D7" s="13">
        <v>26911.25</v>
      </c>
      <c r="E7" s="13">
        <v>26308.43</v>
      </c>
      <c r="F7" s="13">
        <v>20443.759999999998</v>
      </c>
      <c r="G7" s="13">
        <v>16108.97</v>
      </c>
      <c r="H7" s="23">
        <v>16110.669999999998</v>
      </c>
      <c r="I7" s="13">
        <f t="shared" ref="I7:I18" si="16">+B7/$B7*100</f>
        <v>100</v>
      </c>
      <c r="J7" s="13">
        <f t="shared" ref="J7:J18" si="17">+C7/$B7*100</f>
        <v>93.982090919355045</v>
      </c>
      <c r="K7" s="13">
        <f t="shared" ref="K7:K18" si="18">+D7/$B7*100</f>
        <v>85.589725893426476</v>
      </c>
      <c r="L7" s="13">
        <f t="shared" ref="L7:L18" si="19">+E7/$B7*100</f>
        <v>83.672490589861042</v>
      </c>
      <c r="M7" s="13">
        <f t="shared" ref="M7:M18" si="20">+F7/$B7*100</f>
        <v>65.020235575493388</v>
      </c>
      <c r="N7" s="13">
        <f t="shared" ref="N7:O18" si="21">+G7/$B7*100</f>
        <v>51.233678358509195</v>
      </c>
      <c r="O7" s="23">
        <f t="shared" si="21"/>
        <v>51.239085113454372</v>
      </c>
      <c r="P7" s="13" t="s">
        <v>15</v>
      </c>
      <c r="Q7" s="13" t="s">
        <v>15</v>
      </c>
      <c r="R7" s="13" t="s">
        <v>15</v>
      </c>
      <c r="S7" s="13" t="s">
        <v>15</v>
      </c>
      <c r="T7" s="13" t="s">
        <v>15</v>
      </c>
      <c r="U7" s="13" t="s">
        <v>15</v>
      </c>
      <c r="V7" s="13" t="s">
        <v>15</v>
      </c>
      <c r="W7" s="13">
        <v>100</v>
      </c>
      <c r="X7" s="13">
        <v>71.804851427321651</v>
      </c>
      <c r="Y7" s="13">
        <v>62.870326854372067</v>
      </c>
      <c r="Z7" s="13">
        <v>71.649677068940505</v>
      </c>
      <c r="AA7" s="13">
        <v>70.723281378201904</v>
      </c>
      <c r="AB7" s="13">
        <v>57.714207569117306</v>
      </c>
      <c r="AC7" s="23">
        <v>61.543127177706388</v>
      </c>
      <c r="AD7" s="17">
        <v>5.6049017201201581</v>
      </c>
      <c r="AE7" s="17">
        <v>4.1010585884824895</v>
      </c>
      <c r="AF7" s="17">
        <v>3.6302711106315839</v>
      </c>
      <c r="AG7" s="17">
        <v>4.1372101238148531</v>
      </c>
      <c r="AH7" s="17">
        <v>3.9639704144922581</v>
      </c>
      <c r="AI7" s="17">
        <v>3.2348246127951743</v>
      </c>
      <c r="AJ7" s="18">
        <v>3.4494317937990022</v>
      </c>
      <c r="AK7" s="17">
        <v>21.098412316000001</v>
      </c>
      <c r="AL7" s="17">
        <v>20.414589185999997</v>
      </c>
      <c r="AM7" s="17">
        <v>20.268637242500002</v>
      </c>
      <c r="AN7" s="17">
        <v>22.354874276056421</v>
      </c>
      <c r="AO7" s="17">
        <v>18.627884736149998</v>
      </c>
      <c r="AP7" s="17">
        <v>14.796685181946941</v>
      </c>
      <c r="AQ7" s="18">
        <v>16.189658956435011</v>
      </c>
      <c r="AR7" s="13">
        <f t="shared" si="6"/>
        <v>671.02320661914007</v>
      </c>
      <c r="AS7" s="13">
        <f t="shared" si="7"/>
        <v>690.84927561735208</v>
      </c>
      <c r="AT7" s="13">
        <f t="shared" si="8"/>
        <v>753.16595262204476</v>
      </c>
      <c r="AU7" s="13">
        <f t="shared" si="9"/>
        <v>849.72285598404846</v>
      </c>
      <c r="AV7" s="13">
        <f t="shared" si="10"/>
        <v>911.17704063000144</v>
      </c>
      <c r="AW7" s="13">
        <f t="shared" si="11"/>
        <v>918.53701272936394</v>
      </c>
      <c r="AX7" s="23">
        <f t="shared" si="12"/>
        <v>1004.9028970511476</v>
      </c>
      <c r="AY7" s="13">
        <f t="shared" ref="AY7:AY18" si="22">AR7/$AR7*100</f>
        <v>100</v>
      </c>
      <c r="AZ7" s="13">
        <f t="shared" ref="AZ7:AZ18" si="23">AS7/$AR7*100</f>
        <v>102.95460258343418</v>
      </c>
      <c r="BA7" s="13">
        <f t="shared" ref="BA7:BA18" si="24">AT7/$AR7*100</f>
        <v>112.24141656989329</v>
      </c>
      <c r="BB7" s="13">
        <f t="shared" ref="BB7:BB18" si="25">AU7/$AR7*100</f>
        <v>126.63091940817704</v>
      </c>
      <c r="BC7" s="13">
        <f t="shared" ref="BC7:BC18" si="26">AV7/$AR7*100</f>
        <v>135.78919948549085</v>
      </c>
      <c r="BD7" s="13">
        <f t="shared" ref="BD7:BE18" si="27">AW7/$AR7*100</f>
        <v>136.88602773625206</v>
      </c>
      <c r="BE7" s="23">
        <f t="shared" si="27"/>
        <v>149.75680231898616</v>
      </c>
      <c r="BF7" s="21">
        <f t="shared" ref="BF7:BF18" si="28">IFERROR(AD7/AK7,"")</f>
        <v>0.26565514201604995</v>
      </c>
      <c r="BG7" s="21">
        <f t="shared" ref="BG7:BG18" si="29">IFERROR(AE7/AL7,"")</f>
        <v>0.20088861701390154</v>
      </c>
      <c r="BH7" s="21">
        <f t="shared" ref="BH7:BH18" si="30">IFERROR(AF7/AM7,"")</f>
        <v>0.17910780420005257</v>
      </c>
      <c r="BI7" s="21">
        <f t="shared" ref="BI7:BI18" si="31">IFERROR(AG7/AN7,"")</f>
        <v>0.1850697110941073</v>
      </c>
      <c r="BJ7" s="21">
        <f t="shared" ref="BJ7:BJ18" si="32">IFERROR(AH7/AO7,"")</f>
        <v>0.21279766708023606</v>
      </c>
      <c r="BK7" s="21">
        <f t="shared" ref="BK7:BK18" si="33">IFERROR(AI7/AP7,"")</f>
        <v>0.21861819542811531</v>
      </c>
      <c r="BL7" s="21">
        <f t="shared" ref="BL7:BL18" si="34">IFERROR(AJ7/AQ7,"")</f>
        <v>0.21306389486530436</v>
      </c>
      <c r="BM7" s="17">
        <f t="shared" ref="BM7:BM17" si="35">+AK7-AD7-BT7</f>
        <v>15.493510595879844</v>
      </c>
      <c r="BN7" s="17">
        <f t="shared" ref="BN7:BN17" si="36">+AL7-AE7-BU7</f>
        <v>14.349966755380663</v>
      </c>
      <c r="BO7" s="17">
        <f t="shared" ref="BO7:BO17" si="37">+AM7-AF7-BV7</f>
        <v>14.360720837650147</v>
      </c>
      <c r="BP7" s="17">
        <f t="shared" ref="BP7:BP17" si="38">+AN7-AG7-BW7</f>
        <v>17.232809947368551</v>
      </c>
      <c r="BQ7" s="17">
        <f t="shared" ref="BQ7:BQ17" si="39">+AO7-AH7-BX7</f>
        <v>14.338104621657738</v>
      </c>
      <c r="BR7" s="17">
        <f t="shared" ref="BR7:BR17" si="40">+AP7-AI7-BY7</f>
        <v>11.545190819151767</v>
      </c>
      <c r="BS7" s="18">
        <f t="shared" ref="BS7:BS17" si="41">+AQ7-AJ7-BZ7</f>
        <v>12.740227162636009</v>
      </c>
      <c r="BT7" s="42">
        <v>0</v>
      </c>
      <c r="BU7" s="17">
        <v>1.9635638421368429</v>
      </c>
      <c r="BV7" s="17">
        <v>2.2776452942182726</v>
      </c>
      <c r="BW7" s="17">
        <v>0.98485420487301845</v>
      </c>
      <c r="BX7" s="17">
        <v>0.32580970000000009</v>
      </c>
      <c r="BY7" s="17">
        <v>1.6669750000000001E-2</v>
      </c>
      <c r="BZ7" s="18">
        <v>0</v>
      </c>
    </row>
    <row r="8" spans="1:78" x14ac:dyDescent="0.25">
      <c r="A8" s="3" t="s">
        <v>17</v>
      </c>
      <c r="B8" s="13">
        <v>40271.399999999994</v>
      </c>
      <c r="C8" s="13">
        <v>38074.230000000003</v>
      </c>
      <c r="D8" s="13">
        <v>33167.14</v>
      </c>
      <c r="E8" s="13">
        <v>29214.47</v>
      </c>
      <c r="F8" s="13">
        <v>29485.920000000006</v>
      </c>
      <c r="G8" s="13">
        <v>28580.1</v>
      </c>
      <c r="H8" s="23">
        <v>27861.279999999995</v>
      </c>
      <c r="I8" s="13">
        <f t="shared" si="16"/>
        <v>100</v>
      </c>
      <c r="J8" s="13">
        <f t="shared" si="17"/>
        <v>94.544093326777841</v>
      </c>
      <c r="K8" s="13">
        <f t="shared" si="18"/>
        <v>82.359043887225198</v>
      </c>
      <c r="L8" s="13">
        <f t="shared" si="19"/>
        <v>72.543964202883444</v>
      </c>
      <c r="M8" s="13">
        <f t="shared" si="20"/>
        <v>73.218015763047745</v>
      </c>
      <c r="N8" s="13">
        <f t="shared" si="21"/>
        <v>70.968727186042699</v>
      </c>
      <c r="O8" s="23">
        <f t="shared" si="21"/>
        <v>69.183787998430645</v>
      </c>
      <c r="P8" s="13" t="s">
        <v>15</v>
      </c>
      <c r="Q8" s="13" t="s">
        <v>15</v>
      </c>
      <c r="R8" s="13" t="s">
        <v>15</v>
      </c>
      <c r="S8" s="13" t="s">
        <v>15</v>
      </c>
      <c r="T8" s="13" t="s">
        <v>15</v>
      </c>
      <c r="U8" s="13" t="s">
        <v>15</v>
      </c>
      <c r="V8" s="13" t="s">
        <v>15</v>
      </c>
      <c r="W8" s="13">
        <v>100</v>
      </c>
      <c r="X8" s="13">
        <v>76.807256465176607</v>
      </c>
      <c r="Y8" s="13">
        <v>62.332462923289079</v>
      </c>
      <c r="Z8" s="13">
        <v>52.999650772421084</v>
      </c>
      <c r="AA8" s="13">
        <v>58.09432525199999</v>
      </c>
      <c r="AB8" s="13">
        <v>59.396518511770402</v>
      </c>
      <c r="AC8" s="23">
        <v>62.740471217633264</v>
      </c>
      <c r="AD8" s="17">
        <v>7.055719229600415</v>
      </c>
      <c r="AE8" s="17">
        <v>5.5222711470606711</v>
      </c>
      <c r="AF8" s="17">
        <v>4.5308628626916239</v>
      </c>
      <c r="AG8" s="17">
        <v>3.8524733045750956</v>
      </c>
      <c r="AH8" s="17">
        <v>4.098972478111973</v>
      </c>
      <c r="AI8" s="17">
        <v>4.1908515783481546</v>
      </c>
      <c r="AJ8" s="18">
        <v>4.4267914924444636</v>
      </c>
      <c r="AK8" s="17">
        <v>28.739393168499998</v>
      </c>
      <c r="AL8" s="17">
        <v>27.66501000825</v>
      </c>
      <c r="AM8" s="17">
        <v>25.057399235000002</v>
      </c>
      <c r="AN8" s="17">
        <v>25.113324740558099</v>
      </c>
      <c r="AO8" s="17">
        <v>26.311929373093978</v>
      </c>
      <c r="AP8" s="17">
        <v>25.090974893688699</v>
      </c>
      <c r="AQ8" s="18">
        <v>25.6685637046054</v>
      </c>
      <c r="AR8" s="13">
        <f t="shared" si="6"/>
        <v>713.6427630651034</v>
      </c>
      <c r="AS8" s="13">
        <f t="shared" si="7"/>
        <v>726.6072093447458</v>
      </c>
      <c r="AT8" s="13">
        <f t="shared" si="8"/>
        <v>755.48869257343267</v>
      </c>
      <c r="AU8" s="13">
        <f t="shared" si="9"/>
        <v>859.61938520733383</v>
      </c>
      <c r="AV8" s="13">
        <f t="shared" si="10"/>
        <v>892.3557200553339</v>
      </c>
      <c r="AW8" s="13">
        <f t="shared" si="11"/>
        <v>877.91767326526849</v>
      </c>
      <c r="AX8" s="23">
        <f t="shared" si="12"/>
        <v>921.29879548267002</v>
      </c>
      <c r="AY8" s="13">
        <f t="shared" si="22"/>
        <v>100</v>
      </c>
      <c r="AZ8" s="13">
        <f t="shared" si="23"/>
        <v>101.81665771035917</v>
      </c>
      <c r="BA8" s="13">
        <f t="shared" si="24"/>
        <v>105.8637082408852</v>
      </c>
      <c r="BB8" s="13">
        <f t="shared" si="25"/>
        <v>120.45513941951282</v>
      </c>
      <c r="BC8" s="13">
        <f t="shared" si="26"/>
        <v>125.04235539678933</v>
      </c>
      <c r="BD8" s="13">
        <f t="shared" si="27"/>
        <v>123.01920774682876</v>
      </c>
      <c r="BE8" s="23">
        <f t="shared" si="27"/>
        <v>129.09803660387192</v>
      </c>
      <c r="BF8" s="21">
        <f t="shared" si="28"/>
        <v>0.24550689669167694</v>
      </c>
      <c r="BG8" s="21">
        <f t="shared" si="29"/>
        <v>0.19961211455965031</v>
      </c>
      <c r="BH8" s="21">
        <f t="shared" si="30"/>
        <v>0.18081935879294872</v>
      </c>
      <c r="BI8" s="21">
        <f t="shared" si="31"/>
        <v>0.15340355545808473</v>
      </c>
      <c r="BJ8" s="21">
        <f t="shared" si="32"/>
        <v>0.15578380513226428</v>
      </c>
      <c r="BK8" s="21">
        <f t="shared" si="33"/>
        <v>0.16702625530115642</v>
      </c>
      <c r="BL8" s="21">
        <f t="shared" si="34"/>
        <v>0.1724596492187141</v>
      </c>
      <c r="BM8" s="17">
        <f t="shared" si="35"/>
        <v>21.683673938899581</v>
      </c>
      <c r="BN8" s="17">
        <f t="shared" si="36"/>
        <v>20.029485914738878</v>
      </c>
      <c r="BO8" s="17">
        <f t="shared" si="37"/>
        <v>18.053050729334139</v>
      </c>
      <c r="BP8" s="17">
        <f t="shared" si="38"/>
        <v>20.317089697634856</v>
      </c>
      <c r="BQ8" s="17">
        <f t="shared" si="39"/>
        <v>21.833295024982007</v>
      </c>
      <c r="BR8" s="17">
        <f t="shared" si="40"/>
        <v>20.880793925340544</v>
      </c>
      <c r="BS8" s="18">
        <f t="shared" si="41"/>
        <v>21.241772212160939</v>
      </c>
      <c r="BT8" s="42">
        <v>0</v>
      </c>
      <c r="BU8" s="17">
        <v>2.1132529464504528</v>
      </c>
      <c r="BV8" s="17">
        <v>2.4734856429742398</v>
      </c>
      <c r="BW8" s="17">
        <v>0.94376173834814681</v>
      </c>
      <c r="BX8" s="17">
        <v>0.37966187000000001</v>
      </c>
      <c r="BY8" s="17">
        <v>1.9329389999999998E-2</v>
      </c>
      <c r="BZ8" s="18">
        <v>0</v>
      </c>
    </row>
    <row r="9" spans="1:78" x14ac:dyDescent="0.25">
      <c r="A9" s="3" t="s">
        <v>18</v>
      </c>
      <c r="B9" s="13">
        <v>18402.916666666668</v>
      </c>
      <c r="C9" s="13">
        <v>18754.46</v>
      </c>
      <c r="D9" s="13">
        <v>18573.54</v>
      </c>
      <c r="E9" s="13">
        <v>18935.2</v>
      </c>
      <c r="F9" s="13">
        <v>18771.18</v>
      </c>
      <c r="G9" s="13">
        <v>19163.780000000002</v>
      </c>
      <c r="H9" s="23">
        <v>18701.420000000002</v>
      </c>
      <c r="I9" s="13">
        <f t="shared" si="16"/>
        <v>100</v>
      </c>
      <c r="J9" s="13">
        <f t="shared" si="17"/>
        <v>101.91025879049968</v>
      </c>
      <c r="K9" s="13">
        <f t="shared" si="18"/>
        <v>100.92715375733012</v>
      </c>
      <c r="L9" s="13">
        <f t="shared" si="19"/>
        <v>102.89238571784362</v>
      </c>
      <c r="M9" s="13">
        <f t="shared" si="20"/>
        <v>102.00111395385693</v>
      </c>
      <c r="N9" s="13">
        <f t="shared" si="21"/>
        <v>104.13447143795142</v>
      </c>
      <c r="O9" s="23">
        <f t="shared" si="21"/>
        <v>101.62204360721807</v>
      </c>
      <c r="P9" s="13" t="s">
        <v>15</v>
      </c>
      <c r="Q9" s="13" t="s">
        <v>15</v>
      </c>
      <c r="R9" s="13" t="s">
        <v>15</v>
      </c>
      <c r="S9" s="13" t="s">
        <v>15</v>
      </c>
      <c r="T9" s="13" t="s">
        <v>15</v>
      </c>
      <c r="U9" s="13" t="s">
        <v>15</v>
      </c>
      <c r="V9" s="13" t="s">
        <v>15</v>
      </c>
      <c r="W9" s="13">
        <v>100</v>
      </c>
      <c r="X9" s="13">
        <v>75.779115936085589</v>
      </c>
      <c r="Y9" s="13">
        <v>70.008453292705553</v>
      </c>
      <c r="Z9" s="13">
        <v>85.934870175118377</v>
      </c>
      <c r="AA9" s="13">
        <v>102.63390561156409</v>
      </c>
      <c r="AB9" s="13">
        <v>102.04025827200334</v>
      </c>
      <c r="AC9" s="23">
        <v>98.2765080863702</v>
      </c>
      <c r="AD9" s="17">
        <v>4.76011010857275</v>
      </c>
      <c r="AE9" s="17">
        <v>3.6757055756600265</v>
      </c>
      <c r="AF9" s="17">
        <v>3.4331503341103202</v>
      </c>
      <c r="AG9" s="17">
        <v>4.2141672094928948</v>
      </c>
      <c r="AH9" s="17">
        <v>4.8854869158390777</v>
      </c>
      <c r="AI9" s="17">
        <v>4.8572286488193726</v>
      </c>
      <c r="AJ9" s="18">
        <v>4.6780699957716241</v>
      </c>
      <c r="AK9" s="17">
        <v>13.037379195750001</v>
      </c>
      <c r="AL9" s="17">
        <v>13.64412021075</v>
      </c>
      <c r="AM9" s="17">
        <v>13.869757618750002</v>
      </c>
      <c r="AN9" s="17">
        <v>15.05561321175</v>
      </c>
      <c r="AO9" s="17">
        <v>14.540689734890647</v>
      </c>
      <c r="AP9" s="17">
        <v>14.80260787363968</v>
      </c>
      <c r="AQ9" s="18">
        <v>15.649855720753051</v>
      </c>
      <c r="AR9" s="13">
        <f t="shared" si="6"/>
        <v>708.44091900740364</v>
      </c>
      <c r="AS9" s="13">
        <f t="shared" si="7"/>
        <v>727.51336006208658</v>
      </c>
      <c r="AT9" s="13">
        <f t="shared" si="8"/>
        <v>746.74820302161038</v>
      </c>
      <c r="AU9" s="13">
        <f t="shared" si="9"/>
        <v>795.11244728072586</v>
      </c>
      <c r="AV9" s="13">
        <f t="shared" si="10"/>
        <v>774.62843225043105</v>
      </c>
      <c r="AW9" s="13">
        <f t="shared" si="11"/>
        <v>772.42631013504013</v>
      </c>
      <c r="AX9" s="23">
        <f t="shared" si="12"/>
        <v>836.82713509204382</v>
      </c>
      <c r="AY9" s="13">
        <f t="shared" si="22"/>
        <v>100</v>
      </c>
      <c r="AZ9" s="13">
        <f t="shared" si="23"/>
        <v>102.69217101143808</v>
      </c>
      <c r="BA9" s="13">
        <f t="shared" si="24"/>
        <v>105.40726586881502</v>
      </c>
      <c r="BB9" s="13">
        <f t="shared" si="25"/>
        <v>112.23412227441037</v>
      </c>
      <c r="BC9" s="13">
        <f t="shared" si="26"/>
        <v>109.34270049445516</v>
      </c>
      <c r="BD9" s="13">
        <f t="shared" si="27"/>
        <v>109.03185987863128</v>
      </c>
      <c r="BE9" s="23">
        <f t="shared" si="27"/>
        <v>118.1223603323933</v>
      </c>
      <c r="BF9" s="21">
        <f t="shared" si="28"/>
        <v>0.36511249976716775</v>
      </c>
      <c r="BG9" s="21">
        <f t="shared" si="29"/>
        <v>0.2693985041823358</v>
      </c>
      <c r="BH9" s="21">
        <f t="shared" si="30"/>
        <v>0.24752778155756477</v>
      </c>
      <c r="BI9" s="21">
        <f t="shared" si="31"/>
        <v>0.2799067132120524</v>
      </c>
      <c r="BJ9" s="21">
        <f t="shared" si="32"/>
        <v>0.3359872884238953</v>
      </c>
      <c r="BK9" s="21">
        <f t="shared" si="33"/>
        <v>0.32813330531230728</v>
      </c>
      <c r="BL9" s="21">
        <f t="shared" si="34"/>
        <v>0.29892096638105758</v>
      </c>
      <c r="BM9" s="17">
        <f t="shared" si="35"/>
        <v>8.2772690871772507</v>
      </c>
      <c r="BN9" s="17">
        <f t="shared" si="36"/>
        <v>8.2746430851399566</v>
      </c>
      <c r="BO9" s="17">
        <f t="shared" si="37"/>
        <v>8.3030652508322582</v>
      </c>
      <c r="BP9" s="17">
        <f t="shared" si="38"/>
        <v>10.317488419521238</v>
      </c>
      <c r="BQ9" s="17">
        <f t="shared" si="39"/>
        <v>9.4198630290515695</v>
      </c>
      <c r="BR9" s="17">
        <f t="shared" si="40"/>
        <v>9.9334826048203073</v>
      </c>
      <c r="BS9" s="18">
        <f t="shared" si="41"/>
        <v>10.971785724981427</v>
      </c>
      <c r="BT9" s="42">
        <v>0</v>
      </c>
      <c r="BU9" s="17">
        <v>1.6937715499500154</v>
      </c>
      <c r="BV9" s="17">
        <v>2.1335420338074234</v>
      </c>
      <c r="BW9" s="17">
        <v>0.52395758273586546</v>
      </c>
      <c r="BX9" s="17">
        <v>0.23533979000000002</v>
      </c>
      <c r="BY9" s="17">
        <v>1.1896619999999998E-2</v>
      </c>
      <c r="BZ9" s="18">
        <v>0</v>
      </c>
    </row>
    <row r="10" spans="1:78" x14ac:dyDescent="0.25">
      <c r="A10" s="3" t="s">
        <v>19</v>
      </c>
      <c r="B10" s="13">
        <v>2376.6833333333334</v>
      </c>
      <c r="C10" s="13">
        <v>2274.38</v>
      </c>
      <c r="D10" s="13">
        <v>2217.63</v>
      </c>
      <c r="E10" s="13">
        <v>2115.1799999999998</v>
      </c>
      <c r="F10" s="13">
        <v>2060.5099999999998</v>
      </c>
      <c r="G10" s="13">
        <v>2055.96</v>
      </c>
      <c r="H10" s="23">
        <v>2061.89</v>
      </c>
      <c r="I10" s="13">
        <f t="shared" si="16"/>
        <v>100</v>
      </c>
      <c r="J10" s="13">
        <f t="shared" si="17"/>
        <v>95.695542106997848</v>
      </c>
      <c r="K10" s="13">
        <f t="shared" si="18"/>
        <v>93.307760815141549</v>
      </c>
      <c r="L10" s="13">
        <f t="shared" si="19"/>
        <v>88.997131857420342</v>
      </c>
      <c r="M10" s="13">
        <f t="shared" si="20"/>
        <v>86.696867483397725</v>
      </c>
      <c r="N10" s="13">
        <f t="shared" si="21"/>
        <v>86.50542422563656</v>
      </c>
      <c r="O10" s="23">
        <f t="shared" si="21"/>
        <v>86.754931592345059</v>
      </c>
      <c r="P10" s="13" t="s">
        <v>15</v>
      </c>
      <c r="Q10" s="13" t="s">
        <v>15</v>
      </c>
      <c r="R10" s="13" t="s">
        <v>15</v>
      </c>
      <c r="S10" s="13" t="s">
        <v>15</v>
      </c>
      <c r="T10" s="13" t="s">
        <v>15</v>
      </c>
      <c r="U10" s="13" t="s">
        <v>15</v>
      </c>
      <c r="V10" s="13" t="s">
        <v>15</v>
      </c>
      <c r="W10" s="13" t="s">
        <v>15</v>
      </c>
      <c r="X10" s="13" t="s">
        <v>15</v>
      </c>
      <c r="Y10" s="13" t="s">
        <v>15</v>
      </c>
      <c r="Z10" s="13" t="s">
        <v>15</v>
      </c>
      <c r="AA10" s="13" t="s">
        <v>15</v>
      </c>
      <c r="AB10" s="13" t="s">
        <v>15</v>
      </c>
      <c r="AC10" s="23" t="s">
        <v>15</v>
      </c>
      <c r="AD10" s="17">
        <v>0</v>
      </c>
      <c r="AE10" s="17">
        <v>0</v>
      </c>
      <c r="AF10" s="17">
        <v>0</v>
      </c>
      <c r="AG10" s="17">
        <v>0</v>
      </c>
      <c r="AH10" s="17">
        <v>0</v>
      </c>
      <c r="AI10" s="17">
        <v>0</v>
      </c>
      <c r="AJ10" s="18">
        <v>0</v>
      </c>
      <c r="AK10" s="17">
        <v>2.4416945378444503</v>
      </c>
      <c r="AL10" s="17">
        <v>2.4616140777230799</v>
      </c>
      <c r="AM10" s="17">
        <v>2.58371825</v>
      </c>
      <c r="AN10" s="17">
        <v>2.71290444117064</v>
      </c>
      <c r="AO10" s="17">
        <v>2.9659320806236669</v>
      </c>
      <c r="AP10" s="17">
        <v>2.9031045460388798</v>
      </c>
      <c r="AQ10" s="18">
        <v>3.0324369015889503</v>
      </c>
      <c r="AR10" s="13">
        <f t="shared" si="6"/>
        <v>1027.3537511705179</v>
      </c>
      <c r="AS10" s="13">
        <f t="shared" si="7"/>
        <v>1082.3231288188779</v>
      </c>
      <c r="AT10" s="13">
        <f t="shared" si="8"/>
        <v>1165.080852080825</v>
      </c>
      <c r="AU10" s="13">
        <f t="shared" si="9"/>
        <v>1282.5879788815325</v>
      </c>
      <c r="AV10" s="13">
        <f t="shared" si="10"/>
        <v>1439.4164942774687</v>
      </c>
      <c r="AW10" s="13">
        <f t="shared" si="11"/>
        <v>1412.0433014450086</v>
      </c>
      <c r="AX10" s="23">
        <f t="shared" si="12"/>
        <v>1470.7074099922647</v>
      </c>
      <c r="AY10" s="13">
        <f t="shared" si="22"/>
        <v>100</v>
      </c>
      <c r="AZ10" s="13">
        <f t="shared" si="23"/>
        <v>105.3505793487132</v>
      </c>
      <c r="BA10" s="13">
        <f t="shared" si="24"/>
        <v>113.40600555099813</v>
      </c>
      <c r="BB10" s="13">
        <f t="shared" si="25"/>
        <v>124.84385027262644</v>
      </c>
      <c r="BC10" s="13">
        <f t="shared" si="26"/>
        <v>140.10913890541269</v>
      </c>
      <c r="BD10" s="13">
        <f t="shared" si="27"/>
        <v>137.44470196718453</v>
      </c>
      <c r="BE10" s="23">
        <f t="shared" si="27"/>
        <v>143.15491702021927</v>
      </c>
      <c r="BF10" s="21">
        <f t="shared" si="28"/>
        <v>0</v>
      </c>
      <c r="BG10" s="21">
        <f t="shared" si="29"/>
        <v>0</v>
      </c>
      <c r="BH10" s="21">
        <f t="shared" si="30"/>
        <v>0</v>
      </c>
      <c r="BI10" s="21">
        <f t="shared" si="31"/>
        <v>0</v>
      </c>
      <c r="BJ10" s="21">
        <f t="shared" si="32"/>
        <v>0</v>
      </c>
      <c r="BK10" s="21">
        <f t="shared" si="33"/>
        <v>0</v>
      </c>
      <c r="BL10" s="21">
        <f t="shared" si="34"/>
        <v>0</v>
      </c>
      <c r="BM10" s="17">
        <f t="shared" si="35"/>
        <v>2.4416945378444503</v>
      </c>
      <c r="BN10" s="17">
        <f t="shared" si="36"/>
        <v>2.4375553072265204</v>
      </c>
      <c r="BO10" s="17">
        <f t="shared" si="37"/>
        <v>2.5538113331363279</v>
      </c>
      <c r="BP10" s="17">
        <f t="shared" si="38"/>
        <v>2.7103196851099534</v>
      </c>
      <c r="BQ10" s="17">
        <f t="shared" si="39"/>
        <v>2.9178930906236671</v>
      </c>
      <c r="BR10" s="17">
        <f t="shared" si="40"/>
        <v>2.9007367560388797</v>
      </c>
      <c r="BS10" s="18">
        <f t="shared" si="41"/>
        <v>3.0324369015889503</v>
      </c>
      <c r="BT10" s="42">
        <v>0</v>
      </c>
      <c r="BU10" s="17">
        <v>2.4058770496559658E-2</v>
      </c>
      <c r="BV10" s="17">
        <v>2.990691686367215E-2</v>
      </c>
      <c r="BW10" s="17">
        <v>2.5847560606866034E-3</v>
      </c>
      <c r="BX10" s="17">
        <v>4.8038989999999997E-2</v>
      </c>
      <c r="BY10" s="17">
        <v>2.3677899999999998E-3</v>
      </c>
      <c r="BZ10" s="18">
        <v>0</v>
      </c>
    </row>
    <row r="11" spans="1:78" x14ac:dyDescent="0.25">
      <c r="A11" s="3" t="s">
        <v>20</v>
      </c>
      <c r="B11" s="13">
        <v>31053.716666666667</v>
      </c>
      <c r="C11" s="13">
        <v>31393.650000000005</v>
      </c>
      <c r="D11" s="13">
        <v>31117.780000000006</v>
      </c>
      <c r="E11" s="13">
        <v>30959.65</v>
      </c>
      <c r="F11" s="13">
        <v>30360.05</v>
      </c>
      <c r="G11" s="13">
        <v>30359.119999999995</v>
      </c>
      <c r="H11" s="23">
        <v>30147.43</v>
      </c>
      <c r="I11" s="13">
        <f t="shared" si="16"/>
        <v>100</v>
      </c>
      <c r="J11" s="13">
        <f t="shared" si="17"/>
        <v>101.09466231363611</v>
      </c>
      <c r="K11" s="13">
        <f t="shared" si="18"/>
        <v>100.20629844092738</v>
      </c>
      <c r="L11" s="13">
        <f t="shared" si="19"/>
        <v>99.697084031272695</v>
      </c>
      <c r="M11" s="13">
        <f t="shared" si="20"/>
        <v>97.766236247620384</v>
      </c>
      <c r="N11" s="13">
        <f t="shared" si="21"/>
        <v>97.763241437015296</v>
      </c>
      <c r="O11" s="23">
        <f t="shared" si="21"/>
        <v>97.081551698320595</v>
      </c>
      <c r="P11" s="13" t="s">
        <v>15</v>
      </c>
      <c r="Q11" s="13" t="s">
        <v>15</v>
      </c>
      <c r="R11" s="13" t="s">
        <v>15</v>
      </c>
      <c r="S11" s="13" t="s">
        <v>15</v>
      </c>
      <c r="T11" s="13" t="s">
        <v>15</v>
      </c>
      <c r="U11" s="13" t="s">
        <v>15</v>
      </c>
      <c r="V11" s="13" t="s">
        <v>15</v>
      </c>
      <c r="W11" s="13">
        <v>100</v>
      </c>
      <c r="X11" s="13">
        <v>77.532713880786943</v>
      </c>
      <c r="Y11" s="13">
        <v>70.078466565116486</v>
      </c>
      <c r="Z11" s="13">
        <v>68.639094713034865</v>
      </c>
      <c r="AA11" s="13">
        <v>76.77922689521823</v>
      </c>
      <c r="AB11" s="13">
        <v>84.501915336538488</v>
      </c>
      <c r="AC11" s="23">
        <v>87.232255213846628</v>
      </c>
      <c r="AD11" s="17">
        <v>7.3315947382964275</v>
      </c>
      <c r="AE11" s="17">
        <v>5.7923876743977019</v>
      </c>
      <c r="AF11" s="17">
        <v>5.2930790570438875</v>
      </c>
      <c r="AG11" s="17">
        <v>5.1843622232006057</v>
      </c>
      <c r="AH11" s="17">
        <v>5.6291417591544954</v>
      </c>
      <c r="AI11" s="17">
        <v>6.1953379785733578</v>
      </c>
      <c r="AJ11" s="18">
        <v>6.3955154333556896</v>
      </c>
      <c r="AK11" s="17">
        <v>22.224207765499997</v>
      </c>
      <c r="AL11" s="17">
        <v>23.5643144095</v>
      </c>
      <c r="AM11" s="17">
        <v>25.011560576249998</v>
      </c>
      <c r="AN11" s="17">
        <v>26.865229035758102</v>
      </c>
      <c r="AO11" s="17">
        <v>27.111565459649995</v>
      </c>
      <c r="AP11" s="17">
        <v>27.079146633903999</v>
      </c>
      <c r="AQ11" s="18">
        <v>27.518056158104404</v>
      </c>
      <c r="AR11" s="13">
        <f t="shared" si="6"/>
        <v>715.66981833629143</v>
      </c>
      <c r="AS11" s="13">
        <f t="shared" si="7"/>
        <v>750.60766777676361</v>
      </c>
      <c r="AT11" s="13">
        <f t="shared" si="8"/>
        <v>803.77072452629955</v>
      </c>
      <c r="AU11" s="13">
        <f t="shared" si="9"/>
        <v>867.74976576796246</v>
      </c>
      <c r="AV11" s="13">
        <f t="shared" si="10"/>
        <v>893.00134418915638</v>
      </c>
      <c r="AW11" s="13">
        <f t="shared" si="11"/>
        <v>891.96085505456028</v>
      </c>
      <c r="AX11" s="23">
        <f t="shared" si="12"/>
        <v>912.78281956718718</v>
      </c>
      <c r="AY11" s="13">
        <f t="shared" si="22"/>
        <v>100</v>
      </c>
      <c r="AZ11" s="13">
        <f t="shared" si="23"/>
        <v>104.88183915897022</v>
      </c>
      <c r="BA11" s="13">
        <f t="shared" si="24"/>
        <v>112.31027268899159</v>
      </c>
      <c r="BB11" s="13">
        <f t="shared" si="25"/>
        <v>121.25001551486541</v>
      </c>
      <c r="BC11" s="13">
        <f t="shared" si="26"/>
        <v>124.77839938326663</v>
      </c>
      <c r="BD11" s="13">
        <f t="shared" si="27"/>
        <v>124.63301262698074</v>
      </c>
      <c r="BE11" s="23">
        <f t="shared" si="27"/>
        <v>127.54244990925029</v>
      </c>
      <c r="BF11" s="21">
        <f t="shared" si="28"/>
        <v>0.329892287529714</v>
      </c>
      <c r="BG11" s="21">
        <f t="shared" si="29"/>
        <v>0.24581184810802259</v>
      </c>
      <c r="BH11" s="21">
        <f t="shared" si="30"/>
        <v>0.2116253018642103</v>
      </c>
      <c r="BI11" s="21">
        <f t="shared" si="31"/>
        <v>0.19297666200054078</v>
      </c>
      <c r="BJ11" s="21">
        <f t="shared" si="32"/>
        <v>0.20762879840090084</v>
      </c>
      <c r="BK11" s="21">
        <f t="shared" si="33"/>
        <v>0.2287863078674934</v>
      </c>
      <c r="BL11" s="21">
        <f t="shared" si="34"/>
        <v>0.23241159901013328</v>
      </c>
      <c r="BM11" s="17">
        <f t="shared" si="35"/>
        <v>14.89261302720357</v>
      </c>
      <c r="BN11" s="17">
        <f t="shared" si="36"/>
        <v>14.37128750431614</v>
      </c>
      <c r="BO11" s="17">
        <f t="shared" si="37"/>
        <v>16.409300241424642</v>
      </c>
      <c r="BP11" s="17">
        <f t="shared" si="38"/>
        <v>20.098931462692946</v>
      </c>
      <c r="BQ11" s="17">
        <f t="shared" si="39"/>
        <v>21.094056380495498</v>
      </c>
      <c r="BR11" s="17">
        <f t="shared" si="40"/>
        <v>20.86369461533064</v>
      </c>
      <c r="BS11" s="18">
        <f t="shared" si="41"/>
        <v>21.122540724748713</v>
      </c>
      <c r="BT11" s="42">
        <v>0</v>
      </c>
      <c r="BU11" s="17">
        <v>3.400639230786159</v>
      </c>
      <c r="BV11" s="17">
        <v>3.3091812777814691</v>
      </c>
      <c r="BW11" s="17">
        <v>1.5819353498645519</v>
      </c>
      <c r="BX11" s="17">
        <v>0.38836732000000002</v>
      </c>
      <c r="BY11" s="17">
        <v>2.011404E-2</v>
      </c>
      <c r="BZ11" s="18">
        <v>0</v>
      </c>
    </row>
    <row r="12" spans="1:78" x14ac:dyDescent="0.25">
      <c r="A12" s="3" t="s">
        <v>21</v>
      </c>
      <c r="B12" s="13">
        <v>17364.983333333334</v>
      </c>
      <c r="C12" s="13">
        <v>17263.59</v>
      </c>
      <c r="D12" s="13">
        <v>17454.61</v>
      </c>
      <c r="E12" s="13">
        <v>17544.63</v>
      </c>
      <c r="F12" s="13">
        <v>14906.940000000002</v>
      </c>
      <c r="G12" s="13">
        <v>12812.049999999997</v>
      </c>
      <c r="H12" s="23">
        <v>13197.37</v>
      </c>
      <c r="I12" s="13">
        <f t="shared" si="16"/>
        <v>100</v>
      </c>
      <c r="J12" s="13">
        <f t="shared" si="17"/>
        <v>99.416104632022879</v>
      </c>
      <c r="K12" s="13">
        <f t="shared" si="18"/>
        <v>100.51613448136527</v>
      </c>
      <c r="L12" s="13">
        <f t="shared" si="19"/>
        <v>101.0345340575238</v>
      </c>
      <c r="M12" s="13">
        <f t="shared" si="20"/>
        <v>85.844827569658875</v>
      </c>
      <c r="N12" s="13">
        <f t="shared" si="21"/>
        <v>73.780951896488986</v>
      </c>
      <c r="O12" s="23">
        <f t="shared" si="21"/>
        <v>75.999900182263346</v>
      </c>
      <c r="P12" s="13" t="s">
        <v>15</v>
      </c>
      <c r="Q12" s="13" t="s">
        <v>15</v>
      </c>
      <c r="R12" s="13" t="s">
        <v>15</v>
      </c>
      <c r="S12" s="13" t="s">
        <v>15</v>
      </c>
      <c r="T12" s="13" t="s">
        <v>15</v>
      </c>
      <c r="U12" s="13" t="s">
        <v>15</v>
      </c>
      <c r="V12" s="13" t="s">
        <v>15</v>
      </c>
      <c r="W12" s="13" t="s">
        <v>15</v>
      </c>
      <c r="X12" s="13" t="s">
        <v>15</v>
      </c>
      <c r="Y12" s="13" t="s">
        <v>15</v>
      </c>
      <c r="Z12" s="13" t="s">
        <v>15</v>
      </c>
      <c r="AA12" s="13" t="s">
        <v>15</v>
      </c>
      <c r="AB12" s="13" t="s">
        <v>15</v>
      </c>
      <c r="AC12" s="23" t="s">
        <v>15</v>
      </c>
      <c r="AD12" s="17">
        <v>0</v>
      </c>
      <c r="AE12" s="17">
        <v>0</v>
      </c>
      <c r="AF12" s="17">
        <v>8.7069390545278227E-4</v>
      </c>
      <c r="AG12" s="17">
        <v>7.0683293214257592E-3</v>
      </c>
      <c r="AH12" s="17">
        <v>2.0924826999156911E-2</v>
      </c>
      <c r="AI12" s="17">
        <v>3.3069783697311115E-6</v>
      </c>
      <c r="AJ12" s="18">
        <v>3.9129743492279608E-6</v>
      </c>
      <c r="AK12" s="17">
        <v>12.996951654583299</v>
      </c>
      <c r="AL12" s="17">
        <v>12.83342623675</v>
      </c>
      <c r="AM12" s="17">
        <v>13.420742529749999</v>
      </c>
      <c r="AN12" s="17">
        <v>14.704460459000002</v>
      </c>
      <c r="AO12" s="17">
        <v>12.59998922105</v>
      </c>
      <c r="AP12" s="17">
        <v>11.076149770866166</v>
      </c>
      <c r="AQ12" s="18">
        <v>12.120268860095788</v>
      </c>
      <c r="AR12" s="13">
        <f t="shared" si="6"/>
        <v>748.45747934780434</v>
      </c>
      <c r="AS12" s="13">
        <f t="shared" si="7"/>
        <v>743.3810833523039</v>
      </c>
      <c r="AT12" s="13">
        <f t="shared" si="8"/>
        <v>768.89386412815861</v>
      </c>
      <c r="AU12" s="13">
        <f t="shared" si="9"/>
        <v>838.11744442601525</v>
      </c>
      <c r="AV12" s="13">
        <f t="shared" si="10"/>
        <v>845.24317003020053</v>
      </c>
      <c r="AW12" s="13">
        <f t="shared" si="11"/>
        <v>864.51034540656406</v>
      </c>
      <c r="AX12" s="23">
        <f t="shared" si="12"/>
        <v>918.38516765808549</v>
      </c>
      <c r="AY12" s="13">
        <f t="shared" si="22"/>
        <v>100</v>
      </c>
      <c r="AZ12" s="13">
        <f t="shared" si="23"/>
        <v>99.321752252389288</v>
      </c>
      <c r="BA12" s="13">
        <f t="shared" si="24"/>
        <v>102.73046703977924</v>
      </c>
      <c r="BB12" s="13">
        <f t="shared" si="25"/>
        <v>111.97929976681367</v>
      </c>
      <c r="BC12" s="13">
        <f t="shared" si="26"/>
        <v>112.93135459969402</v>
      </c>
      <c r="BD12" s="13">
        <f t="shared" si="27"/>
        <v>115.50560576398897</v>
      </c>
      <c r="BE12" s="23">
        <f t="shared" si="27"/>
        <v>122.70371971676384</v>
      </c>
      <c r="BF12" s="21">
        <f t="shared" si="28"/>
        <v>0</v>
      </c>
      <c r="BG12" s="21">
        <f t="shared" si="29"/>
        <v>0</v>
      </c>
      <c r="BH12" s="21">
        <f t="shared" si="30"/>
        <v>6.4876731188509093E-5</v>
      </c>
      <c r="BI12" s="21">
        <f t="shared" si="31"/>
        <v>4.8069287146809404E-4</v>
      </c>
      <c r="BJ12" s="21">
        <f t="shared" si="32"/>
        <v>1.6607019761730537E-3</v>
      </c>
      <c r="BK12" s="21">
        <f t="shared" si="33"/>
        <v>2.9856750207816144E-7</v>
      </c>
      <c r="BL12" s="21">
        <f t="shared" si="34"/>
        <v>3.2284550733943338E-7</v>
      </c>
      <c r="BM12" s="17">
        <f t="shared" si="35"/>
        <v>12.996951654583299</v>
      </c>
      <c r="BN12" s="17">
        <f t="shared" si="36"/>
        <v>12.623736683577439</v>
      </c>
      <c r="BO12" s="17">
        <f t="shared" si="37"/>
        <v>13.097951830053287</v>
      </c>
      <c r="BP12" s="17">
        <f t="shared" si="38"/>
        <v>14.667619522892268</v>
      </c>
      <c r="BQ12" s="17">
        <f t="shared" si="39"/>
        <v>12.351723804050843</v>
      </c>
      <c r="BR12" s="17">
        <f t="shared" si="40"/>
        <v>11.064964063887798</v>
      </c>
      <c r="BS12" s="18">
        <f t="shared" si="41"/>
        <v>12.120264947121438</v>
      </c>
      <c r="BT12" s="42">
        <v>0</v>
      </c>
      <c r="BU12" s="17">
        <v>0.20968955317256105</v>
      </c>
      <c r="BV12" s="17">
        <v>0.32192000579126001</v>
      </c>
      <c r="BW12" s="17">
        <v>2.9772606786307776E-2</v>
      </c>
      <c r="BX12" s="17">
        <v>0.22734059000000001</v>
      </c>
      <c r="BY12" s="17">
        <v>1.1182400000000002E-2</v>
      </c>
      <c r="BZ12" s="18">
        <v>0</v>
      </c>
    </row>
    <row r="13" spans="1:78" x14ac:dyDescent="0.25">
      <c r="A13" s="3" t="s">
        <v>22</v>
      </c>
      <c r="B13" s="13">
        <v>21378.566666666666</v>
      </c>
      <c r="C13" s="13">
        <v>21336.469999999998</v>
      </c>
      <c r="D13" s="13">
        <v>21476.13</v>
      </c>
      <c r="E13" s="13">
        <v>21615.079999999998</v>
      </c>
      <c r="F13" s="13">
        <v>20476.46</v>
      </c>
      <c r="G13" s="13">
        <v>19516.62</v>
      </c>
      <c r="H13" s="23">
        <v>19489.3</v>
      </c>
      <c r="I13" s="13">
        <f t="shared" si="16"/>
        <v>100</v>
      </c>
      <c r="J13" s="13">
        <f t="shared" si="17"/>
        <v>99.803089387034049</v>
      </c>
      <c r="K13" s="13">
        <f t="shared" si="18"/>
        <v>100.45636049813132</v>
      </c>
      <c r="L13" s="13">
        <f t="shared" si="19"/>
        <v>101.10631052596291</v>
      </c>
      <c r="M13" s="13">
        <f t="shared" si="20"/>
        <v>95.780322035933182</v>
      </c>
      <c r="N13" s="13">
        <f t="shared" si="21"/>
        <v>91.290591667355315</v>
      </c>
      <c r="O13" s="23">
        <f t="shared" si="21"/>
        <v>91.162800125359198</v>
      </c>
      <c r="P13" s="13" t="s">
        <v>15</v>
      </c>
      <c r="Q13" s="13" t="s">
        <v>15</v>
      </c>
      <c r="R13" s="13" t="s">
        <v>15</v>
      </c>
      <c r="S13" s="13" t="s">
        <v>15</v>
      </c>
      <c r="T13" s="13" t="s">
        <v>15</v>
      </c>
      <c r="U13" s="13" t="s">
        <v>15</v>
      </c>
      <c r="V13" s="13" t="s">
        <v>15</v>
      </c>
      <c r="W13" s="13">
        <v>100</v>
      </c>
      <c r="X13" s="13">
        <v>79.881103870024035</v>
      </c>
      <c r="Y13" s="13">
        <v>71.726410442325175</v>
      </c>
      <c r="Z13" s="13">
        <v>92.886417407433115</v>
      </c>
      <c r="AA13" s="13">
        <v>99.900380646076684</v>
      </c>
      <c r="AB13" s="13">
        <v>107.12833026790037</v>
      </c>
      <c r="AC13" s="23">
        <v>104.35178766726234</v>
      </c>
      <c r="AD13" s="17">
        <v>5.5605534391525824</v>
      </c>
      <c r="AE13" s="17">
        <v>4.5262262663787434</v>
      </c>
      <c r="AF13" s="17">
        <v>4.1088705166553199</v>
      </c>
      <c r="AG13" s="17">
        <v>5.3210283287497129</v>
      </c>
      <c r="AH13" s="17">
        <v>5.5550140517419377</v>
      </c>
      <c r="AI13" s="17">
        <v>5.9569280530184709</v>
      </c>
      <c r="AJ13" s="18">
        <v>5.8025369179491566</v>
      </c>
      <c r="AK13" s="17">
        <v>14.819695788999999</v>
      </c>
      <c r="AL13" s="17">
        <v>14.821826923749999</v>
      </c>
      <c r="AM13" s="17">
        <v>15.436256794249999</v>
      </c>
      <c r="AN13" s="17">
        <v>17.23002521611231</v>
      </c>
      <c r="AO13" s="17">
        <v>17.000106965749996</v>
      </c>
      <c r="AP13" s="17">
        <v>16.382136991951111</v>
      </c>
      <c r="AQ13" s="18">
        <v>17.266862314737899</v>
      </c>
      <c r="AR13" s="13">
        <f t="shared" si="6"/>
        <v>693.20343220702352</v>
      </c>
      <c r="AS13" s="13">
        <f t="shared" si="7"/>
        <v>694.67099870550283</v>
      </c>
      <c r="AT13" s="13">
        <f t="shared" si="8"/>
        <v>718.763426848785</v>
      </c>
      <c r="AU13" s="13">
        <f t="shared" si="9"/>
        <v>797.12983787764415</v>
      </c>
      <c r="AV13" s="13">
        <f t="shared" si="10"/>
        <v>830.22685394594566</v>
      </c>
      <c r="AW13" s="13">
        <f t="shared" si="11"/>
        <v>839.39416722522196</v>
      </c>
      <c r="AX13" s="23">
        <f t="shared" si="12"/>
        <v>885.96626429568539</v>
      </c>
      <c r="AY13" s="13">
        <f t="shared" si="22"/>
        <v>100</v>
      </c>
      <c r="AZ13" s="13">
        <f t="shared" si="23"/>
        <v>100.21170791001524</v>
      </c>
      <c r="BA13" s="13">
        <f t="shared" si="24"/>
        <v>103.68722851824081</v>
      </c>
      <c r="BB13" s="13">
        <f t="shared" si="25"/>
        <v>114.99219433171865</v>
      </c>
      <c r="BC13" s="13">
        <f t="shared" si="26"/>
        <v>119.76669695686107</v>
      </c>
      <c r="BD13" s="13">
        <f t="shared" si="27"/>
        <v>121.08915337489832</v>
      </c>
      <c r="BE13" s="23">
        <f t="shared" si="27"/>
        <v>127.80754149975036</v>
      </c>
      <c r="BF13" s="21">
        <f t="shared" si="28"/>
        <v>0.37521373706469291</v>
      </c>
      <c r="BG13" s="21">
        <f t="shared" si="29"/>
        <v>0.30537573334674889</v>
      </c>
      <c r="BH13" s="21">
        <f t="shared" si="30"/>
        <v>0.26618308903657739</v>
      </c>
      <c r="BI13" s="21">
        <f t="shared" si="31"/>
        <v>0.30882301459279704</v>
      </c>
      <c r="BJ13" s="21">
        <f t="shared" si="32"/>
        <v>0.32676347642597708</v>
      </c>
      <c r="BK13" s="21">
        <f t="shared" si="33"/>
        <v>0.36362338173250752</v>
      </c>
      <c r="BL13" s="21">
        <f t="shared" si="34"/>
        <v>0.33605045387988519</v>
      </c>
      <c r="BM13" s="17">
        <f t="shared" si="35"/>
        <v>9.2591423498474157</v>
      </c>
      <c r="BN13" s="17">
        <f t="shared" si="36"/>
        <v>8.4146125390653204</v>
      </c>
      <c r="BO13" s="17">
        <f t="shared" si="37"/>
        <v>9.0001564181211435</v>
      </c>
      <c r="BP13" s="17">
        <f t="shared" si="38"/>
        <v>11.520189296094772</v>
      </c>
      <c r="BQ13" s="17">
        <f t="shared" si="39"/>
        <v>11.198616354008058</v>
      </c>
      <c r="BR13" s="17">
        <f t="shared" si="40"/>
        <v>10.41284371893264</v>
      </c>
      <c r="BS13" s="18">
        <f t="shared" si="41"/>
        <v>11.464325396788743</v>
      </c>
      <c r="BT13" s="42">
        <v>0</v>
      </c>
      <c r="BU13" s="17">
        <v>1.8809881183059356</v>
      </c>
      <c r="BV13" s="17">
        <v>2.3272298594735377</v>
      </c>
      <c r="BW13" s="17">
        <v>0.38880759126782616</v>
      </c>
      <c r="BX13" s="17">
        <v>0.24647656000000004</v>
      </c>
      <c r="BY13" s="17">
        <v>1.2365220000000001E-2</v>
      </c>
      <c r="BZ13" s="18">
        <v>0</v>
      </c>
    </row>
    <row r="14" spans="1:78" x14ac:dyDescent="0.25">
      <c r="A14" s="3" t="s">
        <v>23</v>
      </c>
      <c r="B14" s="13">
        <v>35883.066666666666</v>
      </c>
      <c r="C14" s="13">
        <v>34462.71</v>
      </c>
      <c r="D14" s="13">
        <v>34590.410000000003</v>
      </c>
      <c r="E14" s="13">
        <v>34623.839999999997</v>
      </c>
      <c r="F14" s="13">
        <v>32959.15</v>
      </c>
      <c r="G14" s="13">
        <v>29628.530000000002</v>
      </c>
      <c r="H14" s="23">
        <v>25997.93</v>
      </c>
      <c r="I14" s="13">
        <f t="shared" si="16"/>
        <v>100</v>
      </c>
      <c r="J14" s="13">
        <f t="shared" si="17"/>
        <v>96.041707694994486</v>
      </c>
      <c r="K14" s="13">
        <f t="shared" si="18"/>
        <v>96.397585862226578</v>
      </c>
      <c r="L14" s="13">
        <f t="shared" si="19"/>
        <v>96.490749582904471</v>
      </c>
      <c r="M14" s="13">
        <f t="shared" si="20"/>
        <v>91.851541860041692</v>
      </c>
      <c r="N14" s="13">
        <f t="shared" si="21"/>
        <v>82.56967074534694</v>
      </c>
      <c r="O14" s="23">
        <f t="shared" si="21"/>
        <v>72.451806423085358</v>
      </c>
      <c r="P14" s="13" t="s">
        <v>15</v>
      </c>
      <c r="Q14" s="13" t="s">
        <v>15</v>
      </c>
      <c r="R14" s="13" t="s">
        <v>15</v>
      </c>
      <c r="S14" s="13" t="s">
        <v>15</v>
      </c>
      <c r="T14" s="13" t="s">
        <v>15</v>
      </c>
      <c r="U14" s="13" t="s">
        <v>15</v>
      </c>
      <c r="V14" s="13" t="s">
        <v>15</v>
      </c>
      <c r="W14" s="13">
        <v>100</v>
      </c>
      <c r="X14" s="13">
        <v>80.310440118141798</v>
      </c>
      <c r="Y14" s="13">
        <v>70.394674096131766</v>
      </c>
      <c r="Z14" s="13">
        <v>84.379442943914043</v>
      </c>
      <c r="AA14" s="13">
        <v>98.672578734042702</v>
      </c>
      <c r="AB14" s="13">
        <v>97.067718468085445</v>
      </c>
      <c r="AC14" s="23">
        <v>104.81317087302624</v>
      </c>
      <c r="AD14" s="17">
        <v>5.6997667295735397</v>
      </c>
      <c r="AE14" s="17">
        <v>4.6644803934062571</v>
      </c>
      <c r="AF14" s="17">
        <v>4.1335407573613576</v>
      </c>
      <c r="AG14" s="17">
        <v>4.9547195291480426</v>
      </c>
      <c r="AH14" s="17">
        <v>5.6241068138952217</v>
      </c>
      <c r="AI14" s="17">
        <v>5.5326335224000447</v>
      </c>
      <c r="AJ14" s="18">
        <v>5.9741062416318131</v>
      </c>
      <c r="AK14" s="17">
        <v>25.493574165249999</v>
      </c>
      <c r="AL14" s="17">
        <v>25.551972445000001</v>
      </c>
      <c r="AM14" s="17">
        <v>28.69742506575</v>
      </c>
      <c r="AN14" s="17">
        <v>33.658341102499996</v>
      </c>
      <c r="AO14" s="17">
        <v>33.293707654327051</v>
      </c>
      <c r="AP14" s="17">
        <v>29.431038316101404</v>
      </c>
      <c r="AQ14" s="18">
        <v>28.856902093793796</v>
      </c>
      <c r="AR14" s="13">
        <f t="shared" si="6"/>
        <v>710.46252546001267</v>
      </c>
      <c r="AS14" s="13">
        <f t="shared" si="7"/>
        <v>741.43828053568632</v>
      </c>
      <c r="AT14" s="13">
        <f t="shared" si="8"/>
        <v>829.63529677011627</v>
      </c>
      <c r="AU14" s="13">
        <f t="shared" si="9"/>
        <v>972.11462109633135</v>
      </c>
      <c r="AV14" s="13">
        <f t="shared" si="10"/>
        <v>1010.1506760437404</v>
      </c>
      <c r="AW14" s="13">
        <f t="shared" si="11"/>
        <v>993.33440829164999</v>
      </c>
      <c r="AX14" s="23">
        <f t="shared" si="12"/>
        <v>1109.9692203876921</v>
      </c>
      <c r="AY14" s="13">
        <f t="shared" si="22"/>
        <v>100</v>
      </c>
      <c r="AZ14" s="13">
        <f t="shared" si="23"/>
        <v>104.35994214552235</v>
      </c>
      <c r="BA14" s="13">
        <f t="shared" si="24"/>
        <v>116.77397006027041</v>
      </c>
      <c r="BB14" s="13">
        <f t="shared" si="25"/>
        <v>136.82841617394291</v>
      </c>
      <c r="BC14" s="13">
        <f t="shared" si="26"/>
        <v>142.18211937212095</v>
      </c>
      <c r="BD14" s="13">
        <f t="shared" si="27"/>
        <v>139.81517289015105</v>
      </c>
      <c r="BE14" s="23">
        <f t="shared" si="27"/>
        <v>156.23191661924821</v>
      </c>
      <c r="BF14" s="21">
        <f t="shared" si="28"/>
        <v>0.2235766037601282</v>
      </c>
      <c r="BG14" s="21">
        <f t="shared" si="29"/>
        <v>0.18254874074580496</v>
      </c>
      <c r="BH14" s="21">
        <f t="shared" si="30"/>
        <v>0.14403873336687215</v>
      </c>
      <c r="BI14" s="21">
        <f t="shared" si="31"/>
        <v>0.14720629023454834</v>
      </c>
      <c r="BJ14" s="21">
        <f t="shared" si="32"/>
        <v>0.1689240162822262</v>
      </c>
      <c r="BK14" s="21">
        <f t="shared" si="33"/>
        <v>0.18798635178879164</v>
      </c>
      <c r="BL14" s="21">
        <f t="shared" si="34"/>
        <v>0.20702521089111134</v>
      </c>
      <c r="BM14" s="17">
        <f t="shared" si="35"/>
        <v>19.79380743567646</v>
      </c>
      <c r="BN14" s="17">
        <f t="shared" si="36"/>
        <v>18.437238308166712</v>
      </c>
      <c r="BO14" s="17">
        <f t="shared" si="37"/>
        <v>22.032657012058451</v>
      </c>
      <c r="BP14" s="17">
        <f t="shared" si="38"/>
        <v>28.085641591849125</v>
      </c>
      <c r="BQ14" s="17">
        <f t="shared" si="39"/>
        <v>27.17557684043183</v>
      </c>
      <c r="BR14" s="17">
        <f t="shared" si="40"/>
        <v>23.873812853701359</v>
      </c>
      <c r="BS14" s="18">
        <f t="shared" si="41"/>
        <v>22.882795852161983</v>
      </c>
      <c r="BT14" s="42">
        <v>0</v>
      </c>
      <c r="BU14" s="17">
        <v>2.4502537434270319</v>
      </c>
      <c r="BV14" s="17">
        <v>2.5312272963301941</v>
      </c>
      <c r="BW14" s="17">
        <v>0.61797998150282674</v>
      </c>
      <c r="BX14" s="17">
        <v>0.49402400000000002</v>
      </c>
      <c r="BY14" s="17">
        <v>2.459194E-2</v>
      </c>
      <c r="BZ14" s="18">
        <v>0</v>
      </c>
    </row>
    <row r="15" spans="1:78" x14ac:dyDescent="0.25">
      <c r="A15" s="3" t="s">
        <v>24</v>
      </c>
      <c r="B15" s="13">
        <v>23806.449999999997</v>
      </c>
      <c r="C15" s="13">
        <v>23776.47</v>
      </c>
      <c r="D15" s="13">
        <v>23249.32</v>
      </c>
      <c r="E15" s="13">
        <v>23162</v>
      </c>
      <c r="F15" s="13">
        <v>21586.02</v>
      </c>
      <c r="G15" s="13">
        <v>20316.64</v>
      </c>
      <c r="H15" s="23">
        <v>20314.45</v>
      </c>
      <c r="I15" s="13">
        <f t="shared" si="16"/>
        <v>100</v>
      </c>
      <c r="J15" s="13">
        <f t="shared" si="17"/>
        <v>99.874067742145527</v>
      </c>
      <c r="K15" s="13">
        <f t="shared" si="18"/>
        <v>97.65975187396694</v>
      </c>
      <c r="L15" s="13">
        <f t="shared" si="19"/>
        <v>97.292960521203298</v>
      </c>
      <c r="M15" s="13">
        <f t="shared" si="20"/>
        <v>90.672989882993903</v>
      </c>
      <c r="N15" s="13">
        <f t="shared" si="21"/>
        <v>85.340905510901464</v>
      </c>
      <c r="O15" s="23">
        <f t="shared" si="21"/>
        <v>85.331706323286355</v>
      </c>
      <c r="P15" s="13" t="s">
        <v>15</v>
      </c>
      <c r="Q15" s="13" t="s">
        <v>15</v>
      </c>
      <c r="R15" s="13" t="s">
        <v>15</v>
      </c>
      <c r="S15" s="13" t="s">
        <v>15</v>
      </c>
      <c r="T15" s="13" t="s">
        <v>15</v>
      </c>
      <c r="U15" s="13" t="s">
        <v>15</v>
      </c>
      <c r="V15" s="13" t="s">
        <v>15</v>
      </c>
      <c r="W15" s="13">
        <v>100</v>
      </c>
      <c r="X15" s="13">
        <v>80.555735288502447</v>
      </c>
      <c r="Y15" s="13">
        <v>70.321705164184181</v>
      </c>
      <c r="Z15" s="13">
        <v>80.31757641168754</v>
      </c>
      <c r="AA15" s="13">
        <v>89.737613303010292</v>
      </c>
      <c r="AB15" s="13">
        <v>63.095396258464099</v>
      </c>
      <c r="AC15" s="23">
        <v>57.215704900529438</v>
      </c>
      <c r="AD15" s="17">
        <v>3.2786587425789753</v>
      </c>
      <c r="AE15" s="17">
        <v>2.6913294631812819</v>
      </c>
      <c r="AF15" s="17">
        <v>2.3752588685504867</v>
      </c>
      <c r="AG15" s="17">
        <v>2.7128897859761594</v>
      </c>
      <c r="AH15" s="17">
        <v>2.9421901039408604</v>
      </c>
      <c r="AI15" s="17">
        <v>2.0686827255929807</v>
      </c>
      <c r="AJ15" s="18">
        <v>1.8759077108493956</v>
      </c>
      <c r="AK15" s="17">
        <v>16.359122804750001</v>
      </c>
      <c r="AL15" s="17">
        <v>16.575211492250002</v>
      </c>
      <c r="AM15" s="17">
        <v>16.66334660675</v>
      </c>
      <c r="AN15" s="17">
        <v>19.016006006500003</v>
      </c>
      <c r="AO15" s="17">
        <v>18.461656308680855</v>
      </c>
      <c r="AP15" s="17">
        <v>17.48755323358543</v>
      </c>
      <c r="AQ15" s="18">
        <v>18.48553978934439</v>
      </c>
      <c r="AR15" s="13">
        <f t="shared" si="6"/>
        <v>687.17187168813507</v>
      </c>
      <c r="AS15" s="13">
        <f t="shared" si="7"/>
        <v>697.12667575338151</v>
      </c>
      <c r="AT15" s="13">
        <f t="shared" si="8"/>
        <v>716.72404211176934</v>
      </c>
      <c r="AU15" s="13">
        <f t="shared" si="9"/>
        <v>821.0001729772905</v>
      </c>
      <c r="AV15" s="13">
        <f t="shared" si="10"/>
        <v>855.25985377021118</v>
      </c>
      <c r="AW15" s="13">
        <f t="shared" si="11"/>
        <v>860.75026350742189</v>
      </c>
      <c r="AX15" s="23">
        <f t="shared" si="12"/>
        <v>909.96998635672583</v>
      </c>
      <c r="AY15" s="13">
        <f t="shared" si="22"/>
        <v>100</v>
      </c>
      <c r="AZ15" s="13">
        <f t="shared" si="23"/>
        <v>101.44866291467824</v>
      </c>
      <c r="BA15" s="13">
        <f t="shared" si="24"/>
        <v>104.30055007214354</v>
      </c>
      <c r="BB15" s="13">
        <f t="shared" si="25"/>
        <v>119.47522982283706</v>
      </c>
      <c r="BC15" s="13">
        <f t="shared" si="26"/>
        <v>124.46083563769048</v>
      </c>
      <c r="BD15" s="13">
        <f t="shared" si="27"/>
        <v>125.25982202863848</v>
      </c>
      <c r="BE15" s="23">
        <f t="shared" si="27"/>
        <v>132.42247301555804</v>
      </c>
      <c r="BF15" s="21">
        <f t="shared" si="28"/>
        <v>0.2004177596629442</v>
      </c>
      <c r="BG15" s="21">
        <f t="shared" si="29"/>
        <v>0.16237074648728644</v>
      </c>
      <c r="BH15" s="21">
        <f t="shared" si="30"/>
        <v>0.14254392737580787</v>
      </c>
      <c r="BI15" s="21">
        <f t="shared" si="31"/>
        <v>0.1426634901697468</v>
      </c>
      <c r="BJ15" s="21">
        <f t="shared" si="32"/>
        <v>0.15936761332499799</v>
      </c>
      <c r="BK15" s="21">
        <f t="shared" si="33"/>
        <v>0.11829457774687464</v>
      </c>
      <c r="BL15" s="21">
        <f t="shared" si="34"/>
        <v>0.10147973671457103</v>
      </c>
      <c r="BM15" s="17">
        <f t="shared" si="35"/>
        <v>13.080464062171025</v>
      </c>
      <c r="BN15" s="17">
        <f t="shared" si="36"/>
        <v>12.931270034764033</v>
      </c>
      <c r="BO15" s="17">
        <f t="shared" si="37"/>
        <v>12.865677810901945</v>
      </c>
      <c r="BP15" s="17">
        <f t="shared" si="38"/>
        <v>15.775228476452799</v>
      </c>
      <c r="BQ15" s="17">
        <f t="shared" si="39"/>
        <v>15.236458834739995</v>
      </c>
      <c r="BR15" s="17">
        <f t="shared" si="40"/>
        <v>15.40463371799245</v>
      </c>
      <c r="BS15" s="18">
        <f t="shared" si="41"/>
        <v>16.609632078494993</v>
      </c>
      <c r="BT15" s="42">
        <v>0</v>
      </c>
      <c r="BU15" s="17">
        <v>0.95261199430468713</v>
      </c>
      <c r="BV15" s="17">
        <v>1.422409927297569</v>
      </c>
      <c r="BW15" s="17">
        <v>0.52788774407104422</v>
      </c>
      <c r="BX15" s="17">
        <v>0.28300736999999998</v>
      </c>
      <c r="BY15" s="17">
        <v>1.4236789999999999E-2</v>
      </c>
      <c r="BZ15" s="18">
        <v>0</v>
      </c>
    </row>
    <row r="16" spans="1:78" x14ac:dyDescent="0.25">
      <c r="A16" s="3" t="s">
        <v>25</v>
      </c>
      <c r="B16" s="13">
        <v>370779.86666666658</v>
      </c>
      <c r="C16" s="13">
        <v>369069.4800000001</v>
      </c>
      <c r="D16" s="13">
        <v>369134.01000000013</v>
      </c>
      <c r="E16" s="13">
        <v>369343.99</v>
      </c>
      <c r="F16" s="13">
        <v>355228.19000000006</v>
      </c>
      <c r="G16" s="13">
        <v>353256.18209677405</v>
      </c>
      <c r="H16" s="23">
        <v>360914.32999999978</v>
      </c>
      <c r="I16" s="13">
        <f t="shared" si="16"/>
        <v>100</v>
      </c>
      <c r="J16" s="13">
        <f t="shared" si="17"/>
        <v>99.538705625512264</v>
      </c>
      <c r="K16" s="13">
        <f t="shared" si="18"/>
        <v>99.556109483111157</v>
      </c>
      <c r="L16" s="13">
        <f t="shared" si="19"/>
        <v>99.612741468522756</v>
      </c>
      <c r="M16" s="13">
        <f t="shared" si="20"/>
        <v>95.805684702765276</v>
      </c>
      <c r="N16" s="13">
        <f t="shared" si="21"/>
        <v>95.273830608055519</v>
      </c>
      <c r="O16" s="23">
        <f t="shared" si="21"/>
        <v>97.339246935018735</v>
      </c>
      <c r="P16" s="13" t="s">
        <v>15</v>
      </c>
      <c r="Q16" s="13" t="s">
        <v>15</v>
      </c>
      <c r="R16" s="13" t="s">
        <v>15</v>
      </c>
      <c r="S16" s="13" t="s">
        <v>15</v>
      </c>
      <c r="T16" s="13" t="s">
        <v>15</v>
      </c>
      <c r="U16" s="13" t="s">
        <v>15</v>
      </c>
      <c r="V16" s="13" t="s">
        <v>15</v>
      </c>
      <c r="W16" s="13">
        <v>100</v>
      </c>
      <c r="X16" s="13">
        <v>65.814125154245104</v>
      </c>
      <c r="Y16" s="13">
        <v>61.740604237230968</v>
      </c>
      <c r="Z16" s="13">
        <v>79.84211232310237</v>
      </c>
      <c r="AA16" s="13">
        <v>98.855723016377354</v>
      </c>
      <c r="AB16" s="13">
        <v>112.60803924895268</v>
      </c>
      <c r="AC16" s="23">
        <v>112.02816587571334</v>
      </c>
      <c r="AD16" s="17">
        <v>154.06428845552682</v>
      </c>
      <c r="AE16" s="17">
        <v>103.32258883093783</v>
      </c>
      <c r="AF16" s="17">
        <v>97.99370941094439</v>
      </c>
      <c r="AG16" s="17">
        <v>126.72413641569146</v>
      </c>
      <c r="AH16" s="17">
        <v>152.30136626274822</v>
      </c>
      <c r="AI16" s="17">
        <v>173.48877441261931</v>
      </c>
      <c r="AJ16" s="18">
        <v>177.37316562619506</v>
      </c>
      <c r="AK16" s="17">
        <v>284.47745560324944</v>
      </c>
      <c r="AL16" s="17">
        <v>289.54745529999997</v>
      </c>
      <c r="AM16" s="17">
        <v>303.48291368524997</v>
      </c>
      <c r="AN16" s="17">
        <v>330.68956248965924</v>
      </c>
      <c r="AO16" s="17">
        <v>317.56204875932178</v>
      </c>
      <c r="AP16" s="17">
        <v>306.31684912835271</v>
      </c>
      <c r="AQ16" s="18">
        <v>332.20407888323791</v>
      </c>
      <c r="AR16" s="13">
        <f t="shared" si="6"/>
        <v>767.24083796868194</v>
      </c>
      <c r="AS16" s="13">
        <f t="shared" si="7"/>
        <v>784.53372871687975</v>
      </c>
      <c r="AT16" s="13">
        <f t="shared" si="8"/>
        <v>822.1483403418988</v>
      </c>
      <c r="AU16" s="13">
        <f t="shared" si="9"/>
        <v>895.34301746634424</v>
      </c>
      <c r="AV16" s="13">
        <f t="shared" si="10"/>
        <v>893.96635092311158</v>
      </c>
      <c r="AW16" s="13">
        <f t="shared" si="11"/>
        <v>867.12381736729981</v>
      </c>
      <c r="AX16" s="23">
        <f t="shared" si="12"/>
        <v>920.45134058056965</v>
      </c>
      <c r="AY16" s="13">
        <f t="shared" si="22"/>
        <v>100</v>
      </c>
      <c r="AZ16" s="13">
        <f t="shared" si="23"/>
        <v>102.25390645184918</v>
      </c>
      <c r="BA16" s="13">
        <f t="shared" si="24"/>
        <v>107.15648850478135</v>
      </c>
      <c r="BB16" s="13">
        <f t="shared" si="25"/>
        <v>116.69647562515321</v>
      </c>
      <c r="BC16" s="13">
        <f t="shared" si="26"/>
        <v>116.51704480302996</v>
      </c>
      <c r="BD16" s="13">
        <f t="shared" si="27"/>
        <v>113.01846492726642</v>
      </c>
      <c r="BE16" s="23">
        <f t="shared" si="27"/>
        <v>119.96902341871191</v>
      </c>
      <c r="BF16" s="21">
        <f t="shared" si="28"/>
        <v>0.5415694123417456</v>
      </c>
      <c r="BG16" s="21">
        <f t="shared" si="29"/>
        <v>0.35684164008240155</v>
      </c>
      <c r="BH16" s="21">
        <f t="shared" si="30"/>
        <v>0.32289695726519951</v>
      </c>
      <c r="BI16" s="21">
        <f t="shared" si="31"/>
        <v>0.38321178165293368</v>
      </c>
      <c r="BJ16" s="21">
        <f t="shared" si="32"/>
        <v>0.47959561558999902</v>
      </c>
      <c r="BK16" s="21">
        <f t="shared" si="33"/>
        <v>0.56637032832602729</v>
      </c>
      <c r="BL16" s="21">
        <f t="shared" si="34"/>
        <v>0.53392831967164867</v>
      </c>
      <c r="BM16" s="17">
        <f t="shared" si="35"/>
        <v>130.41316714772262</v>
      </c>
      <c r="BN16" s="17">
        <f t="shared" si="36"/>
        <v>132.8619798265114</v>
      </c>
      <c r="BO16" s="17">
        <f t="shared" si="37"/>
        <v>144.4452399534519</v>
      </c>
      <c r="BP16" s="17">
        <f t="shared" si="38"/>
        <v>180.35977582018683</v>
      </c>
      <c r="BQ16" s="17">
        <f t="shared" si="39"/>
        <v>160.84201062657357</v>
      </c>
      <c r="BR16" s="17">
        <f t="shared" si="40"/>
        <v>132.5957558057334</v>
      </c>
      <c r="BS16" s="18">
        <f t="shared" si="41"/>
        <v>154.83091325704285</v>
      </c>
      <c r="BT16" s="42">
        <v>0</v>
      </c>
      <c r="BU16" s="17">
        <v>53.362886642550748</v>
      </c>
      <c r="BV16" s="17">
        <v>61.043964320853668</v>
      </c>
      <c r="BW16" s="17">
        <v>23.605650253780922</v>
      </c>
      <c r="BX16" s="17">
        <v>4.4186718699999989</v>
      </c>
      <c r="BY16" s="17">
        <v>0.23231891000000002</v>
      </c>
      <c r="BZ16" s="18">
        <v>0</v>
      </c>
    </row>
    <row r="17" spans="1:78" x14ac:dyDescent="0.25">
      <c r="A17" s="3" t="s">
        <v>26</v>
      </c>
      <c r="B17" s="13">
        <v>298608.2666666666</v>
      </c>
      <c r="C17" s="13">
        <v>299196.10000000009</v>
      </c>
      <c r="D17" s="13">
        <v>300537.4200000001</v>
      </c>
      <c r="E17" s="13">
        <v>301204.31</v>
      </c>
      <c r="F17" s="13">
        <v>296473.38</v>
      </c>
      <c r="G17" s="13">
        <v>291836.05499999993</v>
      </c>
      <c r="H17" s="23">
        <v>288086.28840000002</v>
      </c>
      <c r="I17" s="13">
        <f t="shared" si="16"/>
        <v>100</v>
      </c>
      <c r="J17" s="13">
        <f t="shared" si="17"/>
        <v>100.19685768913749</v>
      </c>
      <c r="K17" s="13">
        <f t="shared" si="18"/>
        <v>100.64604820049641</v>
      </c>
      <c r="L17" s="13">
        <f t="shared" si="19"/>
        <v>100.86938093252165</v>
      </c>
      <c r="M17" s="13">
        <f t="shared" si="20"/>
        <v>99.285054399029832</v>
      </c>
      <c r="N17" s="13">
        <f t="shared" si="21"/>
        <v>97.732074954834914</v>
      </c>
      <c r="O17" s="23">
        <f t="shared" si="21"/>
        <v>96.476327201479606</v>
      </c>
      <c r="P17" s="13" t="s">
        <v>15</v>
      </c>
      <c r="Q17" s="13" t="s">
        <v>15</v>
      </c>
      <c r="R17" s="13" t="s">
        <v>15</v>
      </c>
      <c r="S17" s="13" t="s">
        <v>15</v>
      </c>
      <c r="T17" s="13" t="s">
        <v>15</v>
      </c>
      <c r="U17" s="13" t="s">
        <v>15</v>
      </c>
      <c r="V17" s="13" t="s">
        <v>15</v>
      </c>
      <c r="W17" s="13">
        <v>100</v>
      </c>
      <c r="X17" s="13">
        <v>76.854151914858846</v>
      </c>
      <c r="Y17" s="13">
        <v>82.842407587210076</v>
      </c>
      <c r="Z17" s="13">
        <v>104.33171436852159</v>
      </c>
      <c r="AA17" s="13">
        <v>119.7356335719999</v>
      </c>
      <c r="AB17" s="13">
        <v>127.67394595358515</v>
      </c>
      <c r="AC17" s="23">
        <v>132.44010955453717</v>
      </c>
      <c r="AD17" s="17">
        <v>95.468345262502723</v>
      </c>
      <c r="AE17" s="17">
        <v>74.765443453520049</v>
      </c>
      <c r="AF17" s="17">
        <v>81.47745341972238</v>
      </c>
      <c r="AG17" s="17">
        <v>102.61269131648712</v>
      </c>
      <c r="AH17" s="17">
        <v>114.30962806076199</v>
      </c>
      <c r="AI17" s="17">
        <v>121.8882035332298</v>
      </c>
      <c r="AJ17" s="18">
        <v>126.4383810555624</v>
      </c>
      <c r="AK17" s="17">
        <v>224.71708852457266</v>
      </c>
      <c r="AL17" s="17">
        <v>229.47513358927699</v>
      </c>
      <c r="AM17" s="17">
        <v>237.47038700965101</v>
      </c>
      <c r="AN17" s="17">
        <v>267.52679205939347</v>
      </c>
      <c r="AO17" s="17">
        <v>260.49933997299325</v>
      </c>
      <c r="AP17" s="17">
        <v>247.5474467065163</v>
      </c>
      <c r="AQ17" s="18">
        <v>271.22448659987327</v>
      </c>
      <c r="AR17" s="13">
        <f t="shared" si="6"/>
        <v>752.54811607550732</v>
      </c>
      <c r="AS17" s="13">
        <f t="shared" si="7"/>
        <v>766.97234218386177</v>
      </c>
      <c r="AT17" s="13">
        <f t="shared" si="8"/>
        <v>790.15247755055236</v>
      </c>
      <c r="AU17" s="13">
        <f t="shared" si="9"/>
        <v>888.19045138960155</v>
      </c>
      <c r="AV17" s="13">
        <f t="shared" si="10"/>
        <v>878.66013458946384</v>
      </c>
      <c r="AW17" s="13">
        <f t="shared" si="11"/>
        <v>848.24147827284855</v>
      </c>
      <c r="AX17" s="23">
        <f t="shared" si="12"/>
        <v>941.46961351831294</v>
      </c>
      <c r="AY17" s="13">
        <f t="shared" si="22"/>
        <v>100</v>
      </c>
      <c r="AZ17" s="13">
        <f t="shared" si="23"/>
        <v>101.91671812077291</v>
      </c>
      <c r="BA17" s="13">
        <f t="shared" si="24"/>
        <v>104.99693782653388</v>
      </c>
      <c r="BB17" s="13">
        <f t="shared" si="25"/>
        <v>118.02440700024084</v>
      </c>
      <c r="BC17" s="13">
        <f t="shared" si="26"/>
        <v>116.75800069391218</v>
      </c>
      <c r="BD17" s="13">
        <f t="shared" si="27"/>
        <v>112.71591279722767</v>
      </c>
      <c r="BE17" s="23">
        <f t="shared" si="27"/>
        <v>125.10424163015912</v>
      </c>
      <c r="BF17" s="41">
        <f t="shared" si="28"/>
        <v>0.42483794129463065</v>
      </c>
      <c r="BG17" s="41">
        <f t="shared" si="29"/>
        <v>0.3258106544447556</v>
      </c>
      <c r="BH17" s="41">
        <f t="shared" si="30"/>
        <v>0.34310574234424884</v>
      </c>
      <c r="BI17" s="41">
        <f t="shared" si="31"/>
        <v>0.38356042969223858</v>
      </c>
      <c r="BJ17" s="41">
        <f t="shared" si="32"/>
        <v>0.43880966482530365</v>
      </c>
      <c r="BK17" s="41">
        <f t="shared" si="33"/>
        <v>0.49238319827122373</v>
      </c>
      <c r="BL17" s="24">
        <f t="shared" si="34"/>
        <v>0.46617612827153004</v>
      </c>
      <c r="BM17" s="17">
        <f t="shared" si="35"/>
        <v>129.24874326206992</v>
      </c>
      <c r="BN17" s="17">
        <f t="shared" si="36"/>
        <v>111.18670918003744</v>
      </c>
      <c r="BO17" s="17">
        <f t="shared" si="37"/>
        <v>113.37873864029918</v>
      </c>
      <c r="BP17" s="17">
        <f t="shared" si="38"/>
        <v>156.62854547292778</v>
      </c>
      <c r="BQ17" s="17">
        <f t="shared" si="39"/>
        <v>142.44760062223125</v>
      </c>
      <c r="BR17" s="17">
        <f t="shared" si="40"/>
        <v>125.47061222328649</v>
      </c>
      <c r="BS17" s="18">
        <f t="shared" si="41"/>
        <v>144.78610554431089</v>
      </c>
      <c r="BT17" s="42">
        <v>0</v>
      </c>
      <c r="BU17" s="17">
        <v>43.522980955719497</v>
      </c>
      <c r="BV17" s="17">
        <v>42.614194949629436</v>
      </c>
      <c r="BW17" s="17">
        <v>8.2855552699785804</v>
      </c>
      <c r="BX17" s="17">
        <v>3.74211129</v>
      </c>
      <c r="BY17" s="17">
        <v>0.18863095000000002</v>
      </c>
      <c r="BZ17" s="18">
        <v>0</v>
      </c>
    </row>
    <row r="18" spans="1:78" ht="16.5" thickBot="1" x14ac:dyDescent="0.3">
      <c r="A18" s="25" t="s">
        <v>27</v>
      </c>
      <c r="B18" s="26">
        <f t="shared" ref="B18:H18" si="42">SUM(B6:B17)</f>
        <v>914096.11666666646</v>
      </c>
      <c r="C18" s="26">
        <f t="shared" si="42"/>
        <v>908325.76000000024</v>
      </c>
      <c r="D18" s="26">
        <f t="shared" si="42"/>
        <v>902110.55000000028</v>
      </c>
      <c r="E18" s="26">
        <f t="shared" si="42"/>
        <v>899044.10000000009</v>
      </c>
      <c r="F18" s="26">
        <f t="shared" si="42"/>
        <v>863332.1</v>
      </c>
      <c r="G18" s="26">
        <f t="shared" si="42"/>
        <v>841145.16709677398</v>
      </c>
      <c r="H18" s="26">
        <f t="shared" si="42"/>
        <v>840148.23839999968</v>
      </c>
      <c r="I18" s="26">
        <f t="shared" si="16"/>
        <v>100</v>
      </c>
      <c r="J18" s="26">
        <f t="shared" si="17"/>
        <v>99.368736332924328</v>
      </c>
      <c r="K18" s="26">
        <f t="shared" si="18"/>
        <v>98.688806740545772</v>
      </c>
      <c r="L18" s="26">
        <f t="shared" si="19"/>
        <v>98.35334420612628</v>
      </c>
      <c r="M18" s="26">
        <f t="shared" si="20"/>
        <v>94.446534041542364</v>
      </c>
      <c r="N18" s="26">
        <f t="shared" si="21"/>
        <v>92.019334921155263</v>
      </c>
      <c r="O18" s="27">
        <f t="shared" si="21"/>
        <v>91.910273228561095</v>
      </c>
      <c r="P18" s="26">
        <v>22549745</v>
      </c>
      <c r="Q18" s="26">
        <v>13774595</v>
      </c>
      <c r="R18" s="26">
        <v>12904203</v>
      </c>
      <c r="S18" s="26">
        <v>17076441</v>
      </c>
      <c r="T18" s="26">
        <v>19453486</v>
      </c>
      <c r="U18" s="26" t="s">
        <v>15</v>
      </c>
      <c r="V18" s="26" t="s">
        <v>15</v>
      </c>
      <c r="W18" s="26">
        <v>100</v>
      </c>
      <c r="X18" s="26">
        <v>71.138394692986338</v>
      </c>
      <c r="Y18" s="26">
        <v>69.599752852004229</v>
      </c>
      <c r="Z18" s="26">
        <v>87.259986937137015</v>
      </c>
      <c r="AA18" s="26">
        <f>(AH18/$AD$18)*100</f>
        <v>103.55398726783061</v>
      </c>
      <c r="AB18" s="26">
        <f t="shared" ref="AB18:AC18" si="43">(AI18/$AD$18)*100</f>
        <v>113.09385025013515</v>
      </c>
      <c r="AC18" s="26">
        <f t="shared" si="43"/>
        <v>116.21787891649298</v>
      </c>
      <c r="AD18" s="28">
        <f t="shared" ref="AD18:AJ18" si="44">SUM(AD6:AD17)</f>
        <v>292.58901439704482</v>
      </c>
      <c r="AE18" s="28">
        <f t="shared" si="44"/>
        <v>212.09784732000003</v>
      </c>
      <c r="AF18" s="28">
        <f t="shared" si="44"/>
        <v>209.79302883648847</v>
      </c>
      <c r="AG18" s="28">
        <f t="shared" si="44"/>
        <v>263.0258902600001</v>
      </c>
      <c r="AH18" s="28">
        <f t="shared" si="44"/>
        <v>302.98759071578684</v>
      </c>
      <c r="AI18" s="28">
        <f t="shared" si="44"/>
        <v>330.90018179054022</v>
      </c>
      <c r="AJ18" s="29">
        <f t="shared" si="44"/>
        <v>340.04074647491774</v>
      </c>
      <c r="AK18" s="28">
        <f t="shared" ref="AK18:AQ18" si="45">SUM(AK6:AK17)</f>
        <v>683.74042844474991</v>
      </c>
      <c r="AL18" s="28">
        <f t="shared" si="45"/>
        <v>694.61321575475006</v>
      </c>
      <c r="AM18" s="28">
        <f t="shared" si="45"/>
        <v>721.34564077440098</v>
      </c>
      <c r="AN18" s="28">
        <f t="shared" si="45"/>
        <v>796.59945259281312</v>
      </c>
      <c r="AO18" s="28">
        <f t="shared" si="45"/>
        <v>768.47638203143129</v>
      </c>
      <c r="AP18" s="28">
        <f t="shared" si="45"/>
        <v>731.22237160690986</v>
      </c>
      <c r="AQ18" s="29">
        <f t="shared" si="45"/>
        <v>787.26012883750968</v>
      </c>
      <c r="AR18" s="26">
        <f t="shared" si="6"/>
        <v>747.99620737704345</v>
      </c>
      <c r="AS18" s="26">
        <f t="shared" si="7"/>
        <v>764.71817308665766</v>
      </c>
      <c r="AT18" s="26">
        <f t="shared" si="8"/>
        <v>799.62000308543202</v>
      </c>
      <c r="AU18" s="26">
        <f t="shared" si="9"/>
        <v>886.0515881176608</v>
      </c>
      <c r="AV18" s="26">
        <f t="shared" si="10"/>
        <v>890.12835504602617</v>
      </c>
      <c r="AW18" s="26">
        <f t="shared" si="11"/>
        <v>869.31768761239584</v>
      </c>
      <c r="AX18" s="27">
        <f t="shared" si="12"/>
        <v>937.04907402625577</v>
      </c>
      <c r="AY18" s="26">
        <f t="shared" si="22"/>
        <v>100</v>
      </c>
      <c r="AZ18" s="26">
        <f t="shared" si="23"/>
        <v>102.23556824816696</v>
      </c>
      <c r="BA18" s="26">
        <f t="shared" si="24"/>
        <v>106.90161195996097</v>
      </c>
      <c r="BB18" s="26">
        <f t="shared" si="25"/>
        <v>118.45669528522455</v>
      </c>
      <c r="BC18" s="26">
        <f t="shared" si="26"/>
        <v>119.00172036531971</v>
      </c>
      <c r="BD18" s="26">
        <f t="shared" si="27"/>
        <v>116.21953146805164</v>
      </c>
      <c r="BE18" s="27">
        <f t="shared" si="27"/>
        <v>125.27457556397958</v>
      </c>
      <c r="BF18" s="30">
        <f t="shared" si="28"/>
        <v>0.4279241101225707</v>
      </c>
      <c r="BG18" s="30">
        <f t="shared" si="29"/>
        <v>0.30534669152463445</v>
      </c>
      <c r="BH18" s="30">
        <f t="shared" si="30"/>
        <v>0.29083565073085499</v>
      </c>
      <c r="BI18" s="30">
        <f t="shared" si="31"/>
        <v>0.3301858787423087</v>
      </c>
      <c r="BJ18" s="30">
        <f t="shared" si="32"/>
        <v>0.39427053036406057</v>
      </c>
      <c r="BK18" s="30">
        <f t="shared" si="33"/>
        <v>0.45253016679914349</v>
      </c>
      <c r="BL18" s="31">
        <f t="shared" si="34"/>
        <v>0.43192933824431246</v>
      </c>
      <c r="BM18" s="28">
        <f>SUM(BM6:BM17)</f>
        <v>391.15141404770503</v>
      </c>
      <c r="BN18" s="28">
        <f t="shared" ref="BN18:BS18" si="46">SUM(BN6:BN17)</f>
        <v>369.08693229347534</v>
      </c>
      <c r="BO18" s="28">
        <f t="shared" si="46"/>
        <v>389.24130077420261</v>
      </c>
      <c r="BP18" s="28">
        <f t="shared" si="46"/>
        <v>495.63771708436553</v>
      </c>
      <c r="BQ18" s="28">
        <f t="shared" si="46"/>
        <v>454.38785449564432</v>
      </c>
      <c r="BR18" s="28">
        <f t="shared" si="46"/>
        <v>399.75286942636967</v>
      </c>
      <c r="BS18" s="29">
        <f t="shared" si="46"/>
        <v>447.21938236259189</v>
      </c>
      <c r="BT18" s="43">
        <f t="shared" ref="BT18:BZ18" si="47">SUM(BT6:BT17)</f>
        <v>0</v>
      </c>
      <c r="BU18" s="28">
        <f t="shared" si="47"/>
        <v>113.42843614127469</v>
      </c>
      <c r="BV18" s="28">
        <f t="shared" si="47"/>
        <v>122.31131116370989</v>
      </c>
      <c r="BW18" s="28">
        <f t="shared" si="47"/>
        <v>37.935845248447578</v>
      </c>
      <c r="BX18" s="28">
        <f t="shared" si="47"/>
        <v>11.100936819999999</v>
      </c>
      <c r="BY18" s="28">
        <f t="shared" si="47"/>
        <v>0.56932039000000001</v>
      </c>
      <c r="BZ18" s="29">
        <f t="shared" si="47"/>
        <v>0</v>
      </c>
    </row>
    <row r="19" spans="1:78" ht="16.5" thickTop="1" x14ac:dyDescent="0.25">
      <c r="P19" s="4"/>
      <c r="W19" s="4"/>
    </row>
    <row r="20" spans="1:78" x14ac:dyDescent="0.25">
      <c r="A20" s="39"/>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row>
    <row r="21" spans="1:78" x14ac:dyDescent="0.25">
      <c r="A21" s="4" t="s">
        <v>28</v>
      </c>
      <c r="B21" s="40"/>
      <c r="C21" s="40"/>
      <c r="D21" s="40"/>
      <c r="E21" s="40"/>
      <c r="F21" s="40"/>
      <c r="G21" s="40"/>
      <c r="H21" s="40"/>
      <c r="I21" s="40"/>
      <c r="J21" s="40"/>
      <c r="K21" s="40"/>
      <c r="L21" s="40"/>
      <c r="M21" s="40"/>
      <c r="N21" s="40"/>
      <c r="O21" s="40"/>
      <c r="P21" s="40"/>
      <c r="Q21" s="40"/>
      <c r="R21" s="40"/>
      <c r="S21" s="40"/>
      <c r="T21" s="40"/>
      <c r="U21" s="40"/>
      <c r="V21" s="40"/>
      <c r="BF21" s="17"/>
      <c r="BG21" s="17"/>
      <c r="BH21" s="17"/>
      <c r="BI21" s="17"/>
      <c r="BJ21" s="17"/>
      <c r="BK21" s="17"/>
      <c r="BL21" s="17"/>
    </row>
    <row r="22" spans="1:78" x14ac:dyDescent="0.25">
      <c r="A22" s="40" t="s">
        <v>29</v>
      </c>
      <c r="B22" s="40"/>
      <c r="C22" s="40"/>
      <c r="D22" s="40"/>
      <c r="E22" s="40"/>
      <c r="F22" s="40"/>
      <c r="G22" s="40"/>
      <c r="H22" s="40"/>
      <c r="I22" s="40"/>
      <c r="J22" s="40"/>
      <c r="K22" s="40"/>
      <c r="L22" s="40"/>
      <c r="M22" s="40"/>
      <c r="N22" s="40"/>
      <c r="O22" s="40"/>
      <c r="P22" s="40"/>
      <c r="Q22" s="40"/>
      <c r="R22" s="40"/>
      <c r="S22" s="40"/>
      <c r="T22" s="40"/>
      <c r="U22" s="40"/>
      <c r="V22" s="40"/>
      <c r="BF22" s="17"/>
      <c r="BG22" s="17"/>
      <c r="BH22" s="17"/>
      <c r="BI22" s="17"/>
      <c r="BJ22" s="17"/>
      <c r="BK22" s="17"/>
      <c r="BL22" s="17"/>
    </row>
    <row r="23" spans="1:78" x14ac:dyDescent="0.25">
      <c r="A23" s="40" t="s">
        <v>30</v>
      </c>
      <c r="B23" s="40"/>
      <c r="C23" s="40"/>
      <c r="D23" s="40"/>
      <c r="E23" s="40"/>
      <c r="F23" s="40"/>
      <c r="G23" s="40"/>
      <c r="H23" s="40"/>
      <c r="I23" s="40"/>
      <c r="J23" s="40"/>
      <c r="K23" s="40"/>
      <c r="L23" s="40"/>
      <c r="M23" s="40"/>
      <c r="N23" s="40"/>
      <c r="O23" s="40"/>
      <c r="P23" s="40"/>
      <c r="Q23" s="40"/>
      <c r="R23" s="40"/>
      <c r="S23" s="40"/>
      <c r="T23" s="40"/>
      <c r="U23" s="40"/>
      <c r="V23" s="40"/>
      <c r="BF23" s="17"/>
      <c r="BG23" s="17"/>
      <c r="BH23" s="17"/>
      <c r="BI23" s="17"/>
      <c r="BJ23" s="17"/>
      <c r="BK23" s="17"/>
      <c r="BL23" s="17"/>
    </row>
    <row r="24" spans="1:78" x14ac:dyDescent="0.25">
      <c r="BF24" s="17"/>
      <c r="BG24" s="17"/>
      <c r="BH24" s="17"/>
      <c r="BI24" s="17"/>
      <c r="BJ24" s="17"/>
      <c r="BK24" s="17"/>
      <c r="BL24" s="17"/>
    </row>
    <row r="25" spans="1:78" x14ac:dyDescent="0.25">
      <c r="BF25" s="17"/>
      <c r="BG25" s="17"/>
      <c r="BH25" s="17"/>
      <c r="BI25" s="17"/>
      <c r="BJ25" s="17"/>
      <c r="BK25" s="17"/>
      <c r="BL25" s="17"/>
    </row>
    <row r="26" spans="1:78" x14ac:dyDescent="0.25">
      <c r="BF26" s="17"/>
      <c r="BG26" s="17"/>
      <c r="BH26" s="17"/>
      <c r="BI26" s="17"/>
      <c r="BJ26" s="17"/>
      <c r="BK26" s="17"/>
      <c r="BL26" s="17"/>
    </row>
    <row r="27" spans="1:78" x14ac:dyDescent="0.25">
      <c r="BF27" s="17"/>
      <c r="BG27" s="17"/>
      <c r="BH27" s="17"/>
      <c r="BI27" s="17"/>
      <c r="BJ27" s="17"/>
      <c r="BK27" s="17"/>
      <c r="BL27" s="17"/>
    </row>
    <row r="28" spans="1:78" x14ac:dyDescent="0.25">
      <c r="BF28" s="17"/>
      <c r="BG28" s="17"/>
      <c r="BH28" s="17"/>
      <c r="BI28" s="17"/>
      <c r="BJ28" s="17"/>
      <c r="BK28" s="17"/>
      <c r="BL28" s="17"/>
    </row>
    <row r="29" spans="1:78" x14ac:dyDescent="0.25">
      <c r="BF29" s="17"/>
      <c r="BG29" s="17"/>
      <c r="BH29" s="17"/>
      <c r="BI29" s="17"/>
      <c r="BJ29" s="17"/>
      <c r="BK29" s="17"/>
      <c r="BL29" s="17"/>
    </row>
    <row r="30" spans="1:78" x14ac:dyDescent="0.25">
      <c r="BF30" s="17"/>
      <c r="BG30" s="17"/>
      <c r="BH30" s="17"/>
      <c r="BI30" s="17"/>
      <c r="BJ30" s="17"/>
      <c r="BK30" s="17"/>
      <c r="BL30" s="17"/>
    </row>
    <row r="31" spans="1:78" x14ac:dyDescent="0.25">
      <c r="BF31" s="17"/>
      <c r="BG31" s="17"/>
      <c r="BH31" s="17"/>
      <c r="BI31" s="17"/>
      <c r="BJ31" s="17"/>
      <c r="BK31" s="17"/>
      <c r="BL31" s="17"/>
    </row>
    <row r="35" spans="21:36" x14ac:dyDescent="0.25">
      <c r="U35" s="17"/>
      <c r="V35" s="17"/>
      <c r="AD35" s="13"/>
      <c r="AE35" s="13"/>
      <c r="AF35" s="13"/>
      <c r="AG35" s="13"/>
      <c r="AH35" s="13"/>
      <c r="AI35" s="13"/>
      <c r="AJ35" s="13"/>
    </row>
    <row r="36" spans="21:36" x14ac:dyDescent="0.25">
      <c r="U36" s="17"/>
      <c r="V36" s="17"/>
      <c r="AD36" s="13"/>
      <c r="AE36" s="13"/>
      <c r="AF36" s="13"/>
      <c r="AG36" s="13"/>
      <c r="AH36" s="13"/>
      <c r="AI36" s="13"/>
      <c r="AJ36" s="13"/>
    </row>
    <row r="37" spans="21:36" x14ac:dyDescent="0.25">
      <c r="U37" s="17"/>
      <c r="V37" s="17"/>
      <c r="AD37" s="13"/>
      <c r="AE37" s="13"/>
      <c r="AF37" s="13"/>
      <c r="AG37" s="13"/>
      <c r="AH37" s="13"/>
      <c r="AI37" s="13"/>
      <c r="AJ37" s="13"/>
    </row>
    <row r="38" spans="21:36" x14ac:dyDescent="0.25">
      <c r="U38" s="17"/>
      <c r="V38" s="17"/>
      <c r="AD38" s="13"/>
      <c r="AE38" s="13"/>
      <c r="AF38" s="13"/>
      <c r="AG38" s="13"/>
      <c r="AH38" s="13"/>
      <c r="AI38" s="13"/>
      <c r="AJ38" s="13"/>
    </row>
    <row r="39" spans="21:36" x14ac:dyDescent="0.25">
      <c r="U39" s="17"/>
      <c r="V39" s="17"/>
      <c r="AD39" s="13"/>
      <c r="AE39" s="13"/>
      <c r="AF39" s="13"/>
      <c r="AG39" s="13"/>
      <c r="AH39" s="13"/>
      <c r="AI39" s="13"/>
      <c r="AJ39" s="13"/>
    </row>
    <row r="40" spans="21:36" x14ac:dyDescent="0.25">
      <c r="U40" s="17"/>
      <c r="V40" s="17"/>
      <c r="AD40" s="13"/>
      <c r="AE40" s="13"/>
      <c r="AF40" s="13"/>
      <c r="AG40" s="13"/>
      <c r="AH40" s="13"/>
      <c r="AI40" s="13"/>
      <c r="AJ40" s="13"/>
    </row>
    <row r="41" spans="21:36" x14ac:dyDescent="0.25">
      <c r="U41" s="17"/>
      <c r="V41" s="17"/>
      <c r="AD41" s="13"/>
      <c r="AE41" s="13"/>
      <c r="AF41" s="13"/>
      <c r="AG41" s="13"/>
      <c r="AH41" s="13"/>
      <c r="AI41" s="13"/>
      <c r="AJ41" s="13"/>
    </row>
    <row r="42" spans="21:36" x14ac:dyDescent="0.25">
      <c r="U42" s="17"/>
      <c r="V42" s="17"/>
      <c r="AD42" s="13"/>
      <c r="AE42" s="13"/>
      <c r="AF42" s="13"/>
      <c r="AG42" s="13"/>
      <c r="AH42" s="13"/>
      <c r="AI42" s="13"/>
      <c r="AJ42" s="13"/>
    </row>
    <row r="43" spans="21:36" x14ac:dyDescent="0.25">
      <c r="U43" s="17"/>
      <c r="V43" s="17"/>
      <c r="AD43" s="13"/>
      <c r="AE43" s="13"/>
      <c r="AF43" s="13"/>
      <c r="AG43" s="13"/>
      <c r="AH43" s="13"/>
      <c r="AI43" s="13"/>
      <c r="AJ43" s="13"/>
    </row>
    <row r="44" spans="21:36" x14ac:dyDescent="0.25">
      <c r="U44" s="17"/>
      <c r="V44" s="17"/>
      <c r="AD44" s="13"/>
      <c r="AE44" s="13"/>
      <c r="AF44" s="13"/>
      <c r="AG44" s="13"/>
      <c r="AH44" s="13"/>
      <c r="AI44" s="13"/>
      <c r="AJ44" s="13"/>
    </row>
    <row r="45" spans="21:36" x14ac:dyDescent="0.25">
      <c r="U45" s="17"/>
      <c r="V45" s="17"/>
      <c r="AD45" s="13"/>
      <c r="AE45" s="13"/>
      <c r="AF45" s="13"/>
      <c r="AG45" s="13"/>
      <c r="AH45" s="13"/>
      <c r="AI45" s="13"/>
      <c r="AJ45" s="13"/>
    </row>
    <row r="46" spans="21:36" x14ac:dyDescent="0.25">
      <c r="U46" s="17"/>
      <c r="V46" s="17"/>
      <c r="AD46" s="13"/>
      <c r="AE46" s="13"/>
      <c r="AF46" s="13"/>
      <c r="AG46" s="13"/>
      <c r="AH46" s="13"/>
      <c r="AI46" s="13"/>
      <c r="AJ46" s="13"/>
    </row>
    <row r="47" spans="21:36" x14ac:dyDescent="0.25">
      <c r="AD47" s="13"/>
      <c r="AE47" s="13"/>
      <c r="AF47" s="13"/>
      <c r="AG47" s="13"/>
      <c r="AH47" s="13"/>
      <c r="AI47" s="13"/>
      <c r="AJ47" s="13"/>
    </row>
    <row r="48" spans="21:36" x14ac:dyDescent="0.25">
      <c r="AD48" s="13"/>
      <c r="AE48" s="13"/>
      <c r="AF48" s="13"/>
      <c r="AG48" s="13"/>
      <c r="AH48" s="13"/>
      <c r="AI48" s="13"/>
      <c r="AJ48" s="13"/>
    </row>
  </sheetData>
  <mergeCells count="11">
    <mergeCell ref="B4:H4"/>
    <mergeCell ref="I4:O4"/>
    <mergeCell ref="P4:V4"/>
    <mergeCell ref="W4:AC4"/>
    <mergeCell ref="AD4:AJ4"/>
    <mergeCell ref="BM4:BS4"/>
    <mergeCell ref="BT4:BZ4"/>
    <mergeCell ref="AK4:AQ4"/>
    <mergeCell ref="AR4:AX4"/>
    <mergeCell ref="AY4:BE4"/>
    <mergeCell ref="BF4:BL4"/>
  </mergeCells>
  <pageMargins left="0.7" right="0.7" top="0.75" bottom="0.75" header="0.3" footer="0.3"/>
  <pageSetup paperSize="8"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B34D2-EE31-4FCA-BBCE-7546221FB326}">
  <sheetPr>
    <pageSetUpPr fitToPage="1"/>
  </sheetPr>
  <dimension ref="A2:BZ24"/>
  <sheetViews>
    <sheetView zoomScale="85" zoomScaleNormal="85" workbookViewId="0">
      <pane xSplit="1" ySplit="1" topLeftCell="BC4" activePane="bottomRight" state="frozen"/>
      <selection activeCell="AI16" sqref="AI16"/>
      <selection pane="topRight" activeCell="AI16" sqref="AI16"/>
      <selection pane="bottomLeft" activeCell="AI16" sqref="AI16"/>
      <selection pane="bottomRight" activeCell="BS20" sqref="BS20"/>
    </sheetView>
  </sheetViews>
  <sheetFormatPr defaultColWidth="9" defaultRowHeight="15.75" outlineLevelCol="1" x14ac:dyDescent="0.25"/>
  <cols>
    <col min="1" max="1" width="32.5" style="1" bestFit="1" customWidth="1"/>
    <col min="2" max="8" width="10.625" style="1" customWidth="1"/>
    <col min="9" max="15" width="8.625" style="1" customWidth="1"/>
    <col min="16" max="22" width="12.625" style="1" customWidth="1"/>
    <col min="23" max="36" width="8.625" style="1" customWidth="1"/>
    <col min="37" max="50" width="8.625" style="1" customWidth="1" outlineLevel="1"/>
    <col min="51" max="71" width="8.625" style="1" customWidth="1"/>
    <col min="72" max="75" width="6.75" style="1" bestFit="1" customWidth="1"/>
    <col min="76" max="76" width="7.5" style="1" bestFit="1" customWidth="1"/>
    <col min="77" max="77" width="6.75" style="1" bestFit="1" customWidth="1"/>
    <col min="78" max="78" width="6.75" style="1" customWidth="1"/>
    <col min="79" max="16384" width="9" style="1"/>
  </cols>
  <sheetData>
    <row r="2" spans="1:78" x14ac:dyDescent="0.25">
      <c r="A2" s="2" t="s">
        <v>58</v>
      </c>
      <c r="B2" s="2"/>
      <c r="C2" s="2"/>
      <c r="D2" s="2"/>
    </row>
    <row r="4" spans="1:78" s="32" customFormat="1" ht="40.9" customHeight="1" x14ac:dyDescent="0.2">
      <c r="A4" s="186"/>
      <c r="B4" s="213" t="s">
        <v>1</v>
      </c>
      <c r="C4" s="214"/>
      <c r="D4" s="214"/>
      <c r="E4" s="214"/>
      <c r="F4" s="214"/>
      <c r="G4" s="214"/>
      <c r="H4" s="215"/>
      <c r="I4" s="213" t="s">
        <v>156</v>
      </c>
      <c r="J4" s="214"/>
      <c r="K4" s="214"/>
      <c r="L4" s="214"/>
      <c r="M4" s="214"/>
      <c r="N4" s="214"/>
      <c r="O4" s="215"/>
      <c r="P4" s="213" t="s">
        <v>2</v>
      </c>
      <c r="Q4" s="214"/>
      <c r="R4" s="214"/>
      <c r="S4" s="214"/>
      <c r="T4" s="214"/>
      <c r="U4" s="214"/>
      <c r="V4" s="215"/>
      <c r="W4" s="213" t="s">
        <v>7</v>
      </c>
      <c r="X4" s="214"/>
      <c r="Y4" s="214"/>
      <c r="Z4" s="214"/>
      <c r="AA4" s="214"/>
      <c r="AB4" s="214"/>
      <c r="AC4" s="215"/>
      <c r="AD4" s="213" t="s">
        <v>3</v>
      </c>
      <c r="AE4" s="214"/>
      <c r="AF4" s="214"/>
      <c r="AG4" s="214"/>
      <c r="AH4" s="214"/>
      <c r="AI4" s="214"/>
      <c r="AJ4" s="215"/>
      <c r="AK4" s="216" t="s">
        <v>4</v>
      </c>
      <c r="AL4" s="217"/>
      <c r="AM4" s="217"/>
      <c r="AN4" s="217"/>
      <c r="AO4" s="217"/>
      <c r="AP4" s="217"/>
      <c r="AQ4" s="218"/>
      <c r="AR4" s="216" t="s">
        <v>8</v>
      </c>
      <c r="AS4" s="217"/>
      <c r="AT4" s="217"/>
      <c r="AU4" s="217"/>
      <c r="AV4" s="217"/>
      <c r="AW4" s="217"/>
      <c r="AX4" s="218"/>
      <c r="AY4" s="213" t="s">
        <v>155</v>
      </c>
      <c r="AZ4" s="214"/>
      <c r="BA4" s="214"/>
      <c r="BB4" s="214"/>
      <c r="BC4" s="214"/>
      <c r="BD4" s="214"/>
      <c r="BE4" s="215"/>
      <c r="BF4" s="213" t="s">
        <v>242</v>
      </c>
      <c r="BG4" s="214"/>
      <c r="BH4" s="214"/>
      <c r="BI4" s="214"/>
      <c r="BJ4" s="214"/>
      <c r="BK4" s="214"/>
      <c r="BL4" s="215"/>
      <c r="BM4" s="213" t="s">
        <v>243</v>
      </c>
      <c r="BN4" s="214"/>
      <c r="BO4" s="214"/>
      <c r="BP4" s="214"/>
      <c r="BQ4" s="214"/>
      <c r="BR4" s="214"/>
      <c r="BS4" s="215" t="s">
        <v>5</v>
      </c>
      <c r="BT4" s="213" t="s">
        <v>6</v>
      </c>
      <c r="BU4" s="214"/>
      <c r="BV4" s="214"/>
      <c r="BW4" s="214"/>
      <c r="BX4" s="214"/>
      <c r="BY4" s="214"/>
      <c r="BZ4" s="215"/>
    </row>
    <row r="5" spans="1:78" x14ac:dyDescent="0.25">
      <c r="A5" s="7" t="s">
        <v>9</v>
      </c>
      <c r="B5" s="8" t="s">
        <v>10</v>
      </c>
      <c r="C5" s="9" t="s">
        <v>11</v>
      </c>
      <c r="D5" s="9" t="s">
        <v>12</v>
      </c>
      <c r="E5" s="10" t="s">
        <v>13</v>
      </c>
      <c r="F5" s="10" t="s">
        <v>157</v>
      </c>
      <c r="G5" s="10" t="s">
        <v>158</v>
      </c>
      <c r="H5" s="11" t="s">
        <v>159</v>
      </c>
      <c r="I5" s="8" t="s">
        <v>10</v>
      </c>
      <c r="J5" s="9" t="s">
        <v>11</v>
      </c>
      <c r="K5" s="9" t="s">
        <v>12</v>
      </c>
      <c r="L5" s="10" t="s">
        <v>13</v>
      </c>
      <c r="M5" s="10" t="s">
        <v>157</v>
      </c>
      <c r="N5" s="10" t="s">
        <v>158</v>
      </c>
      <c r="O5" s="11" t="s">
        <v>159</v>
      </c>
      <c r="P5" s="8" t="s">
        <v>10</v>
      </c>
      <c r="Q5" s="9" t="s">
        <v>11</v>
      </c>
      <c r="R5" s="9" t="s">
        <v>12</v>
      </c>
      <c r="S5" s="10" t="s">
        <v>13</v>
      </c>
      <c r="T5" s="10" t="s">
        <v>157</v>
      </c>
      <c r="U5" s="10" t="s">
        <v>158</v>
      </c>
      <c r="V5" s="11" t="s">
        <v>159</v>
      </c>
      <c r="W5" s="8" t="s">
        <v>10</v>
      </c>
      <c r="X5" s="9" t="s">
        <v>11</v>
      </c>
      <c r="Y5" s="9" t="s">
        <v>12</v>
      </c>
      <c r="Z5" s="10" t="s">
        <v>13</v>
      </c>
      <c r="AA5" s="10" t="s">
        <v>157</v>
      </c>
      <c r="AB5" s="10" t="s">
        <v>158</v>
      </c>
      <c r="AC5" s="11" t="s">
        <v>159</v>
      </c>
      <c r="AD5" s="8" t="s">
        <v>10</v>
      </c>
      <c r="AE5" s="9" t="s">
        <v>11</v>
      </c>
      <c r="AF5" s="9" t="s">
        <v>12</v>
      </c>
      <c r="AG5" s="10" t="s">
        <v>13</v>
      </c>
      <c r="AH5" s="10" t="s">
        <v>157</v>
      </c>
      <c r="AI5" s="10" t="s">
        <v>158</v>
      </c>
      <c r="AJ5" s="11" t="s">
        <v>159</v>
      </c>
      <c r="AK5" s="77" t="s">
        <v>10</v>
      </c>
      <c r="AL5" s="78" t="s">
        <v>11</v>
      </c>
      <c r="AM5" s="78" t="s">
        <v>12</v>
      </c>
      <c r="AN5" s="79" t="s">
        <v>13</v>
      </c>
      <c r="AO5" s="79" t="s">
        <v>157</v>
      </c>
      <c r="AP5" s="79" t="s">
        <v>158</v>
      </c>
      <c r="AQ5" s="80" t="s">
        <v>159</v>
      </c>
      <c r="AR5" s="77" t="s">
        <v>10</v>
      </c>
      <c r="AS5" s="78" t="s">
        <v>11</v>
      </c>
      <c r="AT5" s="78" t="s">
        <v>12</v>
      </c>
      <c r="AU5" s="79" t="s">
        <v>13</v>
      </c>
      <c r="AV5" s="79" t="s">
        <v>157</v>
      </c>
      <c r="AW5" s="79" t="s">
        <v>158</v>
      </c>
      <c r="AX5" s="80" t="s">
        <v>159</v>
      </c>
      <c r="AY5" s="8" t="s">
        <v>10</v>
      </c>
      <c r="AZ5" s="9" t="s">
        <v>11</v>
      </c>
      <c r="BA5" s="9" t="s">
        <v>12</v>
      </c>
      <c r="BB5" s="10" t="s">
        <v>13</v>
      </c>
      <c r="BC5" s="10" t="s">
        <v>157</v>
      </c>
      <c r="BD5" s="10" t="s">
        <v>158</v>
      </c>
      <c r="BE5" s="11" t="s">
        <v>159</v>
      </c>
      <c r="BF5" s="8" t="s">
        <v>10</v>
      </c>
      <c r="BG5" s="9" t="s">
        <v>11</v>
      </c>
      <c r="BH5" s="9" t="s">
        <v>12</v>
      </c>
      <c r="BI5" s="10" t="s">
        <v>13</v>
      </c>
      <c r="BJ5" s="10" t="s">
        <v>157</v>
      </c>
      <c r="BK5" s="10" t="s">
        <v>158</v>
      </c>
      <c r="BL5" s="11" t="s">
        <v>159</v>
      </c>
      <c r="BM5" s="8" t="s">
        <v>10</v>
      </c>
      <c r="BN5" s="9" t="s">
        <v>11</v>
      </c>
      <c r="BO5" s="9" t="s">
        <v>12</v>
      </c>
      <c r="BP5" s="10" t="s">
        <v>13</v>
      </c>
      <c r="BQ5" s="10" t="s">
        <v>157</v>
      </c>
      <c r="BR5" s="10" t="s">
        <v>158</v>
      </c>
      <c r="BS5" s="11" t="s">
        <v>159</v>
      </c>
      <c r="BT5" s="8" t="s">
        <v>10</v>
      </c>
      <c r="BU5" s="9" t="s">
        <v>11</v>
      </c>
      <c r="BV5" s="9" t="s">
        <v>12</v>
      </c>
      <c r="BW5" s="10" t="s">
        <v>13</v>
      </c>
      <c r="BX5" s="10" t="s">
        <v>157</v>
      </c>
      <c r="BY5" s="10" t="s">
        <v>158</v>
      </c>
      <c r="BZ5" s="11" t="s">
        <v>159</v>
      </c>
    </row>
    <row r="6" spans="1:78" x14ac:dyDescent="0.25">
      <c r="A6" s="3" t="s">
        <v>59</v>
      </c>
      <c r="B6" s="12">
        <v>262285</v>
      </c>
      <c r="C6" s="13">
        <v>256117</v>
      </c>
      <c r="D6" s="13">
        <v>243928</v>
      </c>
      <c r="E6" s="14">
        <v>238637</v>
      </c>
      <c r="F6" s="13">
        <v>236636</v>
      </c>
      <c r="G6" s="13">
        <v>232482</v>
      </c>
      <c r="H6" s="14">
        <v>230488</v>
      </c>
      <c r="I6" s="12">
        <f t="shared" ref="I6" si="0">+B6/$B6*100</f>
        <v>100</v>
      </c>
      <c r="J6" s="13">
        <f t="shared" ref="J6" si="1">+C6/$B6*100</f>
        <v>97.64835960882246</v>
      </c>
      <c r="K6" s="13">
        <f t="shared" ref="K6" si="2">+D6/$B6*100</f>
        <v>93.001124730731831</v>
      </c>
      <c r="L6" s="14">
        <f t="shared" ref="L6" si="3">+E6/$B6*100</f>
        <v>90.983853441866671</v>
      </c>
      <c r="M6" s="14">
        <f t="shared" ref="M6" si="4">+F6/$B6*100</f>
        <v>90.220942867491473</v>
      </c>
      <c r="N6" s="14">
        <f t="shared" ref="N6:O6" si="5">+G6/$B6*100</f>
        <v>88.637169491202314</v>
      </c>
      <c r="O6" s="23">
        <f t="shared" si="5"/>
        <v>87.876927769411139</v>
      </c>
      <c r="P6" s="12">
        <v>3368543</v>
      </c>
      <c r="Q6" s="13">
        <v>2286716</v>
      </c>
      <c r="R6" s="13">
        <v>2120817</v>
      </c>
      <c r="S6" s="14">
        <v>3044014</v>
      </c>
      <c r="T6" s="13">
        <v>3119419</v>
      </c>
      <c r="U6" s="13">
        <v>2929287</v>
      </c>
      <c r="V6" s="14">
        <v>2929287</v>
      </c>
      <c r="W6" s="12">
        <f t="shared" ref="W6:W17" si="6">IFERROR(+P6/$P6*100,"")</f>
        <v>100</v>
      </c>
      <c r="X6" s="13">
        <f t="shared" ref="X6:X17" si="7">IFERROR(+Q6/$P6*100,"")</f>
        <v>67.884423621726057</v>
      </c>
      <c r="Y6" s="13">
        <f t="shared" ref="Y6:Y17" si="8">IFERROR(+R6/$P6*100,"")</f>
        <v>62.959475357743685</v>
      </c>
      <c r="Z6" s="14">
        <f t="shared" ref="Z6:Z17" si="9">IFERROR(+S6/$P6*100,"")</f>
        <v>90.365894097240258</v>
      </c>
      <c r="AA6" s="14">
        <f t="shared" ref="AA6:AA18" si="10">IFERROR(+T6/$P6*100,"")</f>
        <v>92.604398993867676</v>
      </c>
      <c r="AB6" s="14">
        <f t="shared" ref="AB6:AC18" si="11">IFERROR(+U6/$P6*100,"")</f>
        <v>86.960059586592777</v>
      </c>
      <c r="AC6" s="23">
        <f t="shared" si="11"/>
        <v>86.960059586592777</v>
      </c>
      <c r="AD6" s="42">
        <v>99.3</v>
      </c>
      <c r="AE6" s="17">
        <v>71.599999999999994</v>
      </c>
      <c r="AF6" s="17">
        <v>57.3</v>
      </c>
      <c r="AG6" s="17">
        <f>94.8</f>
        <v>94.8</v>
      </c>
      <c r="AH6" s="17">
        <v>99.4</v>
      </c>
      <c r="AI6" s="17">
        <v>100.6</v>
      </c>
      <c r="AJ6" s="17">
        <v>102</v>
      </c>
      <c r="AK6" s="42">
        <f>173.8+14.1</f>
        <v>187.9</v>
      </c>
      <c r="AL6" s="17">
        <f>169.2+12.9</f>
        <v>182.1</v>
      </c>
      <c r="AM6" s="17">
        <f>168.2+13</f>
        <v>181.2</v>
      </c>
      <c r="AN6" s="19">
        <f>179.2+13.3</f>
        <v>192.5</v>
      </c>
      <c r="AO6" s="17">
        <v>194.886</v>
      </c>
      <c r="AP6" s="17">
        <v>202.934</v>
      </c>
      <c r="AQ6" s="17">
        <v>210.529</v>
      </c>
      <c r="AR6" s="42">
        <f t="shared" ref="AR6:AR18" si="12">IFERROR(AK6*1000000/B6,"")</f>
        <v>716.39628648226164</v>
      </c>
      <c r="AS6" s="17">
        <f t="shared" ref="AS6:AS18" si="13">IFERROR(AL6*1000000/C6,"")</f>
        <v>711.00317433048178</v>
      </c>
      <c r="AT6" s="17">
        <f t="shared" ref="AT6:AT18" si="14">IFERROR(AM6*1000000/D6,"")</f>
        <v>742.8421501426651</v>
      </c>
      <c r="AU6" s="19">
        <f t="shared" ref="AU6:AU18" si="15">IFERROR(AN6*1000000/E6,"")</f>
        <v>806.66451556129186</v>
      </c>
      <c r="AV6" s="19">
        <f t="shared" ref="AV6:AV18" si="16">IFERROR(AO6*1000000/F6,"")</f>
        <v>823.56868777362706</v>
      </c>
      <c r="AW6" s="19">
        <f t="shared" ref="AW6:AW18" si="17">IFERROR(AP6*1000000/G6,"")</f>
        <v>872.9019881109075</v>
      </c>
      <c r="AX6" s="19">
        <f t="shared" ref="AX6:AX18" si="18">IFERROR(AQ6*1000000/H6,"")</f>
        <v>913.40547013293531</v>
      </c>
      <c r="AY6" s="12">
        <f t="shared" ref="AY6:BE6" si="19">AR6/$AR6*100</f>
        <v>100</v>
      </c>
      <c r="AZ6" s="13">
        <f t="shared" si="19"/>
        <v>99.247188706370636</v>
      </c>
      <c r="BA6" s="13">
        <f t="shared" si="19"/>
        <v>103.69151322520965</v>
      </c>
      <c r="BB6" s="14">
        <f t="shared" si="19"/>
        <v>112.60032063011892</v>
      </c>
      <c r="BC6" s="14">
        <f t="shared" si="19"/>
        <v>114.95993255599031</v>
      </c>
      <c r="BD6" s="14">
        <f t="shared" si="19"/>
        <v>121.84624691414017</v>
      </c>
      <c r="BE6" s="23">
        <f t="shared" si="19"/>
        <v>127.50002859702872</v>
      </c>
      <c r="BF6" s="46">
        <f>IFERROR(AD6/AK6,"")</f>
        <v>0.52847259180415107</v>
      </c>
      <c r="BG6" s="41">
        <f t="shared" ref="BG6:BL6" si="20">IFERROR(AE6/AL6,"")</f>
        <v>0.3931905546403075</v>
      </c>
      <c r="BH6" s="41">
        <f t="shared" si="20"/>
        <v>0.31622516556291391</v>
      </c>
      <c r="BI6" s="99">
        <f t="shared" si="20"/>
        <v>0.49246753246753244</v>
      </c>
      <c r="BJ6" s="99">
        <f t="shared" si="20"/>
        <v>0.51004176800796364</v>
      </c>
      <c r="BK6" s="99">
        <f t="shared" si="20"/>
        <v>0.49572767500763792</v>
      </c>
      <c r="BL6" s="24">
        <f t="shared" si="20"/>
        <v>0.48449382270376051</v>
      </c>
      <c r="BM6" s="42">
        <f t="shared" ref="BM6:BS6" si="21">+AK6-AD6-BT6</f>
        <v>88.600000000000009</v>
      </c>
      <c r="BN6" s="17">
        <f t="shared" si="21"/>
        <v>76.400000000000006</v>
      </c>
      <c r="BO6" s="17">
        <f t="shared" si="21"/>
        <v>83.699999999999989</v>
      </c>
      <c r="BP6" s="19">
        <f t="shared" si="21"/>
        <v>85.7</v>
      </c>
      <c r="BQ6" s="17">
        <f t="shared" si="21"/>
        <v>92.685999999999993</v>
      </c>
      <c r="BR6" s="17">
        <f t="shared" si="21"/>
        <v>102.288</v>
      </c>
      <c r="BS6" s="20">
        <f t="shared" si="21"/>
        <v>108.529</v>
      </c>
      <c r="BT6" s="42">
        <v>0</v>
      </c>
      <c r="BU6" s="17">
        <v>34.1</v>
      </c>
      <c r="BV6" s="17">
        <v>40.200000000000003</v>
      </c>
      <c r="BW6" s="19">
        <v>12</v>
      </c>
      <c r="BX6" s="17">
        <v>2.8</v>
      </c>
      <c r="BY6" s="17">
        <v>4.5999999999999999E-2</v>
      </c>
      <c r="BZ6" s="20">
        <v>0</v>
      </c>
    </row>
    <row r="7" spans="1:78" ht="15.6" customHeight="1" x14ac:dyDescent="0.25">
      <c r="A7" s="3" t="s">
        <v>60</v>
      </c>
      <c r="B7" s="12">
        <v>9273</v>
      </c>
      <c r="C7" s="13">
        <v>9039</v>
      </c>
      <c r="D7" s="13">
        <v>8585</v>
      </c>
      <c r="E7" s="13">
        <v>8448</v>
      </c>
      <c r="F7" s="13">
        <v>8044</v>
      </c>
      <c r="G7" s="13">
        <v>7979</v>
      </c>
      <c r="H7" s="13">
        <v>7246</v>
      </c>
      <c r="I7" s="12">
        <f t="shared" ref="I7:I18" si="22">+B7/$B7*100</f>
        <v>100</v>
      </c>
      <c r="J7" s="13">
        <f t="shared" ref="J7:J18" si="23">+C7/$B7*100</f>
        <v>97.476544807505661</v>
      </c>
      <c r="K7" s="13">
        <f t="shared" ref="K7:K18" si="24">+D7/$B7*100</f>
        <v>92.580610374204682</v>
      </c>
      <c r="L7" s="13">
        <f t="shared" ref="L7:L17" si="25">+E7/$B7*100</f>
        <v>91.10320284697508</v>
      </c>
      <c r="M7" s="13">
        <f t="shared" ref="M7:M18" si="26">+F7/$B7*100</f>
        <v>86.74646824113016</v>
      </c>
      <c r="N7" s="13">
        <f t="shared" ref="N7:O18" si="27">+G7/$B7*100</f>
        <v>86.045508465437294</v>
      </c>
      <c r="O7" s="23">
        <f t="shared" si="27"/>
        <v>78.140838994931514</v>
      </c>
      <c r="P7" s="12">
        <v>119771</v>
      </c>
      <c r="Q7" s="13">
        <v>64466</v>
      </c>
      <c r="R7" s="13">
        <v>49921</v>
      </c>
      <c r="S7" s="13">
        <v>71709</v>
      </c>
      <c r="T7" s="13">
        <v>73558</v>
      </c>
      <c r="U7" s="13">
        <v>73635</v>
      </c>
      <c r="V7" s="13">
        <v>73635</v>
      </c>
      <c r="W7" s="12">
        <f t="shared" si="6"/>
        <v>100</v>
      </c>
      <c r="X7" s="13">
        <f t="shared" si="7"/>
        <v>53.824381528082753</v>
      </c>
      <c r="Y7" s="13">
        <f t="shared" si="8"/>
        <v>41.680373379198635</v>
      </c>
      <c r="Z7" s="13">
        <f t="shared" si="9"/>
        <v>59.87175526629985</v>
      </c>
      <c r="AA7" s="13">
        <f t="shared" si="10"/>
        <v>61.415534645281411</v>
      </c>
      <c r="AB7" s="13">
        <f t="shared" si="11"/>
        <v>61.479823997461821</v>
      </c>
      <c r="AC7" s="23">
        <f t="shared" si="11"/>
        <v>61.479823997461821</v>
      </c>
      <c r="AD7" s="42">
        <v>1.1000000000000001</v>
      </c>
      <c r="AE7" s="17">
        <v>1.1000000000000001</v>
      </c>
      <c r="AF7" s="17">
        <v>0.6</v>
      </c>
      <c r="AG7" s="17">
        <f>0.6</f>
        <v>0.6</v>
      </c>
      <c r="AH7" s="17">
        <v>0.8</v>
      </c>
      <c r="AI7" s="17">
        <v>1</v>
      </c>
      <c r="AJ7" s="17">
        <v>1</v>
      </c>
      <c r="AK7" s="42">
        <v>8.5</v>
      </c>
      <c r="AL7" s="17">
        <v>8.3000000000000007</v>
      </c>
      <c r="AM7" s="17">
        <v>8.1999999999999993</v>
      </c>
      <c r="AN7" s="17">
        <v>9</v>
      </c>
      <c r="AO7" s="17">
        <v>9.1</v>
      </c>
      <c r="AP7" s="17">
        <v>9.8000000000000007</v>
      </c>
      <c r="AQ7" s="17">
        <v>9.1999999999999993</v>
      </c>
      <c r="AR7" s="42">
        <f t="shared" si="12"/>
        <v>916.63970667529384</v>
      </c>
      <c r="AS7" s="17">
        <f t="shared" si="13"/>
        <v>918.24316849208992</v>
      </c>
      <c r="AT7" s="17">
        <f t="shared" si="14"/>
        <v>955.15433896330796</v>
      </c>
      <c r="AU7" s="17">
        <f t="shared" si="15"/>
        <v>1065.340909090909</v>
      </c>
      <c r="AV7" s="17">
        <f t="shared" si="16"/>
        <v>1131.2779711586275</v>
      </c>
      <c r="AW7" s="17">
        <f t="shared" si="17"/>
        <v>1228.224088231608</v>
      </c>
      <c r="AX7" s="17">
        <f t="shared" si="18"/>
        <v>1269.6660226331769</v>
      </c>
      <c r="AY7" s="12">
        <f t="shared" ref="AY7:AY18" si="28">AR7/$AR7*100</f>
        <v>100</v>
      </c>
      <c r="AZ7" s="13">
        <f t="shared" ref="AZ7:AZ18" si="29">AS7/$AR7*100</f>
        <v>100.17492825208411</v>
      </c>
      <c r="BA7" s="13">
        <f t="shared" ref="BA7:BA18" si="30">AT7/$AR7*100</f>
        <v>104.20171982596183</v>
      </c>
      <c r="BB7" s="13">
        <f t="shared" ref="BB7:BB18" si="31">AU7/$AR7*100</f>
        <v>116.22242647058823</v>
      </c>
      <c r="BC7" s="13">
        <f t="shared" ref="BC7:BC18" si="32">AV7/$AR7*100</f>
        <v>123.41577207710532</v>
      </c>
      <c r="BD7" s="13">
        <f t="shared" ref="BD7:BE18" si="33">AW7/$AR7*100</f>
        <v>133.9920231784906</v>
      </c>
      <c r="BE7" s="23">
        <f t="shared" si="33"/>
        <v>138.51309444561707</v>
      </c>
      <c r="BF7" s="46">
        <f t="shared" ref="BF7:BF18" si="34">IFERROR(AD7/AK7,"")</f>
        <v>0.12941176470588237</v>
      </c>
      <c r="BG7" s="41">
        <f t="shared" ref="BG7:BG18" si="35">IFERROR(AE7/AL7,"")</f>
        <v>0.13253012048192772</v>
      </c>
      <c r="BH7" s="41">
        <f t="shared" ref="BH7:BH18" si="36">IFERROR(AF7/AM7,"")</f>
        <v>7.3170731707317083E-2</v>
      </c>
      <c r="BI7" s="41">
        <f t="shared" ref="BI7:BI18" si="37">IFERROR(AG7/AN7,"")</f>
        <v>6.6666666666666666E-2</v>
      </c>
      <c r="BJ7" s="41">
        <f t="shared" ref="BJ7:BJ18" si="38">IFERROR(AH7/AO7,"")</f>
        <v>8.7912087912087919E-2</v>
      </c>
      <c r="BK7" s="41">
        <f t="shared" ref="BK7:BK18" si="39">IFERROR(AI7/AP7,"")</f>
        <v>0.1020408163265306</v>
      </c>
      <c r="BL7" s="24">
        <f t="shared" ref="BL7:BL18" si="40">IFERROR(AJ7/AQ7,"")</f>
        <v>0.10869565217391305</v>
      </c>
      <c r="BM7" s="42">
        <f t="shared" ref="BM7:BM17" si="41">+AK7-AD7-BT7</f>
        <v>7.4</v>
      </c>
      <c r="BN7" s="17">
        <f t="shared" ref="BN7:BN17" si="42">+AL7-AE7-BU7</f>
        <v>7.1000000000000014</v>
      </c>
      <c r="BO7" s="17">
        <f t="shared" ref="BO7:BO17" si="43">+AM7-AF7-BV7</f>
        <v>7</v>
      </c>
      <c r="BP7" s="17">
        <f t="shared" ref="BP7:BP17" si="44">+AN7-AG7-BW7</f>
        <v>8.1</v>
      </c>
      <c r="BQ7" s="17">
        <f t="shared" ref="BQ7:BQ17" si="45">+AO7-AH7-BX7</f>
        <v>8.1999999999999993</v>
      </c>
      <c r="BR7" s="17">
        <f t="shared" ref="BR7:BR17" si="46">+AP7-AI7-BY7</f>
        <v>8.798</v>
      </c>
      <c r="BS7" s="18">
        <f t="shared" ref="BS7:BS17" si="47">+AQ7-AJ7-BZ7</f>
        <v>8.1999999999999993</v>
      </c>
      <c r="BT7" s="42">
        <v>0</v>
      </c>
      <c r="BU7" s="17">
        <v>0.1</v>
      </c>
      <c r="BV7" s="17">
        <v>0.6</v>
      </c>
      <c r="BW7" s="17">
        <v>0.3</v>
      </c>
      <c r="BX7" s="17">
        <v>0.1</v>
      </c>
      <c r="BY7" s="17">
        <v>2E-3</v>
      </c>
      <c r="BZ7" s="18">
        <v>0</v>
      </c>
    </row>
    <row r="8" spans="1:78" x14ac:dyDescent="0.25">
      <c r="A8" s="3" t="s">
        <v>61</v>
      </c>
      <c r="B8" s="12">
        <v>145866</v>
      </c>
      <c r="C8" s="13">
        <v>147062</v>
      </c>
      <c r="D8" s="13">
        <v>147049</v>
      </c>
      <c r="E8" s="13">
        <v>146512</v>
      </c>
      <c r="F8" s="13">
        <v>143688</v>
      </c>
      <c r="G8" s="13">
        <v>143093</v>
      </c>
      <c r="H8" s="13">
        <v>145620</v>
      </c>
      <c r="I8" s="12">
        <f t="shared" si="22"/>
        <v>100</v>
      </c>
      <c r="J8" s="13">
        <f t="shared" si="23"/>
        <v>100.81993062125511</v>
      </c>
      <c r="K8" s="13">
        <f t="shared" si="24"/>
        <v>100.81101833189365</v>
      </c>
      <c r="L8" s="13">
        <f t="shared" si="25"/>
        <v>100.44287222519299</v>
      </c>
      <c r="M8" s="13">
        <f t="shared" si="26"/>
        <v>98.506848751593935</v>
      </c>
      <c r="N8" s="13">
        <f t="shared" si="27"/>
        <v>98.09894012312671</v>
      </c>
      <c r="O8" s="23">
        <f t="shared" si="27"/>
        <v>99.831352062852204</v>
      </c>
      <c r="P8" s="12">
        <v>2481990</v>
      </c>
      <c r="Q8" s="13">
        <v>1649226</v>
      </c>
      <c r="R8" s="13">
        <v>1473486</v>
      </c>
      <c r="S8" s="13">
        <v>1986463</v>
      </c>
      <c r="T8" s="13">
        <v>2112717</v>
      </c>
      <c r="U8" s="13">
        <v>1997558</v>
      </c>
      <c r="V8" s="13">
        <v>1997558</v>
      </c>
      <c r="W8" s="12">
        <f t="shared" si="6"/>
        <v>100</v>
      </c>
      <c r="X8" s="13">
        <f t="shared" si="7"/>
        <v>66.447729442906706</v>
      </c>
      <c r="Y8" s="13">
        <f t="shared" si="8"/>
        <v>59.367120737795076</v>
      </c>
      <c r="Z8" s="13">
        <f t="shared" si="9"/>
        <v>80.035092808593106</v>
      </c>
      <c r="AA8" s="13">
        <f t="shared" si="10"/>
        <v>85.121898154303594</v>
      </c>
      <c r="AB8" s="13">
        <f t="shared" si="11"/>
        <v>80.482113143082771</v>
      </c>
      <c r="AC8" s="23">
        <f t="shared" si="11"/>
        <v>80.482113143082771</v>
      </c>
      <c r="AD8" s="42">
        <v>29.8</v>
      </c>
      <c r="AE8" s="17">
        <v>23.3</v>
      </c>
      <c r="AF8" s="17">
        <v>21.6</v>
      </c>
      <c r="AG8" s="17">
        <f>29</f>
        <v>29</v>
      </c>
      <c r="AH8" s="17">
        <v>31.8</v>
      </c>
      <c r="AI8" s="17">
        <v>31.9</v>
      </c>
      <c r="AJ8" s="17">
        <v>32.299999999999997</v>
      </c>
      <c r="AK8" s="42">
        <v>90.9</v>
      </c>
      <c r="AL8" s="17">
        <v>87.9</v>
      </c>
      <c r="AM8" s="17">
        <v>90.2</v>
      </c>
      <c r="AN8" s="17">
        <v>98.6</v>
      </c>
      <c r="AO8" s="17">
        <v>100.1</v>
      </c>
      <c r="AP8" s="17">
        <v>100.2</v>
      </c>
      <c r="AQ8" s="17">
        <v>105.5</v>
      </c>
      <c r="AR8" s="42">
        <f t="shared" si="12"/>
        <v>623.1746945826992</v>
      </c>
      <c r="AS8" s="17">
        <f t="shared" si="13"/>
        <v>597.70708952686618</v>
      </c>
      <c r="AT8" s="17">
        <f t="shared" si="14"/>
        <v>613.40097518514233</v>
      </c>
      <c r="AU8" s="17">
        <f t="shared" si="15"/>
        <v>672.98241782243088</v>
      </c>
      <c r="AV8" s="17">
        <f t="shared" si="16"/>
        <v>696.64829352485947</v>
      </c>
      <c r="AW8" s="17">
        <f t="shared" si="17"/>
        <v>700.2438973255156</v>
      </c>
      <c r="AX8" s="17">
        <f t="shared" si="18"/>
        <v>724.48839445131159</v>
      </c>
      <c r="AY8" s="12">
        <f t="shared" si="28"/>
        <v>100</v>
      </c>
      <c r="AZ8" s="13">
        <f t="shared" si="29"/>
        <v>95.913247877806228</v>
      </c>
      <c r="BA8" s="13">
        <f t="shared" si="30"/>
        <v>98.431624473438902</v>
      </c>
      <c r="BB8" s="13">
        <f t="shared" si="31"/>
        <v>107.99257795169055</v>
      </c>
      <c r="BC8" s="13">
        <f t="shared" si="32"/>
        <v>111.79020900252712</v>
      </c>
      <c r="BD8" s="13">
        <f t="shared" si="33"/>
        <v>112.36719067907993</v>
      </c>
      <c r="BE8" s="23">
        <f t="shared" si="33"/>
        <v>116.2576723267712</v>
      </c>
      <c r="BF8" s="46">
        <f t="shared" si="34"/>
        <v>0.32783278327832782</v>
      </c>
      <c r="BG8" s="41">
        <f t="shared" si="35"/>
        <v>0.26507394766780429</v>
      </c>
      <c r="BH8" s="41">
        <f t="shared" si="36"/>
        <v>0.23946784922394679</v>
      </c>
      <c r="BI8" s="41">
        <f t="shared" si="37"/>
        <v>0.29411764705882354</v>
      </c>
      <c r="BJ8" s="41">
        <f t="shared" si="38"/>
        <v>0.31768231768231769</v>
      </c>
      <c r="BK8" s="41">
        <f t="shared" si="39"/>
        <v>0.31836327345309379</v>
      </c>
      <c r="BL8" s="24">
        <f t="shared" si="40"/>
        <v>0.30616113744075829</v>
      </c>
      <c r="BM8" s="42">
        <f t="shared" si="41"/>
        <v>61.100000000000009</v>
      </c>
      <c r="BN8" s="17">
        <f t="shared" si="42"/>
        <v>56.000000000000007</v>
      </c>
      <c r="BO8" s="17">
        <f t="shared" si="43"/>
        <v>58.099999999999994</v>
      </c>
      <c r="BP8" s="17">
        <f t="shared" si="44"/>
        <v>66.5</v>
      </c>
      <c r="BQ8" s="17">
        <f t="shared" si="45"/>
        <v>66.899999999999991</v>
      </c>
      <c r="BR8" s="17">
        <f t="shared" si="46"/>
        <v>68.277000000000015</v>
      </c>
      <c r="BS8" s="18">
        <f t="shared" si="47"/>
        <v>73.2</v>
      </c>
      <c r="BT8" s="42">
        <v>0</v>
      </c>
      <c r="BU8" s="17">
        <v>8.6</v>
      </c>
      <c r="BV8" s="17">
        <v>10.5</v>
      </c>
      <c r="BW8" s="17">
        <v>3.1</v>
      </c>
      <c r="BX8" s="17">
        <v>1.4</v>
      </c>
      <c r="BY8" s="17">
        <v>2.3E-2</v>
      </c>
      <c r="BZ8" s="18">
        <v>0</v>
      </c>
    </row>
    <row r="9" spans="1:78" x14ac:dyDescent="0.25">
      <c r="A9" s="3" t="s">
        <v>62</v>
      </c>
      <c r="B9" s="12">
        <v>41737</v>
      </c>
      <c r="C9" s="13">
        <v>41038</v>
      </c>
      <c r="D9" s="13">
        <v>39581</v>
      </c>
      <c r="E9" s="13">
        <v>39827</v>
      </c>
      <c r="F9" s="13">
        <v>41309</v>
      </c>
      <c r="G9" s="13">
        <v>41766</v>
      </c>
      <c r="H9" s="13">
        <v>41432</v>
      </c>
      <c r="I9" s="12">
        <f t="shared" si="22"/>
        <v>100</v>
      </c>
      <c r="J9" s="13">
        <f t="shared" si="23"/>
        <v>98.325227016795651</v>
      </c>
      <c r="K9" s="13">
        <f t="shared" si="24"/>
        <v>94.834319668399729</v>
      </c>
      <c r="L9" s="13">
        <f t="shared" si="25"/>
        <v>95.423724752617574</v>
      </c>
      <c r="M9" s="13">
        <f t="shared" si="26"/>
        <v>98.974530991686038</v>
      </c>
      <c r="N9" s="13">
        <f t="shared" si="27"/>
        <v>100.06948271318015</v>
      </c>
      <c r="O9" s="23">
        <f t="shared" si="27"/>
        <v>99.26923353379496</v>
      </c>
      <c r="P9" s="12">
        <v>758522</v>
      </c>
      <c r="Q9" s="13">
        <v>463598</v>
      </c>
      <c r="R9" s="13">
        <v>443341</v>
      </c>
      <c r="S9" s="13">
        <v>586981</v>
      </c>
      <c r="T9" s="13">
        <v>593934</v>
      </c>
      <c r="U9" s="13">
        <v>598162</v>
      </c>
      <c r="V9" s="13">
        <v>598162</v>
      </c>
      <c r="W9" s="12">
        <f t="shared" si="6"/>
        <v>100</v>
      </c>
      <c r="X9" s="13">
        <f t="shared" si="7"/>
        <v>61.118596428317176</v>
      </c>
      <c r="Y9" s="13">
        <f t="shared" si="8"/>
        <v>58.44800809996282</v>
      </c>
      <c r="Z9" s="13">
        <f t="shared" si="9"/>
        <v>77.384835245385105</v>
      </c>
      <c r="AA9" s="13">
        <f t="shared" si="10"/>
        <v>78.301486311537445</v>
      </c>
      <c r="AB9" s="13">
        <f t="shared" si="11"/>
        <v>78.858886096909515</v>
      </c>
      <c r="AC9" s="23">
        <f t="shared" si="11"/>
        <v>78.858886096909515</v>
      </c>
      <c r="AD9" s="42">
        <v>9.1999999999999993</v>
      </c>
      <c r="AE9" s="17">
        <v>6.9</v>
      </c>
      <c r="AF9" s="17">
        <v>6</v>
      </c>
      <c r="AG9" s="17">
        <f>8.6</f>
        <v>8.6</v>
      </c>
      <c r="AH9" s="17">
        <v>9.1999999999999993</v>
      </c>
      <c r="AI9" s="17">
        <v>9.9</v>
      </c>
      <c r="AJ9" s="17">
        <v>5.5</v>
      </c>
      <c r="AK9" s="42">
        <v>23.1</v>
      </c>
      <c r="AL9" s="17">
        <v>23.1</v>
      </c>
      <c r="AM9" s="17">
        <v>23</v>
      </c>
      <c r="AN9" s="17">
        <v>24.3</v>
      </c>
      <c r="AO9" s="17">
        <v>26.3</v>
      </c>
      <c r="AP9" s="17">
        <v>28.9</v>
      </c>
      <c r="AQ9" s="17">
        <v>30.1</v>
      </c>
      <c r="AR9" s="42">
        <f t="shared" si="12"/>
        <v>553.46574981431343</v>
      </c>
      <c r="AS9" s="17">
        <f t="shared" si="13"/>
        <v>562.89292850528773</v>
      </c>
      <c r="AT9" s="17">
        <f t="shared" si="14"/>
        <v>581.08688512164929</v>
      </c>
      <c r="AU9" s="17">
        <f t="shared" si="15"/>
        <v>610.13885052853595</v>
      </c>
      <c r="AV9" s="17">
        <f t="shared" si="16"/>
        <v>636.66513350601565</v>
      </c>
      <c r="AW9" s="17">
        <f t="shared" si="17"/>
        <v>691.95039026959728</v>
      </c>
      <c r="AX9" s="17">
        <f t="shared" si="18"/>
        <v>726.49160069511493</v>
      </c>
      <c r="AY9" s="12">
        <f t="shared" si="28"/>
        <v>100</v>
      </c>
      <c r="AZ9" s="13">
        <f t="shared" si="29"/>
        <v>101.70329938106144</v>
      </c>
      <c r="BA9" s="13">
        <f t="shared" si="30"/>
        <v>104.9905771615683</v>
      </c>
      <c r="BB9" s="13">
        <f t="shared" si="31"/>
        <v>110.23967620999787</v>
      </c>
      <c r="BC9" s="13">
        <f t="shared" si="32"/>
        <v>115.03243583177738</v>
      </c>
      <c r="BD9" s="13">
        <f t="shared" si="33"/>
        <v>125.02135687741205</v>
      </c>
      <c r="BE9" s="23">
        <f t="shared" si="33"/>
        <v>131.2622508147706</v>
      </c>
      <c r="BF9" s="46">
        <f t="shared" si="34"/>
        <v>0.39826839826839822</v>
      </c>
      <c r="BG9" s="41">
        <f t="shared" si="35"/>
        <v>0.29870129870129869</v>
      </c>
      <c r="BH9" s="41">
        <f t="shared" si="36"/>
        <v>0.2608695652173913</v>
      </c>
      <c r="BI9" s="41">
        <f t="shared" si="37"/>
        <v>0.35390946502057613</v>
      </c>
      <c r="BJ9" s="41">
        <f t="shared" si="38"/>
        <v>0.34980988593155887</v>
      </c>
      <c r="BK9" s="41">
        <f t="shared" si="39"/>
        <v>0.34256055363321802</v>
      </c>
      <c r="BL9" s="24">
        <f t="shared" si="40"/>
        <v>0.18272425249169436</v>
      </c>
      <c r="BM9" s="42">
        <f t="shared" si="41"/>
        <v>13.900000000000002</v>
      </c>
      <c r="BN9" s="17">
        <f t="shared" si="42"/>
        <v>13.300000000000002</v>
      </c>
      <c r="BO9" s="17">
        <f t="shared" si="43"/>
        <v>13.4</v>
      </c>
      <c r="BP9" s="17">
        <f t="shared" si="44"/>
        <v>14.600000000000001</v>
      </c>
      <c r="BQ9" s="17">
        <f t="shared" si="45"/>
        <v>16.700000000000003</v>
      </c>
      <c r="BR9" s="17">
        <f t="shared" si="46"/>
        <v>18.994</v>
      </c>
      <c r="BS9" s="18">
        <f t="shared" si="47"/>
        <v>24.6</v>
      </c>
      <c r="BT9" s="42">
        <v>0</v>
      </c>
      <c r="BU9" s="17">
        <v>2.9</v>
      </c>
      <c r="BV9" s="17">
        <v>3.6</v>
      </c>
      <c r="BW9" s="17">
        <v>1.1000000000000001</v>
      </c>
      <c r="BX9" s="17">
        <v>0.4</v>
      </c>
      <c r="BY9" s="17">
        <v>6.0000000000000001E-3</v>
      </c>
      <c r="BZ9" s="18">
        <v>0</v>
      </c>
    </row>
    <row r="10" spans="1:78" ht="15.6" customHeight="1" x14ac:dyDescent="0.25">
      <c r="A10" s="3" t="s">
        <v>63</v>
      </c>
      <c r="B10" s="12">
        <v>37900</v>
      </c>
      <c r="C10" s="13">
        <v>38150</v>
      </c>
      <c r="D10" s="13">
        <v>37953</v>
      </c>
      <c r="E10" s="13">
        <v>38153</v>
      </c>
      <c r="F10" s="13">
        <v>35896</v>
      </c>
      <c r="G10" s="13">
        <v>33748</v>
      </c>
      <c r="H10" s="13">
        <v>33675</v>
      </c>
      <c r="I10" s="12">
        <f t="shared" si="22"/>
        <v>100</v>
      </c>
      <c r="J10" s="13">
        <f t="shared" si="23"/>
        <v>100.65963060686016</v>
      </c>
      <c r="K10" s="13">
        <f t="shared" si="24"/>
        <v>100.13984168865436</v>
      </c>
      <c r="L10" s="13">
        <f t="shared" si="25"/>
        <v>100.66754617414249</v>
      </c>
      <c r="M10" s="13">
        <f t="shared" si="26"/>
        <v>94.712401055408975</v>
      </c>
      <c r="N10" s="13">
        <f t="shared" si="27"/>
        <v>89.044854881266488</v>
      </c>
      <c r="O10" s="23">
        <f t="shared" si="27"/>
        <v>88.852242744063332</v>
      </c>
      <c r="P10" s="12">
        <v>748588</v>
      </c>
      <c r="Q10" s="13">
        <v>486919</v>
      </c>
      <c r="R10" s="13">
        <v>424151</v>
      </c>
      <c r="S10" s="13">
        <v>549911</v>
      </c>
      <c r="T10" s="13">
        <v>527792</v>
      </c>
      <c r="U10" s="13">
        <v>524587</v>
      </c>
      <c r="V10" s="13">
        <v>524587</v>
      </c>
      <c r="W10" s="12">
        <f t="shared" si="6"/>
        <v>100</v>
      </c>
      <c r="X10" s="13">
        <f t="shared" si="7"/>
        <v>65.04499137042005</v>
      </c>
      <c r="Y10" s="13">
        <f t="shared" si="8"/>
        <v>56.66013882135433</v>
      </c>
      <c r="Z10" s="13">
        <f t="shared" si="9"/>
        <v>73.459766921190294</v>
      </c>
      <c r="AA10" s="13">
        <f t="shared" si="10"/>
        <v>70.505004087695767</v>
      </c>
      <c r="AB10" s="13">
        <f t="shared" si="11"/>
        <v>70.076864710628541</v>
      </c>
      <c r="AC10" s="23">
        <f t="shared" si="11"/>
        <v>70.076864710628541</v>
      </c>
      <c r="AD10" s="42">
        <v>8.4</v>
      </c>
      <c r="AE10" s="17">
        <v>6.5</v>
      </c>
      <c r="AF10" s="17">
        <v>6.1</v>
      </c>
      <c r="AG10" s="17">
        <f>6.1</f>
        <v>6.1</v>
      </c>
      <c r="AH10" s="17">
        <v>7.2</v>
      </c>
      <c r="AI10" s="17">
        <v>7.7</v>
      </c>
      <c r="AJ10" s="17">
        <v>7.9</v>
      </c>
      <c r="AK10" s="42">
        <v>25.3</v>
      </c>
      <c r="AL10" s="17">
        <v>25.4</v>
      </c>
      <c r="AM10" s="17">
        <v>25.1</v>
      </c>
      <c r="AN10" s="17">
        <v>27.4</v>
      </c>
      <c r="AO10" s="17">
        <v>26.5</v>
      </c>
      <c r="AP10" s="17">
        <v>25.9</v>
      </c>
      <c r="AQ10" s="17">
        <v>28</v>
      </c>
      <c r="AR10" s="42">
        <f t="shared" si="12"/>
        <v>667.54617414248025</v>
      </c>
      <c r="AS10" s="17">
        <f t="shared" si="13"/>
        <v>665.79292267365656</v>
      </c>
      <c r="AT10" s="17">
        <f t="shared" si="14"/>
        <v>661.34429425868836</v>
      </c>
      <c r="AU10" s="17">
        <f t="shared" si="15"/>
        <v>718.16108824994103</v>
      </c>
      <c r="AV10" s="17">
        <f t="shared" si="16"/>
        <v>738.24381546690438</v>
      </c>
      <c r="AW10" s="17">
        <f t="shared" si="17"/>
        <v>767.45288609695388</v>
      </c>
      <c r="AX10" s="17">
        <f t="shared" si="18"/>
        <v>831.4773570898293</v>
      </c>
      <c r="AY10" s="12">
        <f t="shared" si="28"/>
        <v>100</v>
      </c>
      <c r="AZ10" s="13">
        <f t="shared" si="29"/>
        <v>99.737358772061597</v>
      </c>
      <c r="BA10" s="13">
        <f t="shared" si="30"/>
        <v>99.07094368539245</v>
      </c>
      <c r="BB10" s="13">
        <f t="shared" si="31"/>
        <v>107.58223416866706</v>
      </c>
      <c r="BC10" s="13">
        <f t="shared" si="32"/>
        <v>110.59067433278922</v>
      </c>
      <c r="BD10" s="13">
        <f t="shared" si="33"/>
        <v>114.96626238369387</v>
      </c>
      <c r="BE10" s="23">
        <f t="shared" si="33"/>
        <v>124.55727997511671</v>
      </c>
      <c r="BF10" s="46">
        <f t="shared" si="34"/>
        <v>0.33201581027667987</v>
      </c>
      <c r="BG10" s="41">
        <f t="shared" si="35"/>
        <v>0.25590551181102361</v>
      </c>
      <c r="BH10" s="41">
        <f t="shared" si="36"/>
        <v>0.24302788844621512</v>
      </c>
      <c r="BI10" s="41">
        <f t="shared" si="37"/>
        <v>0.22262773722627738</v>
      </c>
      <c r="BJ10" s="41">
        <f t="shared" si="38"/>
        <v>0.27169811320754716</v>
      </c>
      <c r="BK10" s="41">
        <f t="shared" si="39"/>
        <v>0.29729729729729731</v>
      </c>
      <c r="BL10" s="24">
        <f t="shared" si="40"/>
        <v>0.28214285714285714</v>
      </c>
      <c r="BM10" s="42">
        <f t="shared" si="41"/>
        <v>16.899999999999999</v>
      </c>
      <c r="BN10" s="17">
        <f t="shared" si="42"/>
        <v>16.799999999999997</v>
      </c>
      <c r="BO10" s="17">
        <f t="shared" si="43"/>
        <v>16.7</v>
      </c>
      <c r="BP10" s="17">
        <f t="shared" si="44"/>
        <v>20.599999999999998</v>
      </c>
      <c r="BQ10" s="17">
        <f t="shared" si="45"/>
        <v>18.900000000000002</v>
      </c>
      <c r="BR10" s="17">
        <f t="shared" si="46"/>
        <v>18.192999999999998</v>
      </c>
      <c r="BS10" s="18">
        <f t="shared" si="47"/>
        <v>20.100000000000001</v>
      </c>
      <c r="BT10" s="42">
        <v>0</v>
      </c>
      <c r="BU10" s="17">
        <v>2.1</v>
      </c>
      <c r="BV10" s="17">
        <v>2.2999999999999998</v>
      </c>
      <c r="BW10" s="17">
        <v>0.7</v>
      </c>
      <c r="BX10" s="17">
        <v>0.4</v>
      </c>
      <c r="BY10" s="17">
        <v>7.0000000000000001E-3</v>
      </c>
      <c r="BZ10" s="18">
        <v>0</v>
      </c>
    </row>
    <row r="11" spans="1:78" x14ac:dyDescent="0.25">
      <c r="A11" s="3" t="s">
        <v>64</v>
      </c>
      <c r="B11" s="12">
        <v>89901</v>
      </c>
      <c r="C11" s="13">
        <v>90552</v>
      </c>
      <c r="D11" s="13">
        <v>88081</v>
      </c>
      <c r="E11" s="13">
        <v>87282</v>
      </c>
      <c r="F11" s="13">
        <v>87304</v>
      </c>
      <c r="G11" s="13">
        <v>87586</v>
      </c>
      <c r="H11" s="13">
        <v>87727</v>
      </c>
      <c r="I11" s="12">
        <f t="shared" si="22"/>
        <v>100</v>
      </c>
      <c r="J11" s="13">
        <f t="shared" si="23"/>
        <v>100.72412987619714</v>
      </c>
      <c r="K11" s="13">
        <f t="shared" si="24"/>
        <v>97.975550883749904</v>
      </c>
      <c r="L11" s="13">
        <f t="shared" si="25"/>
        <v>97.086795475022527</v>
      </c>
      <c r="M11" s="13">
        <f t="shared" si="26"/>
        <v>97.111266837966198</v>
      </c>
      <c r="N11" s="13">
        <f t="shared" si="27"/>
        <v>97.424945217517049</v>
      </c>
      <c r="O11" s="23">
        <f t="shared" si="27"/>
        <v>97.581784407292474</v>
      </c>
      <c r="P11" s="12">
        <v>1783584</v>
      </c>
      <c r="Q11" s="13">
        <v>1206491</v>
      </c>
      <c r="R11" s="13">
        <v>1114173</v>
      </c>
      <c r="S11" s="13">
        <v>1453849</v>
      </c>
      <c r="T11" s="13">
        <v>1527628</v>
      </c>
      <c r="U11" s="13">
        <v>1516347</v>
      </c>
      <c r="V11" s="13">
        <v>1516347</v>
      </c>
      <c r="W11" s="12">
        <f t="shared" si="6"/>
        <v>100</v>
      </c>
      <c r="X11" s="13">
        <f t="shared" si="7"/>
        <v>67.644192816262077</v>
      </c>
      <c r="Y11" s="13">
        <f t="shared" si="8"/>
        <v>62.468210075892138</v>
      </c>
      <c r="Z11" s="13">
        <f t="shared" si="9"/>
        <v>81.51278549258123</v>
      </c>
      <c r="AA11" s="13">
        <f t="shared" si="10"/>
        <v>85.649344241706586</v>
      </c>
      <c r="AB11" s="13">
        <f t="shared" si="11"/>
        <v>85.016853705796862</v>
      </c>
      <c r="AC11" s="23">
        <f t="shared" si="11"/>
        <v>85.016853705796862</v>
      </c>
      <c r="AD11" s="42">
        <v>19.899999999999999</v>
      </c>
      <c r="AE11" s="17">
        <v>16.600000000000001</v>
      </c>
      <c r="AF11" s="17">
        <v>14.3</v>
      </c>
      <c r="AG11" s="17">
        <f>19.3</f>
        <v>19.3</v>
      </c>
      <c r="AH11" s="17">
        <v>21.3</v>
      </c>
      <c r="AI11" s="17">
        <v>22.7</v>
      </c>
      <c r="AJ11" s="17">
        <v>23</v>
      </c>
      <c r="AK11" s="42">
        <v>61.3</v>
      </c>
      <c r="AL11" s="17">
        <v>61.2</v>
      </c>
      <c r="AM11" s="17">
        <v>61.3</v>
      </c>
      <c r="AN11" s="17">
        <v>63.6</v>
      </c>
      <c r="AO11" s="17">
        <v>64</v>
      </c>
      <c r="AP11" s="17">
        <v>64.7</v>
      </c>
      <c r="AQ11" s="17">
        <v>67.3</v>
      </c>
      <c r="AR11" s="42">
        <f t="shared" si="12"/>
        <v>681.86115838533499</v>
      </c>
      <c r="AS11" s="17">
        <f t="shared" si="13"/>
        <v>675.85475748741055</v>
      </c>
      <c r="AT11" s="17">
        <f t="shared" si="14"/>
        <v>695.95031845687492</v>
      </c>
      <c r="AU11" s="17">
        <f t="shared" si="15"/>
        <v>728.67257853853027</v>
      </c>
      <c r="AV11" s="17">
        <f t="shared" si="16"/>
        <v>733.07064968386328</v>
      </c>
      <c r="AW11" s="17">
        <f t="shared" si="17"/>
        <v>738.70253236818667</v>
      </c>
      <c r="AX11" s="17">
        <f t="shared" si="18"/>
        <v>767.15264399785701</v>
      </c>
      <c r="AY11" s="12">
        <f t="shared" si="28"/>
        <v>100</v>
      </c>
      <c r="AZ11" s="13">
        <f t="shared" si="29"/>
        <v>99.119116725735225</v>
      </c>
      <c r="BA11" s="13">
        <f t="shared" si="30"/>
        <v>102.06627990145434</v>
      </c>
      <c r="BB11" s="13">
        <f t="shared" si="31"/>
        <v>106.86524222380491</v>
      </c>
      <c r="BC11" s="13">
        <f t="shared" si="32"/>
        <v>107.51025200200488</v>
      </c>
      <c r="BD11" s="13">
        <f t="shared" si="33"/>
        <v>108.33620940037902</v>
      </c>
      <c r="BE11" s="23">
        <f t="shared" si="33"/>
        <v>112.50862944217184</v>
      </c>
      <c r="BF11" s="46">
        <f t="shared" si="34"/>
        <v>0.32463295269168024</v>
      </c>
      <c r="BG11" s="41">
        <f t="shared" si="35"/>
        <v>0.27124183006535951</v>
      </c>
      <c r="BH11" s="41">
        <f t="shared" si="36"/>
        <v>0.23327895595432302</v>
      </c>
      <c r="BI11" s="41">
        <f t="shared" si="37"/>
        <v>0.30345911949685533</v>
      </c>
      <c r="BJ11" s="41">
        <f t="shared" si="38"/>
        <v>0.33281250000000001</v>
      </c>
      <c r="BK11" s="41">
        <f t="shared" si="39"/>
        <v>0.3508500772797527</v>
      </c>
      <c r="BL11" s="24">
        <f t="shared" si="40"/>
        <v>0.34175334323922735</v>
      </c>
      <c r="BM11" s="42">
        <f t="shared" si="41"/>
        <v>41.4</v>
      </c>
      <c r="BN11" s="17">
        <f t="shared" si="42"/>
        <v>39</v>
      </c>
      <c r="BO11" s="17">
        <f t="shared" si="43"/>
        <v>39.700000000000003</v>
      </c>
      <c r="BP11" s="17">
        <f t="shared" si="44"/>
        <v>42.199999999999996</v>
      </c>
      <c r="BQ11" s="17">
        <f t="shared" si="45"/>
        <v>41.800000000000004</v>
      </c>
      <c r="BR11" s="17">
        <f t="shared" si="46"/>
        <v>41.985999999999997</v>
      </c>
      <c r="BS11" s="18">
        <f t="shared" si="47"/>
        <v>44.3</v>
      </c>
      <c r="BT11" s="42">
        <v>0</v>
      </c>
      <c r="BU11" s="17">
        <v>5.6</v>
      </c>
      <c r="BV11" s="17">
        <v>7.3</v>
      </c>
      <c r="BW11" s="17">
        <v>2.1</v>
      </c>
      <c r="BX11" s="17">
        <v>0.9</v>
      </c>
      <c r="BY11" s="17">
        <v>1.4E-2</v>
      </c>
      <c r="BZ11" s="18">
        <v>0</v>
      </c>
    </row>
    <row r="12" spans="1:78" x14ac:dyDescent="0.25">
      <c r="A12" s="3" t="s">
        <v>65</v>
      </c>
      <c r="B12" s="12">
        <v>62664</v>
      </c>
      <c r="C12" s="13">
        <v>59666</v>
      </c>
      <c r="D12" s="13">
        <v>55859</v>
      </c>
      <c r="E12" s="13">
        <v>55522</v>
      </c>
      <c r="F12" s="13">
        <v>53174</v>
      </c>
      <c r="G12" s="13">
        <v>52607</v>
      </c>
      <c r="H12" s="13">
        <v>52097</v>
      </c>
      <c r="I12" s="12">
        <f t="shared" si="22"/>
        <v>100</v>
      </c>
      <c r="J12" s="13">
        <f t="shared" si="23"/>
        <v>95.21575386186646</v>
      </c>
      <c r="K12" s="13">
        <f t="shared" si="24"/>
        <v>89.140495340227247</v>
      </c>
      <c r="L12" s="13">
        <f t="shared" si="25"/>
        <v>88.602706498148848</v>
      </c>
      <c r="M12" s="13">
        <f t="shared" si="26"/>
        <v>84.855738542065623</v>
      </c>
      <c r="N12" s="13">
        <f t="shared" si="27"/>
        <v>83.950912804800197</v>
      </c>
      <c r="O12" s="23">
        <f t="shared" si="27"/>
        <v>83.137048385037659</v>
      </c>
      <c r="P12" s="12">
        <v>1350784</v>
      </c>
      <c r="Q12" s="13">
        <v>913599</v>
      </c>
      <c r="R12" s="13">
        <v>823350</v>
      </c>
      <c r="S12" s="13">
        <v>1091633</v>
      </c>
      <c r="T12" s="13">
        <v>1085065</v>
      </c>
      <c r="U12" s="13">
        <v>1075705</v>
      </c>
      <c r="V12" s="13">
        <v>1075705</v>
      </c>
      <c r="W12" s="12">
        <f t="shared" si="6"/>
        <v>100</v>
      </c>
      <c r="X12" s="13">
        <f t="shared" si="7"/>
        <v>67.634721761584387</v>
      </c>
      <c r="Y12" s="13">
        <f t="shared" si="8"/>
        <v>60.953490713541171</v>
      </c>
      <c r="Z12" s="13">
        <f t="shared" si="9"/>
        <v>80.814771273571495</v>
      </c>
      <c r="AA12" s="13">
        <f t="shared" si="10"/>
        <v>80.328535132189899</v>
      </c>
      <c r="AB12" s="13">
        <f t="shared" si="11"/>
        <v>79.635604212072394</v>
      </c>
      <c r="AC12" s="23">
        <f t="shared" si="11"/>
        <v>79.635604212072394</v>
      </c>
      <c r="AD12" s="42">
        <v>19</v>
      </c>
      <c r="AE12" s="17">
        <v>15.1</v>
      </c>
      <c r="AF12" s="17">
        <v>13.5</v>
      </c>
      <c r="AG12" s="17">
        <f>17.4</f>
        <v>17.399999999999999</v>
      </c>
      <c r="AH12" s="17">
        <v>16.8</v>
      </c>
      <c r="AI12" s="17">
        <v>17.5</v>
      </c>
      <c r="AJ12" s="17">
        <v>17.8</v>
      </c>
      <c r="AK12" s="42">
        <v>54.5</v>
      </c>
      <c r="AL12" s="17">
        <v>51.9</v>
      </c>
      <c r="AM12" s="17">
        <v>54.1</v>
      </c>
      <c r="AN12" s="17">
        <v>66</v>
      </c>
      <c r="AO12" s="17">
        <v>56.9</v>
      </c>
      <c r="AP12" s="17">
        <v>57.9</v>
      </c>
      <c r="AQ12" s="17">
        <v>60.5</v>
      </c>
      <c r="AR12" s="42">
        <f t="shared" si="12"/>
        <v>869.71786033448234</v>
      </c>
      <c r="AS12" s="17">
        <f t="shared" si="13"/>
        <v>869.84212114101831</v>
      </c>
      <c r="AT12" s="17">
        <f t="shared" si="14"/>
        <v>968.50999838880034</v>
      </c>
      <c r="AU12" s="17">
        <f t="shared" si="15"/>
        <v>1188.7179856633406</v>
      </c>
      <c r="AV12" s="17">
        <f t="shared" si="16"/>
        <v>1070.0718396208674</v>
      </c>
      <c r="AW12" s="17">
        <f t="shared" si="17"/>
        <v>1100.6139867318038</v>
      </c>
      <c r="AX12" s="17">
        <f t="shared" si="18"/>
        <v>1161.2952761195463</v>
      </c>
      <c r="AY12" s="12">
        <f t="shared" si="28"/>
        <v>100</v>
      </c>
      <c r="AZ12" s="13">
        <f t="shared" si="29"/>
        <v>100.01428748473535</v>
      </c>
      <c r="BA12" s="13">
        <f t="shared" si="30"/>
        <v>111.35910190648768</v>
      </c>
      <c r="BB12" s="13">
        <f t="shared" si="31"/>
        <v>136.67857587817903</v>
      </c>
      <c r="BC12" s="13">
        <f t="shared" si="32"/>
        <v>123.03666377615052</v>
      </c>
      <c r="BD12" s="13">
        <f t="shared" si="33"/>
        <v>126.54839424690229</v>
      </c>
      <c r="BE12" s="23">
        <f t="shared" si="33"/>
        <v>133.52551776652339</v>
      </c>
      <c r="BF12" s="46">
        <f t="shared" si="34"/>
        <v>0.34862385321100919</v>
      </c>
      <c r="BG12" s="41">
        <f t="shared" si="35"/>
        <v>0.29094412331406549</v>
      </c>
      <c r="BH12" s="41">
        <f t="shared" si="36"/>
        <v>0.24953789279112754</v>
      </c>
      <c r="BI12" s="41">
        <f t="shared" si="37"/>
        <v>0.26363636363636361</v>
      </c>
      <c r="BJ12" s="41">
        <f t="shared" si="38"/>
        <v>0.29525483304042183</v>
      </c>
      <c r="BK12" s="41">
        <f t="shared" si="39"/>
        <v>0.30224525043177891</v>
      </c>
      <c r="BL12" s="24">
        <f t="shared" si="40"/>
        <v>0.29421487603305785</v>
      </c>
      <c r="BM12" s="42">
        <f t="shared" si="41"/>
        <v>35.5</v>
      </c>
      <c r="BN12" s="17">
        <f t="shared" si="42"/>
        <v>32.299999999999997</v>
      </c>
      <c r="BO12" s="17">
        <f t="shared" si="43"/>
        <v>34.6</v>
      </c>
      <c r="BP12" s="17">
        <f t="shared" si="44"/>
        <v>46.9</v>
      </c>
      <c r="BQ12" s="17">
        <f t="shared" si="45"/>
        <v>39.199999999999996</v>
      </c>
      <c r="BR12" s="17">
        <f t="shared" si="46"/>
        <v>40.384</v>
      </c>
      <c r="BS12" s="18">
        <f t="shared" si="47"/>
        <v>42.7</v>
      </c>
      <c r="BT12" s="42">
        <v>0</v>
      </c>
      <c r="BU12" s="17">
        <v>4.5</v>
      </c>
      <c r="BV12" s="17">
        <v>6</v>
      </c>
      <c r="BW12" s="17">
        <v>1.7</v>
      </c>
      <c r="BX12" s="17">
        <v>0.9</v>
      </c>
      <c r="BY12" s="17">
        <v>1.6E-2</v>
      </c>
      <c r="BZ12" s="18">
        <v>0</v>
      </c>
    </row>
    <row r="13" spans="1:78" ht="15.6" customHeight="1" x14ac:dyDescent="0.25">
      <c r="A13" s="3" t="s">
        <v>66</v>
      </c>
      <c r="B13" s="12">
        <v>22850</v>
      </c>
      <c r="C13" s="13">
        <v>22704</v>
      </c>
      <c r="D13" s="13">
        <v>21955</v>
      </c>
      <c r="E13" s="13">
        <v>21448</v>
      </c>
      <c r="F13" s="13">
        <v>20469</v>
      </c>
      <c r="G13" s="13">
        <v>20611</v>
      </c>
      <c r="H13" s="13">
        <v>20427</v>
      </c>
      <c r="I13" s="12">
        <f t="shared" si="22"/>
        <v>100</v>
      </c>
      <c r="J13" s="13">
        <f t="shared" si="23"/>
        <v>99.361050328227577</v>
      </c>
      <c r="K13" s="13">
        <f t="shared" si="24"/>
        <v>96.083150984682703</v>
      </c>
      <c r="L13" s="13">
        <f t="shared" si="25"/>
        <v>93.86433260393872</v>
      </c>
      <c r="M13" s="13">
        <f t="shared" si="26"/>
        <v>89.57986870897156</v>
      </c>
      <c r="N13" s="13">
        <f t="shared" si="27"/>
        <v>90.201312910284457</v>
      </c>
      <c r="O13" s="23">
        <f t="shared" si="27"/>
        <v>89.396061269146614</v>
      </c>
      <c r="P13" s="12">
        <v>332124</v>
      </c>
      <c r="Q13" s="13">
        <v>245647</v>
      </c>
      <c r="R13" s="13">
        <v>215824</v>
      </c>
      <c r="S13" s="13">
        <v>302553</v>
      </c>
      <c r="T13" s="13">
        <v>284699</v>
      </c>
      <c r="U13" s="13">
        <v>270080</v>
      </c>
      <c r="V13" s="13">
        <v>270080</v>
      </c>
      <c r="W13" s="12">
        <f t="shared" si="6"/>
        <v>100</v>
      </c>
      <c r="X13" s="13">
        <f t="shared" si="7"/>
        <v>73.96243571678049</v>
      </c>
      <c r="Y13" s="13">
        <f t="shared" si="8"/>
        <v>64.982958172248914</v>
      </c>
      <c r="Z13" s="13">
        <f t="shared" si="9"/>
        <v>91.096397730967951</v>
      </c>
      <c r="AA13" s="13">
        <f t="shared" si="10"/>
        <v>85.720694680300127</v>
      </c>
      <c r="AB13" s="13">
        <f t="shared" si="11"/>
        <v>81.319025424239143</v>
      </c>
      <c r="AC13" s="23">
        <f t="shared" si="11"/>
        <v>81.319025424239143</v>
      </c>
      <c r="AD13" s="42">
        <v>5.3</v>
      </c>
      <c r="AE13" s="17">
        <v>4.8</v>
      </c>
      <c r="AF13" s="17">
        <v>4.4000000000000004</v>
      </c>
      <c r="AG13" s="17">
        <f>5</f>
        <v>5</v>
      </c>
      <c r="AH13" s="17">
        <v>5.2</v>
      </c>
      <c r="AI13" s="17">
        <v>5.6</v>
      </c>
      <c r="AJ13" s="17">
        <v>5.7</v>
      </c>
      <c r="AK13" s="42">
        <v>21.8</v>
      </c>
      <c r="AL13" s="17">
        <v>21.4</v>
      </c>
      <c r="AM13" s="17">
        <v>22</v>
      </c>
      <c r="AN13" s="17">
        <v>23.5</v>
      </c>
      <c r="AO13" s="17">
        <v>22.8</v>
      </c>
      <c r="AP13" s="17">
        <v>21</v>
      </c>
      <c r="AQ13" s="17">
        <v>20.2</v>
      </c>
      <c r="AR13" s="42">
        <f t="shared" si="12"/>
        <v>954.04814004376362</v>
      </c>
      <c r="AS13" s="17">
        <f t="shared" si="13"/>
        <v>942.56518675123323</v>
      </c>
      <c r="AT13" s="17">
        <f t="shared" si="14"/>
        <v>1002.0496470052379</v>
      </c>
      <c r="AU13" s="17">
        <f t="shared" si="15"/>
        <v>1095.6732562476689</v>
      </c>
      <c r="AV13" s="17">
        <f t="shared" si="16"/>
        <v>1113.8795251355709</v>
      </c>
      <c r="AW13" s="17">
        <f t="shared" si="17"/>
        <v>1018.8734171073698</v>
      </c>
      <c r="AX13" s="17">
        <f t="shared" si="18"/>
        <v>988.88725706173204</v>
      </c>
      <c r="AY13" s="12">
        <f t="shared" si="28"/>
        <v>100</v>
      </c>
      <c r="AZ13" s="13">
        <f t="shared" si="29"/>
        <v>98.796396868191195</v>
      </c>
      <c r="BA13" s="13">
        <f t="shared" si="30"/>
        <v>105.03135061499857</v>
      </c>
      <c r="BB13" s="13">
        <f t="shared" si="31"/>
        <v>114.84465094155611</v>
      </c>
      <c r="BC13" s="13">
        <f t="shared" si="32"/>
        <v>116.75296857498989</v>
      </c>
      <c r="BD13" s="13">
        <f t="shared" si="33"/>
        <v>106.79475954542845</v>
      </c>
      <c r="BE13" s="23">
        <f t="shared" si="33"/>
        <v>103.65171478835127</v>
      </c>
      <c r="BF13" s="46">
        <f t="shared" si="34"/>
        <v>0.24311926605504586</v>
      </c>
      <c r="BG13" s="41">
        <f t="shared" si="35"/>
        <v>0.22429906542056074</v>
      </c>
      <c r="BH13" s="41">
        <f t="shared" si="36"/>
        <v>0.2</v>
      </c>
      <c r="BI13" s="41">
        <f t="shared" si="37"/>
        <v>0.21276595744680851</v>
      </c>
      <c r="BJ13" s="41">
        <f t="shared" si="38"/>
        <v>0.22807017543859648</v>
      </c>
      <c r="BK13" s="41">
        <f t="shared" si="39"/>
        <v>0.26666666666666666</v>
      </c>
      <c r="BL13" s="24">
        <f t="shared" si="40"/>
        <v>0.28217821782178221</v>
      </c>
      <c r="BM13" s="42">
        <f t="shared" si="41"/>
        <v>16.5</v>
      </c>
      <c r="BN13" s="17">
        <f t="shared" si="42"/>
        <v>14.899999999999999</v>
      </c>
      <c r="BO13" s="17">
        <f t="shared" si="43"/>
        <v>16.5</v>
      </c>
      <c r="BP13" s="17">
        <f t="shared" si="44"/>
        <v>18.399999999999999</v>
      </c>
      <c r="BQ13" s="17">
        <f t="shared" si="45"/>
        <v>17.3</v>
      </c>
      <c r="BR13" s="17">
        <f t="shared" si="46"/>
        <v>15.395</v>
      </c>
      <c r="BS13" s="18">
        <f t="shared" si="47"/>
        <v>14.5</v>
      </c>
      <c r="BT13" s="42">
        <v>0</v>
      </c>
      <c r="BU13" s="17">
        <v>1.7</v>
      </c>
      <c r="BV13" s="17">
        <v>1.1000000000000001</v>
      </c>
      <c r="BW13" s="17">
        <v>0.1</v>
      </c>
      <c r="BX13" s="17">
        <v>0.3</v>
      </c>
      <c r="BY13" s="17">
        <v>5.0000000000000001E-3</v>
      </c>
      <c r="BZ13" s="18">
        <v>0</v>
      </c>
    </row>
    <row r="14" spans="1:78" x14ac:dyDescent="0.25">
      <c r="A14" s="3" t="s">
        <v>67</v>
      </c>
      <c r="B14" s="12">
        <v>18472</v>
      </c>
      <c r="C14" s="13">
        <v>17269</v>
      </c>
      <c r="D14" s="13">
        <v>15446</v>
      </c>
      <c r="E14" s="13">
        <v>15071</v>
      </c>
      <c r="F14" s="13">
        <v>13631</v>
      </c>
      <c r="G14" s="13">
        <v>12161</v>
      </c>
      <c r="H14" s="13">
        <v>11240</v>
      </c>
      <c r="I14" s="12">
        <f t="shared" si="22"/>
        <v>100</v>
      </c>
      <c r="J14" s="13">
        <f t="shared" si="23"/>
        <v>93.487440450411427</v>
      </c>
      <c r="K14" s="13">
        <f t="shared" si="24"/>
        <v>83.61844954525769</v>
      </c>
      <c r="L14" s="13">
        <f t="shared" si="25"/>
        <v>81.588349935036803</v>
      </c>
      <c r="M14" s="13">
        <f t="shared" si="26"/>
        <v>73.792767431788647</v>
      </c>
      <c r="N14" s="13">
        <f t="shared" si="27"/>
        <v>65.834776959722817</v>
      </c>
      <c r="O14" s="23">
        <f t="shared" si="27"/>
        <v>60.848852317020352</v>
      </c>
      <c r="P14" s="12">
        <v>151429</v>
      </c>
      <c r="Q14" s="13">
        <v>92797</v>
      </c>
      <c r="R14" s="13">
        <v>69750</v>
      </c>
      <c r="S14" s="13">
        <v>101613</v>
      </c>
      <c r="T14" s="13">
        <v>98803</v>
      </c>
      <c r="U14" s="13">
        <v>102391</v>
      </c>
      <c r="V14" s="13">
        <v>102391</v>
      </c>
      <c r="W14" s="12">
        <f t="shared" si="6"/>
        <v>100</v>
      </c>
      <c r="X14" s="13">
        <f t="shared" si="7"/>
        <v>61.280864299440665</v>
      </c>
      <c r="Y14" s="13">
        <f t="shared" si="8"/>
        <v>46.061190392857377</v>
      </c>
      <c r="Z14" s="13">
        <f t="shared" si="9"/>
        <v>67.102734614902033</v>
      </c>
      <c r="AA14" s="13">
        <f t="shared" si="10"/>
        <v>65.247079489397677</v>
      </c>
      <c r="AB14" s="13">
        <f t="shared" si="11"/>
        <v>67.61650674573562</v>
      </c>
      <c r="AC14" s="23">
        <f t="shared" si="11"/>
        <v>67.61650674573562</v>
      </c>
      <c r="AD14" s="42">
        <v>5.0999999999999996</v>
      </c>
      <c r="AE14" s="17">
        <v>2.9</v>
      </c>
      <c r="AF14" s="17">
        <v>2.4</v>
      </c>
      <c r="AG14" s="17">
        <f>3.2</f>
        <v>3.2</v>
      </c>
      <c r="AH14" s="17">
        <v>2.6</v>
      </c>
      <c r="AI14" s="17">
        <v>2.8</v>
      </c>
      <c r="AJ14" s="17">
        <v>2.8</v>
      </c>
      <c r="AK14" s="42">
        <v>14.1</v>
      </c>
      <c r="AL14" s="17">
        <v>13.6</v>
      </c>
      <c r="AM14" s="17">
        <v>13.1</v>
      </c>
      <c r="AN14" s="17">
        <v>14.2</v>
      </c>
      <c r="AO14" s="17">
        <v>12.3</v>
      </c>
      <c r="AP14" s="17">
        <v>11.4</v>
      </c>
      <c r="AQ14" s="17">
        <v>11.2</v>
      </c>
      <c r="AR14" s="42">
        <f t="shared" si="12"/>
        <v>763.31745344304898</v>
      </c>
      <c r="AS14" s="17">
        <f t="shared" si="13"/>
        <v>787.53836354160637</v>
      </c>
      <c r="AT14" s="17">
        <f t="shared" si="14"/>
        <v>848.11601709180366</v>
      </c>
      <c r="AU14" s="17">
        <f t="shared" si="15"/>
        <v>942.20688739964169</v>
      </c>
      <c r="AV14" s="17">
        <f t="shared" si="16"/>
        <v>902.35492627099995</v>
      </c>
      <c r="AW14" s="17">
        <f t="shared" si="17"/>
        <v>937.42290930022205</v>
      </c>
      <c r="AX14" s="17">
        <f t="shared" si="18"/>
        <v>996.44128113879003</v>
      </c>
      <c r="AY14" s="12">
        <f t="shared" si="28"/>
        <v>100</v>
      </c>
      <c r="AZ14" s="13">
        <f t="shared" si="29"/>
        <v>103.17311100241527</v>
      </c>
      <c r="BA14" s="13">
        <f t="shared" si="30"/>
        <v>111.10921324623968</v>
      </c>
      <c r="BB14" s="13">
        <f t="shared" si="31"/>
        <v>123.43578456770341</v>
      </c>
      <c r="BC14" s="13">
        <f t="shared" si="32"/>
        <v>118.21489502182916</v>
      </c>
      <c r="BD14" s="13">
        <f t="shared" si="33"/>
        <v>122.80904950775675</v>
      </c>
      <c r="BE14" s="23">
        <f t="shared" si="33"/>
        <v>130.5408747886222</v>
      </c>
      <c r="BF14" s="46">
        <f t="shared" si="34"/>
        <v>0.36170212765957444</v>
      </c>
      <c r="BG14" s="41">
        <f t="shared" si="35"/>
        <v>0.21323529411764705</v>
      </c>
      <c r="BH14" s="41">
        <f t="shared" si="36"/>
        <v>0.18320610687022901</v>
      </c>
      <c r="BI14" s="41">
        <f t="shared" si="37"/>
        <v>0.22535211267605637</v>
      </c>
      <c r="BJ14" s="41">
        <f t="shared" si="38"/>
        <v>0.2113821138211382</v>
      </c>
      <c r="BK14" s="41">
        <f t="shared" si="39"/>
        <v>0.24561403508771928</v>
      </c>
      <c r="BL14" s="24">
        <f t="shared" si="40"/>
        <v>0.25</v>
      </c>
      <c r="BM14" s="42">
        <f t="shared" si="41"/>
        <v>9</v>
      </c>
      <c r="BN14" s="17">
        <f t="shared" si="42"/>
        <v>9.2999999999999989</v>
      </c>
      <c r="BO14" s="17">
        <f t="shared" si="43"/>
        <v>8.8999999999999986</v>
      </c>
      <c r="BP14" s="17">
        <f t="shared" si="44"/>
        <v>10.3</v>
      </c>
      <c r="BQ14" s="17">
        <f t="shared" si="45"/>
        <v>9.5000000000000018</v>
      </c>
      <c r="BR14" s="17">
        <f t="shared" si="46"/>
        <v>8.5970000000000013</v>
      </c>
      <c r="BS14" s="18">
        <f t="shared" si="47"/>
        <v>8.3999999999999986</v>
      </c>
      <c r="BT14" s="42">
        <v>0</v>
      </c>
      <c r="BU14" s="17">
        <v>1.4</v>
      </c>
      <c r="BV14" s="17">
        <v>1.8</v>
      </c>
      <c r="BW14" s="17">
        <v>0.7</v>
      </c>
      <c r="BX14" s="17">
        <v>0.2</v>
      </c>
      <c r="BY14" s="17">
        <v>3.0000000000000001E-3</v>
      </c>
      <c r="BZ14" s="18">
        <v>0</v>
      </c>
    </row>
    <row r="15" spans="1:78" x14ac:dyDescent="0.25">
      <c r="A15" s="3" t="s">
        <v>68</v>
      </c>
      <c r="B15" s="12">
        <v>15014</v>
      </c>
      <c r="C15" s="13">
        <v>15398</v>
      </c>
      <c r="D15" s="13">
        <v>13423</v>
      </c>
      <c r="E15" s="13">
        <v>11896</v>
      </c>
      <c r="F15" s="13">
        <v>10977</v>
      </c>
      <c r="G15" s="13">
        <v>10238</v>
      </c>
      <c r="H15" s="13">
        <v>10259</v>
      </c>
      <c r="I15" s="12">
        <f t="shared" si="22"/>
        <v>100</v>
      </c>
      <c r="J15" s="13">
        <f t="shared" si="23"/>
        <v>102.55761289463167</v>
      </c>
      <c r="K15" s="13">
        <f t="shared" si="24"/>
        <v>89.40322365791927</v>
      </c>
      <c r="L15" s="13">
        <f t="shared" si="25"/>
        <v>79.232716131610488</v>
      </c>
      <c r="M15" s="13">
        <f t="shared" si="26"/>
        <v>73.111762355135212</v>
      </c>
      <c r="N15" s="13">
        <f t="shared" si="27"/>
        <v>68.189689623018509</v>
      </c>
      <c r="O15" s="23">
        <f t="shared" si="27"/>
        <v>68.329559078193697</v>
      </c>
      <c r="P15" s="12">
        <v>183944</v>
      </c>
      <c r="Q15" s="13">
        <v>119298</v>
      </c>
      <c r="R15" s="13">
        <v>93210</v>
      </c>
      <c r="S15" s="13">
        <v>139176</v>
      </c>
      <c r="T15" s="13">
        <v>121842</v>
      </c>
      <c r="U15" s="13">
        <v>104635</v>
      </c>
      <c r="V15" s="13">
        <v>104635</v>
      </c>
      <c r="W15" s="12">
        <f t="shared" si="6"/>
        <v>100</v>
      </c>
      <c r="X15" s="13">
        <f t="shared" si="7"/>
        <v>64.855608228591308</v>
      </c>
      <c r="Y15" s="13">
        <f t="shared" si="8"/>
        <v>50.673030922454664</v>
      </c>
      <c r="Z15" s="13">
        <f t="shared" si="9"/>
        <v>75.662158048101588</v>
      </c>
      <c r="AA15" s="13">
        <f t="shared" si="10"/>
        <v>66.238637846301046</v>
      </c>
      <c r="AB15" s="13">
        <f t="shared" si="11"/>
        <v>56.884160396642457</v>
      </c>
      <c r="AC15" s="23">
        <f t="shared" si="11"/>
        <v>56.884160396642457</v>
      </c>
      <c r="AD15" s="42">
        <v>2.9</v>
      </c>
      <c r="AE15" s="17">
        <v>2.1</v>
      </c>
      <c r="AF15" s="17">
        <v>1.8</v>
      </c>
      <c r="AG15" s="17">
        <f>2</f>
        <v>2</v>
      </c>
      <c r="AH15" s="17">
        <v>1.8</v>
      </c>
      <c r="AI15" s="17">
        <v>2</v>
      </c>
      <c r="AJ15" s="17">
        <v>2</v>
      </c>
      <c r="AK15" s="42">
        <v>13</v>
      </c>
      <c r="AL15" s="17">
        <v>13.1</v>
      </c>
      <c r="AM15" s="17">
        <v>12.4</v>
      </c>
      <c r="AN15" s="17">
        <v>12.6</v>
      </c>
      <c r="AO15" s="17">
        <v>12</v>
      </c>
      <c r="AP15" s="17">
        <v>13.7</v>
      </c>
      <c r="AQ15" s="17">
        <v>14.3</v>
      </c>
      <c r="AR15" s="42">
        <f t="shared" si="12"/>
        <v>865.85853203676572</v>
      </c>
      <c r="AS15" s="17">
        <f t="shared" si="13"/>
        <v>850.75983894012211</v>
      </c>
      <c r="AT15" s="17">
        <f t="shared" si="14"/>
        <v>923.78752886836025</v>
      </c>
      <c r="AU15" s="17">
        <f t="shared" si="15"/>
        <v>1059.1795561533288</v>
      </c>
      <c r="AV15" s="17">
        <f t="shared" si="16"/>
        <v>1093.1948619841487</v>
      </c>
      <c r="AW15" s="17">
        <f t="shared" si="17"/>
        <v>1338.1519828091425</v>
      </c>
      <c r="AX15" s="17">
        <f t="shared" si="18"/>
        <v>1393.898040744712</v>
      </c>
      <c r="AY15" s="12">
        <f t="shared" si="28"/>
        <v>100</v>
      </c>
      <c r="AZ15" s="13">
        <f t="shared" si="29"/>
        <v>98.256217091130722</v>
      </c>
      <c r="BA15" s="13">
        <f t="shared" si="30"/>
        <v>106.69035352638123</v>
      </c>
      <c r="BB15" s="13">
        <f t="shared" si="31"/>
        <v>122.32709120066214</v>
      </c>
      <c r="BC15" s="13">
        <f t="shared" si="32"/>
        <v>126.25559736792313</v>
      </c>
      <c r="BD15" s="13">
        <f t="shared" si="33"/>
        <v>154.54626053766512</v>
      </c>
      <c r="BE15" s="23">
        <f t="shared" si="33"/>
        <v>160.9845014133931</v>
      </c>
      <c r="BF15" s="46">
        <f t="shared" si="34"/>
        <v>0.22307692307692306</v>
      </c>
      <c r="BG15" s="41">
        <f t="shared" si="35"/>
        <v>0.1603053435114504</v>
      </c>
      <c r="BH15" s="41">
        <f t="shared" si="36"/>
        <v>0.14516129032258066</v>
      </c>
      <c r="BI15" s="41">
        <f t="shared" si="37"/>
        <v>0.15873015873015872</v>
      </c>
      <c r="BJ15" s="41">
        <f t="shared" si="38"/>
        <v>0.15</v>
      </c>
      <c r="BK15" s="41">
        <f t="shared" si="39"/>
        <v>0.14598540145985403</v>
      </c>
      <c r="BL15" s="24">
        <f t="shared" si="40"/>
        <v>0.13986013986013984</v>
      </c>
      <c r="BM15" s="42">
        <f t="shared" si="41"/>
        <v>10.1</v>
      </c>
      <c r="BN15" s="17">
        <f t="shared" si="42"/>
        <v>10.199999999999999</v>
      </c>
      <c r="BO15" s="17">
        <f t="shared" si="43"/>
        <v>9.6999999999999993</v>
      </c>
      <c r="BP15" s="17">
        <f t="shared" si="44"/>
        <v>10.299999999999999</v>
      </c>
      <c r="BQ15" s="17">
        <f t="shared" si="45"/>
        <v>10</v>
      </c>
      <c r="BR15" s="17">
        <f t="shared" si="46"/>
        <v>11.696999999999999</v>
      </c>
      <c r="BS15" s="18">
        <f t="shared" si="47"/>
        <v>12.3</v>
      </c>
      <c r="BT15" s="42">
        <v>0</v>
      </c>
      <c r="BU15" s="17">
        <v>0.8</v>
      </c>
      <c r="BV15" s="17">
        <v>0.9</v>
      </c>
      <c r="BW15" s="17">
        <v>0.3</v>
      </c>
      <c r="BX15" s="17">
        <v>0.2</v>
      </c>
      <c r="BY15" s="17">
        <v>3.0000000000000001E-3</v>
      </c>
      <c r="BZ15" s="18">
        <v>0</v>
      </c>
    </row>
    <row r="16" spans="1:78" ht="15.6" customHeight="1" x14ac:dyDescent="0.25">
      <c r="A16" s="3" t="s">
        <v>69</v>
      </c>
      <c r="B16" s="12">
        <v>93397</v>
      </c>
      <c r="C16" s="13">
        <v>92507</v>
      </c>
      <c r="D16" s="13">
        <v>92184</v>
      </c>
      <c r="E16" s="13">
        <v>92763</v>
      </c>
      <c r="F16" s="13">
        <v>94716</v>
      </c>
      <c r="G16" s="13">
        <v>92534</v>
      </c>
      <c r="H16" s="13">
        <v>91157</v>
      </c>
      <c r="I16" s="12">
        <f t="shared" si="22"/>
        <v>100</v>
      </c>
      <c r="J16" s="13">
        <f t="shared" si="23"/>
        <v>99.047078599955029</v>
      </c>
      <c r="K16" s="13">
        <f t="shared" si="24"/>
        <v>98.701243080612869</v>
      </c>
      <c r="L16" s="13">
        <f t="shared" si="25"/>
        <v>99.321177339743244</v>
      </c>
      <c r="M16" s="13">
        <f t="shared" si="26"/>
        <v>101.41225092883069</v>
      </c>
      <c r="N16" s="13">
        <f t="shared" si="27"/>
        <v>99.075987451417063</v>
      </c>
      <c r="O16" s="23">
        <f t="shared" si="27"/>
        <v>97.601636026853114</v>
      </c>
      <c r="P16" s="12">
        <v>2206524</v>
      </c>
      <c r="Q16" s="13">
        <v>1423231</v>
      </c>
      <c r="R16" s="13">
        <v>1362406</v>
      </c>
      <c r="S16" s="13">
        <v>1728191</v>
      </c>
      <c r="T16" s="13">
        <v>1742903</v>
      </c>
      <c r="U16" s="13">
        <v>1671641</v>
      </c>
      <c r="V16" s="13">
        <v>1671641</v>
      </c>
      <c r="W16" s="12">
        <f t="shared" si="6"/>
        <v>100</v>
      </c>
      <c r="X16" s="13">
        <f t="shared" si="7"/>
        <v>64.501043269866997</v>
      </c>
      <c r="Y16" s="13">
        <f t="shared" si="8"/>
        <v>61.744445109139988</v>
      </c>
      <c r="Z16" s="13">
        <f t="shared" si="9"/>
        <v>78.321876399259651</v>
      </c>
      <c r="AA16" s="13">
        <f t="shared" si="10"/>
        <v>78.988626455003427</v>
      </c>
      <c r="AB16" s="13">
        <f t="shared" si="11"/>
        <v>75.759021882381518</v>
      </c>
      <c r="AC16" s="23">
        <f t="shared" si="11"/>
        <v>75.759021882381518</v>
      </c>
      <c r="AD16" s="42">
        <v>30.4</v>
      </c>
      <c r="AE16" s="17">
        <v>23.8</v>
      </c>
      <c r="AF16" s="17">
        <v>21</v>
      </c>
      <c r="AG16" s="17">
        <f>28.1</f>
        <v>28.1</v>
      </c>
      <c r="AH16" s="17">
        <v>28.4</v>
      </c>
      <c r="AI16" s="17">
        <v>29.9</v>
      </c>
      <c r="AJ16" s="17">
        <v>29.7</v>
      </c>
      <c r="AK16" s="42">
        <v>69.3</v>
      </c>
      <c r="AL16" s="17">
        <v>64.400000000000006</v>
      </c>
      <c r="AM16" s="17">
        <v>63.2</v>
      </c>
      <c r="AN16" s="17">
        <v>71.099999999999994</v>
      </c>
      <c r="AO16" s="17">
        <v>75.900000000000006</v>
      </c>
      <c r="AP16" s="17">
        <v>74.599999999999994</v>
      </c>
      <c r="AQ16" s="17">
        <v>76</v>
      </c>
      <c r="AR16" s="42">
        <f t="shared" si="12"/>
        <v>741.99385419231885</v>
      </c>
      <c r="AS16" s="17">
        <f t="shared" si="13"/>
        <v>696.16353357043261</v>
      </c>
      <c r="AT16" s="17">
        <f t="shared" si="14"/>
        <v>685.58535103705628</v>
      </c>
      <c r="AU16" s="17">
        <f t="shared" si="15"/>
        <v>766.46938973513147</v>
      </c>
      <c r="AV16" s="17">
        <f t="shared" si="16"/>
        <v>801.34296211833271</v>
      </c>
      <c r="AW16" s="17">
        <f t="shared" si="17"/>
        <v>806.19015713143278</v>
      </c>
      <c r="AX16" s="17">
        <f t="shared" si="18"/>
        <v>833.72642803076008</v>
      </c>
      <c r="AY16" s="12">
        <f t="shared" si="28"/>
        <v>100</v>
      </c>
      <c r="AZ16" s="13">
        <f t="shared" si="29"/>
        <v>93.823355764614263</v>
      </c>
      <c r="BA16" s="13">
        <f t="shared" si="30"/>
        <v>92.397712887168751</v>
      </c>
      <c r="BB16" s="13">
        <f t="shared" si="31"/>
        <v>103.29861701744886</v>
      </c>
      <c r="BC16" s="13">
        <f t="shared" si="32"/>
        <v>107.99859831596814</v>
      </c>
      <c r="BD16" s="13">
        <f t="shared" si="33"/>
        <v>108.65186451025168</v>
      </c>
      <c r="BE16" s="23">
        <f t="shared" si="33"/>
        <v>112.36298297083536</v>
      </c>
      <c r="BF16" s="46">
        <f t="shared" si="34"/>
        <v>0.43867243867243866</v>
      </c>
      <c r="BG16" s="41">
        <f t="shared" si="35"/>
        <v>0.36956521739130432</v>
      </c>
      <c r="BH16" s="41">
        <f t="shared" si="36"/>
        <v>0.33227848101265822</v>
      </c>
      <c r="BI16" s="41">
        <f t="shared" si="37"/>
        <v>0.39521800281293956</v>
      </c>
      <c r="BJ16" s="41">
        <f t="shared" si="38"/>
        <v>0.3741765480895915</v>
      </c>
      <c r="BK16" s="41">
        <f t="shared" si="39"/>
        <v>0.40080428954423591</v>
      </c>
      <c r="BL16" s="24">
        <f t="shared" si="40"/>
        <v>0.39078947368421052</v>
      </c>
      <c r="BM16" s="42">
        <f t="shared" si="41"/>
        <v>38.9</v>
      </c>
      <c r="BN16" s="17">
        <f t="shared" si="42"/>
        <v>31.600000000000009</v>
      </c>
      <c r="BO16" s="17">
        <f t="shared" si="43"/>
        <v>30.700000000000003</v>
      </c>
      <c r="BP16" s="17">
        <f t="shared" si="44"/>
        <v>39.399999999999991</v>
      </c>
      <c r="BQ16" s="17">
        <f t="shared" si="45"/>
        <v>46.400000000000006</v>
      </c>
      <c r="BR16" s="17">
        <f t="shared" si="46"/>
        <v>44.681999999999995</v>
      </c>
      <c r="BS16" s="18">
        <f t="shared" si="47"/>
        <v>46.3</v>
      </c>
      <c r="BT16" s="42">
        <v>0</v>
      </c>
      <c r="BU16" s="17">
        <v>9</v>
      </c>
      <c r="BV16" s="17">
        <v>11.5</v>
      </c>
      <c r="BW16" s="17">
        <v>3.6</v>
      </c>
      <c r="BX16" s="17">
        <v>1.1000000000000001</v>
      </c>
      <c r="BY16" s="17">
        <v>1.7999999999999999E-2</v>
      </c>
      <c r="BZ16" s="18">
        <v>0</v>
      </c>
    </row>
    <row r="17" spans="1:78" x14ac:dyDescent="0.25">
      <c r="A17" s="3" t="s">
        <v>70</v>
      </c>
      <c r="B17" s="12">
        <v>42479</v>
      </c>
      <c r="C17" s="13">
        <v>44198</v>
      </c>
      <c r="D17" s="13">
        <v>40370</v>
      </c>
      <c r="E17" s="13">
        <v>40460</v>
      </c>
      <c r="F17" s="13">
        <v>40096</v>
      </c>
      <c r="G17" s="13">
        <v>40407</v>
      </c>
      <c r="H17" s="13">
        <v>40481</v>
      </c>
      <c r="I17" s="12">
        <f t="shared" si="22"/>
        <v>100</v>
      </c>
      <c r="J17" s="13">
        <f t="shared" si="23"/>
        <v>104.04670543091881</v>
      </c>
      <c r="K17" s="13">
        <f t="shared" si="24"/>
        <v>95.035193860495767</v>
      </c>
      <c r="L17" s="13">
        <f t="shared" si="25"/>
        <v>95.24706325478472</v>
      </c>
      <c r="M17" s="13">
        <f t="shared" si="26"/>
        <v>94.390169260104997</v>
      </c>
      <c r="N17" s="13">
        <f t="shared" si="27"/>
        <v>95.122295722592341</v>
      </c>
      <c r="O17" s="23">
        <f t="shared" si="27"/>
        <v>95.296499446785461</v>
      </c>
      <c r="P17" s="12">
        <v>918994</v>
      </c>
      <c r="Q17" s="13">
        <v>609865</v>
      </c>
      <c r="R17" s="13">
        <v>518567</v>
      </c>
      <c r="S17" s="13">
        <v>718949</v>
      </c>
      <c r="T17" s="13">
        <v>732013</v>
      </c>
      <c r="U17" s="13">
        <v>757003</v>
      </c>
      <c r="V17" s="13">
        <v>757003</v>
      </c>
      <c r="W17" s="12">
        <f t="shared" si="6"/>
        <v>100</v>
      </c>
      <c r="X17" s="13">
        <f t="shared" si="7"/>
        <v>66.362239579366133</v>
      </c>
      <c r="Y17" s="13">
        <f t="shared" si="8"/>
        <v>56.427680703029615</v>
      </c>
      <c r="Z17" s="13">
        <f t="shared" si="9"/>
        <v>78.232175618121559</v>
      </c>
      <c r="AA17" s="13">
        <f t="shared" si="10"/>
        <v>79.653730056997105</v>
      </c>
      <c r="AB17" s="13">
        <f t="shared" si="11"/>
        <v>82.373007876003541</v>
      </c>
      <c r="AC17" s="23">
        <f t="shared" si="11"/>
        <v>82.373007876003541</v>
      </c>
      <c r="AD17" s="42">
        <v>13.2</v>
      </c>
      <c r="AE17" s="17">
        <v>11</v>
      </c>
      <c r="AF17" s="17">
        <v>10.3</v>
      </c>
      <c r="AG17" s="17">
        <f>12.3</f>
        <v>12.3</v>
      </c>
      <c r="AH17" s="17">
        <v>12.4</v>
      </c>
      <c r="AI17" s="17">
        <v>13.1</v>
      </c>
      <c r="AJ17" s="17">
        <v>13.4</v>
      </c>
      <c r="AK17" s="42">
        <v>35.4</v>
      </c>
      <c r="AL17" s="17">
        <v>36.200000000000003</v>
      </c>
      <c r="AM17" s="17">
        <v>35.200000000000003</v>
      </c>
      <c r="AN17" s="17">
        <v>39</v>
      </c>
      <c r="AO17" s="17">
        <v>39.299999999999997</v>
      </c>
      <c r="AP17" s="17">
        <v>36.4</v>
      </c>
      <c r="AQ17" s="17">
        <v>34.799999999999997</v>
      </c>
      <c r="AR17" s="42">
        <f t="shared" si="12"/>
        <v>833.35295086984161</v>
      </c>
      <c r="AS17" s="17">
        <f t="shared" si="13"/>
        <v>819.04158559210828</v>
      </c>
      <c r="AT17" s="17">
        <f t="shared" si="14"/>
        <v>871.93460490463212</v>
      </c>
      <c r="AU17" s="17">
        <f t="shared" si="15"/>
        <v>963.9149777558082</v>
      </c>
      <c r="AV17" s="17">
        <f t="shared" si="16"/>
        <v>980.1476456504389</v>
      </c>
      <c r="AW17" s="17">
        <f t="shared" si="17"/>
        <v>900.83401390848121</v>
      </c>
      <c r="AX17" s="17">
        <f t="shared" si="18"/>
        <v>859.66255774313879</v>
      </c>
      <c r="AY17" s="12">
        <f t="shared" si="28"/>
        <v>100</v>
      </c>
      <c r="AZ17" s="13">
        <f t="shared" si="29"/>
        <v>98.282676594257538</v>
      </c>
      <c r="BA17" s="13">
        <f t="shared" si="30"/>
        <v>104.62968949645159</v>
      </c>
      <c r="BB17" s="13">
        <f t="shared" si="31"/>
        <v>115.66707440703101</v>
      </c>
      <c r="BC17" s="13">
        <f t="shared" si="32"/>
        <v>117.61494869939264</v>
      </c>
      <c r="BD17" s="13">
        <f t="shared" si="33"/>
        <v>108.09753694016489</v>
      </c>
      <c r="BE17" s="23">
        <f t="shared" si="33"/>
        <v>103.1570785038723</v>
      </c>
      <c r="BF17" s="46">
        <f t="shared" si="34"/>
        <v>0.3728813559322034</v>
      </c>
      <c r="BG17" s="41">
        <f t="shared" si="35"/>
        <v>0.30386740331491713</v>
      </c>
      <c r="BH17" s="41">
        <f t="shared" si="36"/>
        <v>0.29261363636363635</v>
      </c>
      <c r="BI17" s="41">
        <f t="shared" si="37"/>
        <v>0.31538461538461543</v>
      </c>
      <c r="BJ17" s="41">
        <f t="shared" si="38"/>
        <v>0.31552162849872778</v>
      </c>
      <c r="BK17" s="41">
        <f t="shared" si="39"/>
        <v>0.35989010989010989</v>
      </c>
      <c r="BL17" s="24">
        <f t="shared" si="40"/>
        <v>0.38505747126436785</v>
      </c>
      <c r="BM17" s="42">
        <f t="shared" si="41"/>
        <v>22.2</v>
      </c>
      <c r="BN17" s="17">
        <f t="shared" si="42"/>
        <v>22.700000000000003</v>
      </c>
      <c r="BO17" s="17">
        <f t="shared" si="43"/>
        <v>22.6</v>
      </c>
      <c r="BP17" s="17">
        <f t="shared" si="44"/>
        <v>26.2</v>
      </c>
      <c r="BQ17" s="17">
        <f t="shared" si="45"/>
        <v>26.4</v>
      </c>
      <c r="BR17" s="17">
        <f t="shared" si="46"/>
        <v>23.290999999999997</v>
      </c>
      <c r="BS17" s="18">
        <f t="shared" si="47"/>
        <v>21.4</v>
      </c>
      <c r="BT17" s="42">
        <v>0</v>
      </c>
      <c r="BU17" s="17">
        <v>2.5</v>
      </c>
      <c r="BV17" s="17">
        <v>2.2999999999999998</v>
      </c>
      <c r="BW17" s="17">
        <v>0.5</v>
      </c>
      <c r="BX17" s="17">
        <v>0.5</v>
      </c>
      <c r="BY17" s="17">
        <v>8.9999999999999993E-3</v>
      </c>
      <c r="BZ17" s="18">
        <v>0</v>
      </c>
    </row>
    <row r="18" spans="1:78" ht="16.5" thickBot="1" x14ac:dyDescent="0.3">
      <c r="A18" s="25" t="s">
        <v>27</v>
      </c>
      <c r="B18" s="26">
        <f t="shared" ref="B18:AJ18" si="48">SUM(B6:B17)</f>
        <v>841838</v>
      </c>
      <c r="C18" s="26">
        <f t="shared" si="48"/>
        <v>833700</v>
      </c>
      <c r="D18" s="26">
        <f t="shared" si="48"/>
        <v>804414</v>
      </c>
      <c r="E18" s="26">
        <f t="shared" si="48"/>
        <v>796019</v>
      </c>
      <c r="F18" s="26">
        <f t="shared" si="48"/>
        <v>785940</v>
      </c>
      <c r="G18" s="26">
        <f t="shared" si="48"/>
        <v>775212</v>
      </c>
      <c r="H18" s="27">
        <f t="shared" si="48"/>
        <v>771849</v>
      </c>
      <c r="I18" s="26">
        <f t="shared" si="22"/>
        <v>100</v>
      </c>
      <c r="J18" s="26">
        <f t="shared" si="23"/>
        <v>99.033305695395086</v>
      </c>
      <c r="K18" s="26">
        <f t="shared" si="24"/>
        <v>95.554489105980011</v>
      </c>
      <c r="L18" s="26">
        <f>+E18/$B18*100</f>
        <v>94.557266362411781</v>
      </c>
      <c r="M18" s="26">
        <f t="shared" si="26"/>
        <v>93.360005131628654</v>
      </c>
      <c r="N18" s="26">
        <f t="shared" si="27"/>
        <v>92.085650683385651</v>
      </c>
      <c r="O18" s="27">
        <f t="shared" si="27"/>
        <v>91.686167647457111</v>
      </c>
      <c r="P18" s="26">
        <f t="shared" si="48"/>
        <v>14404797</v>
      </c>
      <c r="Q18" s="26">
        <f t="shared" si="48"/>
        <v>9561853</v>
      </c>
      <c r="R18" s="26">
        <f t="shared" si="48"/>
        <v>8708996</v>
      </c>
      <c r="S18" s="26">
        <f t="shared" si="48"/>
        <v>11775042</v>
      </c>
      <c r="T18" s="26">
        <f t="shared" si="48"/>
        <v>12020373</v>
      </c>
      <c r="U18" s="26">
        <f t="shared" si="48"/>
        <v>11621031</v>
      </c>
      <c r="V18" s="26">
        <f t="shared" si="48"/>
        <v>11621031</v>
      </c>
      <c r="W18" s="26">
        <f>IFERROR(+P18/$P18*100,"")</f>
        <v>100</v>
      </c>
      <c r="X18" s="26">
        <f>IFERROR(+Q18/$P18*100,"")</f>
        <v>66.379644225461846</v>
      </c>
      <c r="Y18" s="26">
        <f>IFERROR(+R18/$P18*100,"")</f>
        <v>60.458998485018569</v>
      </c>
      <c r="Z18" s="26">
        <f>IFERROR(+S18/$P18*100,"")</f>
        <v>81.743894065289496</v>
      </c>
      <c r="AA18" s="26">
        <f t="shared" si="10"/>
        <v>83.447014213390176</v>
      </c>
      <c r="AB18" s="26">
        <f t="shared" si="11"/>
        <v>80.674729397436153</v>
      </c>
      <c r="AC18" s="26">
        <f t="shared" si="11"/>
        <v>80.674729397436153</v>
      </c>
      <c r="AD18" s="28">
        <f t="shared" si="48"/>
        <v>243.6</v>
      </c>
      <c r="AE18" s="28">
        <f t="shared" si="48"/>
        <v>185.70000000000002</v>
      </c>
      <c r="AF18" s="28">
        <f t="shared" si="48"/>
        <v>159.30000000000001</v>
      </c>
      <c r="AG18" s="28">
        <f t="shared" si="48"/>
        <v>226.4</v>
      </c>
      <c r="AH18" s="28">
        <f t="shared" si="48"/>
        <v>236.9</v>
      </c>
      <c r="AI18" s="28">
        <f t="shared" si="48"/>
        <v>244.7</v>
      </c>
      <c r="AJ18" s="28">
        <f t="shared" si="48"/>
        <v>243.10000000000002</v>
      </c>
      <c r="AK18" s="28">
        <f t="shared" ref="AK18:AQ18" si="49">SUM(AK6:AK17)</f>
        <v>605.1</v>
      </c>
      <c r="AL18" s="28">
        <f t="shared" si="49"/>
        <v>588.6</v>
      </c>
      <c r="AM18" s="28">
        <f t="shared" si="49"/>
        <v>589.00000000000011</v>
      </c>
      <c r="AN18" s="28">
        <f t="shared" si="49"/>
        <v>641.80000000000007</v>
      </c>
      <c r="AO18" s="28">
        <f t="shared" si="49"/>
        <v>640.0859999999999</v>
      </c>
      <c r="AP18" s="28">
        <f t="shared" si="49"/>
        <v>647.43399999999997</v>
      </c>
      <c r="AQ18" s="28">
        <f t="shared" si="49"/>
        <v>667.62900000000002</v>
      </c>
      <c r="AR18" s="28">
        <f t="shared" si="12"/>
        <v>718.78437419075874</v>
      </c>
      <c r="AS18" s="28">
        <f t="shared" si="13"/>
        <v>706.00935588341133</v>
      </c>
      <c r="AT18" s="28">
        <f t="shared" si="14"/>
        <v>732.21003115311282</v>
      </c>
      <c r="AU18" s="28">
        <f t="shared" si="15"/>
        <v>806.26216208407095</v>
      </c>
      <c r="AV18" s="28">
        <f t="shared" si="16"/>
        <v>814.42094816398185</v>
      </c>
      <c r="AW18" s="28">
        <f t="shared" si="17"/>
        <v>835.17025020252527</v>
      </c>
      <c r="AX18" s="28">
        <f t="shared" si="18"/>
        <v>864.97358939378034</v>
      </c>
      <c r="AY18" s="187">
        <f t="shared" si="28"/>
        <v>100</v>
      </c>
      <c r="AZ18" s="26">
        <f t="shared" si="29"/>
        <v>98.22269114826959</v>
      </c>
      <c r="BA18" s="26">
        <f t="shared" si="30"/>
        <v>101.8678281616054</v>
      </c>
      <c r="BB18" s="26">
        <f t="shared" si="31"/>
        <v>112.17024062213356</v>
      </c>
      <c r="BC18" s="26">
        <f t="shared" si="32"/>
        <v>113.30532179151713</v>
      </c>
      <c r="BD18" s="26">
        <f t="shared" si="33"/>
        <v>116.19204314823889</v>
      </c>
      <c r="BE18" s="27">
        <f t="shared" si="33"/>
        <v>120.33839638870951</v>
      </c>
      <c r="BF18" s="47">
        <f t="shared" si="34"/>
        <v>0.40257808626673275</v>
      </c>
      <c r="BG18" s="30">
        <f t="shared" si="35"/>
        <v>0.31549439347604485</v>
      </c>
      <c r="BH18" s="30">
        <f t="shared" si="36"/>
        <v>0.27045840407470284</v>
      </c>
      <c r="BI18" s="30">
        <f t="shared" si="37"/>
        <v>0.35275786849485818</v>
      </c>
      <c r="BJ18" s="30">
        <f t="shared" si="38"/>
        <v>0.3701065169367867</v>
      </c>
      <c r="BK18" s="30">
        <f t="shared" si="39"/>
        <v>0.3779535829134707</v>
      </c>
      <c r="BL18" s="31">
        <f t="shared" si="40"/>
        <v>0.36412438644816209</v>
      </c>
      <c r="BM18" s="28">
        <f t="shared" ref="BM18:BZ18" si="50">SUM(BM6:BM17)</f>
        <v>361.50000000000006</v>
      </c>
      <c r="BN18" s="28">
        <f t="shared" si="50"/>
        <v>329.6</v>
      </c>
      <c r="BO18" s="28">
        <f t="shared" si="50"/>
        <v>341.59999999999991</v>
      </c>
      <c r="BP18" s="28">
        <f t="shared" si="50"/>
        <v>389.19999999999993</v>
      </c>
      <c r="BQ18" s="28">
        <f t="shared" si="50"/>
        <v>393.98599999999999</v>
      </c>
      <c r="BR18" s="28">
        <f t="shared" si="50"/>
        <v>402.58199999999999</v>
      </c>
      <c r="BS18" s="29">
        <f t="shared" si="50"/>
        <v>424.52899999999994</v>
      </c>
      <c r="BT18" s="28">
        <f t="shared" si="50"/>
        <v>0</v>
      </c>
      <c r="BU18" s="28">
        <f t="shared" si="50"/>
        <v>73.300000000000011</v>
      </c>
      <c r="BV18" s="28">
        <f t="shared" si="50"/>
        <v>88.1</v>
      </c>
      <c r="BW18" s="28">
        <f t="shared" si="50"/>
        <v>26.200000000000003</v>
      </c>
      <c r="BX18" s="28">
        <f t="shared" si="50"/>
        <v>9.2000000000000011</v>
      </c>
      <c r="BY18" s="28">
        <f t="shared" si="50"/>
        <v>0.15200000000000002</v>
      </c>
      <c r="BZ18" s="29">
        <f t="shared" si="50"/>
        <v>0</v>
      </c>
    </row>
    <row r="19" spans="1:78" ht="16.5" thickTop="1" x14ac:dyDescent="0.25">
      <c r="T19" s="1" t="s">
        <v>71</v>
      </c>
      <c r="U19" s="1" t="s">
        <v>71</v>
      </c>
      <c r="AA19" s="1" t="s">
        <v>72</v>
      </c>
    </row>
    <row r="20" spans="1:78" ht="78.75" x14ac:dyDescent="0.25">
      <c r="AB20" s="32" t="s">
        <v>73</v>
      </c>
      <c r="AC20" s="32"/>
      <c r="AR20" s="33">
        <f t="shared" ref="AR20:AW20" si="51">+AR18/$AR$18*100</f>
        <v>100</v>
      </c>
      <c r="AS20" s="33">
        <f t="shared" si="51"/>
        <v>98.22269114826959</v>
      </c>
      <c r="AT20" s="33">
        <f t="shared" si="51"/>
        <v>101.8678281616054</v>
      </c>
      <c r="AU20" s="33">
        <f t="shared" si="51"/>
        <v>112.17024062213356</v>
      </c>
      <c r="AV20" s="33">
        <f t="shared" si="51"/>
        <v>113.30532179151713</v>
      </c>
      <c r="AW20" s="33">
        <f t="shared" si="51"/>
        <v>116.19204314823889</v>
      </c>
      <c r="AX20" s="33"/>
      <c r="AY20" s="33"/>
      <c r="AZ20" s="33"/>
      <c r="BA20" s="33"/>
      <c r="BB20" s="33"/>
      <c r="BC20" s="33"/>
      <c r="BD20" s="33"/>
      <c r="BE20" s="33"/>
    </row>
    <row r="21" spans="1:78" ht="31.5" x14ac:dyDescent="0.25">
      <c r="A21" s="6" t="s">
        <v>74</v>
      </c>
    </row>
    <row r="22" spans="1:78" ht="47.25" x14ac:dyDescent="0.25">
      <c r="A22" s="34" t="s">
        <v>75</v>
      </c>
    </row>
    <row r="24" spans="1:78" x14ac:dyDescent="0.25">
      <c r="A24" s="1" t="s">
        <v>160</v>
      </c>
    </row>
  </sheetData>
  <mergeCells count="11">
    <mergeCell ref="B4:H4"/>
    <mergeCell ref="I4:O4"/>
    <mergeCell ref="P4:V4"/>
    <mergeCell ref="W4:AC4"/>
    <mergeCell ref="AD4:AJ4"/>
    <mergeCell ref="BM4:BS4"/>
    <mergeCell ref="BT4:BZ4"/>
    <mergeCell ref="AK4:AQ4"/>
    <mergeCell ref="AR4:AX4"/>
    <mergeCell ref="AY4:BE4"/>
    <mergeCell ref="BF4:BL4"/>
  </mergeCells>
  <phoneticPr fontId="20" type="noConversion"/>
  <pageMargins left="0.7" right="0.7" top="0.75" bottom="0.75" header="0.3" footer="0.3"/>
  <pageSetup paperSize="8"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F00D1-F071-4992-A943-D2F18DA6683C}">
  <dimension ref="A1:M43"/>
  <sheetViews>
    <sheetView topLeftCell="A20" workbookViewId="0">
      <selection activeCell="D39" sqref="D39"/>
    </sheetView>
  </sheetViews>
  <sheetFormatPr defaultRowHeight="14.25" x14ac:dyDescent="0.2"/>
  <cols>
    <col min="13" max="13" width="14.625" customWidth="1"/>
  </cols>
  <sheetData>
    <row r="1" spans="1:11" x14ac:dyDescent="0.2">
      <c r="A1" s="122" t="s">
        <v>230</v>
      </c>
      <c r="B1" s="121" t="s">
        <v>181</v>
      </c>
      <c r="C1" s="122" t="s">
        <v>181</v>
      </c>
      <c r="D1" s="122"/>
      <c r="E1" s="122"/>
      <c r="F1" s="122" t="s">
        <v>182</v>
      </c>
      <c r="G1" s="122"/>
      <c r="H1" s="122"/>
      <c r="I1" s="122"/>
      <c r="J1" s="122"/>
      <c r="K1" s="122"/>
    </row>
    <row r="2" spans="1:11" x14ac:dyDescent="0.2">
      <c r="B2" s="122"/>
      <c r="C2" s="122"/>
      <c r="D2" s="121" t="s">
        <v>183</v>
      </c>
      <c r="E2" s="122"/>
      <c r="F2" s="122"/>
      <c r="G2" s="122"/>
      <c r="H2" s="122"/>
      <c r="I2" s="121" t="s">
        <v>183</v>
      </c>
      <c r="K2" s="122"/>
    </row>
    <row r="3" spans="1:11" x14ac:dyDescent="0.2">
      <c r="B3" s="122" t="s">
        <v>184</v>
      </c>
      <c r="C3" s="122" t="s">
        <v>185</v>
      </c>
      <c r="D3" s="122" t="s">
        <v>186</v>
      </c>
      <c r="E3" s="122" t="s">
        <v>187</v>
      </c>
      <c r="F3" s="122"/>
      <c r="G3" s="122" t="s">
        <v>188</v>
      </c>
      <c r="H3" s="122" t="s">
        <v>189</v>
      </c>
      <c r="I3" s="122" t="s">
        <v>190</v>
      </c>
      <c r="J3" s="122" t="s">
        <v>191</v>
      </c>
      <c r="K3" s="122" t="s">
        <v>192</v>
      </c>
    </row>
    <row r="4" spans="1:11" x14ac:dyDescent="0.2">
      <c r="A4" t="s">
        <v>193</v>
      </c>
      <c r="B4" s="123">
        <v>3.1</v>
      </c>
      <c r="C4" s="124"/>
      <c r="D4" s="124"/>
      <c r="E4" s="124"/>
      <c r="F4" t="s">
        <v>193</v>
      </c>
      <c r="G4" s="123">
        <v>2.9</v>
      </c>
      <c r="H4" s="124"/>
      <c r="I4" s="124"/>
      <c r="J4" s="124"/>
      <c r="K4" s="124"/>
    </row>
    <row r="5" spans="1:11" x14ac:dyDescent="0.2">
      <c r="A5" t="s">
        <v>194</v>
      </c>
      <c r="B5" s="123">
        <v>2.7</v>
      </c>
      <c r="C5" s="124"/>
      <c r="D5" s="124"/>
      <c r="E5" s="124"/>
      <c r="F5" t="s">
        <v>194</v>
      </c>
      <c r="G5" s="123">
        <v>2.6</v>
      </c>
      <c r="H5" s="124"/>
      <c r="I5" s="124"/>
      <c r="J5" s="124"/>
      <c r="K5" s="124"/>
    </row>
    <row r="6" spans="1:11" x14ac:dyDescent="0.2">
      <c r="A6" t="s">
        <v>195</v>
      </c>
      <c r="B6" s="123">
        <v>2.8</v>
      </c>
      <c r="C6" s="124"/>
      <c r="D6" s="124"/>
      <c r="E6" s="124"/>
      <c r="F6" t="s">
        <v>195</v>
      </c>
      <c r="G6" s="123">
        <v>2.5</v>
      </c>
      <c r="H6" s="124"/>
      <c r="I6" s="124"/>
      <c r="J6" s="124"/>
      <c r="K6" s="124"/>
    </row>
    <row r="7" spans="1:11" x14ac:dyDescent="0.2">
      <c r="A7" t="s">
        <v>196</v>
      </c>
      <c r="B7" s="123">
        <v>2</v>
      </c>
      <c r="C7" s="124"/>
      <c r="D7" s="124"/>
      <c r="E7" s="124"/>
      <c r="F7" t="s">
        <v>196</v>
      </c>
      <c r="G7" s="123">
        <v>1.7</v>
      </c>
      <c r="H7" s="124"/>
      <c r="I7" s="124"/>
      <c r="J7" s="124"/>
      <c r="K7" s="124"/>
    </row>
    <row r="8" spans="1:11" x14ac:dyDescent="0.2">
      <c r="A8" t="s">
        <v>197</v>
      </c>
      <c r="B8" s="123">
        <v>2.2999999999999998</v>
      </c>
      <c r="C8" s="124"/>
      <c r="D8" s="124"/>
      <c r="E8" s="124"/>
      <c r="F8" t="s">
        <v>197</v>
      </c>
      <c r="G8" s="123">
        <v>1.8</v>
      </c>
      <c r="H8" s="124"/>
      <c r="I8" s="124"/>
      <c r="J8" s="124"/>
      <c r="K8" s="124"/>
    </row>
    <row r="9" spans="1:11" x14ac:dyDescent="0.2">
      <c r="A9" t="s">
        <v>198</v>
      </c>
      <c r="B9" s="123">
        <v>2</v>
      </c>
      <c r="C9" s="124"/>
      <c r="D9" s="124"/>
      <c r="E9" s="124"/>
      <c r="F9" t="s">
        <v>198</v>
      </c>
      <c r="G9" s="123">
        <v>1.4</v>
      </c>
      <c r="H9" s="124"/>
      <c r="I9" s="124"/>
      <c r="J9" s="124"/>
      <c r="K9" s="124"/>
    </row>
    <row r="10" spans="1:11" x14ac:dyDescent="0.2">
      <c r="A10" t="s">
        <v>199</v>
      </c>
      <c r="B10" s="123">
        <v>2.9</v>
      </c>
      <c r="C10" s="124"/>
      <c r="D10" s="124"/>
      <c r="E10" s="124"/>
      <c r="F10" t="s">
        <v>199</v>
      </c>
      <c r="G10" s="123">
        <v>2.2000000000000002</v>
      </c>
      <c r="H10" s="124"/>
      <c r="I10" s="124"/>
      <c r="J10" s="124"/>
      <c r="K10" s="124"/>
    </row>
    <row r="11" spans="1:11" x14ac:dyDescent="0.2">
      <c r="A11" t="s">
        <v>200</v>
      </c>
      <c r="B11" s="123">
        <v>2.7</v>
      </c>
      <c r="C11" s="124"/>
      <c r="D11" s="124"/>
      <c r="E11" s="124"/>
      <c r="F11" t="s">
        <v>200</v>
      </c>
      <c r="G11" s="123">
        <v>2.2000000000000002</v>
      </c>
      <c r="H11" s="124"/>
      <c r="I11" s="124"/>
      <c r="J11" s="124"/>
      <c r="K11" s="124"/>
    </row>
    <row r="12" spans="1:11" x14ac:dyDescent="0.2">
      <c r="A12" t="s">
        <v>201</v>
      </c>
      <c r="B12" s="123">
        <v>3.1</v>
      </c>
      <c r="C12" s="123">
        <v>3.2</v>
      </c>
      <c r="D12" s="124"/>
      <c r="E12" s="124"/>
      <c r="F12" t="s">
        <v>201</v>
      </c>
      <c r="G12" s="123">
        <v>2.5</v>
      </c>
      <c r="H12" s="123">
        <v>3</v>
      </c>
      <c r="I12" s="124"/>
      <c r="J12" s="124"/>
      <c r="K12" s="124"/>
    </row>
    <row r="13" spans="1:11" x14ac:dyDescent="0.2">
      <c r="A13" t="s">
        <v>202</v>
      </c>
      <c r="B13" s="123">
        <v>2.9</v>
      </c>
      <c r="C13" s="123">
        <v>3</v>
      </c>
      <c r="D13" s="124"/>
      <c r="E13" s="124"/>
      <c r="F13" t="s">
        <v>202</v>
      </c>
      <c r="G13" s="123">
        <v>2.2999999999999998</v>
      </c>
      <c r="H13" s="123">
        <v>2.9</v>
      </c>
      <c r="I13" s="124"/>
      <c r="J13" s="124"/>
      <c r="K13" s="124"/>
    </row>
    <row r="14" spans="1:11" x14ac:dyDescent="0.2">
      <c r="A14" t="s">
        <v>203</v>
      </c>
      <c r="B14" s="123">
        <v>3.2</v>
      </c>
      <c r="C14" s="123">
        <v>3.2</v>
      </c>
      <c r="D14" s="124"/>
      <c r="E14" s="124"/>
      <c r="F14" t="s">
        <v>203</v>
      </c>
      <c r="G14" s="123">
        <v>2.8</v>
      </c>
      <c r="H14" s="123">
        <v>3</v>
      </c>
      <c r="I14" s="124"/>
      <c r="J14" s="124"/>
      <c r="K14" s="124"/>
    </row>
    <row r="15" spans="1:11" x14ac:dyDescent="0.2">
      <c r="A15" t="s">
        <v>204</v>
      </c>
      <c r="B15" s="123">
        <v>3.5</v>
      </c>
      <c r="C15" s="125">
        <v>3.6</v>
      </c>
      <c r="D15" s="126"/>
      <c r="E15" s="126"/>
      <c r="F15" t="s">
        <v>204</v>
      </c>
      <c r="G15" s="123">
        <v>3</v>
      </c>
      <c r="H15" s="125">
        <v>3.3</v>
      </c>
      <c r="I15" s="126"/>
      <c r="J15" s="126"/>
      <c r="K15" s="126"/>
    </row>
    <row r="16" spans="1:11" x14ac:dyDescent="0.2">
      <c r="A16" t="s">
        <v>205</v>
      </c>
      <c r="B16" s="123">
        <v>2.6</v>
      </c>
      <c r="C16" s="125">
        <v>2.6</v>
      </c>
      <c r="D16" s="126"/>
      <c r="E16" s="126"/>
      <c r="F16" t="s">
        <v>205</v>
      </c>
      <c r="G16" s="123">
        <v>2.4</v>
      </c>
      <c r="H16" s="125">
        <v>2.5</v>
      </c>
      <c r="I16" s="126"/>
      <c r="J16" s="126"/>
      <c r="K16" s="126"/>
    </row>
    <row r="17" spans="1:13" x14ac:dyDescent="0.2">
      <c r="A17" t="s">
        <v>206</v>
      </c>
      <c r="B17" s="123">
        <v>3.5</v>
      </c>
      <c r="C17" s="125">
        <v>3.5</v>
      </c>
      <c r="D17" s="126"/>
      <c r="E17" s="126"/>
      <c r="F17" t="s">
        <v>206</v>
      </c>
      <c r="G17" s="123">
        <v>2.4</v>
      </c>
      <c r="H17" s="125">
        <v>3.1</v>
      </c>
      <c r="I17" s="126"/>
      <c r="J17" s="126"/>
      <c r="K17" s="126"/>
    </row>
    <row r="18" spans="1:13" x14ac:dyDescent="0.2">
      <c r="A18" t="s">
        <v>207</v>
      </c>
      <c r="B18" s="123">
        <v>3.3</v>
      </c>
      <c r="C18" s="125">
        <v>3.3</v>
      </c>
      <c r="D18" s="126"/>
      <c r="E18" s="126"/>
      <c r="F18" t="s">
        <v>207</v>
      </c>
      <c r="G18" s="123">
        <v>2.5</v>
      </c>
      <c r="H18" s="123">
        <v>3</v>
      </c>
      <c r="I18" s="124"/>
      <c r="J18" s="124"/>
      <c r="K18" s="124"/>
    </row>
    <row r="19" spans="1:13" x14ac:dyDescent="0.2">
      <c r="A19" t="s">
        <v>208</v>
      </c>
      <c r="B19" s="125">
        <v>2.6</v>
      </c>
      <c r="C19" s="125">
        <v>2.7</v>
      </c>
      <c r="D19" s="126"/>
      <c r="E19" s="126"/>
      <c r="F19" t="s">
        <v>208</v>
      </c>
      <c r="G19" s="125">
        <v>2.1</v>
      </c>
      <c r="H19" s="125">
        <v>2.4</v>
      </c>
      <c r="I19" s="126"/>
      <c r="J19" s="126"/>
      <c r="K19" s="126"/>
    </row>
    <row r="20" spans="1:13" x14ac:dyDescent="0.2">
      <c r="A20" t="s">
        <v>209</v>
      </c>
      <c r="B20" s="125">
        <v>3.6</v>
      </c>
      <c r="C20" s="123">
        <v>3.8</v>
      </c>
      <c r="D20" s="124"/>
      <c r="E20" s="124"/>
      <c r="F20" t="s">
        <v>209</v>
      </c>
      <c r="G20" s="125">
        <v>2.9</v>
      </c>
      <c r="H20" s="123">
        <v>3.3</v>
      </c>
      <c r="I20" s="124"/>
      <c r="J20" s="124"/>
      <c r="K20" s="124"/>
    </row>
    <row r="21" spans="1:13" x14ac:dyDescent="0.2">
      <c r="A21" t="s">
        <v>231</v>
      </c>
      <c r="B21" s="123">
        <v>3.2</v>
      </c>
      <c r="C21" s="123">
        <v>3.4</v>
      </c>
      <c r="D21" s="124"/>
      <c r="E21" s="124"/>
      <c r="F21" t="s">
        <v>210</v>
      </c>
      <c r="G21" s="123">
        <v>2.2000000000000002</v>
      </c>
      <c r="H21" s="125">
        <v>2.7</v>
      </c>
      <c r="I21" s="126"/>
      <c r="J21" s="126"/>
      <c r="K21" s="126"/>
    </row>
    <row r="22" spans="1:13" x14ac:dyDescent="0.2">
      <c r="A22" t="s">
        <v>211</v>
      </c>
      <c r="B22" s="125">
        <v>3.7</v>
      </c>
      <c r="C22" s="125">
        <v>3.8</v>
      </c>
      <c r="D22" s="126"/>
      <c r="E22" s="126"/>
      <c r="F22" t="s">
        <v>211</v>
      </c>
      <c r="G22" s="125">
        <v>2.4</v>
      </c>
      <c r="H22" s="125">
        <v>3.4</v>
      </c>
      <c r="I22" s="126"/>
      <c r="J22" s="126"/>
      <c r="K22" s="126"/>
    </row>
    <row r="23" spans="1:13" x14ac:dyDescent="0.2">
      <c r="A23" t="s">
        <v>212</v>
      </c>
      <c r="B23" s="123">
        <v>3.9</v>
      </c>
      <c r="C23" s="123">
        <v>4</v>
      </c>
      <c r="D23" s="126"/>
      <c r="E23" s="126"/>
      <c r="F23" t="s">
        <v>212</v>
      </c>
      <c r="G23" s="125">
        <v>2.6</v>
      </c>
      <c r="H23" s="126"/>
      <c r="I23" s="125">
        <v>3.3</v>
      </c>
      <c r="J23" s="123">
        <v>2.2999999999999998</v>
      </c>
      <c r="K23" s="124"/>
    </row>
    <row r="24" spans="1:13" x14ac:dyDescent="0.2">
      <c r="A24" s="121" t="s">
        <v>213</v>
      </c>
      <c r="B24" s="123">
        <v>2.9</v>
      </c>
      <c r="C24" s="126"/>
      <c r="D24" s="123">
        <v>2.8</v>
      </c>
      <c r="E24" s="125">
        <v>1.7</v>
      </c>
      <c r="F24" s="121" t="s">
        <v>213</v>
      </c>
      <c r="G24" s="123">
        <v>2.2000000000000002</v>
      </c>
      <c r="H24" s="127"/>
      <c r="I24" s="125">
        <v>2.5</v>
      </c>
      <c r="J24" s="125">
        <v>3.5</v>
      </c>
      <c r="K24" s="123">
        <v>1</v>
      </c>
    </row>
    <row r="25" spans="1:13" x14ac:dyDescent="0.2">
      <c r="A25" s="121" t="s">
        <v>214</v>
      </c>
      <c r="B25" s="123">
        <v>1.3</v>
      </c>
      <c r="C25" s="126"/>
      <c r="D25" s="125">
        <v>1.1000000000000001</v>
      </c>
      <c r="E25" s="125">
        <v>2.9</v>
      </c>
      <c r="F25" s="121" t="s">
        <v>214</v>
      </c>
      <c r="G25" s="125">
        <v>0.2</v>
      </c>
      <c r="H25" s="127"/>
      <c r="I25" s="125">
        <v>0.6</v>
      </c>
      <c r="J25" s="125">
        <v>2.5</v>
      </c>
      <c r="K25" s="125">
        <v>1.8</v>
      </c>
    </row>
    <row r="26" spans="1:13" x14ac:dyDescent="0.2">
      <c r="A26" s="121" t="s">
        <v>215</v>
      </c>
      <c r="B26" s="123">
        <v>2.4</v>
      </c>
      <c r="C26" s="126"/>
      <c r="D26" s="125">
        <v>2.2999999999999998</v>
      </c>
      <c r="E26" s="123">
        <v>2.2999999999999998</v>
      </c>
      <c r="F26" s="121" t="s">
        <v>215</v>
      </c>
      <c r="G26" s="125">
        <v>1.1000000000000001</v>
      </c>
      <c r="H26" s="127"/>
      <c r="I26" s="123">
        <v>1.4</v>
      </c>
      <c r="J26" s="125">
        <v>2.4</v>
      </c>
      <c r="K26" s="125">
        <v>2.5</v>
      </c>
    </row>
    <row r="27" spans="1:13" x14ac:dyDescent="0.2">
      <c r="A27" s="121" t="s">
        <v>216</v>
      </c>
      <c r="B27" s="123">
        <v>1</v>
      </c>
      <c r="C27" s="126"/>
      <c r="D27" s="125">
        <v>0.9</v>
      </c>
      <c r="E27" s="123">
        <v>1.6</v>
      </c>
      <c r="F27" s="121" t="s">
        <v>216</v>
      </c>
      <c r="G27" s="125">
        <v>0.2</v>
      </c>
      <c r="H27" s="127"/>
      <c r="I27" s="123">
        <v>0.6</v>
      </c>
      <c r="J27" s="125">
        <v>0.8</v>
      </c>
      <c r="K27" s="125">
        <v>1.1000000000000001</v>
      </c>
    </row>
    <row r="28" spans="1:13" x14ac:dyDescent="0.2">
      <c r="A28" s="121" t="s">
        <v>217</v>
      </c>
      <c r="B28" s="123">
        <v>1.4</v>
      </c>
      <c r="C28" s="126"/>
      <c r="D28" s="125">
        <v>1.3</v>
      </c>
      <c r="E28" s="123">
        <v>1.6</v>
      </c>
      <c r="F28" s="121" t="s">
        <v>217</v>
      </c>
      <c r="G28" s="125">
        <v>1.1000000000000001</v>
      </c>
      <c r="H28" s="127"/>
      <c r="I28" s="123">
        <v>1.1000000000000001</v>
      </c>
      <c r="J28" s="125">
        <v>0.9</v>
      </c>
      <c r="K28" s="125">
        <v>1.5</v>
      </c>
    </row>
    <row r="29" spans="1:13" x14ac:dyDescent="0.2">
      <c r="A29" s="121" t="s">
        <v>218</v>
      </c>
      <c r="B29" s="123">
        <v>1.4</v>
      </c>
      <c r="C29" s="126"/>
      <c r="D29" s="125">
        <v>1.3</v>
      </c>
      <c r="E29" s="123">
        <v>1.9</v>
      </c>
      <c r="F29" s="121" t="s">
        <v>218</v>
      </c>
      <c r="G29" s="123">
        <v>1</v>
      </c>
      <c r="H29" s="127"/>
      <c r="I29" s="123">
        <v>1.1000000000000001</v>
      </c>
      <c r="J29" s="123">
        <v>0.5</v>
      </c>
      <c r="K29" s="125">
        <v>1.9</v>
      </c>
    </row>
    <row r="30" spans="1:13" x14ac:dyDescent="0.2">
      <c r="A30" s="121" t="s">
        <v>219</v>
      </c>
      <c r="B30" s="123">
        <v>1.4</v>
      </c>
      <c r="C30" s="126"/>
      <c r="D30" s="125">
        <v>1.5</v>
      </c>
      <c r="E30" s="123">
        <v>1.4</v>
      </c>
      <c r="F30" s="121" t="s">
        <v>219</v>
      </c>
      <c r="G30" s="123">
        <v>0.9</v>
      </c>
      <c r="H30" s="127"/>
      <c r="I30" s="123">
        <v>1</v>
      </c>
      <c r="J30" s="125">
        <v>0.8</v>
      </c>
      <c r="K30" s="125">
        <v>1.4</v>
      </c>
    </row>
    <row r="31" spans="1:13" x14ac:dyDescent="0.2">
      <c r="A31" s="121" t="s">
        <v>220</v>
      </c>
      <c r="B31" s="123">
        <v>1.9</v>
      </c>
      <c r="C31" s="126"/>
      <c r="D31" s="123">
        <v>2</v>
      </c>
      <c r="E31" s="123">
        <v>1.1000000000000001</v>
      </c>
      <c r="F31" s="121" t="s">
        <v>220</v>
      </c>
      <c r="G31" s="125">
        <v>1.4</v>
      </c>
      <c r="H31" s="127"/>
      <c r="I31" s="123">
        <v>1.7</v>
      </c>
      <c r="J31" s="125">
        <v>2.2000000000000002</v>
      </c>
      <c r="K31" s="125">
        <v>1.2</v>
      </c>
    </row>
    <row r="32" spans="1:13" x14ac:dyDescent="0.2">
      <c r="A32" s="121" t="s">
        <v>221</v>
      </c>
      <c r="B32" s="123">
        <v>1.3</v>
      </c>
      <c r="C32" s="126"/>
      <c r="D32" s="123">
        <v>1.3</v>
      </c>
      <c r="E32" s="123">
        <v>1.6356232952734586</v>
      </c>
      <c r="F32" s="121" t="s">
        <v>221</v>
      </c>
      <c r="G32" s="125">
        <v>1.1000000000000001</v>
      </c>
      <c r="H32" s="127"/>
      <c r="I32" s="123">
        <v>1.2</v>
      </c>
      <c r="J32" s="125">
        <v>2.2000000000000002</v>
      </c>
      <c r="K32" s="125">
        <v>1.5</v>
      </c>
      <c r="M32" t="s">
        <v>237</v>
      </c>
    </row>
    <row r="33" spans="1:13" x14ac:dyDescent="0.2">
      <c r="A33" s="121" t="s">
        <v>222</v>
      </c>
      <c r="B33" s="123">
        <v>1.5</v>
      </c>
      <c r="C33" s="126"/>
      <c r="D33" s="123">
        <v>1.6</v>
      </c>
      <c r="E33" s="123">
        <v>1</v>
      </c>
      <c r="F33" s="121" t="s">
        <v>222</v>
      </c>
      <c r="G33" s="125">
        <v>1.3</v>
      </c>
      <c r="H33" s="127"/>
      <c r="I33" s="123">
        <v>1.2</v>
      </c>
      <c r="J33" s="125">
        <v>1.6</v>
      </c>
      <c r="K33" s="123">
        <v>1</v>
      </c>
      <c r="L33">
        <v>2019</v>
      </c>
      <c r="M33" s="129">
        <v>1</v>
      </c>
    </row>
    <row r="34" spans="1:13" x14ac:dyDescent="0.2">
      <c r="A34" s="121" t="s">
        <v>223</v>
      </c>
      <c r="B34" s="123">
        <v>1.9</v>
      </c>
      <c r="C34" s="126"/>
      <c r="D34" s="123">
        <v>2.1</v>
      </c>
      <c r="E34" s="123">
        <v>1.1000000000000001</v>
      </c>
      <c r="F34" s="121" t="s">
        <v>223</v>
      </c>
      <c r="G34" s="128">
        <v>1.6</v>
      </c>
      <c r="H34" s="127"/>
      <c r="I34" s="123">
        <v>1.8</v>
      </c>
      <c r="J34" s="125">
        <v>0.5</v>
      </c>
      <c r="K34" s="123">
        <v>0.7</v>
      </c>
      <c r="L34">
        <v>2020</v>
      </c>
      <c r="M34" s="129">
        <f>+M33*(1+D34/100)</f>
        <v>1.0209999999999999</v>
      </c>
    </row>
    <row r="35" spans="1:13" x14ac:dyDescent="0.2">
      <c r="A35" s="121" t="s">
        <v>224</v>
      </c>
      <c r="B35" s="123">
        <v>1.7</v>
      </c>
      <c r="C35" s="126"/>
      <c r="D35" s="123">
        <v>1.7</v>
      </c>
      <c r="E35" s="123">
        <v>3.4</v>
      </c>
      <c r="F35" s="121" t="s">
        <v>224</v>
      </c>
      <c r="G35" s="128">
        <v>1.2</v>
      </c>
      <c r="H35" s="127"/>
      <c r="I35" s="128">
        <v>1.4</v>
      </c>
      <c r="J35" s="125">
        <v>3.9</v>
      </c>
      <c r="K35" s="123">
        <v>3</v>
      </c>
      <c r="L35">
        <v>2021</v>
      </c>
      <c r="M35" s="129">
        <f t="shared" ref="M35:M39" si="0">+M34*(1+D35/100)</f>
        <v>1.0383569999999998</v>
      </c>
    </row>
    <row r="36" spans="1:13" x14ac:dyDescent="0.2">
      <c r="A36" s="121" t="s">
        <v>225</v>
      </c>
      <c r="B36" s="123">
        <v>3.1</v>
      </c>
      <c r="C36" s="126"/>
      <c r="D36" s="123">
        <v>3.7</v>
      </c>
      <c r="E36" s="123">
        <v>8.1</v>
      </c>
      <c r="F36" s="121" t="s">
        <v>225</v>
      </c>
      <c r="G36" s="128">
        <v>3.7</v>
      </c>
      <c r="H36" s="127"/>
      <c r="I36" s="128">
        <v>3.3</v>
      </c>
      <c r="J36" s="125">
        <v>6.6</v>
      </c>
      <c r="K36" s="123">
        <v>8.6</v>
      </c>
      <c r="L36">
        <v>2022</v>
      </c>
      <c r="M36" s="129">
        <f t="shared" si="0"/>
        <v>1.0767762089999997</v>
      </c>
    </row>
    <row r="37" spans="1:13" x14ac:dyDescent="0.2">
      <c r="A37" s="121" t="s">
        <v>226</v>
      </c>
      <c r="B37" s="123">
        <v>2.7</v>
      </c>
      <c r="C37" s="126"/>
      <c r="D37" s="123">
        <v>2.8</v>
      </c>
      <c r="E37" s="123">
        <v>4.0999999999999996</v>
      </c>
      <c r="F37" s="121" t="s">
        <v>226</v>
      </c>
      <c r="G37" s="128">
        <v>3.1</v>
      </c>
      <c r="H37" s="127"/>
      <c r="I37" s="128">
        <v>2.5</v>
      </c>
      <c r="J37" s="125">
        <v>2.9</v>
      </c>
      <c r="K37" s="123">
        <v>4.3</v>
      </c>
      <c r="L37">
        <v>2023</v>
      </c>
      <c r="M37" s="129">
        <f t="shared" si="0"/>
        <v>1.1069259428519997</v>
      </c>
    </row>
    <row r="38" spans="1:13" x14ac:dyDescent="0.2">
      <c r="A38" s="121" t="s">
        <v>232</v>
      </c>
      <c r="B38" s="123">
        <v>4.0999999999999996</v>
      </c>
      <c r="C38" s="126"/>
      <c r="D38" s="123">
        <v>4.5</v>
      </c>
      <c r="E38" s="123">
        <v>3.2</v>
      </c>
      <c r="F38" s="121" t="s">
        <v>227</v>
      </c>
      <c r="G38" s="128">
        <v>3.5</v>
      </c>
      <c r="H38" s="127"/>
      <c r="I38" s="128">
        <v>3.9</v>
      </c>
      <c r="J38" s="125">
        <v>3.7</v>
      </c>
      <c r="K38" s="123">
        <v>3.2</v>
      </c>
      <c r="L38">
        <v>2024</v>
      </c>
      <c r="M38" s="129">
        <f t="shared" si="0"/>
        <v>1.1567376102803397</v>
      </c>
    </row>
    <row r="39" spans="1:13" x14ac:dyDescent="0.2">
      <c r="A39" s="121" t="s">
        <v>233</v>
      </c>
      <c r="B39" s="123">
        <v>3.7</v>
      </c>
      <c r="C39" s="126"/>
      <c r="D39" s="123">
        <v>3.9</v>
      </c>
      <c r="E39" s="123">
        <v>2.5</v>
      </c>
      <c r="F39" s="121" t="s">
        <v>228</v>
      </c>
      <c r="G39" s="128">
        <v>3.5</v>
      </c>
      <c r="H39" s="127"/>
      <c r="I39" s="128">
        <v>3.8</v>
      </c>
      <c r="J39" s="125">
        <v>3.1</v>
      </c>
      <c r="K39" s="123">
        <v>2.6</v>
      </c>
      <c r="L39">
        <v>2025</v>
      </c>
      <c r="M39" s="129">
        <f t="shared" si="0"/>
        <v>1.201850377081273</v>
      </c>
    </row>
    <row r="40" spans="1:13" x14ac:dyDescent="0.2">
      <c r="A40" s="121"/>
      <c r="B40" s="123"/>
      <c r="C40" s="123"/>
      <c r="D40" s="125"/>
      <c r="E40" s="123"/>
      <c r="F40" s="121"/>
      <c r="L40" t="s">
        <v>239</v>
      </c>
    </row>
    <row r="41" spans="1:13" x14ac:dyDescent="0.2">
      <c r="A41" s="121" t="s">
        <v>234</v>
      </c>
      <c r="F41" s="121" t="s">
        <v>229</v>
      </c>
    </row>
    <row r="42" spans="1:13" x14ac:dyDescent="0.2">
      <c r="A42" s="121" t="s">
        <v>235</v>
      </c>
    </row>
    <row r="43" spans="1:13" x14ac:dyDescent="0.2">
      <c r="A43" t="s">
        <v>236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Bus Samlet</vt:lpstr>
      <vt:lpstr>BAT</vt:lpstr>
      <vt:lpstr>FynBus</vt:lpstr>
      <vt:lpstr>Midttrafik </vt:lpstr>
      <vt:lpstr>Movia</vt:lpstr>
      <vt:lpstr>NT</vt:lpstr>
      <vt:lpstr>Sydtrafik</vt:lpstr>
      <vt:lpstr>PL fra KL</vt:lpstr>
      <vt:lpstr>'Bus Samlet'!Udskriftsområde</vt:lpstr>
    </vt:vector>
  </TitlesOfParts>
  <Company>Trafikselskabet Movia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Lone Rasmussen</dc:creator>
  <cp:lastModifiedBy>Frank Sjøgreen Kyhnauv</cp:lastModifiedBy>
  <cp:lastPrinted>2025-02-17T11:19:42Z</cp:lastPrinted>
  <dcterms:created xsi:type="dcterms:W3CDTF">2024-01-12T12:38:59Z</dcterms:created>
  <dcterms:modified xsi:type="dcterms:W3CDTF">2025-03-03T16:06:36Z</dcterms:modified>
</cp:coreProperties>
</file>