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Indeksberegning til entreprenørafregninger\RME Omkostningsindeks start 2020\Til Hjemmesiden\SBLON ØST\"/>
    </mc:Choice>
  </mc:AlternateContent>
  <xr:revisionPtr revIDLastSave="0" documentId="13_ncr:1_{ABC45922-DB07-4155-BE13-7950F3B13571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'!$A$1:$J$278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3" i="11" l="1"/>
  <c r="H253" i="11" s="1"/>
  <c r="E253" i="11"/>
  <c r="C254" i="11"/>
  <c r="C253" i="11"/>
  <c r="C252" i="11"/>
  <c r="H252" i="11" s="1"/>
  <c r="E252" i="11"/>
  <c r="F252" i="11"/>
  <c r="F251" i="11"/>
  <c r="E251" i="11"/>
  <c r="H251" i="11"/>
  <c r="F250" i="11"/>
  <c r="E250" i="11"/>
  <c r="H250" i="11"/>
  <c r="C251" i="11"/>
  <c r="C250" i="11"/>
  <c r="F249" i="11"/>
  <c r="E249" i="11"/>
  <c r="C249" i="11"/>
  <c r="E248" i="11"/>
  <c r="E247" i="11"/>
  <c r="C248" i="11"/>
  <c r="C247" i="11"/>
  <c r="C246" i="11"/>
  <c r="C245" i="11"/>
  <c r="C244" i="11"/>
  <c r="C243" i="11"/>
  <c r="C242" i="11"/>
  <c r="H249" i="11" l="1"/>
  <c r="E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E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 s="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34" i="11" l="1"/>
  <c r="F248" i="11"/>
  <c r="H248" i="11" s="1"/>
  <c r="F247" i="11"/>
  <c r="H247" i="11" s="1"/>
  <c r="F246" i="11"/>
  <c r="H246" i="11" s="1"/>
  <c r="F245" i="1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F194" i="5" l="1"/>
  <c r="G193" i="12"/>
  <c r="H194" i="5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13" i="5" l="1"/>
  <c r="C214" i="12"/>
  <c r="D214" i="12"/>
  <c r="F214" i="12"/>
  <c r="G215" i="12"/>
  <c r="H213" i="12"/>
  <c r="G214" i="12"/>
  <c r="D212" i="5"/>
  <c r="E212" i="5"/>
  <c r="C257" i="11" l="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H221" i="12" l="1"/>
  <c r="E222" i="12"/>
  <c r="C222" i="12"/>
  <c r="C221" i="5"/>
  <c r="G222" i="12"/>
  <c r="F222" i="12"/>
  <c r="D222" i="12"/>
  <c r="D221" i="5" l="1"/>
  <c r="E221" i="5"/>
  <c r="H222" i="12"/>
  <c r="F223" i="12"/>
  <c r="E223" i="12"/>
  <c r="C222" i="5"/>
  <c r="G223" i="12"/>
  <c r="C223" i="12"/>
  <c r="D223" i="12"/>
  <c r="C224" i="12" l="1"/>
  <c r="F224" i="12"/>
  <c r="C223" i="5"/>
  <c r="G224" i="12"/>
  <c r="E224" i="12"/>
  <c r="D224" i="12"/>
  <c r="D222" i="5"/>
  <c r="H223" i="12"/>
  <c r="F254" i="11" l="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H237" i="12"/>
  <c r="C239" i="5"/>
  <c r="D239" i="5" s="1"/>
  <c r="C238" i="12"/>
  <c r="F238" i="12"/>
  <c r="G238" i="12"/>
  <c r="D238" i="12"/>
  <c r="E238" i="12"/>
  <c r="F269" i="11" l="1"/>
  <c r="G268" i="11"/>
  <c r="C240" i="5"/>
  <c r="E239" i="5"/>
  <c r="C239" i="12"/>
  <c r="F239" i="12"/>
  <c r="G239" i="12"/>
  <c r="D239" i="12"/>
  <c r="E239" i="12"/>
  <c r="H238" i="12"/>
  <c r="G269" i="11" l="1"/>
  <c r="D240" i="5"/>
  <c r="C241" i="5"/>
  <c r="D241" i="5" s="1"/>
  <c r="C240" i="12"/>
  <c r="F240" i="12"/>
  <c r="G240" i="12"/>
  <c r="D240" i="12"/>
  <c r="H239" i="12"/>
  <c r="E240" i="12"/>
  <c r="C242" i="5" l="1"/>
  <c r="D242" i="5" s="1"/>
  <c r="H240" i="12"/>
  <c r="C241" i="12"/>
  <c r="F241" i="12"/>
  <c r="G241" i="12"/>
  <c r="D241" i="12"/>
  <c r="E241" i="12"/>
  <c r="F242" i="5" l="1"/>
  <c r="E242" i="5"/>
  <c r="G242" i="5"/>
  <c r="H242" i="5"/>
  <c r="H241" i="12"/>
  <c r="C242" i="12"/>
  <c r="F242" i="12"/>
  <c r="G242" i="12"/>
  <c r="D242" i="12"/>
  <c r="E243" i="12"/>
  <c r="E242" i="12"/>
  <c r="C243" i="5" l="1"/>
  <c r="C244" i="12"/>
  <c r="F244" i="12"/>
  <c r="G244" i="12"/>
  <c r="D244" i="12"/>
  <c r="E244" i="12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D254" i="11"/>
  <c r="H243" i="12"/>
  <c r="H245" i="12" l="1"/>
  <c r="C245" i="5"/>
  <c r="D245" i="5" s="1"/>
  <c r="C246" i="12"/>
  <c r="F246" i="12"/>
  <c r="G246" i="12"/>
  <c r="D246" i="12"/>
  <c r="E246" i="12"/>
  <c r="D244" i="5"/>
  <c r="D255" i="11"/>
  <c r="E245" i="5" l="1"/>
  <c r="H246" i="12"/>
  <c r="C246" i="5"/>
  <c r="C247" i="12"/>
  <c r="F247" i="12"/>
  <c r="G247" i="12"/>
  <c r="D247" i="12"/>
  <c r="E247" i="12"/>
  <c r="D256" i="11"/>
  <c r="H247" i="12" l="1"/>
  <c r="C247" i="5"/>
  <c r="D247" i="5" s="1"/>
  <c r="C248" i="12"/>
  <c r="F248" i="12"/>
  <c r="G248" i="12"/>
  <c r="D248" i="12"/>
  <c r="E248" i="12"/>
  <c r="D246" i="5"/>
  <c r="D257" i="11"/>
  <c r="D258" i="11" s="1"/>
  <c r="D259" i="11" l="1"/>
  <c r="E254" i="11"/>
  <c r="H248" i="12"/>
  <c r="C248" i="5"/>
  <c r="C249" i="12"/>
  <c r="F249" i="12"/>
  <c r="G249" i="12"/>
  <c r="D249" i="12"/>
  <c r="E249" i="12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 l="1"/>
  <c r="G266" i="5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<sst xmlns="http://schemas.openxmlformats.org/spreadsheetml/2006/main" count="1264" uniqueCount="141">
  <si>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</si>
  <si>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</si>
  <si>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</si>
  <si>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</si>
  <si>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</si>
  <si>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</si>
  <si>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</si>
  <si>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</si>
  <si>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</si>
  <si>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</si>
  <si>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</si>
  <si>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</si>
  <si>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</si>
  <si>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</si>
  <si>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</si>
  <si>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</si>
  <si>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</si>
  <si>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</si>
  <si>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</si>
  <si>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</si>
  <si>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</si>
  <si>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</si>
  <si>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</si>
  <si>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</si>
  <si>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</si>
  <si>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</si>
  <si>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</si>
  <si>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</si>
  <si>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</si>
  <si>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</si>
  <si>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</si>
  <si>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</si>
  <si>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</si>
  <si>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</si>
  <si>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</si>
  <si>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</si>
  <si>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</si>
  <si>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</si>
  <si>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</si>
  <si>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</si>
  <si>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</si>
  <si>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</si>
  <si>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</si>
  <si>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</si>
  <si>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</si>
  <si>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</si>
  <si>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</si>
  <si>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</si>
  <si>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</si>
  <si>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</si>
  <si>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</si>
  <si>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</si>
  <si>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</si>
  <si>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</si>
  <si>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</si>
  <si>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</si>
  <si>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</si>
  <si>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</si>
  <si>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</si>
  <si>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</si>
  <si>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</si>
  <si>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</si>
  <si>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</si>
  <si>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</si>
  <si>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</si>
  <si>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</si>
  <si>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</si>
  <si>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</si>
  <si>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</si>
  <si>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</si>
  <si>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</si>
  <si>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</si>
  <si>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</si>
  <si>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</si>
  <si>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</si>
  <si>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</si>
  <si>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</si>
  <si>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</si>
  <si>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</si>
  <si>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</si>
  <si>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</si>
  <si>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</si>
  <si>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</si>
  <si>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</si>
  <si>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</si>
  <si>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</si>
  <si>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</si>
  <si>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</si>
  <si>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</si>
  <si>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</si>
  <si>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</si>
  <si>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</si>
  <si>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</si>
  <si>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</si>
  <si>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</si>
  <si>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</si>
  <si>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</si>
  <si>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</si>
  <si>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</si>
  <si>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</si>
  <si>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</si>
  <si>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</si>
  <si>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</si>
  <si>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</si>
  <si>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</si>
  <si>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</si>
  <si>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</si>
  <si>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</si>
  <si>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</si>
  <si>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</si>
  <si>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</si>
  <si>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</si>
  <si>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</si>
  <si>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</si>
  <si>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</si>
  <si>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</si>
  <si>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</si>
  <si>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</si>
  <si>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</si>
  <si>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</si>
  <si>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</si>
  <si>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</si>
  <si>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</si>
  <si>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</si>
  <si>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</si>
  <si>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</si>
  <si>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</si>
  <si>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</si>
  <si>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</si>
  <si>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</si>
  <si>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</si>
  <si>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</si>
  <si>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>Note 6</t>
  </si>
  <si>
    <t>ILON12 erstattes med SBLON1</t>
  </si>
  <si>
    <t>Note 4C</t>
  </si>
  <si>
    <t>Note 4c</t>
  </si>
  <si>
    <t>PRIS1115.87 I ALT erstattes fra 1.3.2025 af PRIS1121.87 I ALT. Indeksbasisåret er skiftet fra 2015=100 til 2021=100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</si>
  <si>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</si>
  <si>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</si>
  <si>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PRIS10 Prisindeks for indenlandsk vareforsyning - Maskiner og værktøjer samt varetransportmidler -  I ALT.
1.11.2014 PRIS10 UDGÅR og erstattes af PRIS11.87 køretøjer og dele detil I ALT.
</t>
    </r>
    <r>
      <rPr>
        <sz val="10"/>
        <color indexed="44"/>
        <rFont val="Arial"/>
        <family val="2"/>
      </rPr>
      <t xml:space="preserve">Erstattes 1.3.2019 af </t>
    </r>
    <r>
      <rPr>
        <b/>
        <sz val="10"/>
        <color indexed="44"/>
        <rFont val="Arial"/>
        <family val="2"/>
      </rPr>
      <t xml:space="preserve">PRIS1115.87 I ALT. </t>
    </r>
    <r>
      <rPr>
        <sz val="10"/>
        <color indexed="44"/>
        <rFont val="Arial"/>
        <family val="2"/>
      </rPr>
      <t>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</si>
  <si>
    <t>Indeks for prisudviklingen for RME er baseret på et svensk RME-indeks, der offentliggøres på https://partnersamverkan.se/index/index-rme/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</si>
</sst>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5" fontId="0" fillId="0" borderId="0" xfId="0" applyNumberFormat="1"/>
    <xf numFmtId="0" fontId="9" fillId="0" borderId="0" xfId="0" applyFont="1"/>
    <xf numFmtId="0" fontId="8" fillId="0" borderId="0" xfId="0" applyFont="1"/>
    <xf numFmtId="166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10" fillId="0" borderId="0" xfId="0" applyFont="1"/>
    <xf numFmtId="166" fontId="0" fillId="0" borderId="0" xfId="0" applyNumberFormat="1"/>
    <xf numFmtId="0" fontId="10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10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8" fillId="0" borderId="2" xfId="0" applyFont="1" applyBorder="1"/>
    <xf numFmtId="2" fontId="0" fillId="0" borderId="2" xfId="0" applyNumberFormat="1" applyBorder="1"/>
    <xf numFmtId="166" fontId="8" fillId="0" borderId="2" xfId="0" applyNumberFormat="1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/>
    <xf numFmtId="0" fontId="10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166" fontId="13" fillId="0" borderId="3" xfId="1" applyNumberFormat="1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1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8" fillId="0" borderId="0" xfId="0" applyNumberFormat="1" applyFont="1"/>
    <xf numFmtId="2" fontId="0" fillId="0" borderId="3" xfId="0" applyNumberFormat="1" applyBorder="1"/>
    <xf numFmtId="2" fontId="9" fillId="0" borderId="0" xfId="0" applyNumberFormat="1" applyFont="1"/>
    <xf numFmtId="0" fontId="12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5" fillId="0" borderId="0" xfId="0" applyNumberFormat="1" applyFont="1"/>
    <xf numFmtId="167" fontId="8" fillId="0" borderId="1" xfId="0" applyNumberFormat="1" applyFont="1" applyBorder="1"/>
    <xf numFmtId="165" fontId="13" fillId="0" borderId="0" xfId="1" applyFont="1" applyBorder="1" applyAlignment="1">
      <alignment horizontal="center"/>
    </xf>
    <xf numFmtId="165" fontId="13" fillId="0" borderId="1" xfId="1" applyFont="1" applyBorder="1" applyAlignment="1">
      <alignment horizontal="center"/>
    </xf>
    <xf numFmtId="165" fontId="13" fillId="0" borderId="2" xfId="1" applyFont="1" applyBorder="1" applyAlignment="1">
      <alignment horizontal="center"/>
    </xf>
    <xf numFmtId="165" fontId="13" fillId="0" borderId="3" xfId="1" applyFont="1" applyBorder="1" applyAlignment="1">
      <alignment horizontal="center"/>
    </xf>
    <xf numFmtId="2" fontId="9" fillId="3" borderId="0" xfId="0" applyNumberFormat="1" applyFont="1" applyFill="1"/>
    <xf numFmtId="2" fontId="9" fillId="3" borderId="1" xfId="0" applyNumberFormat="1" applyFont="1" applyFill="1" applyBorder="1"/>
    <xf numFmtId="0" fontId="15" fillId="3" borderId="0" xfId="0" applyFont="1" applyFill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3" fillId="0" borderId="0" xfId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5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8" fillId="0" borderId="3" xfId="0" applyNumberFormat="1" applyFont="1" applyBorder="1"/>
    <xf numFmtId="166" fontId="13" fillId="0" borderId="3" xfId="0" applyNumberFormat="1" applyFont="1" applyBorder="1" applyAlignment="1">
      <alignment horizontal="center"/>
    </xf>
    <xf numFmtId="167" fontId="8" fillId="0" borderId="3" xfId="0" applyNumberFormat="1" applyFont="1" applyBorder="1"/>
    <xf numFmtId="166" fontId="8" fillId="0" borderId="1" xfId="0" applyNumberFormat="1" applyFont="1" applyBorder="1"/>
    <xf numFmtId="166" fontId="8" fillId="0" borderId="4" xfId="0" applyNumberFormat="1" applyFont="1" applyBorder="1"/>
    <xf numFmtId="167" fontId="8" fillId="0" borderId="0" xfId="0" applyNumberFormat="1" applyFont="1"/>
    <xf numFmtId="166" fontId="13" fillId="0" borderId="1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/>
    </xf>
    <xf numFmtId="167" fontId="8" fillId="0" borderId="2" xfId="0" applyNumberFormat="1" applyFont="1" applyBorder="1"/>
    <xf numFmtId="0" fontId="0" fillId="0" borderId="0" xfId="0" applyAlignment="1">
      <alignment vertical="top"/>
    </xf>
    <xf numFmtId="167" fontId="8" fillId="0" borderId="4" xfId="0" applyNumberFormat="1" applyFont="1" applyBorder="1"/>
    <xf numFmtId="166" fontId="3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/>
    <xf numFmtId="166" fontId="3" fillId="0" borderId="1" xfId="0" applyNumberFormat="1" applyFont="1" applyBorder="1"/>
    <xf numFmtId="2" fontId="3" fillId="0" borderId="1" xfId="0" applyNumberFormat="1" applyFont="1" applyBorder="1"/>
    <xf numFmtId="166" fontId="3" fillId="0" borderId="3" xfId="0" applyNumberFormat="1" applyFont="1" applyBorder="1"/>
    <xf numFmtId="2" fontId="3" fillId="0" borderId="3" xfId="0" applyNumberFormat="1" applyFont="1" applyBorder="1"/>
    <xf numFmtId="2" fontId="9" fillId="3" borderId="2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3" fillId="4" borderId="0" xfId="0" applyNumberFormat="1" applyFont="1" applyFill="1"/>
    <xf numFmtId="166" fontId="13" fillId="4" borderId="0" xfId="1" applyNumberFormat="1" applyFont="1" applyFill="1" applyBorder="1" applyAlignment="1">
      <alignment horizontal="center"/>
    </xf>
    <xf numFmtId="167" fontId="3" fillId="3" borderId="0" xfId="0" applyNumberFormat="1" applyFont="1" applyFill="1"/>
    <xf numFmtId="0" fontId="3" fillId="4" borderId="0" xfId="0" applyFont="1" applyFill="1"/>
    <xf numFmtId="167" fontId="3" fillId="0" borderId="2" xfId="0" applyNumberFormat="1" applyFont="1" applyBorder="1"/>
    <xf numFmtId="166" fontId="13" fillId="0" borderId="1" xfId="0" applyNumberFormat="1" applyFont="1" applyBorder="1" applyAlignment="1">
      <alignment horizontal="center"/>
    </xf>
    <xf numFmtId="166" fontId="3" fillId="4" borderId="1" xfId="0" applyNumberFormat="1" applyFont="1" applyFill="1" applyBorder="1"/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0" xfId="0" applyFont="1" applyFill="1"/>
    <xf numFmtId="166" fontId="3" fillId="6" borderId="0" xfId="0" applyNumberFormat="1" applyFont="1" applyFill="1"/>
    <xf numFmtId="166" fontId="3" fillId="6" borderId="3" xfId="0" applyNumberFormat="1" applyFont="1" applyFill="1" applyBorder="1"/>
    <xf numFmtId="166" fontId="3" fillId="6" borderId="1" xfId="0" applyNumberFormat="1" applyFont="1" applyFill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6" fontId="3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6" fillId="7" borderId="0" xfId="0" applyFont="1" applyFill="1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66" fontId="3" fillId="7" borderId="0" xfId="0" applyNumberFormat="1" applyFont="1" applyFill="1"/>
    <xf numFmtId="166" fontId="3" fillId="7" borderId="3" xfId="0" applyNumberFormat="1" applyFont="1" applyFill="1" applyBorder="1"/>
    <xf numFmtId="166" fontId="3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7" xfId="8" applyBorder="1"/>
    <xf numFmtId="9" fontId="5" fillId="0" borderId="8" xfId="8" applyNumberFormat="1" applyFont="1" applyBorder="1"/>
    <xf numFmtId="0" fontId="3" fillId="0" borderId="9" xfId="8" applyBorder="1"/>
    <xf numFmtId="0" fontId="3" fillId="0" borderId="0" xfId="8"/>
    <xf numFmtId="0" fontId="3" fillId="0" borderId="10" xfId="8" applyBorder="1"/>
    <xf numFmtId="0" fontId="3" fillId="0" borderId="11" xfId="8" applyBorder="1"/>
    <xf numFmtId="0" fontId="3" fillId="0" borderId="6" xfId="8" applyBorder="1"/>
    <xf numFmtId="167" fontId="3" fillId="0" borderId="0" xfId="10" applyNumberFormat="1" applyFont="1" applyBorder="1"/>
    <xf numFmtId="9" fontId="3" fillId="0" borderId="0" xfId="9" applyFont="1" applyBorder="1"/>
    <xf numFmtId="167" fontId="3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3" fillId="0" borderId="3" xfId="8" applyBorder="1"/>
    <xf numFmtId="0" fontId="0" fillId="0" borderId="15" xfId="0" applyBorder="1"/>
    <xf numFmtId="0" fontId="3" fillId="0" borderId="0" xfId="0" applyFont="1" applyAlignment="1">
      <alignment vertical="top"/>
    </xf>
    <xf numFmtId="0" fontId="8" fillId="9" borderId="2" xfId="0" applyFont="1" applyFill="1" applyBorder="1"/>
    <xf numFmtId="166" fontId="3" fillId="10" borderId="2" xfId="0" applyNumberFormat="1" applyFont="1" applyFill="1" applyBorder="1"/>
    <xf numFmtId="167" fontId="3" fillId="10" borderId="2" xfId="0" applyNumberFormat="1" applyFont="1" applyFill="1" applyBorder="1"/>
    <xf numFmtId="167" fontId="3" fillId="10" borderId="0" xfId="0" applyNumberFormat="1" applyFont="1" applyFill="1"/>
    <xf numFmtId="0" fontId="17" fillId="9" borderId="2" xfId="0" applyFont="1" applyFill="1" applyBorder="1"/>
    <xf numFmtId="9" fontId="5" fillId="0" borderId="5" xfId="8" applyNumberFormat="1" applyFont="1" applyBorder="1"/>
    <xf numFmtId="9" fontId="3" fillId="0" borderId="12" xfId="9" applyFont="1" applyBorder="1"/>
    <xf numFmtId="0" fontId="21" fillId="0" borderId="0" xfId="3" applyAlignment="1" applyProtection="1">
      <alignment wrapText="1"/>
    </xf>
    <xf numFmtId="0" fontId="5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5" fillId="9" borderId="1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6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7" xfId="8" applyFont="1" applyFill="1" applyBorder="1"/>
    <xf numFmtId="166" fontId="3" fillId="0" borderId="9" xfId="8" applyNumberFormat="1" applyBorder="1"/>
    <xf numFmtId="166" fontId="3" fillId="0" borderId="6" xfId="8" applyNumberFormat="1" applyBorder="1"/>
    <xf numFmtId="166" fontId="5" fillId="9" borderId="9" xfId="8" applyNumberFormat="1" applyFont="1" applyFill="1" applyBorder="1"/>
    <xf numFmtId="0" fontId="3" fillId="0" borderId="5" xfId="8" applyBorder="1"/>
    <xf numFmtId="9" fontId="5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3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7" fillId="0" borderId="0" xfId="0" applyFont="1"/>
    <xf numFmtId="0" fontId="25" fillId="0" borderId="0" xfId="4"/>
    <xf numFmtId="0" fontId="26" fillId="0" borderId="0" xfId="0" applyFont="1"/>
    <xf numFmtId="2" fontId="26" fillId="0" borderId="0" xfId="0" applyNumberFormat="1" applyFont="1"/>
    <xf numFmtId="9" fontId="0" fillId="0" borderId="0" xfId="9" applyFo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1" applyFont="1"/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10" applyNumberFormat="1" applyFont="1" applyBorder="1"/>
    <xf numFmtId="166" fontId="5" fillId="0" borderId="4" xfId="0" applyNumberFormat="1" applyFont="1" applyBorder="1"/>
    <xf numFmtId="0" fontId="29" fillId="0" borderId="0" xfId="0" applyFont="1"/>
    <xf numFmtId="0" fontId="29" fillId="0" borderId="14" xfId="0" applyFont="1" applyBorder="1"/>
    <xf numFmtId="2" fontId="3" fillId="0" borderId="7" xfId="8" applyNumberFormat="1" applyBorder="1"/>
    <xf numFmtId="165" fontId="3" fillId="0" borderId="9" xfId="1" applyFont="1" applyBorder="1"/>
    <xf numFmtId="2" fontId="3" fillId="0" borderId="9" xfId="8" applyNumberFormat="1" applyBorder="1"/>
    <xf numFmtId="0" fontId="29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167" fontId="5" fillId="0" borderId="10" xfId="10" applyNumberFormat="1" applyFont="1" applyBorder="1"/>
    <xf numFmtId="167" fontId="5" fillId="0" borderId="9" xfId="9" applyNumberFormat="1" applyFont="1" applyBorder="1"/>
    <xf numFmtId="0" fontId="23" fillId="9" borderId="2" xfId="0" applyFont="1" applyFill="1" applyBorder="1" applyAlignment="1">
      <alignment horizontal="center"/>
    </xf>
    <xf numFmtId="0" fontId="30" fillId="0" borderId="0" xfId="0" applyFont="1"/>
    <xf numFmtId="14" fontId="3" fillId="8" borderId="0" xfId="0" applyNumberFormat="1" applyFont="1" applyFill="1"/>
    <xf numFmtId="2" fontId="11" fillId="8" borderId="0" xfId="0" applyNumberFormat="1" applyFont="1" applyFill="1" applyAlignment="1">
      <alignment horizontal="left"/>
    </xf>
    <xf numFmtId="2" fontId="3" fillId="8" borderId="18" xfId="0" applyNumberFormat="1" applyFont="1" applyFill="1" applyBorder="1"/>
    <xf numFmtId="167" fontId="5" fillId="0" borderId="10" xfId="9" applyNumberFormat="1" applyFont="1" applyBorder="1"/>
    <xf numFmtId="14" fontId="3" fillId="0" borderId="0" xfId="0" applyNumberFormat="1" applyFont="1"/>
    <xf numFmtId="166" fontId="28" fillId="3" borderId="0" xfId="0" applyNumberFormat="1" applyFont="1" applyFill="1"/>
    <xf numFmtId="166" fontId="28" fillId="3" borderId="1" xfId="0" applyNumberFormat="1" applyFont="1" applyFill="1" applyBorder="1"/>
    <xf numFmtId="0" fontId="31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3" fillId="8" borderId="1" xfId="0" applyNumberFormat="1" applyFont="1" applyFill="1" applyBorder="1"/>
    <xf numFmtId="166" fontId="3" fillId="9" borderId="0" xfId="0" applyNumberFormat="1" applyFont="1" applyFill="1"/>
    <xf numFmtId="166" fontId="3" fillId="9" borderId="1" xfId="0" applyNumberFormat="1" applyFont="1" applyFill="1" applyBorder="1"/>
    <xf numFmtId="0" fontId="3" fillId="8" borderId="0" xfId="0" applyFont="1" applyFill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66" fontId="3" fillId="11" borderId="0" xfId="0" applyNumberFormat="1" applyFont="1" applyFill="1"/>
    <xf numFmtId="167" fontId="0" fillId="11" borderId="0" xfId="0" applyNumberFormat="1" applyFill="1"/>
    <xf numFmtId="167" fontId="3" fillId="11" borderId="0" xfId="0" applyNumberFormat="1" applyFont="1" applyFill="1"/>
    <xf numFmtId="166" fontId="32" fillId="3" borderId="0" xfId="1" applyNumberFormat="1" applyFont="1" applyFill="1" applyBorder="1" applyAlignment="1">
      <alignment horizontal="center"/>
    </xf>
    <xf numFmtId="166" fontId="32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3" fillId="12" borderId="0" xfId="0" applyFont="1" applyFill="1"/>
    <xf numFmtId="166" fontId="28" fillId="12" borderId="0" xfId="0" applyNumberFormat="1" applyFont="1" applyFill="1"/>
    <xf numFmtId="167" fontId="28" fillId="12" borderId="4" xfId="0" applyNumberFormat="1" applyFont="1" applyFill="1" applyBorder="1"/>
    <xf numFmtId="166" fontId="28" fillId="12" borderId="4" xfId="0" applyNumberFormat="1" applyFont="1" applyFill="1" applyBorder="1"/>
    <xf numFmtId="0" fontId="34" fillId="0" borderId="0" xfId="0" applyFont="1"/>
    <xf numFmtId="0" fontId="33" fillId="0" borderId="0" xfId="0" applyFont="1"/>
    <xf numFmtId="166" fontId="28" fillId="0" borderId="0" xfId="0" applyNumberFormat="1" applyFont="1"/>
    <xf numFmtId="167" fontId="28" fillId="0" borderId="0" xfId="0" applyNumberFormat="1" applyFont="1"/>
    <xf numFmtId="172" fontId="0" fillId="0" borderId="0" xfId="1" applyNumberFormat="1" applyFont="1"/>
    <xf numFmtId="0" fontId="34" fillId="12" borderId="1" xfId="0" applyFont="1" applyFill="1" applyBorder="1"/>
    <xf numFmtId="0" fontId="28" fillId="12" borderId="1" xfId="0" applyFont="1" applyFill="1" applyBorder="1"/>
    <xf numFmtId="166" fontId="28" fillId="12" borderId="1" xfId="0" applyNumberFormat="1" applyFont="1" applyFill="1" applyBorder="1"/>
    <xf numFmtId="167" fontId="28" fillId="12" borderId="1" xfId="0" applyNumberFormat="1" applyFont="1" applyFill="1" applyBorder="1"/>
    <xf numFmtId="0" fontId="35" fillId="0" borderId="0" xfId="0" applyFont="1"/>
    <xf numFmtId="166" fontId="3" fillId="9" borderId="3" xfId="0" applyNumberFormat="1" applyFont="1" applyFill="1" applyBorder="1"/>
    <xf numFmtId="0" fontId="34" fillId="12" borderId="0" xfId="0" applyFont="1" applyFill="1"/>
    <xf numFmtId="0" fontId="35" fillId="12" borderId="0" xfId="0" applyFont="1" applyFill="1"/>
    <xf numFmtId="167" fontId="28" fillId="12" borderId="0" xfId="0" applyNumberFormat="1" applyFont="1" applyFill="1"/>
    <xf numFmtId="0" fontId="34" fillId="0" borderId="1" xfId="0" applyFont="1" applyBorder="1"/>
    <xf numFmtId="0" fontId="35" fillId="0" borderId="1" xfId="0" applyFont="1" applyBorder="1"/>
    <xf numFmtId="166" fontId="28" fillId="0" borderId="1" xfId="0" applyNumberFormat="1" applyFont="1" applyBorder="1"/>
    <xf numFmtId="167" fontId="28" fillId="0" borderId="1" xfId="0" applyNumberFormat="1" applyFont="1" applyBorder="1"/>
    <xf numFmtId="0" fontId="35" fillId="12" borderId="1" xfId="0" applyFont="1" applyFill="1" applyBorder="1"/>
    <xf numFmtId="0" fontId="34" fillId="0" borderId="2" xfId="0" applyFont="1" applyBorder="1"/>
    <xf numFmtId="0" fontId="35" fillId="0" borderId="2" xfId="0" applyFont="1" applyBorder="1"/>
    <xf numFmtId="0" fontId="34" fillId="0" borderId="3" xfId="0" applyFont="1" applyBorder="1"/>
    <xf numFmtId="0" fontId="35" fillId="0" borderId="3" xfId="0" applyFont="1" applyBorder="1"/>
    <xf numFmtId="166" fontId="28" fillId="11" borderId="3" xfId="0" applyNumberFormat="1" applyFont="1" applyFill="1" applyBorder="1"/>
    <xf numFmtId="167" fontId="35" fillId="11" borderId="3" xfId="0" applyNumberFormat="1" applyFont="1" applyFill="1" applyBorder="1"/>
    <xf numFmtId="167" fontId="28" fillId="11" borderId="3" xfId="0" applyNumberFormat="1" applyFont="1" applyFill="1" applyBorder="1"/>
    <xf numFmtId="0" fontId="3" fillId="0" borderId="1" xfId="0" applyFont="1" applyBorder="1"/>
    <xf numFmtId="166" fontId="9" fillId="3" borderId="3" xfId="0" applyNumberFormat="1" applyFont="1" applyFill="1" applyBorder="1"/>
    <xf numFmtId="2" fontId="9" fillId="3" borderId="3" xfId="0" applyNumberFormat="1" applyFont="1" applyFill="1" applyBorder="1"/>
    <xf numFmtId="166" fontId="32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8" fillId="12" borderId="0" xfId="0" applyFont="1" applyFill="1"/>
    <xf numFmtId="166" fontId="9" fillId="3" borderId="0" xfId="0" applyNumberFormat="1" applyFont="1" applyFill="1" applyBorder="1"/>
    <xf numFmtId="2" fontId="9" fillId="3" borderId="0" xfId="0" applyNumberFormat="1" applyFont="1" applyFill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3" fillId="0" borderId="0" xfId="0" applyFont="1" applyBorder="1"/>
    <xf numFmtId="166" fontId="28" fillId="3" borderId="3" xfId="0" applyNumberFormat="1" applyFont="1" applyFill="1" applyBorder="1"/>
    <xf numFmtId="167" fontId="0" fillId="3" borderId="3" xfId="0" applyNumberFormat="1" applyFill="1" applyBorder="1"/>
    <xf numFmtId="167" fontId="3" fillId="3" borderId="3" xfId="0" applyNumberFormat="1" applyFont="1" applyFill="1" applyBorder="1"/>
    <xf numFmtId="166" fontId="3" fillId="3" borderId="3" xfId="0" applyNumberFormat="1" applyFont="1" applyFill="1" applyBorder="1"/>
    <xf numFmtId="166" fontId="28" fillId="0" borderId="3" xfId="0" applyNumberFormat="1" applyFont="1" applyBorder="1"/>
    <xf numFmtId="167" fontId="28" fillId="0" borderId="3" xfId="0" applyNumberFormat="1" applyFont="1" applyBorder="1"/>
    <xf numFmtId="167" fontId="28" fillId="12" borderId="0" xfId="0" applyNumberFormat="1" applyFont="1" applyFill="1" applyBorder="1"/>
    <xf numFmtId="166" fontId="28" fillId="12" borderId="0" xfId="0" applyNumberFormat="1" applyFont="1" applyFill="1" applyBorder="1"/>
    <xf numFmtId="166" fontId="3" fillId="13" borderId="4" xfId="0" applyNumberFormat="1" applyFont="1" applyFill="1" applyBorder="1"/>
    <xf numFmtId="166" fontId="3" fillId="13" borderId="0" xfId="0" applyNumberFormat="1" applyFont="1" applyFill="1"/>
    <xf numFmtId="0" fontId="6" fillId="13" borderId="0" xfId="0" applyFont="1" applyFill="1" applyAlignment="1">
      <alignment vertical="top"/>
    </xf>
    <xf numFmtId="166" fontId="3" fillId="13" borderId="1" xfId="0" applyNumberFormat="1" applyFont="1" applyFill="1" applyBorder="1"/>
    <xf numFmtId="0" fontId="6" fillId="13" borderId="0" xfId="0" applyFont="1" applyFill="1" applyAlignment="1">
      <alignment horizontal="left" vertical="top" wrapText="1"/>
    </xf>
    <xf numFmtId="0" fontId="21" fillId="0" borderId="0" xfId="3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9">
    <cellStyle name="Komma" xfId="1" builtinId="3"/>
    <cellStyle name="Komma 2" xfId="2" xr:uid="{00000000-0005-0000-0000-000001000000}"/>
    <cellStyle name="Komma 2 2" xfId="12" xr:uid="{00000000-0005-0000-0000-000002000000}"/>
    <cellStyle name="Komma 2 2 2" xfId="17" xr:uid="{A64DE684-2591-4054-8AFA-A4E1EEB39B19}"/>
    <cellStyle name="Komma 3" xfId="11" xr:uid="{00000000-0005-0000-0000-000003000000}"/>
    <cellStyle name="Komma 3 2" xfId="16" xr:uid="{65EC2391-3A79-4DBC-8856-8CF8CFC5737B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2 2 2" xfId="18" xr:uid="{EA26D499-E64E-463A-AD82-F97591942CC7}"/>
    <cellStyle name="Normal 2 3" xfId="15" xr:uid="{89974DAA-77FA-42D8-A901-217A589D7C0B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8"/>
  <sheetViews>
    <sheetView tabSelected="1" view="pageBreakPreview" topLeftCell="A237" zoomScale="89" zoomScaleNormal="100" zoomScaleSheetLayoutView="89" workbookViewId="0">
      <selection activeCell="O263" sqref="O263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67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137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68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67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116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312">
        <f>(1.0101*156.1)/121.5*121.5</f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J242" s="120" t="s">
        <v>132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310">
        <f>(1.0101*156.1)/121.5*125.5</f>
        <v>162.86760950617284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146.13628915832277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310">
        <f>(1.0101*156.1)/121.5*125.5</f>
        <v>162.86760950617284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8">100+((C244-$C$40)/$C$40*100*$C$2)+((D244-$D$40)/$D$40*100*$D$2)+((E244-$E$40)/$E$40*100*$E$2)+((F244-$F$40)/$F$40*100*$F$2)+((G244-$G$40)/$G$40*100*$G$2)</f>
        <v>145.65836023277802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312">
        <f>(1.0101*156.1)/121.5*125.5</f>
        <v>162.86760950617284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69">100+((C245-$C$40)/$C$40*100*$C$2)+((D245-$D$40)/$D$40*100*$D$2)+((E245-$E$40)/$E$40*100*$E$2)+((F245-$F$40)/$F$40*100*$F$2)+((G245-$G$40)/$G$40*100*$G$2)</f>
        <v>148.96863355188691</v>
      </c>
      <c r="M245" s="292"/>
    </row>
    <row r="246" spans="1:13" ht="15" x14ac:dyDescent="0.2">
      <c r="A246" s="2">
        <v>2025</v>
      </c>
      <c r="B246" s="120" t="s">
        <v>8</v>
      </c>
      <c r="C246" s="309">
        <f>(1.0101*156.1)/121.5*124.7</f>
        <v>161.82940960493826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:H247" si="70">100+((C246-$C$40)/$C$40*100*$C$2)+((D246-$D$40)/$D$40*100*$D$2)+((E246-$E$40)/$E$40*100*$E$2)+((F246-$F$40)/$F$40*100*$F$2)+((G246-$G$40)/$G$40*100*$G$2)</f>
        <v>151.63327094957751</v>
      </c>
      <c r="J246" s="120"/>
      <c r="M246" s="292"/>
    </row>
    <row r="247" spans="1:13" ht="15" x14ac:dyDescent="0.2">
      <c r="A247" s="10">
        <f>A246</f>
        <v>2025</v>
      </c>
      <c r="B247" s="120" t="s">
        <v>9</v>
      </c>
      <c r="C247" s="310">
        <f t="shared" ref="C247:C248" si="71">(1.0101*156.1)/121.5*124.7</f>
        <v>161.82940960493826</v>
      </c>
      <c r="D247" s="247">
        <v>294.7</v>
      </c>
      <c r="E247" s="145">
        <f>131/99.8*118.9</f>
        <v>156.07114228456916</v>
      </c>
      <c r="F247" s="130">
        <f>+F$173*(123.5/103.6)/113.8*113.8</f>
        <v>125.20157719952012</v>
      </c>
      <c r="G247" s="100">
        <v>2.82</v>
      </c>
      <c r="H247" s="53">
        <f t="shared" si="70"/>
        <v>150.45381674617113</v>
      </c>
      <c r="M247" s="292"/>
    </row>
    <row r="248" spans="1:13" ht="15" x14ac:dyDescent="0.2">
      <c r="A248" s="12">
        <f t="shared" ref="A248:A257" si="72">A247</f>
        <v>2025</v>
      </c>
      <c r="B248" s="13" t="s">
        <v>10</v>
      </c>
      <c r="C248" s="312">
        <f t="shared" si="71"/>
        <v>161.82940960493826</v>
      </c>
      <c r="D248" s="246">
        <v>289</v>
      </c>
      <c r="E248" s="135">
        <f>131/99.8*119.6</f>
        <v>156.98997995991985</v>
      </c>
      <c r="F248" s="132">
        <f>+F$173*(123.5/103.6)/113.8*113.1</f>
        <v>124.43144447509424</v>
      </c>
      <c r="G248" s="102">
        <v>2.73</v>
      </c>
      <c r="H248" s="114">
        <f t="shared" ref="H248" si="73">100+((C248-$C$40)/$C$40*100*$C$2)+((D248-$D$40)/$D$40*100*$D$2)+((E248-$E$40)/$E$40*100*$E$2)+((F248-$F$40)/$F$40*100*$F$2)+((G248-$G$40)/$G$40*100*$G$2)</f>
        <v>149.65429818292668</v>
      </c>
      <c r="J248" s="120" t="s">
        <v>134</v>
      </c>
      <c r="M248" s="292"/>
    </row>
    <row r="249" spans="1:13" ht="15" x14ac:dyDescent="0.2">
      <c r="A249" s="17">
        <f t="shared" si="72"/>
        <v>2025</v>
      </c>
      <c r="B249" s="18" t="s">
        <v>11</v>
      </c>
      <c r="C249" s="310">
        <f>(1.0101*156.1)/121.5*125.8</f>
        <v>163.25693446913579</v>
      </c>
      <c r="D249" s="247">
        <v>288.89999999999998</v>
      </c>
      <c r="E249" s="145">
        <f>131/99.8*120.8</f>
        <v>158.56513026052104</v>
      </c>
      <c r="F249" s="130">
        <f>+F$173*(123.5/103.6)/113.8*112.9</f>
        <v>124.21140655382972</v>
      </c>
      <c r="G249" s="100">
        <v>2.69</v>
      </c>
      <c r="H249" s="53">
        <f t="shared" ref="H249" si="74">100+((C249-$C$40)/$C$40*100*$C$2)+((D249-$D$40)/$D$40*100*$D$2)+((E249-$E$40)/$E$40*100*$E$2)+((F249-$F$40)/$F$40*100*$F$2)+((G249-$G$40)/$G$40*100*$G$2)</f>
        <v>150.46947318144126</v>
      </c>
      <c r="M249" s="292"/>
    </row>
    <row r="250" spans="1:13" ht="15" x14ac:dyDescent="0.2">
      <c r="A250" s="10">
        <f t="shared" si="72"/>
        <v>2025</v>
      </c>
      <c r="B250" t="s">
        <v>12</v>
      </c>
      <c r="C250" s="310">
        <f t="shared" ref="C250:C251" si="75">(1.0101*156.1)/121.5*125.8</f>
        <v>163.25693446913579</v>
      </c>
      <c r="D250" s="147">
        <v>289.39999999999998</v>
      </c>
      <c r="E250" s="145">
        <f>131/99.8*120.2</f>
        <v>157.77755511022045</v>
      </c>
      <c r="F250" s="130">
        <f>+F$173*(123.5/103.6)/113.8*112.8</f>
        <v>124.10138759319744</v>
      </c>
      <c r="G250" s="100">
        <v>2.75</v>
      </c>
      <c r="H250" s="53">
        <f t="shared" ref="H250" si="76">100+((C250-$C$40)/$C$40*100*$C$2)+((D250-$D$40)/$D$40*100*$D$2)+((E250-$E$40)/$E$40*100*$E$2)+((F250-$F$40)/$F$40*100*$F$2)+((G250-$G$40)/$G$40*100*$G$2)</f>
        <v>150.53972059733272</v>
      </c>
      <c r="M250" s="292"/>
    </row>
    <row r="251" spans="1:13" ht="15" x14ac:dyDescent="0.2">
      <c r="A251" s="12">
        <f t="shared" si="72"/>
        <v>2025</v>
      </c>
      <c r="B251" s="13" t="s">
        <v>13</v>
      </c>
      <c r="C251" s="312">
        <f t="shared" si="75"/>
        <v>163.25693446913579</v>
      </c>
      <c r="D251" s="248">
        <v>289.60000000000002</v>
      </c>
      <c r="E251" s="135">
        <f>131/99.8*120.3</f>
        <v>157.90881763527054</v>
      </c>
      <c r="F251" s="132">
        <f>+F$173*(123.5/103.6)/113.8*114.6</f>
        <v>126.08172888457825</v>
      </c>
      <c r="G251" s="102">
        <v>2.61</v>
      </c>
      <c r="H251" s="114">
        <f t="shared" ref="H251" si="77">100+((C251-$C$40)/$C$40*100*$C$2)+((D251-$D$40)/$D$40*100*$D$2)+((E251-$E$40)/$E$40*100*$E$2)+((F251-$F$40)/$F$40*100*$F$2)+((G251-$G$40)/$G$40*100*$G$2)</f>
        <v>150.58007504455847</v>
      </c>
      <c r="M251" s="292"/>
    </row>
    <row r="252" spans="1:13" ht="15" x14ac:dyDescent="0.2">
      <c r="A252" s="17">
        <f t="shared" si="72"/>
        <v>2025</v>
      </c>
      <c r="B252" s="212" t="s">
        <v>30</v>
      </c>
      <c r="C252" s="310">
        <f>(1.0101*156.1)/121.5*126.3</f>
        <v>163.90580940740739</v>
      </c>
      <c r="D252" s="147">
        <v>285.10000000000002</v>
      </c>
      <c r="E252" s="145">
        <f>131/99.8*120.4</f>
        <v>158.04008016032066</v>
      </c>
      <c r="F252" s="130">
        <f>+F$173*(123.5/103.6)/113.8*114.9</f>
        <v>126.41178576647506</v>
      </c>
      <c r="G252" s="100">
        <v>2.67</v>
      </c>
      <c r="H252" s="53">
        <f t="shared" ref="H252" si="78">100+((C252-$C$40)/$C$40*100*$C$2)+((D252-$D$40)/$D$40*100*$D$2)+((E252-$E$40)/$E$40*100*$E$2)+((F252-$F$40)/$F$40*100*$F$2)+((G252-$G$40)/$G$40*100*$G$2)</f>
        <v>150.51801097057162</v>
      </c>
      <c r="M252" s="292"/>
    </row>
    <row r="253" spans="1:13" ht="15" x14ac:dyDescent="0.2">
      <c r="A253" s="10">
        <f t="shared" si="72"/>
        <v>2025</v>
      </c>
      <c r="B253" t="s">
        <v>14</v>
      </c>
      <c r="C253" s="310">
        <f t="shared" ref="C253:C254" si="79">(1.0101*156.1)/121.5*126.3</f>
        <v>163.90580940740739</v>
      </c>
      <c r="D253" s="247">
        <v>291.10000000000002</v>
      </c>
      <c r="E253" s="145">
        <f>131/99.8*120.7</f>
        <v>158.43386773547095</v>
      </c>
      <c r="F253" s="130">
        <f>+F$173*(123.5/103.6)/113.8*114.4</f>
        <v>125.86169096331372</v>
      </c>
      <c r="G253" s="100">
        <v>2.75</v>
      </c>
      <c r="H253" s="53">
        <f t="shared" ref="H253" si="80">100+((C253-$C$40)/$C$40*100*$C$2)+((D253-$D$40)/$D$40*100*$D$2)+((E253-$E$40)/$E$40*100*$E$2)+((F253-$F$40)/$F$40*100*$F$2)+((G253-$G$40)/$G$40*100*$G$2)</f>
        <v>151.3092137856332</v>
      </c>
      <c r="M253" s="292"/>
    </row>
    <row r="254" spans="1:13" ht="15" x14ac:dyDescent="0.2">
      <c r="A254" s="12">
        <f t="shared" si="72"/>
        <v>2025</v>
      </c>
      <c r="B254" s="13" t="s">
        <v>15</v>
      </c>
      <c r="C254" s="312">
        <f t="shared" si="79"/>
        <v>163.90580940740739</v>
      </c>
      <c r="D254" s="107">
        <f t="shared" ref="D253:D269" si="81">D253</f>
        <v>291.10000000000002</v>
      </c>
      <c r="E254" s="107">
        <f t="shared" ref="E253:E257" si="82">E253*(1+(((SUM(E$234:E$245)-SUM(E$222:E$233))/SUM(E$222:E$233))/12))</f>
        <v>158.59079807895745</v>
      </c>
      <c r="F254" s="107">
        <f t="shared" ref="F253:F257" si="83">F253*(1+(((SUM(F$234:F$245)-SUM(F$222:F$233))/SUM(F$222:F$233))/12))</f>
        <v>125.86737731422018</v>
      </c>
      <c r="G254" s="70">
        <f t="shared" ref="G253:G269" si="84">+G253</f>
        <v>2.75</v>
      </c>
      <c r="H254" s="256">
        <f t="shared" ref="H253:H258" si="85">100+((C254-$C$40)/$C$40*100*$C$2)+((D254-$D$40)/$D$40*100*$D$2)+((E254-$E$40)/$E$40*100*$E$2)+((F254-$F$40)/$F$40*100*$F$2)+((G254-$G$40)/$G$40*100*$G$2)</f>
        <v>151.32061047602579</v>
      </c>
      <c r="M254" s="292"/>
    </row>
    <row r="255" spans="1:13" ht="15" x14ac:dyDescent="0.2">
      <c r="A255" s="10">
        <f t="shared" si="72"/>
        <v>2025</v>
      </c>
      <c r="B255" t="s">
        <v>16</v>
      </c>
      <c r="C255" s="106">
        <f t="shared" ref="C255:C257" si="86">C252*(1+(((SUM(C$234:C$245)-SUM(C$222:C$233))/SUM(C$222:C$233))/4))</f>
        <v>165.65680797453865</v>
      </c>
      <c r="D255" s="106">
        <f t="shared" si="81"/>
        <v>291.10000000000002</v>
      </c>
      <c r="E255" s="106">
        <f t="shared" si="82"/>
        <v>158.74788386353151</v>
      </c>
      <c r="F255" s="106">
        <f t="shared" si="83"/>
        <v>125.87306392203234</v>
      </c>
      <c r="G255" s="69">
        <f t="shared" si="84"/>
        <v>2.75</v>
      </c>
      <c r="H255" s="255">
        <f t="shared" si="85"/>
        <v>152.29942047998966</v>
      </c>
      <c r="M255" s="292"/>
    </row>
    <row r="256" spans="1:13" ht="15" x14ac:dyDescent="0.2">
      <c r="A256" s="10">
        <f t="shared" si="72"/>
        <v>2025</v>
      </c>
      <c r="B256" t="s">
        <v>17</v>
      </c>
      <c r="C256" s="106">
        <f t="shared" si="86"/>
        <v>165.65680797453865</v>
      </c>
      <c r="D256" s="106">
        <f t="shared" si="81"/>
        <v>291.10000000000002</v>
      </c>
      <c r="E256" s="106">
        <f t="shared" si="82"/>
        <v>158.90512524315909</v>
      </c>
      <c r="F256" s="106">
        <f t="shared" si="83"/>
        <v>125.87875078676183</v>
      </c>
      <c r="G256" s="69">
        <f t="shared" si="84"/>
        <v>2.75</v>
      </c>
      <c r="H256" s="255">
        <f t="shared" si="85"/>
        <v>152.31083876163629</v>
      </c>
      <c r="M256" s="292"/>
    </row>
    <row r="257" spans="1:13" ht="15.75" thickBot="1" x14ac:dyDescent="0.25">
      <c r="A257" s="29">
        <f t="shared" si="72"/>
        <v>2025</v>
      </c>
      <c r="B257" s="30" t="s">
        <v>18</v>
      </c>
      <c r="C257" s="289">
        <f t="shared" si="86"/>
        <v>165.65680797453865</v>
      </c>
      <c r="D257" s="289">
        <f t="shared" si="81"/>
        <v>291.10000000000002</v>
      </c>
      <c r="E257" s="289">
        <f t="shared" si="82"/>
        <v>159.06252237195866</v>
      </c>
      <c r="F257" s="289">
        <f t="shared" si="83"/>
        <v>125.88443790842022</v>
      </c>
      <c r="G257" s="290">
        <f t="shared" si="84"/>
        <v>2.75</v>
      </c>
      <c r="H257" s="291">
        <f t="shared" si="85"/>
        <v>152.32226785491858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167.1438149232516</v>
      </c>
      <c r="D258" s="106">
        <f t="shared" si="81"/>
        <v>291.10000000000002</v>
      </c>
      <c r="E258" s="106">
        <f>E257*(1+(((SUM(E$246:E$257)-SUM(E$234:E$245))/SUM(E$234:E$245))/12))</f>
        <v>159.27133813473995</v>
      </c>
      <c r="F258" s="106">
        <f>F257*(1+(((SUM(F$246:F$257)-SUM(F$234:F$245))/SUM(F$234:F$245))/12))</f>
        <v>125.94023026904063</v>
      </c>
      <c r="G258" s="69">
        <f t="shared" si="84"/>
        <v>2.75</v>
      </c>
      <c r="H258" s="296">
        <f t="shared" si="85"/>
        <v>153.16345336433236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87">C256*(1+(((SUM(C$246:C$257)-SUM(C$234:C$245))/SUM(C$234:C$245))/4))</f>
        <v>167.1438149232516</v>
      </c>
      <c r="D259" s="106">
        <f t="shared" si="81"/>
        <v>291.10000000000002</v>
      </c>
      <c r="E259" s="106">
        <f t="shared" ref="E259:E269" si="88">E258*(1+(((SUM(E$246:E$257)-SUM(E$234:E$245))/SUM(E$234:E$245))/12))</f>
        <v>159.48042802886366</v>
      </c>
      <c r="F259" s="106">
        <f t="shared" ref="F259:F269" si="89">F258*(1+(((SUM(F$246:F$257)-SUM(F$234:F$245))/SUM(F$234:F$245))/12))</f>
        <v>125.99604735700267</v>
      </c>
      <c r="G259" s="69">
        <f t="shared" si="84"/>
        <v>2.75</v>
      </c>
      <c r="H259" s="296">
        <f t="shared" ref="H259:H269" si="90">100+((C259-$C$40)/$C$40*100*$C$2)+((D259-$D$40)/$D$40*100*$D$2)+((E259-$E$40)/$E$40*100*$E$2)+((F259-$F$40)/$F$40*100*$F$2)+((G259-$G$40)/$G$40*100*$G$2)</f>
        <v>153.18310935273115</v>
      </c>
      <c r="M259" s="292"/>
    </row>
    <row r="260" spans="1:13" ht="15" x14ac:dyDescent="0.2">
      <c r="A260" s="12">
        <f t="shared" ref="A260:A269" si="91">A259</f>
        <v>2026</v>
      </c>
      <c r="B260" s="13" t="s">
        <v>10</v>
      </c>
      <c r="C260" s="107">
        <f t="shared" si="87"/>
        <v>167.1438149232516</v>
      </c>
      <c r="D260" s="107">
        <f t="shared" si="81"/>
        <v>291.10000000000002</v>
      </c>
      <c r="E260" s="107">
        <f t="shared" si="88"/>
        <v>159.68979241420678</v>
      </c>
      <c r="F260" s="107">
        <f t="shared" si="89"/>
        <v>126.05188918326559</v>
      </c>
      <c r="G260" s="70">
        <f t="shared" si="84"/>
        <v>2.75</v>
      </c>
      <c r="H260" s="297">
        <f t="shared" si="90"/>
        <v>153.20278664645119</v>
      </c>
      <c r="M260" s="292"/>
    </row>
    <row r="261" spans="1:13" ht="15" x14ac:dyDescent="0.2">
      <c r="A261" s="17">
        <f t="shared" si="91"/>
        <v>2026</v>
      </c>
      <c r="B261" s="18" t="s">
        <v>11</v>
      </c>
      <c r="C261" s="106">
        <f t="shared" si="87"/>
        <v>168.64416988761545</v>
      </c>
      <c r="D261" s="108">
        <f t="shared" si="81"/>
        <v>291.10000000000002</v>
      </c>
      <c r="E261" s="106">
        <f t="shared" si="88"/>
        <v>159.89943165111879</v>
      </c>
      <c r="F261" s="106">
        <f t="shared" si="89"/>
        <v>126.10775575879347</v>
      </c>
      <c r="G261" s="105">
        <f t="shared" si="84"/>
        <v>2.75</v>
      </c>
      <c r="H261" s="296">
        <f t="shared" si="90"/>
        <v>154.05141066614414</v>
      </c>
      <c r="M261" s="292"/>
    </row>
    <row r="262" spans="1:13" ht="15" x14ac:dyDescent="0.2">
      <c r="A262" s="10">
        <f t="shared" si="91"/>
        <v>2026</v>
      </c>
      <c r="B262" t="s">
        <v>12</v>
      </c>
      <c r="C262" s="106">
        <f t="shared" si="87"/>
        <v>168.64416988761545</v>
      </c>
      <c r="D262" s="106">
        <f t="shared" si="81"/>
        <v>291.10000000000002</v>
      </c>
      <c r="E262" s="106">
        <f t="shared" si="88"/>
        <v>160.10934610042221</v>
      </c>
      <c r="F262" s="106">
        <f t="shared" si="89"/>
        <v>126.16364709455527</v>
      </c>
      <c r="G262" s="69">
        <f t="shared" si="84"/>
        <v>2.75</v>
      </c>
      <c r="H262" s="296">
        <f t="shared" si="90"/>
        <v>154.07113064846641</v>
      </c>
      <c r="M262" s="292"/>
    </row>
    <row r="263" spans="1:13" ht="15" x14ac:dyDescent="0.2">
      <c r="A263" s="12">
        <f t="shared" si="91"/>
        <v>2026</v>
      </c>
      <c r="B263" s="13" t="s">
        <v>13</v>
      </c>
      <c r="C263" s="107">
        <f t="shared" si="87"/>
        <v>168.64416988761545</v>
      </c>
      <c r="D263" s="107">
        <f t="shared" si="81"/>
        <v>291.10000000000002</v>
      </c>
      <c r="E263" s="107">
        <f t="shared" si="88"/>
        <v>160.31953612341323</v>
      </c>
      <c r="F263" s="107">
        <f t="shared" si="89"/>
        <v>126.21956320152479</v>
      </c>
      <c r="G263" s="70">
        <f t="shared" si="84"/>
        <v>2.75</v>
      </c>
      <c r="H263" s="297">
        <f t="shared" si="90"/>
        <v>154.09087201413612</v>
      </c>
      <c r="M263" s="292"/>
    </row>
    <row r="264" spans="1:13" ht="15" x14ac:dyDescent="0.2">
      <c r="A264" s="17">
        <f t="shared" si="91"/>
        <v>2026</v>
      </c>
      <c r="B264" s="212" t="s">
        <v>30</v>
      </c>
      <c r="C264" s="106">
        <f t="shared" si="87"/>
        <v>170.15799268517506</v>
      </c>
      <c r="D264" s="106">
        <f t="shared" si="81"/>
        <v>291.10000000000002</v>
      </c>
      <c r="E264" s="106">
        <f t="shared" si="88"/>
        <v>160.53000208186236</v>
      </c>
      <c r="F264" s="106">
        <f t="shared" si="89"/>
        <v>126.27550409068071</v>
      </c>
      <c r="G264" s="69">
        <f t="shared" si="84"/>
        <v>2.75</v>
      </c>
      <c r="H264" s="296">
        <f t="shared" si="90"/>
        <v>154.94700097572559</v>
      </c>
      <c r="M264" s="292"/>
    </row>
    <row r="265" spans="1:13" ht="15" x14ac:dyDescent="0.2">
      <c r="A265" s="10">
        <f t="shared" si="91"/>
        <v>2026</v>
      </c>
      <c r="B265" t="s">
        <v>14</v>
      </c>
      <c r="C265" s="106">
        <f t="shared" si="87"/>
        <v>170.15799268517506</v>
      </c>
      <c r="D265" s="106">
        <f t="shared" si="81"/>
        <v>291.10000000000002</v>
      </c>
      <c r="E265" s="106">
        <f t="shared" si="88"/>
        <v>160.74074433801505</v>
      </c>
      <c r="F265" s="106">
        <f t="shared" si="89"/>
        <v>126.33146977300656</v>
      </c>
      <c r="G265" s="69">
        <f t="shared" si="84"/>
        <v>2.75</v>
      </c>
      <c r="H265" s="296">
        <f t="shared" si="90"/>
        <v>154.96678518634945</v>
      </c>
      <c r="M265" s="292"/>
    </row>
    <row r="266" spans="1:13" ht="15" x14ac:dyDescent="0.2">
      <c r="A266" s="12">
        <f t="shared" si="91"/>
        <v>2026</v>
      </c>
      <c r="B266" s="13" t="s">
        <v>15</v>
      </c>
      <c r="C266" s="107">
        <f t="shared" si="87"/>
        <v>170.15799268517506</v>
      </c>
      <c r="D266" s="107">
        <f t="shared" si="81"/>
        <v>291.10000000000002</v>
      </c>
      <c r="E266" s="107">
        <f t="shared" si="88"/>
        <v>160.95176325459229</v>
      </c>
      <c r="F266" s="107">
        <f t="shared" si="89"/>
        <v>126.38746025949075</v>
      </c>
      <c r="G266" s="70">
        <f t="shared" si="84"/>
        <v>2.75</v>
      </c>
      <c r="H266" s="297">
        <f t="shared" si="90"/>
        <v>154.98659085864671</v>
      </c>
      <c r="M266" s="292"/>
    </row>
    <row r="267" spans="1:13" ht="15" x14ac:dyDescent="0.2">
      <c r="A267" s="10">
        <f t="shared" si="91"/>
        <v>2026</v>
      </c>
      <c r="B267" t="s">
        <v>16</v>
      </c>
      <c r="C267" s="106">
        <f t="shared" si="87"/>
        <v>171.68540420900928</v>
      </c>
      <c r="D267" s="106">
        <f t="shared" si="81"/>
        <v>291.10000000000002</v>
      </c>
      <c r="E267" s="106">
        <f t="shared" si="88"/>
        <v>161.16305919479126</v>
      </c>
      <c r="F267" s="106">
        <f t="shared" si="89"/>
        <v>126.44347556112656</v>
      </c>
      <c r="G267" s="69">
        <f t="shared" si="84"/>
        <v>2.75</v>
      </c>
      <c r="H267" s="296">
        <f t="shared" si="90"/>
        <v>155.85029178886703</v>
      </c>
      <c r="M267" s="292"/>
    </row>
    <row r="268" spans="1:13" ht="15" x14ac:dyDescent="0.2">
      <c r="A268" s="10">
        <f t="shared" si="91"/>
        <v>2026</v>
      </c>
      <c r="B268" t="s">
        <v>17</v>
      </c>
      <c r="C268" s="106">
        <f t="shared" si="87"/>
        <v>171.68540420900928</v>
      </c>
      <c r="D268" s="106">
        <f t="shared" si="81"/>
        <v>291.10000000000002</v>
      </c>
      <c r="E268" s="106">
        <f t="shared" si="88"/>
        <v>161.37463252228591</v>
      </c>
      <c r="F268" s="106">
        <f t="shared" si="89"/>
        <v>126.49951568891214</v>
      </c>
      <c r="G268" s="69">
        <f t="shared" si="84"/>
        <v>2.75</v>
      </c>
      <c r="H268" s="296">
        <f t="shared" si="90"/>
        <v>155.87014046307098</v>
      </c>
      <c r="M268" s="292"/>
    </row>
    <row r="269" spans="1:13" ht="15" x14ac:dyDescent="0.2">
      <c r="A269" s="10">
        <f t="shared" si="91"/>
        <v>2026</v>
      </c>
      <c r="B269" s="299" t="s">
        <v>18</v>
      </c>
      <c r="C269" s="294">
        <f t="shared" si="87"/>
        <v>171.68540420900928</v>
      </c>
      <c r="D269" s="294">
        <f t="shared" si="81"/>
        <v>291.10000000000002</v>
      </c>
      <c r="E269" s="294">
        <f t="shared" si="88"/>
        <v>161.58648360122763</v>
      </c>
      <c r="F269" s="294">
        <f t="shared" si="89"/>
        <v>126.55558065385051</v>
      </c>
      <c r="G269" s="295">
        <f t="shared" si="84"/>
        <v>2.75</v>
      </c>
      <c r="H269" s="296">
        <f t="shared" si="90"/>
        <v>155.89001067757519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87</v>
      </c>
      <c r="B273" s="142" t="s">
        <v>112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113</v>
      </c>
      <c r="B274" s="142" t="s">
        <v>114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42" t="s">
        <v>135</v>
      </c>
      <c r="B275" s="142" t="s">
        <v>136</v>
      </c>
      <c r="C275" s="142"/>
      <c r="D275" s="142"/>
      <c r="E275" s="142"/>
      <c r="F275" s="142"/>
      <c r="G275" s="142"/>
      <c r="H275" s="143"/>
      <c r="I275" s="142"/>
      <c r="J275" s="142"/>
    </row>
    <row r="276" spans="1:10" x14ac:dyDescent="0.2">
      <c r="A276" s="137" t="s">
        <v>69</v>
      </c>
      <c r="B276" s="138" t="s">
        <v>128</v>
      </c>
      <c r="C276" s="138"/>
      <c r="D276" s="138"/>
      <c r="E276" s="138"/>
      <c r="F276" s="138"/>
      <c r="G276" s="138"/>
      <c r="H276" s="138"/>
      <c r="I276" s="138"/>
      <c r="J276" s="138"/>
    </row>
    <row r="277" spans="1:10" x14ac:dyDescent="0.2">
      <c r="A277" s="138" t="s">
        <v>127</v>
      </c>
      <c r="B277" s="138"/>
    </row>
    <row r="278" spans="1:10" ht="18.75" customHeight="1" x14ac:dyDescent="0.2">
      <c r="A278" s="311" t="s">
        <v>131</v>
      </c>
      <c r="B278" s="313" t="s">
        <v>133</v>
      </c>
      <c r="C278" s="313"/>
      <c r="D278" s="313"/>
      <c r="E278" s="313"/>
      <c r="F278" s="313"/>
      <c r="G278" s="313"/>
      <c r="H278" s="313"/>
      <c r="I278" s="313"/>
      <c r="J278" s="313"/>
    </row>
  </sheetData>
  <mergeCells count="1">
    <mergeCell ref="B278:J278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45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26" zoomScale="110" zoomScaleNormal="100" zoomScaleSheetLayoutView="110" workbookViewId="0">
      <selection activeCell="D254" sqref="D254"/>
    </sheetView>
  </sheetViews>
  <sheetFormatPr defaultRowHeight="12.75" x14ac:dyDescent="0.2"/>
  <cols>
    <col min="2" max="2" width="9.5703125" customWidth="1"/>
    <col min="3" max="3" width="14.710937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ht="13.5" thickBot="1" x14ac:dyDescent="0.25">
      <c r="A3" s="2" t="s">
        <v>1</v>
      </c>
      <c r="B3" s="2" t="s">
        <v>2</v>
      </c>
      <c r="C3" s="116" t="s">
        <v>137</v>
      </c>
      <c r="D3" s="120" t="s">
        <v>116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0.61574099915769154</v>
      </c>
      <c r="D241" s="59">
        <f>+('Indeks '!D243/'Indeks '!D$187*'Indeks '!D$184)/('Indeks '!H243/'Indeks '!H$187)</f>
        <v>0.20431025742549064</v>
      </c>
      <c r="E241" s="59">
        <f>+('Indeks '!E243/'Indeks '!E$187*'Indeks '!E$184)/('Indeks '!H243/'Indeks '!H$187)</f>
        <v>7.4221739023886124E-2</v>
      </c>
      <c r="F241" s="59">
        <f>+('Indeks '!F243/'Indeks '!F$187*'Indeks '!F$184)/('Indeks '!H243/'Indeks '!H$187)</f>
        <v>7.9474264505271175E-2</v>
      </c>
      <c r="G241" s="59">
        <f>+('Indeks '!G243/'Indeks '!G$187*'Indeks '!G$184)/('Indeks '!H243/'Indeks '!H$187)</f>
        <v>2.6252739887660456E-2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0.61776134617842537</v>
      </c>
      <c r="D242" s="59">
        <f>+('Indeks '!D244/'Indeks '!D$187*'Indeks '!D$184)/('Indeks '!H244/'Indeks '!H$187)</f>
        <v>0.20399986424946034</v>
      </c>
      <c r="E242" s="59">
        <f>+('Indeks '!E244/'Indeks '!E$187*'Indeks '!E$184)/('Indeks '!H244/'Indeks '!H$187)</f>
        <v>7.4215598693031043E-2</v>
      </c>
      <c r="F242" s="59">
        <f>+('Indeks '!F244/'Indeks '!F$187*'Indeks '!F$184)/('Indeks '!H244/'Indeks '!H$187)</f>
        <v>7.9670522033628483E-2</v>
      </c>
      <c r="G242" s="59">
        <f>+('Indeks '!G244/'Indeks '!G$187*'Indeks '!G$184)/('Indeks '!H244/'Indeks '!H$187)</f>
        <v>2.4352668845454443E-2</v>
      </c>
      <c r="H242" s="59">
        <f t="shared" si="30"/>
        <v>0.99999999999999967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0.60403389998339163</v>
      </c>
      <c r="D243" s="60">
        <f>+('Indeks '!D245/'Indeks '!D$187*'Indeks '!D$184)/('Indeks '!H245/'Indeks '!H$187)</f>
        <v>0.22096374170742156</v>
      </c>
      <c r="E243" s="60"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v>7.7521679043983216E-2</v>
      </c>
      <c r="G243" s="60">
        <f>+('Indeks '!G245/'Indeks '!G$187*'Indeks '!G$184)/('Indeks '!H245/'Indeks '!H$187)</f>
        <v>2.4487025591651192E-2</v>
      </c>
      <c r="H243" s="60">
        <f t="shared" si="30"/>
        <v>0.99999999999999967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0.58963651600986355</v>
      </c>
      <c r="D244" s="59">
        <f>+('Indeks '!D246/'Indeks '!D$187*'Indeks '!D$184)/('Indeks '!H246/'Indeks '!H$187)</f>
        <v>0.24039830258955791</v>
      </c>
      <c r="E244" s="59">
        <f>+('Indeks '!E246/'Indeks '!E$187*'Indeks '!E$184)/('Indeks '!H246/'Indeks '!H$187)</f>
        <v>7.1471107042234153E-2</v>
      </c>
      <c r="F244" s="59">
        <f>+('Indeks '!F246/'Indeks '!F$187*'Indeks '!F$184)/('Indeks '!H246/'Indeks '!H$187)</f>
        <v>7.6345303544355078E-2</v>
      </c>
      <c r="G244" s="59">
        <f>+('Indeks '!G246/'Indeks '!G$187*'Indeks '!G$184)/('Indeks '!H246/'Indeks '!H$187)</f>
        <v>2.2148770813989308E-2</v>
      </c>
      <c r="H244" s="59">
        <f t="shared" ref="H244:H255" si="32">SUM(C244:G244)</f>
        <v>1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0.59425885981163629</v>
      </c>
      <c r="D245" s="59">
        <f>+('Indeks '!D247/'Indeks '!D$187*'Indeks '!D$184)/('Indeks '!H247/'Indeks '!H$187)</f>
        <v>0.23318340532711121</v>
      </c>
      <c r="E245" s="59">
        <f>+('Indeks '!E247/'Indeks '!E$187*'Indeks '!E$184)/('Indeks '!H247/'Indeks '!H$187)</f>
        <v>7.1850104192161757E-2</v>
      </c>
      <c r="F245" s="59">
        <f>+('Indeks '!F247/'Indeks '!F$187*'Indeks '!F$184)/('Indeks '!H247/'Indeks '!H$187)</f>
        <v>7.7131161237908988E-2</v>
      </c>
      <c r="G245" s="59">
        <f>+('Indeks '!G247/'Indeks '!G$187*'Indeks '!G$184)/('Indeks '!H247/'Indeks '!H$187)</f>
        <v>2.3576469431181944E-2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60">
        <f>+('Indeks '!C248/'Indeks '!C$187*'Indeks '!C$184)/('Indeks '!H248/'Indeks '!H$187)</f>
        <v>0.59743364994837622</v>
      </c>
      <c r="D246" s="60">
        <f>+('Indeks '!D248/'Indeks '!D$187*'Indeks '!D$184)/('Indeks '!H248/'Indeks '!H$187)</f>
        <v>0.22989491329348921</v>
      </c>
      <c r="E246" s="60">
        <f>+('Indeks '!E248/'Indeks '!E$187*'Indeks '!E$184)/('Indeks '!H248/'Indeks '!H$187)</f>
        <v>7.2659221804758492E-2</v>
      </c>
      <c r="F246" s="60">
        <f>+('Indeks '!F248/'Indeks '!F$187*'Indeks '!F$184)/('Indeks '!H248/'Indeks '!H$187)</f>
        <v>7.7066250114106921E-2</v>
      </c>
      <c r="G246" s="60">
        <f>+('Indeks '!G248/'Indeks '!G$187*'Indeks '!G$184)/('Indeks '!H248/'Indeks '!H$187)</f>
        <v>2.2945964839269195E-2</v>
      </c>
      <c r="H246" s="60">
        <f t="shared" si="32"/>
        <v>1</v>
      </c>
    </row>
    <row r="247" spans="1:8" x14ac:dyDescent="0.2">
      <c r="A247" s="17">
        <f t="shared" si="33"/>
        <v>2025</v>
      </c>
      <c r="B247" s="18" t="s">
        <v>11</v>
      </c>
      <c r="C247" s="59">
        <f>+('Indeks '!C249/'Indeks '!C$187*'Indeks '!C$184)/('Indeks '!H249/'Indeks '!H$187)</f>
        <v>0.59943854030378985</v>
      </c>
      <c r="D247" s="59">
        <f>+('Indeks '!D249/'Indeks '!D$187*'Indeks '!D$184)/('Indeks '!H249/'Indeks '!H$187)</f>
        <v>0.22857033001893384</v>
      </c>
      <c r="E247" s="59">
        <f>+('Indeks '!E249/'Indeks '!E$187*'Indeks '!E$184)/('Indeks '!H249/'Indeks '!H$187)</f>
        <v>7.2990660052271047E-2</v>
      </c>
      <c r="F247" s="59">
        <f>+('Indeks '!F249/'Indeks '!F$187*'Indeks '!F$184)/('Indeks '!H249/'Indeks '!H$187)</f>
        <v>7.6513198770657001E-2</v>
      </c>
      <c r="G247" s="59">
        <f>+('Indeks '!G249/'Indeks '!G$187*'Indeks '!G$184)/('Indeks '!H249/'Indeks '!H$187)</f>
        <v>2.2487270854348103E-2</v>
      </c>
      <c r="H247" s="59">
        <f t="shared" si="32"/>
        <v>0.99999999999999989</v>
      </c>
    </row>
    <row r="248" spans="1:8" x14ac:dyDescent="0.2">
      <c r="A248" s="10">
        <f t="shared" si="33"/>
        <v>2025</v>
      </c>
      <c r="B248" t="s">
        <v>12</v>
      </c>
      <c r="C248" s="59">
        <f>+('Indeks '!C250/'Indeks '!C$187*'Indeks '!C$184)/('Indeks '!H250/'Indeks '!H$187)</f>
        <v>0.59915882005271592</v>
      </c>
      <c r="D248" s="59">
        <f>+('Indeks '!D250/'Indeks '!D$187*'Indeks '!D$184)/('Indeks '!H250/'Indeks '!H$187)</f>
        <v>0.22885907331085736</v>
      </c>
      <c r="E248" s="59">
        <f>+('Indeks '!E250/'Indeks '!E$187*'Indeks '!E$184)/('Indeks '!H250/'Indeks '!H$187)</f>
        <v>7.2594232685612173E-2</v>
      </c>
      <c r="F248" s="59">
        <f>+('Indeks '!F250/'Indeks '!F$187*'Indeks '!F$184)/('Indeks '!H250/'Indeks '!H$187)</f>
        <v>7.6409755729724735E-2</v>
      </c>
      <c r="G248" s="59">
        <f>+('Indeks '!G250/'Indeks '!G$187*'Indeks '!G$184)/('Indeks '!H250/'Indeks '!H$187)</f>
        <v>2.2978118221089847E-2</v>
      </c>
      <c r="H248" s="59">
        <f t="shared" si="32"/>
        <v>1</v>
      </c>
    </row>
    <row r="249" spans="1:8" x14ac:dyDescent="0.2">
      <c r="A249" s="12">
        <f t="shared" si="33"/>
        <v>2025</v>
      </c>
      <c r="B249" s="13" t="s">
        <v>13</v>
      </c>
      <c r="C249" s="60">
        <f>+('Indeks '!C251/'Indeks '!C$187*'Indeks '!C$184)/('Indeks '!H251/'Indeks '!H$187)</f>
        <v>0.59899824951922065</v>
      </c>
      <c r="D249" s="60">
        <f>+('Indeks '!D251/'Indeks '!D$187*'Indeks '!D$184)/('Indeks '!H251/'Indeks '!H$187)</f>
        <v>0.22895585930601081</v>
      </c>
      <c r="E249" s="60">
        <f>+('Indeks '!E251/'Indeks '!E$187*'Indeks '!E$184)/('Indeks '!H251/'Indeks '!H$187)</f>
        <v>7.2635156270576623E-2</v>
      </c>
      <c r="F249" s="60">
        <f>+('Indeks '!F251/'Indeks '!F$187*'Indeks '!F$184)/('Indeks '!H251/'Indeks '!H$187)</f>
        <v>7.7608256276438012E-2</v>
      </c>
      <c r="G249" s="60">
        <f>+('Indeks '!G251/'Indeks '!G$187*'Indeks '!G$184)/('Indeks '!H251/'Indeks '!H$187)</f>
        <v>2.1802478627753651E-2</v>
      </c>
      <c r="H249" s="60">
        <f t="shared" si="32"/>
        <v>0.99999999999999967</v>
      </c>
    </row>
    <row r="250" spans="1:8" x14ac:dyDescent="0.2">
      <c r="A250" s="17">
        <f t="shared" si="33"/>
        <v>2025</v>
      </c>
      <c r="B250" s="212" t="s">
        <v>30</v>
      </c>
      <c r="C250" s="59">
        <f>+('Indeks '!C252/'Indeks '!C$187*'Indeks '!C$184)/('Indeks '!H252/'Indeks '!H$187)</f>
        <v>0.60162697620886274</v>
      </c>
      <c r="D250" s="59">
        <f>+('Indeks '!D252/'Indeks '!D$187*'Indeks '!D$184)/('Indeks '!H252/'Indeks '!H$187)</f>
        <v>0.22549112874679189</v>
      </c>
      <c r="E250" s="59">
        <f>+('Indeks '!E252/'Indeks '!E$187*'Indeks '!E$184)/('Indeks '!H252/'Indeks '!H$187)</f>
        <v>7.2725509645910097E-2</v>
      </c>
      <c r="F250" s="59">
        <f>+('Indeks '!F252/'Indeks '!F$187*'Indeks '!F$184)/('Indeks '!H252/'Indeks '!H$187)</f>
        <v>7.7843503741406278E-2</v>
      </c>
      <c r="G250" s="59">
        <f>+('Indeks '!G252/'Indeks '!G$187*'Indeks '!G$184)/('Indeks '!H252/'Indeks '!H$187)</f>
        <v>2.2312881657028855E-2</v>
      </c>
      <c r="H250" s="59">
        <f t="shared" si="32"/>
        <v>0.99999999999999978</v>
      </c>
    </row>
    <row r="251" spans="1:8" x14ac:dyDescent="0.2">
      <c r="A251" s="10">
        <f t="shared" si="33"/>
        <v>2025</v>
      </c>
      <c r="B251" t="s">
        <v>14</v>
      </c>
      <c r="C251" s="59">
        <f>+('Indeks '!C253/'Indeks '!C$187*'Indeks '!C$184)/('Indeks '!H253/'Indeks '!H$187)</f>
        <v>0.59848104117104128</v>
      </c>
      <c r="D251" s="59">
        <f>+('Indeks '!D253/'Indeks '!D$187*'Indeks '!D$184)/('Indeks '!H253/'Indeks '!H$187)</f>
        <v>0.22903272733846147</v>
      </c>
      <c r="E251" s="59">
        <f>+('Indeks '!E253/'Indeks '!E$187*'Indeks '!E$184)/('Indeks '!H253/'Indeks '!H$187)</f>
        <v>7.252548680975307E-2</v>
      </c>
      <c r="F251" s="59">
        <f>+('Indeks '!F253/'Indeks '!F$187*'Indeks '!F$184)/('Indeks '!H253/'Indeks '!H$187)</f>
        <v>7.7099483226064636E-2</v>
      </c>
      <c r="G251" s="59">
        <f>+('Indeks '!G253/'Indeks '!G$187*'Indeks '!G$184)/('Indeks '!H253/'Indeks '!H$187)</f>
        <v>2.2861261454679423E-2</v>
      </c>
      <c r="H251" s="59">
        <f t="shared" si="32"/>
        <v>0.99999999999999978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0.59843596665600596</v>
      </c>
      <c r="D252" s="75">
        <f>+('Indeks '!D254/'Indeks '!D$187*'Indeks '!D$184)/('Indeks '!H254/'Indeks '!H$187)</f>
        <v>0.22901547777097012</v>
      </c>
      <c r="E252" s="75">
        <f>+('Indeks '!E254/'Indeks '!E$187*'Indeks '!E$184)/('Indeks '!H254/'Indeks '!H$187)</f>
        <v>7.2591856378515354E-2</v>
      </c>
      <c r="F252" s="75">
        <f>+('Indeks '!F254/'Indeks '!F$187*'Indeks '!F$184)/('Indeks '!H254/'Indeks '!H$187)</f>
        <v>7.7097159532504803E-2</v>
      </c>
      <c r="G252" s="75">
        <f>+('Indeks '!G254/'Indeks '!G$187*'Indeks '!G$184)/('Indeks '!H254/'Indeks '!H$187)</f>
        <v>2.2859539662003839E-2</v>
      </c>
      <c r="H252" s="75">
        <f t="shared" si="32"/>
        <v>1.0000000000000002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0.6009418685903628</v>
      </c>
      <c r="D253" s="74">
        <f>+('Indeks '!D255/'Indeks '!D$187*'Indeks '!D$184)/('Indeks '!H255/'Indeks '!H$187)</f>
        <v>0.22754362292084448</v>
      </c>
      <c r="E253" s="74">
        <f>+('Indeks '!E255/'Indeks '!E$187*'Indeks '!E$184)/('Indeks '!H255/'Indeks '!H$187)</f>
        <v>7.2196758128129243E-2</v>
      </c>
      <c r="F253" s="74">
        <f>+('Indeks '!F255/'Indeks '!F$187*'Indeks '!F$184)/('Indeks '!H255/'Indeks '!H$187)</f>
        <v>7.660512620258364E-2</v>
      </c>
      <c r="G253" s="74">
        <f>+('Indeks '!G255/'Indeks '!G$187*'Indeks '!G$184)/('Indeks '!H255/'Indeks '!H$187)</f>
        <v>2.2712624158079658E-2</v>
      </c>
      <c r="H253" s="74">
        <f t="shared" si="32"/>
        <v>0.99999999999999978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0.60089681780103887</v>
      </c>
      <c r="D254" s="74">
        <f>+('Indeks '!D256/'Indeks '!D$187*'Indeks '!D$184)/('Indeks '!H256/'Indeks '!H$187)</f>
        <v>0.22752656466553892</v>
      </c>
      <c r="E254" s="74">
        <f>+('Indeks '!E256/'Indeks '!E$187*'Indeks '!E$184)/('Indeks '!H256/'Indeks '!H$187)</f>
        <v>7.226285201201349E-2</v>
      </c>
      <c r="F254" s="74">
        <f>+('Indeks '!F256/'Indeks '!F$187*'Indeks '!F$184)/('Indeks '!H256/'Indeks '!H$187)</f>
        <v>7.6602844059878245E-2</v>
      </c>
      <c r="G254" s="74">
        <f>+('Indeks '!G256/'Indeks '!G$187*'Indeks '!G$184)/('Indeks '!H256/'Indeks '!H$187)</f>
        <v>2.271092146153042E-2</v>
      </c>
      <c r="H254" s="74">
        <f t="shared" si="32"/>
        <v>1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0.60085173111817636</v>
      </c>
      <c r="D255" s="74">
        <f>+('Indeks '!D257/'Indeks '!D$187*'Indeks '!D$184)/('Indeks '!H257/'Indeks '!H$187)</f>
        <v>0.22750949281932509</v>
      </c>
      <c r="E255" s="74">
        <f>+('Indeks '!E257/'Indeks '!E$187*'Indeks '!E$184)/('Indeks '!H257/'Indeks '!H$187)</f>
        <v>7.2329001675464202E-2</v>
      </c>
      <c r="F255" s="74">
        <f>+('Indeks '!F257/'Indeks '!F$187*'Indeks '!F$184)/('Indeks '!H257/'Indeks '!H$187)</f>
        <v>7.6600556978650966E-2</v>
      </c>
      <c r="G255" s="74">
        <f>+('Indeks '!G257/'Indeks '!G$187*'Indeks '!G$184)/('Indeks '!H257/'Indeks '!H$187)</f>
        <v>2.2709217408383327E-2</v>
      </c>
      <c r="H255" s="74">
        <f t="shared" si="32"/>
        <v>0.99999999999999989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0.6029156897449065</v>
      </c>
      <c r="D256" s="74">
        <f>+('Indeks '!D258/'Indeks '!D$187*'Indeks '!D$184)/('Indeks '!H258/'Indeks '!H$187)</f>
        <v>0.22625999312204118</v>
      </c>
      <c r="E256" s="74">
        <f>+('Indeks '!E258/'Indeks '!E$187*'Indeks '!E$184)/('Indeks '!H258/'Indeks '!H$187)</f>
        <v>7.2026196550322941E-2</v>
      </c>
      <c r="F256" s="74">
        <f>+('Indeks '!F258/'Indeks '!F$187*'Indeks '!F$184)/('Indeks '!H258/'Indeks '!H$187)</f>
        <v>7.6213623949403286E-2</v>
      </c>
      <c r="G256" s="74">
        <f>+('Indeks '!G258/'Indeks '!G$187*'Indeks '!G$184)/('Indeks '!H258/'Indeks '!H$187)</f>
        <v>2.2584496633325984E-2</v>
      </c>
      <c r="H256" s="74">
        <f t="shared" ref="H256:H267" si="34">SUM(C256:G256)</f>
        <v>0.99999999999999978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0.60283832544636762</v>
      </c>
      <c r="D257" s="74">
        <f>+('Indeks '!D259/'Indeks '!D$187*'Indeks '!D$184)/('Indeks '!H259/'Indeks '!H$187)</f>
        <v>0.22623096013127139</v>
      </c>
      <c r="E257" s="74">
        <f>+('Indeks '!E259/'Indeks '!E$187*'Indeks '!E$184)/('Indeks '!H259/'Indeks '!H$187)</f>
        <v>7.2111497539971287E-2</v>
      </c>
      <c r="F257" s="74">
        <f>+('Indeks '!F259/'Indeks '!F$187*'Indeks '!F$184)/('Indeks '!H259/'Indeks '!H$187)</f>
        <v>7.6237618222643577E-2</v>
      </c>
      <c r="G257" s="74">
        <f>+('Indeks '!G259/'Indeks '!G$187*'Indeks '!G$184)/('Indeks '!H259/'Indeks '!H$187)</f>
        <v>2.2581598659745912E-2</v>
      </c>
      <c r="H257" s="74">
        <f t="shared" si="34"/>
        <v>0.99999999999999978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0.60276089717593495</v>
      </c>
      <c r="D258" s="75">
        <f>+('Indeks '!D260/'Indeks '!D$187*'Indeks '!D$184)/('Indeks '!H260/'Indeks '!H$187)</f>
        <v>0.22620190313336352</v>
      </c>
      <c r="E258" s="75">
        <f>+('Indeks '!E260/'Indeks '!E$187*'Indeks '!E$184)/('Indeks '!H260/'Indeks '!H$187)</f>
        <v>7.2196890700608363E-2</v>
      </c>
      <c r="F258" s="75">
        <f>+('Indeks '!F260/'Indeks '!F$187*'Indeks '!F$184)/('Indeks '!H260/'Indeks '!H$187)</f>
        <v>7.626161070023732E-2</v>
      </c>
      <c r="G258" s="75">
        <f>+('Indeks '!G260/'Indeks '!G$187*'Indeks '!G$184)/('Indeks '!H260/'Indeks '!H$187)</f>
        <v>2.2578698289855634E-2</v>
      </c>
      <c r="H258" s="75">
        <f t="shared" si="34"/>
        <v>0.99999999999999978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0.60482130037398718</v>
      </c>
      <c r="D259" s="74">
        <f>+('Indeks '!D261/'Indeks '!D$187*'Indeks '!D$184)/('Indeks '!H261/'Indeks '!H$187)</f>
        <v>0.22495582322102023</v>
      </c>
      <c r="E259" s="74">
        <f>+('Indeks '!E261/'Indeks '!E$187*'Indeks '!E$184)/('Indeks '!H261/'Indeks '!H$187)</f>
        <v>7.1893436491603735E-2</v>
      </c>
      <c r="F259" s="74">
        <f>+('Indeks '!F261/'Indeks '!F$187*'Indeks '!F$184)/('Indeks '!H261/'Indeks '!H$187)</f>
        <v>7.5875121047384461E-2</v>
      </c>
      <c r="G259" s="74">
        <f>+('Indeks '!G261/'Indeks '!G$187*'Indeks '!G$184)/('Indeks '!H261/'Indeks '!H$187)</f>
        <v>2.2454318866004099E-2</v>
      </c>
      <c r="H259" s="74">
        <f t="shared" si="34"/>
        <v>0.99999999999999978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0.60474388765363318</v>
      </c>
      <c r="D260" s="74">
        <f>+('Indeks '!D262/'Indeks '!D$187*'Indeks '!D$184)/('Indeks '!H262/'Indeks '!H$187)</f>
        <v>0.22492703051444021</v>
      </c>
      <c r="E260" s="74">
        <f>+('Indeks '!E262/'Indeks '!E$187*'Indeks '!E$184)/('Indeks '!H262/'Indeks '!H$187)</f>
        <v>7.1978603593345319E-2</v>
      </c>
      <c r="F260" s="74">
        <f>+('Indeks '!F262/'Indeks '!F$187*'Indeks '!F$184)/('Indeks '!H262/'Indeks '!H$187)</f>
        <v>7.5899033361813001E-2</v>
      </c>
      <c r="G260" s="74">
        <f>+('Indeks '!G262/'Indeks '!G$187*'Indeks '!G$184)/('Indeks '!H262/'Indeks '!H$187)</f>
        <v>2.2451444876767875E-2</v>
      </c>
      <c r="H260" s="74">
        <f t="shared" si="34"/>
        <v>0.99999999999999956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0.60466641083708561</v>
      </c>
      <c r="D261" s="75">
        <f>+('Indeks '!D263/'Indeks '!D$187*'Indeks '!D$184)/('Indeks '!H263/'Indeks '!H$187)</f>
        <v>0.2248982139680715</v>
      </c>
      <c r="E261" s="75">
        <f>+('Indeks '!E263/'Indeks '!E$187*'Indeks '!E$184)/('Indeks '!H263/'Indeks '!H$187)</f>
        <v>7.2063862766750017E-2</v>
      </c>
      <c r="F261" s="75">
        <f>+('Indeks '!F263/'Indeks '!F$187*'Indeks '!F$184)/('Indeks '!H263/'Indeks '!H$187)</f>
        <v>7.5922943920166824E-2</v>
      </c>
      <c r="G261" s="75">
        <f>+('Indeks '!G263/'Indeks '!G$187*'Indeks '!G$184)/('Indeks '!H263/'Indeks '!H$187)</f>
        <v>2.2448568507925697E-2</v>
      </c>
      <c r="H261" s="75">
        <f t="shared" si="34"/>
        <v>0.99999999999999967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0.60672320288902715</v>
      </c>
      <c r="D262" s="74">
        <f>+('Indeks '!D264/'Indeks '!D$187*'Indeks '!D$184)/('Indeks '!H264/'Indeks '!H$187)</f>
        <v>0.22365558343520969</v>
      </c>
      <c r="E262" s="74">
        <f>+('Indeks '!E264/'Indeks '!E$187*'Indeks '!E$184)/('Indeks '!H264/'Indeks '!H$187)</f>
        <v>7.1759770199755102E-2</v>
      </c>
      <c r="F262" s="74">
        <f>+('Indeks '!F264/'Indeks '!F$187*'Indeks '!F$184)/('Indeks '!H264/'Indeks '!H$187)</f>
        <v>7.5536910086702505E-2</v>
      </c>
      <c r="G262" s="74">
        <f>+('Indeks '!G264/'Indeks '!G$187*'Indeks '!G$184)/('Indeks '!H264/'Indeks '!H$187)</f>
        <v>2.232453338930555E-2</v>
      </c>
      <c r="H262" s="74">
        <f t="shared" si="34"/>
        <v>1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0.60664574409924898</v>
      </c>
      <c r="D263" s="74">
        <f>+('Indeks '!D265/'Indeks '!D$187*'Indeks '!D$184)/('Indeks '!H265/'Indeks '!H$187)</f>
        <v>0.223627029902499</v>
      </c>
      <c r="E263" s="74">
        <f>+('Indeks '!E265/'Indeks '!E$187*'Indeks '!E$184)/('Indeks '!H265/'Indeks '!H$187)</f>
        <v>7.1844802329725579E-2</v>
      </c>
      <c r="F263" s="74">
        <f>+('Indeks '!F265/'Indeks '!F$187*'Indeks '!F$184)/('Indeks '!H265/'Indeks '!H$187)</f>
        <v>7.5560740394941525E-2</v>
      </c>
      <c r="G263" s="74">
        <f>+('Indeks '!G265/'Indeks '!G$187*'Indeks '!G$184)/('Indeks '!H265/'Indeks '!H$187)</f>
        <v>2.2321683273584799E-2</v>
      </c>
      <c r="H263" s="74">
        <f t="shared" si="34"/>
        <v>0.99999999999999978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0.60656822109069974</v>
      </c>
      <c r="D264" s="75">
        <f>+('Indeks '!D266/'Indeks '!D$187*'Indeks '!D$184)/('Indeks '!H266/'Indeks '!H$187)</f>
        <v>0.22359845269690645</v>
      </c>
      <c r="E264" s="75">
        <f>+('Indeks '!E266/'Indeks '!E$187*'Indeks '!E$184)/('Indeks '!H266/'Indeks '!H$187)</f>
        <v>7.1929926430910979E-2</v>
      </c>
      <c r="F264" s="75">
        <f>+('Indeks '!F266/'Indeks '!F$187*'Indeks '!F$184)/('Indeks '!H266/'Indeks '!H$187)</f>
        <v>7.5584568986564682E-2</v>
      </c>
      <c r="G264" s="75">
        <f>+('Indeks '!G266/'Indeks '!G$187*'Indeks '!G$184)/('Indeks '!H266/'Indeks '!H$187)</f>
        <v>2.2318830794918157E-2</v>
      </c>
      <c r="H264" s="75">
        <f t="shared" si="34"/>
        <v>1.0000000000000002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0.60862134675125046</v>
      </c>
      <c r="D265" s="74">
        <f>+('Indeks '!D267/'Indeks '!D$187*'Indeks '!D$184)/('Indeks '!H267/'Indeks '!H$187)</f>
        <v>0.22235930075581309</v>
      </c>
      <c r="E265" s="74">
        <f>+('Indeks '!E267/'Indeks '!E$187*'Indeks '!E$184)/('Indeks '!H267/'Indeks '!H$187)</f>
        <v>7.162520625883563E-2</v>
      </c>
      <c r="F265" s="74">
        <f>+('Indeks '!F267/'Indeks '!F$187*'Indeks '!F$184)/('Indeks '!H267/'Indeks '!H$187)</f>
        <v>7.5199003336701029E-2</v>
      </c>
      <c r="G265" s="74">
        <f>+('Indeks '!G267/'Indeks '!G$187*'Indeks '!G$184)/('Indeks '!H267/'Indeks '!H$187)</f>
        <v>2.2195142897399715E-2</v>
      </c>
      <c r="H265" s="74">
        <f t="shared" si="34"/>
        <v>1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0.60854384424314101</v>
      </c>
      <c r="D266" s="74">
        <f>+('Indeks '!D268/'Indeks '!D$187*'Indeks '!D$184)/('Indeks '!H268/'Indeks '!H$187)</f>
        <v>0.22233098527920023</v>
      </c>
      <c r="E266" s="74">
        <f>+('Indeks '!E268/'Indeks '!E$187*'Indeks '!E$184)/('Indeks '!H268/'Indeks '!H$187)</f>
        <v>7.1710102340836204E-2</v>
      </c>
      <c r="F266" s="74">
        <f>+('Indeks '!F268/'Indeks '!F$187*'Indeks '!F$184)/('Indeks '!H268/'Indeks '!H$187)</f>
        <v>7.522275159319991E-2</v>
      </c>
      <c r="G266" s="74">
        <f>+('Indeks '!G268/'Indeks '!G$187*'Indeks '!G$184)/('Indeks '!H268/'Indeks '!H$187)</f>
        <v>2.2192316543622321E-2</v>
      </c>
      <c r="H266" s="74">
        <f t="shared" si="34"/>
        <v>0.99999999999999967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0.60846627739541448</v>
      </c>
      <c r="D267" s="74">
        <f>+('Indeks '!D269/'Indeks '!D$187*'Indeks '!D$184)/('Indeks '!H269/'Indeks '!H$187)</f>
        <v>0.22230264629616195</v>
      </c>
      <c r="E267" s="74">
        <f>+('Indeks '!E269/'Indeks '!E$187*'Indeks '!E$184)/('Indeks '!H269/'Indeks '!H$187)</f>
        <v>7.1795090292484098E-2</v>
      </c>
      <c r="F267" s="74">
        <f>+('Indeks '!F269/'Indeks '!F$187*'Indeks '!F$184)/('Indeks '!H269/'Indeks '!H$187)</f>
        <v>7.5246498172425041E-2</v>
      </c>
      <c r="G267" s="74">
        <f>+('Indeks '!G269/'Indeks '!G$187*'Indeks '!G$184)/('Indeks '!H269/'Indeks '!H$187)</f>
        <v>2.2189487843514145E-2</v>
      </c>
      <c r="H267" s="74">
        <f t="shared" si="34"/>
        <v>0.99999999999999967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D254" sqref="D25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146.13628915832277</v>
      </c>
      <c r="D240" s="265">
        <f t="shared" si="32"/>
        <v>4.1121782645116758E-3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145.65836023277802</v>
      </c>
      <c r="D241" s="275">
        <f t="shared" si="32"/>
        <v>-3.2704328835595465E-3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148.96863355188691</v>
      </c>
      <c r="D242" s="306">
        <f t="shared" si="32"/>
        <v>2.272628439465272E-2</v>
      </c>
      <c r="E242" s="306">
        <f>(SUM(C240:C242)-SUM(C237:C239))/SUM(C237:C239)</f>
        <v>8.1943206915015172E-3</v>
      </c>
      <c r="F242" s="306">
        <f>(SUM(C237:C242)-SUM(C231:C236))/SUM(C231:C236)</f>
        <v>3.4626435079381873E-2</v>
      </c>
      <c r="G242" s="306">
        <f>(SUM(C231:C242)-SUM(C219:C230))/SUM(C219:C230)</f>
        <v>1.1319860431467023E-2</v>
      </c>
      <c r="H242" s="305">
        <f>(C231+C232+C233+C234+C235+C236+C237+C238+C239+C240+C241+C242)/12</f>
        <v>143.87547259845778</v>
      </c>
    </row>
    <row r="243" spans="1:8" x14ac:dyDescent="0.2">
      <c r="A243" s="2">
        <v>2025</v>
      </c>
      <c r="B243" s="258" t="s">
        <v>8</v>
      </c>
      <c r="C243" s="259">
        <f>+'Indeks '!H246</f>
        <v>151.63327094957751</v>
      </c>
      <c r="D243" s="307">
        <f t="shared" ref="D243:D254" si="34">(C243-C242)/C242</f>
        <v>1.7887237965182008E-2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150.45381674617113</v>
      </c>
      <c r="D244" s="265">
        <f t="shared" si="34"/>
        <v>-7.7783338446783387E-3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69">
        <f>+'Indeks '!H248</f>
        <v>149.65429818292668</v>
      </c>
      <c r="D245" s="270">
        <f t="shared" si="34"/>
        <v>-5.3140463999880169E-3</v>
      </c>
      <c r="E245" s="270">
        <f>(SUM(C243:C245)-SUM(C240:C242))/SUM(C240:C242)</f>
        <v>2.4907026879341217E-2</v>
      </c>
      <c r="F245" s="270"/>
      <c r="G245" s="270"/>
      <c r="H245" s="269"/>
    </row>
    <row r="246" spans="1:8" x14ac:dyDescent="0.2">
      <c r="A246" s="262">
        <f t="shared" si="35"/>
        <v>2025</v>
      </c>
      <c r="B246" s="271" t="s">
        <v>11</v>
      </c>
      <c r="C246" s="264">
        <f>+'Indeks '!H249</f>
        <v>150.46947318144126</v>
      </c>
      <c r="D246" s="265">
        <f t="shared" si="34"/>
        <v>5.4470536991738589E-3</v>
      </c>
      <c r="E246" s="265"/>
      <c r="F246" s="265"/>
      <c r="G246" s="265"/>
      <c r="H246" s="264"/>
    </row>
    <row r="247" spans="1:8" x14ac:dyDescent="0.2">
      <c r="A247" s="273">
        <f t="shared" si="35"/>
        <v>2025</v>
      </c>
      <c r="B247" s="274" t="s">
        <v>12</v>
      </c>
      <c r="C247" s="259">
        <f>+'Indeks '!H250</f>
        <v>150.53972059733272</v>
      </c>
      <c r="D247" s="275">
        <f t="shared" si="34"/>
        <v>4.6685493347046932E-4</v>
      </c>
      <c r="E247" s="275"/>
      <c r="F247" s="275"/>
      <c r="G247" s="275"/>
      <c r="H247" s="259"/>
    </row>
    <row r="248" spans="1:8" x14ac:dyDescent="0.2">
      <c r="A248" s="276">
        <f t="shared" si="35"/>
        <v>2025</v>
      </c>
      <c r="B248" s="277" t="s">
        <v>13</v>
      </c>
      <c r="C248" s="278">
        <f>+'Indeks '!H251</f>
        <v>150.58007504455847</v>
      </c>
      <c r="D248" s="279">
        <f t="shared" si="34"/>
        <v>2.6806511308529168E-4</v>
      </c>
      <c r="E248" s="279">
        <f>(SUM(C246:C248)-SUM(C243:C245))/SUM(C243:C245)</f>
        <v>-3.367348223963917E-4</v>
      </c>
      <c r="F248" s="279">
        <f>(SUM(C243:C248)-SUM(C237:C242))/SUM(C237:C242)</f>
        <v>2.8915835613235422E-2</v>
      </c>
      <c r="G248" s="279"/>
      <c r="H248" s="278"/>
    </row>
    <row r="249" spans="1:8" x14ac:dyDescent="0.2">
      <c r="A249" s="273">
        <f t="shared" si="35"/>
        <v>2025</v>
      </c>
      <c r="B249" s="293" t="s">
        <v>30</v>
      </c>
      <c r="C249" s="259">
        <f>+'Indeks '!H252</f>
        <v>150.51801097057162</v>
      </c>
      <c r="D249" s="275">
        <f t="shared" si="34"/>
        <v>-4.1216657627830784E-4</v>
      </c>
      <c r="E249" s="275"/>
      <c r="F249" s="275"/>
      <c r="G249" s="275"/>
      <c r="H249" s="259"/>
    </row>
    <row r="250" spans="1:8" x14ac:dyDescent="0.2">
      <c r="A250" s="262">
        <f t="shared" si="35"/>
        <v>2025</v>
      </c>
      <c r="B250" s="271" t="s">
        <v>14</v>
      </c>
      <c r="C250" s="264">
        <f>+'Indeks '!H253</f>
        <v>151.3092137856332</v>
      </c>
      <c r="D250" s="265">
        <f t="shared" si="34"/>
        <v>5.2565324904291508E-3</v>
      </c>
      <c r="E250" s="265"/>
      <c r="F250" s="265"/>
      <c r="G250" s="265"/>
      <c r="H250" s="264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151.32061047602579</v>
      </c>
      <c r="D251" s="133">
        <f t="shared" si="34"/>
        <v>7.5320531429984712E-5</v>
      </c>
      <c r="E251" s="133">
        <f>(SUM(C249:C251)-SUM(C246:C248))/SUM(C246:C248)</f>
        <v>3.4512919515541111E-3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152.29942047998966</v>
      </c>
      <c r="D252" s="111">
        <f t="shared" si="34"/>
        <v>6.4684513291660825E-3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152.31083876163629</v>
      </c>
      <c r="D253" s="111">
        <f t="shared" si="34"/>
        <v>7.497258762141557E-5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152.32226785491858</v>
      </c>
      <c r="D254" s="302">
        <f t="shared" si="34"/>
        <v>7.5037951174141803E-5</v>
      </c>
      <c r="E254" s="303">
        <f>(SUM(C252:C254)-SUM(C249:C251))/SUM(C249:C251)</f>
        <v>8.3520025255650245E-3</v>
      </c>
      <c r="F254" s="303">
        <f>(SUM(C249:C254)-SUM(C243:C248))/SUM(C243:C248)</f>
        <v>7.4720232194421749E-3</v>
      </c>
      <c r="G254" s="303">
        <f>(SUM(C243:C254)-SUM(C231:C242))/SUM(C231:C242)</f>
        <v>5.0335974737817285E-2</v>
      </c>
      <c r="H254" s="304">
        <f>(C243+C244+C245+C246+C247+C248+C249+C250+C251+C252+C253+C254)/12</f>
        <v>151.11758475256525</v>
      </c>
    </row>
    <row r="255" spans="1:8" x14ac:dyDescent="0.2">
      <c r="A255" s="2">
        <v>2026</v>
      </c>
      <c r="B255" s="258" t="s">
        <v>8</v>
      </c>
      <c r="C255" s="239">
        <f>+'Indeks '!H258</f>
        <v>153.16345336433236</v>
      </c>
      <c r="D255" s="111">
        <f t="shared" ref="D255:D266" si="36">(C255-C254)/C254</f>
        <v>5.5224066793370941E-3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153.18310935273115</v>
      </c>
      <c r="D256" s="111">
        <f t="shared" si="36"/>
        <v>1.2833341092172872E-4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153.20278664645119</v>
      </c>
      <c r="D257" s="133">
        <f t="shared" si="36"/>
        <v>1.284560275815137E-4</v>
      </c>
      <c r="E257" s="133">
        <f>(SUM(C255:C257)-SUM(C252:C254))/SUM(C252:C254)</f>
        <v>5.7269336538549485E-3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154.05141066614414</v>
      </c>
      <c r="D258" s="134">
        <f t="shared" si="36"/>
        <v>5.5392205211732444E-3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154.07113064846641</v>
      </c>
      <c r="D259" s="111">
        <f t="shared" si="36"/>
        <v>1.2800909928055367E-4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154.09087201413612</v>
      </c>
      <c r="D260" s="133">
        <f t="shared" si="36"/>
        <v>1.2813150384908281E-4</v>
      </c>
      <c r="E260" s="133">
        <f>(SUM(C258:C260)-SUM(C255:C257))/SUM(C255:C257)</f>
        <v>5.7971227005800064E-3</v>
      </c>
      <c r="F260" s="133">
        <f>(SUM(C255:C260)-SUM(C249:C254))/SUM(C249:C254)</f>
        <v>1.2836668987772222E-2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154.94700097572559</v>
      </c>
      <c r="D261" s="134">
        <f t="shared" si="36"/>
        <v>5.5560004976214425E-3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154.96678518634945</v>
      </c>
      <c r="D262" s="111">
        <f t="shared" si="36"/>
        <v>1.2768372733440382E-4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154.98659085864671</v>
      </c>
      <c r="D263" s="133">
        <f t="shared" si="36"/>
        <v>1.2780591836783492E-4</v>
      </c>
      <c r="E263" s="133">
        <f>(SUM(C261:C263)-SUM(C258:C260))/SUM(C258:C260)</f>
        <v>5.8132533900827413E-3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155.85029178886703</v>
      </c>
      <c r="D264" s="111">
        <f t="shared" si="36"/>
        <v>5.5727461674929301E-3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155.87014046307098</v>
      </c>
      <c r="D265" s="111">
        <f t="shared" si="36"/>
        <v>1.2735731179025082E-4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155.89001067757519</v>
      </c>
      <c r="D266" s="75">
        <f t="shared" si="36"/>
        <v>1.2747928785575708E-4</v>
      </c>
      <c r="E266" s="133">
        <f>(SUM(C264:C266)-SUM(C261:C263))/SUM(C261:C263)</f>
        <v>5.8293476253098988E-3</v>
      </c>
      <c r="F266" s="133">
        <f>(SUM(C261:C266)-SUM(C255:C260))/SUM(C255:C260)</f>
        <v>1.1660329200738022E-2</v>
      </c>
      <c r="G266" s="133">
        <f>(SUM(C255:C266)-SUM(C243:C254))/SUM(C243:C254)</f>
        <v>2.2533537751755827E-2</v>
      </c>
      <c r="H266" s="257">
        <f>(C255+C256+C257+C258+C259+C260+C261+C262+C263+C264+C265+C266)/12</f>
        <v>154.52279855354135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D254" sqref="D254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96" t="s">
        <v>3</v>
      </c>
      <c r="B5" s="119" t="s">
        <v>138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116</v>
      </c>
      <c r="B6" s="314" t="s">
        <v>140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4"/>
      <c r="D7" s="6"/>
      <c r="E7" s="59"/>
      <c r="F7" s="59"/>
    </row>
    <row r="8" spans="1:6" ht="66" customHeight="1" x14ac:dyDescent="0.2">
      <c r="A8" s="96"/>
      <c r="B8" s="173" t="s">
        <v>119</v>
      </c>
      <c r="D8" s="6"/>
      <c r="E8" s="59"/>
      <c r="F8" s="59"/>
    </row>
    <row r="9" spans="1:6" ht="47.25" customHeight="1" x14ac:dyDescent="0.2">
      <c r="A9" s="96"/>
      <c r="B9" s="315" t="s">
        <v>122</v>
      </c>
      <c r="C9" s="315"/>
      <c r="D9" s="315"/>
      <c r="E9" s="315"/>
      <c r="F9" s="59"/>
    </row>
    <row r="10" spans="1:6" ht="25.5" x14ac:dyDescent="0.2">
      <c r="A10" s="96" t="s">
        <v>5</v>
      </c>
      <c r="B10" s="119" t="s">
        <v>70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71</v>
      </c>
      <c r="D11" s="6"/>
      <c r="E11" s="59"/>
      <c r="F11" s="59"/>
    </row>
    <row r="12" spans="1:6" ht="114.75" x14ac:dyDescent="0.2">
      <c r="A12" s="96" t="s">
        <v>6</v>
      </c>
      <c r="B12" s="119" t="s">
        <v>139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130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129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6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0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view="pageBreakPreview" topLeftCell="A73" zoomScale="90" zoomScaleNormal="80" zoomScaleSheetLayoutView="90" workbookViewId="0">
      <selection activeCell="D254" sqref="D254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8" t="s">
        <v>109</v>
      </c>
      <c r="B1" s="318"/>
      <c r="C1" s="318"/>
      <c r="D1" s="318"/>
      <c r="E1" s="318"/>
      <c r="F1" s="318"/>
      <c r="G1" s="318"/>
      <c r="H1" s="318"/>
      <c r="I1" s="318"/>
    </row>
    <row r="2" spans="1:14" ht="13.5" thickBot="1" x14ac:dyDescent="0.25"/>
    <row r="3" spans="1:14" ht="15" x14ac:dyDescent="0.25">
      <c r="A3" s="203" t="s">
        <v>110</v>
      </c>
      <c r="B3" s="222"/>
      <c r="C3" s="46"/>
      <c r="D3" s="204"/>
      <c r="E3" s="203"/>
      <c r="F3" s="47"/>
      <c r="G3" s="47"/>
      <c r="H3" s="161"/>
      <c r="J3" s="198" t="s">
        <v>88</v>
      </c>
    </row>
    <row r="4" spans="1:14" ht="15" x14ac:dyDescent="0.25">
      <c r="A4" s="233" t="s">
        <v>125</v>
      </c>
      <c r="B4" s="223"/>
      <c r="C4" s="223"/>
      <c r="H4" s="162"/>
      <c r="J4" t="s">
        <v>76</v>
      </c>
      <c r="K4" t="s">
        <v>89</v>
      </c>
      <c r="L4">
        <v>2.58</v>
      </c>
      <c r="M4" t="s">
        <v>90</v>
      </c>
      <c r="N4" t="s">
        <v>91</v>
      </c>
    </row>
    <row r="5" spans="1:14" ht="15" x14ac:dyDescent="0.25">
      <c r="A5" s="183" t="s">
        <v>115</v>
      </c>
      <c r="B5" s="181" t="s">
        <v>3</v>
      </c>
      <c r="C5" s="181" t="s">
        <v>4</v>
      </c>
      <c r="D5" s="170" t="s">
        <v>73</v>
      </c>
      <c r="E5" s="181" t="s">
        <v>6</v>
      </c>
      <c r="F5" s="182" t="s">
        <v>7</v>
      </c>
      <c r="G5" s="182" t="s">
        <v>0</v>
      </c>
      <c r="H5" s="162"/>
      <c r="J5" t="s">
        <v>80</v>
      </c>
      <c r="K5" t="s">
        <v>89</v>
      </c>
      <c r="L5">
        <v>8.9999999999999993E-3</v>
      </c>
      <c r="M5" t="s">
        <v>90</v>
      </c>
      <c r="N5" s="199" t="s">
        <v>92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78</v>
      </c>
      <c r="K6" t="s">
        <v>89</v>
      </c>
      <c r="L6">
        <v>0</v>
      </c>
      <c r="M6" t="s">
        <v>90</v>
      </c>
      <c r="N6" s="199" t="s">
        <v>93</v>
      </c>
    </row>
    <row r="7" spans="1:14" x14ac:dyDescent="0.2">
      <c r="A7" s="153" t="s">
        <v>123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74</v>
      </c>
      <c r="K7" t="s">
        <v>89</v>
      </c>
      <c r="L7">
        <v>7.49</v>
      </c>
      <c r="M7" t="s">
        <v>90</v>
      </c>
      <c r="N7" t="s">
        <v>91</v>
      </c>
    </row>
    <row r="8" spans="1:14" x14ac:dyDescent="0.2">
      <c r="A8" s="153" t="s">
        <v>124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94</v>
      </c>
      <c r="K8" t="s">
        <v>89</v>
      </c>
      <c r="L8">
        <v>0.1</v>
      </c>
      <c r="M8" t="s">
        <v>90</v>
      </c>
      <c r="N8" t="s">
        <v>95</v>
      </c>
    </row>
    <row r="9" spans="1:14" x14ac:dyDescent="0.2">
      <c r="A9" s="155" t="s">
        <v>79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96</v>
      </c>
      <c r="K9" t="s">
        <v>89</v>
      </c>
      <c r="L9" s="21">
        <f>0.25*SUM(L7:L8)</f>
        <v>1.8975</v>
      </c>
      <c r="M9" t="s">
        <v>90</v>
      </c>
      <c r="N9" t="s">
        <v>97</v>
      </c>
    </row>
    <row r="10" spans="1:14" x14ac:dyDescent="0.2">
      <c r="A10" s="184" t="s">
        <v>120</v>
      </c>
      <c r="B10" s="181" t="s">
        <v>3</v>
      </c>
      <c r="C10" s="232" t="s">
        <v>116</v>
      </c>
      <c r="D10" s="170" t="s">
        <v>73</v>
      </c>
      <c r="E10" s="181" t="s">
        <v>6</v>
      </c>
      <c r="F10" s="182" t="s">
        <v>7</v>
      </c>
      <c r="G10" s="176"/>
      <c r="H10" s="162"/>
      <c r="J10" t="s">
        <v>81</v>
      </c>
      <c r="K10" t="s">
        <v>89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98</v>
      </c>
      <c r="K11" t="s">
        <v>89</v>
      </c>
      <c r="L11" s="201">
        <f>L10/L15</f>
        <v>12.83128125</v>
      </c>
    </row>
    <row r="12" spans="1:14" x14ac:dyDescent="0.2">
      <c r="A12" s="153" t="s">
        <v>75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77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99</v>
      </c>
      <c r="K13" t="s">
        <v>82</v>
      </c>
      <c r="L13">
        <v>33.6</v>
      </c>
      <c r="M13" t="s">
        <v>100</v>
      </c>
      <c r="N13" t="s">
        <v>101</v>
      </c>
    </row>
    <row r="14" spans="1:14" x14ac:dyDescent="0.2">
      <c r="A14" s="155" t="s">
        <v>79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102</v>
      </c>
      <c r="K14" t="s">
        <v>82</v>
      </c>
      <c r="L14">
        <v>35.700000000000003</v>
      </c>
      <c r="M14" t="s">
        <v>100</v>
      </c>
      <c r="N14" t="s">
        <v>101</v>
      </c>
    </row>
    <row r="15" spans="1:14" x14ac:dyDescent="0.2">
      <c r="H15" s="162"/>
      <c r="J15" t="s">
        <v>103</v>
      </c>
      <c r="K15" t="s">
        <v>104</v>
      </c>
      <c r="L15" s="202">
        <f>L13/L14</f>
        <v>0.94117647058823528</v>
      </c>
    </row>
    <row r="16" spans="1:14" ht="13.15" customHeight="1" x14ac:dyDescent="0.2">
      <c r="A16" s="319" t="s">
        <v>111</v>
      </c>
      <c r="B16" s="319"/>
      <c r="C16" s="319"/>
      <c r="D16" s="319"/>
      <c r="E16" s="319"/>
      <c r="F16" s="319"/>
      <c r="G16" s="319"/>
      <c r="H16" s="162"/>
    </row>
    <row r="17" spans="1:14" x14ac:dyDescent="0.2">
      <c r="A17" s="319"/>
      <c r="B17" s="319"/>
      <c r="C17" s="319"/>
      <c r="D17" s="319"/>
      <c r="E17" s="319"/>
      <c r="F17" s="319"/>
      <c r="G17" s="31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105</v>
      </c>
    </row>
    <row r="19" spans="1:14" ht="15.6" customHeight="1" x14ac:dyDescent="0.2">
      <c r="J19" t="s">
        <v>76</v>
      </c>
      <c r="K19" t="s">
        <v>89</v>
      </c>
      <c r="L19">
        <v>2.58</v>
      </c>
    </row>
    <row r="20" spans="1:14" x14ac:dyDescent="0.2">
      <c r="J20" t="s">
        <v>80</v>
      </c>
      <c r="K20" t="s">
        <v>89</v>
      </c>
      <c r="L20">
        <v>8.9999999999999993E-3</v>
      </c>
    </row>
    <row r="21" spans="1:14" ht="14.45" customHeight="1" x14ac:dyDescent="0.25">
      <c r="J21" t="s">
        <v>78</v>
      </c>
      <c r="K21" t="s">
        <v>89</v>
      </c>
      <c r="L21" s="21">
        <v>0.433</v>
      </c>
      <c r="M21" t="s">
        <v>90</v>
      </c>
      <c r="N21" s="199" t="s">
        <v>106</v>
      </c>
    </row>
    <row r="22" spans="1:14" x14ac:dyDescent="0.2">
      <c r="A22" s="174"/>
      <c r="B22" s="316" t="s">
        <v>118</v>
      </c>
      <c r="C22" s="316" t="s">
        <v>72</v>
      </c>
      <c r="D22" s="175"/>
      <c r="E22" s="175"/>
      <c r="F22" s="175"/>
      <c r="G22" s="175"/>
      <c r="H22" s="176"/>
      <c r="J22" t="s">
        <v>74</v>
      </c>
      <c r="K22" t="s">
        <v>89</v>
      </c>
      <c r="L22" s="21">
        <v>4.7300000000000004</v>
      </c>
      <c r="M22" t="s">
        <v>90</v>
      </c>
      <c r="N22" t="s">
        <v>107</v>
      </c>
    </row>
    <row r="23" spans="1:14" x14ac:dyDescent="0.2">
      <c r="A23" s="177">
        <v>2020</v>
      </c>
      <c r="B23" s="317"/>
      <c r="C23" s="317"/>
      <c r="D23" s="180"/>
      <c r="E23" s="180"/>
      <c r="F23" s="180"/>
      <c r="G23" s="178" t="s">
        <v>121</v>
      </c>
      <c r="H23" s="179" t="s">
        <v>86</v>
      </c>
      <c r="J23" t="s">
        <v>94</v>
      </c>
      <c r="K23" t="s">
        <v>89</v>
      </c>
      <c r="L23">
        <f>0.1</f>
        <v>0.1</v>
      </c>
      <c r="M23" t="s">
        <v>90</v>
      </c>
      <c r="N23" t="s">
        <v>108</v>
      </c>
    </row>
    <row r="24" spans="1:14" x14ac:dyDescent="0.2">
      <c r="A24" s="190" t="s">
        <v>84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96</v>
      </c>
      <c r="K24" t="s">
        <v>89</v>
      </c>
      <c r="L24" s="21">
        <f>0.25*SUM(L22:L23)</f>
        <v>1.2075</v>
      </c>
      <c r="M24" t="s">
        <v>90</v>
      </c>
      <c r="N24" t="s">
        <v>97</v>
      </c>
    </row>
    <row r="25" spans="1:14" x14ac:dyDescent="0.2">
      <c r="A25" s="193" t="s">
        <v>85</v>
      </c>
      <c r="B25" s="11">
        <v>130.4</v>
      </c>
      <c r="C25" s="147" t="s">
        <v>117</v>
      </c>
      <c r="D25" s="147"/>
      <c r="E25" s="147"/>
      <c r="G25" s="191" t="s">
        <v>18</v>
      </c>
      <c r="H25" s="192">
        <v>71.260000000000005</v>
      </c>
      <c r="I25" s="228"/>
      <c r="J25" t="s">
        <v>81</v>
      </c>
      <c r="K25" t="s">
        <v>89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84</v>
      </c>
      <c r="H26" s="236">
        <v>70.8</v>
      </c>
      <c r="I26" s="235"/>
      <c r="J26" s="200" t="s">
        <v>98</v>
      </c>
      <c r="K26" t="s">
        <v>89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126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6" t="s">
        <v>118</v>
      </c>
      <c r="C37" s="316" t="s">
        <v>72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7"/>
      <c r="C38" s="317"/>
      <c r="D38" s="180"/>
      <c r="E38" s="180"/>
      <c r="F38" s="180"/>
      <c r="G38" s="178" t="s">
        <v>121</v>
      </c>
      <c r="H38" s="179" t="s">
        <v>86</v>
      </c>
      <c r="K38" s="21"/>
      <c r="M38" s="11"/>
    </row>
    <row r="39" spans="1:16" x14ac:dyDescent="0.2">
      <c r="A39" s="190" t="s">
        <v>84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85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84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126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6" t="s">
        <v>118</v>
      </c>
      <c r="C52" s="316" t="s">
        <v>72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7"/>
      <c r="C53" s="317"/>
      <c r="D53" s="180"/>
      <c r="E53" s="180"/>
      <c r="F53" s="180"/>
      <c r="G53" s="178" t="s">
        <v>121</v>
      </c>
      <c r="H53" s="179" t="s">
        <v>86</v>
      </c>
    </row>
    <row r="54" spans="1:8" x14ac:dyDescent="0.2">
      <c r="A54" s="190" t="s">
        <v>84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85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84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126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6" t="s">
        <v>118</v>
      </c>
      <c r="C67" s="316" t="s">
        <v>72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7"/>
      <c r="C68" s="317"/>
      <c r="D68" s="180"/>
      <c r="E68" s="180"/>
      <c r="F68" s="180"/>
      <c r="G68" s="178" t="s">
        <v>121</v>
      </c>
      <c r="H68" s="179" t="s">
        <v>86</v>
      </c>
    </row>
    <row r="69" spans="1:8" x14ac:dyDescent="0.2">
      <c r="A69" s="190" t="s">
        <v>84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85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84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126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6" t="s">
        <v>118</v>
      </c>
      <c r="C82" s="316" t="s">
        <v>72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7"/>
      <c r="C83" s="317"/>
      <c r="D83" s="180"/>
      <c r="E83" s="180"/>
      <c r="F83" s="180"/>
      <c r="G83" s="178" t="s">
        <v>121</v>
      </c>
      <c r="H83" s="179" t="s">
        <v>86</v>
      </c>
    </row>
    <row r="84" spans="1:8" x14ac:dyDescent="0.2">
      <c r="A84" s="190" t="s">
        <v>84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85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84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126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6" t="s">
        <v>118</v>
      </c>
      <c r="C97" s="316" t="s">
        <v>72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7"/>
      <c r="C98" s="317"/>
      <c r="D98" s="180"/>
      <c r="E98" s="180"/>
      <c r="F98" s="180"/>
      <c r="G98" s="178" t="s">
        <v>121</v>
      </c>
      <c r="H98" s="179" t="s">
        <v>86</v>
      </c>
    </row>
    <row r="99" spans="1:8" x14ac:dyDescent="0.2">
      <c r="A99" s="190" t="s">
        <v>84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85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>
        <v>182.5</v>
      </c>
      <c r="C101" s="147">
        <f>+((B101/$B$25)*'Indeks '!$D$187)*(H101/$H$25)</f>
        <v>288.97642823566679</v>
      </c>
      <c r="G101" s="234" t="s">
        <v>84</v>
      </c>
      <c r="H101" s="236">
        <v>64.989999999999995</v>
      </c>
    </row>
    <row r="102" spans="1:8" x14ac:dyDescent="0.2">
      <c r="A102" s="193" t="s">
        <v>11</v>
      </c>
      <c r="B102" s="11">
        <v>178.8</v>
      </c>
      <c r="C102" s="147">
        <f>+((B102/$B$25)*'Indeks '!$D$187)*(H102/$H$25)</f>
        <v>288.91164369999086</v>
      </c>
      <c r="G102" s="191" t="s">
        <v>9</v>
      </c>
      <c r="H102" s="197">
        <v>66.319999999999993</v>
      </c>
    </row>
    <row r="103" spans="1:8" x14ac:dyDescent="0.2">
      <c r="A103" s="190" t="s">
        <v>12</v>
      </c>
      <c r="B103" s="11">
        <v>174.6</v>
      </c>
      <c r="C103" s="147">
        <f>+((B103/$B$25)*'Indeks '!$D$187)*(H103/$H$25)</f>
        <v>289.35692469811573</v>
      </c>
      <c r="G103" s="191" t="s">
        <v>10</v>
      </c>
      <c r="H103" s="197">
        <v>68.02</v>
      </c>
    </row>
    <row r="104" spans="1:8" x14ac:dyDescent="0.2">
      <c r="A104" s="193" t="s">
        <v>13</v>
      </c>
      <c r="B104" s="11">
        <v>174.7</v>
      </c>
      <c r="C104" s="147">
        <f>+((B104/$B$25)*'Indeks '!$D$187)*(H104/$H$25)</f>
        <v>289.60777899646843</v>
      </c>
      <c r="G104" s="238" t="s">
        <v>126</v>
      </c>
      <c r="H104" s="197">
        <v>68.040000000000006</v>
      </c>
    </row>
    <row r="105" spans="1:8" x14ac:dyDescent="0.2">
      <c r="A105" s="190" t="s">
        <v>30</v>
      </c>
      <c r="B105" s="11">
        <v>170.7</v>
      </c>
      <c r="C105" s="147">
        <f>+((B105/$B$25)*'Indeks '!$D$187)*(H105/$H$25)</f>
        <v>285.09788358194044</v>
      </c>
      <c r="G105" s="250" t="s">
        <v>59</v>
      </c>
      <c r="H105" s="197">
        <v>68.55</v>
      </c>
    </row>
    <row r="106" spans="1:8" x14ac:dyDescent="0.2">
      <c r="A106" s="190" t="s">
        <v>14</v>
      </c>
      <c r="B106" s="11">
        <v>176.4</v>
      </c>
      <c r="C106" s="147">
        <f>+((B106/$B$25)*'Indeks '!$D$187)*(H106/$H$25)</f>
        <v>291.09360830209602</v>
      </c>
      <c r="G106" s="251" t="s">
        <v>62</v>
      </c>
      <c r="H106" s="192">
        <v>67.73</v>
      </c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2025-07-15T09:24:13Z</cp:lastPrinted>
  <dcterms:created xsi:type="dcterms:W3CDTF">2009-05-19T06:17:18Z</dcterms:created>
  <dcterms:modified xsi:type="dcterms:W3CDTF">2025-07-15T09:24:44Z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