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Indeksberegning til entreprenørafregninger\ELindeks\Til hjemmeside\SBLON ØST\"/>
    </mc:Choice>
  </mc:AlternateContent>
  <xr:revisionPtr revIDLastSave="0" documentId="13_ncr:1_{975EC839-736F-47E7-9C97-F89E6CFBF0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Indeks!$A$1:$J$275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1" i="1" l="1"/>
  <c r="H251" i="1" s="1"/>
  <c r="E251" i="1"/>
  <c r="F250" i="1"/>
  <c r="E250" i="1"/>
  <c r="C252" i="1"/>
  <c r="C251" i="1"/>
  <c r="C250" i="1"/>
  <c r="H250" i="1"/>
  <c r="F249" i="1"/>
  <c r="E249" i="1"/>
  <c r="H249" i="1"/>
  <c r="F248" i="1"/>
  <c r="E248" i="1"/>
  <c r="F247" i="1"/>
  <c r="E247" i="1"/>
  <c r="C249" i="1"/>
  <c r="C248" i="1"/>
  <c r="C247" i="1"/>
  <c r="E246" i="1"/>
  <c r="E245" i="1"/>
  <c r="C246" i="1"/>
  <c r="C245" i="1"/>
  <c r="C244" i="1"/>
  <c r="C243" i="1"/>
  <c r="C242" i="1"/>
  <c r="C241" i="1"/>
  <c r="C240" i="1"/>
  <c r="H247" i="1" l="1"/>
  <c r="E244" i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E243" i="1"/>
  <c r="E242" i="1"/>
  <c r="E241" i="1"/>
  <c r="E240" i="1"/>
  <c r="E239" i="1"/>
  <c r="C239" i="1"/>
  <c r="C238" i="1"/>
  <c r="E238" i="1"/>
  <c r="E237" i="1"/>
  <c r="C237" i="1"/>
  <c r="E236" i="1"/>
  <c r="E235" i="1"/>
  <c r="C236" i="1"/>
  <c r="C235" i="1"/>
  <c r="E234" i="1"/>
  <c r="E233" i="1"/>
  <c r="E232" i="1"/>
  <c r="C234" i="1"/>
  <c r="C233" i="1"/>
  <c r="C232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1" i="1"/>
  <c r="C231" i="1"/>
  <c r="E230" i="1"/>
  <c r="E229" i="1"/>
  <c r="C230" i="1"/>
  <c r="C229" i="1"/>
  <c r="E228" i="1"/>
  <c r="C228" i="1"/>
  <c r="E227" i="1"/>
  <c r="E226" i="1"/>
  <c r="C227" i="1"/>
  <c r="C226" i="1"/>
  <c r="E225" i="1"/>
  <c r="C225" i="1"/>
  <c r="E224" i="1" l="1"/>
  <c r="E223" i="1"/>
  <c r="C224" i="1"/>
  <c r="C223" i="1"/>
  <c r="E222" i="1"/>
  <c r="E221" i="1"/>
  <c r="E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E203" i="1" l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175" i="1" l="1"/>
  <c r="F246" i="1"/>
  <c r="F245" i="1"/>
  <c r="H246" i="1"/>
  <c r="H245" i="1"/>
  <c r="F244" i="1"/>
  <c r="H244" i="1" s="1"/>
  <c r="F243" i="1"/>
  <c r="H243" i="1" s="1"/>
  <c r="F239" i="1"/>
  <c r="H239" i="1" s="1"/>
  <c r="F234" i="1"/>
  <c r="H234" i="1" s="1"/>
  <c r="F242" i="1"/>
  <c r="H242" i="1" s="1"/>
  <c r="F238" i="1"/>
  <c r="H238" i="1" s="1"/>
  <c r="F233" i="1"/>
  <c r="H233" i="1" s="1"/>
  <c r="F241" i="1"/>
  <c r="H241" i="1" s="1"/>
  <c r="F237" i="1"/>
  <c r="H237" i="1" s="1"/>
  <c r="F232" i="1"/>
  <c r="H232" i="1" s="1"/>
  <c r="F236" i="1"/>
  <c r="H236" i="1" s="1"/>
  <c r="F240" i="1"/>
  <c r="H240" i="1" s="1"/>
  <c r="F235" i="1"/>
  <c r="H235" i="1" s="1"/>
  <c r="F228" i="1"/>
  <c r="H228" i="1" s="1"/>
  <c r="F231" i="1"/>
  <c r="H231" i="1" s="1"/>
  <c r="F230" i="1"/>
  <c r="H230" i="1" s="1"/>
  <c r="F227" i="1"/>
  <c r="H227" i="1" s="1"/>
  <c r="F225" i="1"/>
  <c r="H225" i="1" s="1"/>
  <c r="F229" i="1"/>
  <c r="H229" i="1" s="1"/>
  <c r="F226" i="1"/>
  <c r="H226" i="1" s="1"/>
  <c r="F220" i="1"/>
  <c r="H220" i="1" s="1"/>
  <c r="F222" i="1"/>
  <c r="H222" i="1" s="1"/>
  <c r="F221" i="1"/>
  <c r="H221" i="1" s="1"/>
  <c r="F223" i="1"/>
  <c r="H223" i="1" s="1"/>
  <c r="F224" i="1"/>
  <c r="H224" i="1" s="1"/>
  <c r="F219" i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H175" i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G173" i="1"/>
  <c r="G176" i="1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E10" i="2" s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G29" i="2" s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C37" i="2" s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E57" i="2" s="1"/>
  <c r="H58" i="1"/>
  <c r="H59" i="1"/>
  <c r="D59" i="2" s="1"/>
  <c r="H60" i="1"/>
  <c r="D60" i="2" s="1"/>
  <c r="H61" i="1"/>
  <c r="C61" i="2" s="1"/>
  <c r="H62" i="1"/>
  <c r="D62" i="2" s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D79" i="2" s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D10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G108" i="2" l="1"/>
  <c r="F57" i="2"/>
  <c r="F31" i="2"/>
  <c r="H127" i="1"/>
  <c r="C126" i="5" s="1"/>
  <c r="C71" i="2"/>
  <c r="H133" i="1"/>
  <c r="C132" i="5" s="1"/>
  <c r="H139" i="1"/>
  <c r="C138" i="5" s="1"/>
  <c r="D61" i="2"/>
  <c r="D32" i="2"/>
  <c r="I62" i="1"/>
  <c r="F62" i="2"/>
  <c r="E54" i="2"/>
  <c r="F26" i="2"/>
  <c r="D54" i="2"/>
  <c r="D14" i="2"/>
  <c r="C90" i="2"/>
  <c r="C62" i="2"/>
  <c r="E53" i="2"/>
  <c r="D13" i="2"/>
  <c r="G54" i="2"/>
  <c r="F61" i="2"/>
  <c r="D53" i="2"/>
  <c r="G62" i="2"/>
  <c r="I18" i="1"/>
  <c r="F84" i="2"/>
  <c r="E61" i="2"/>
  <c r="H158" i="1"/>
  <c r="E158" i="2" s="1"/>
  <c r="G25" i="2"/>
  <c r="I31" i="1"/>
  <c r="C17" i="2"/>
  <c r="C82" i="2"/>
  <c r="F59" i="2"/>
  <c r="G82" i="2"/>
  <c r="G40" i="2"/>
  <c r="D25" i="2"/>
  <c r="G71" i="2"/>
  <c r="F82" i="2"/>
  <c r="E40" i="2"/>
  <c r="F18" i="2"/>
  <c r="F71" i="2"/>
  <c r="H160" i="1"/>
  <c r="G160" i="2" s="1"/>
  <c r="E82" i="2"/>
  <c r="F39" i="2"/>
  <c r="E18" i="2"/>
  <c r="E71" i="2"/>
  <c r="D82" i="2"/>
  <c r="G61" i="2"/>
  <c r="D39" i="2"/>
  <c r="C18" i="2"/>
  <c r="D71" i="2"/>
  <c r="C108" i="2"/>
  <c r="G57" i="2"/>
  <c r="C10" i="2"/>
  <c r="F44" i="2"/>
  <c r="F96" i="2"/>
  <c r="I11" i="1"/>
  <c r="D94" i="2"/>
  <c r="C30" i="2"/>
  <c r="I10" i="1"/>
  <c r="E79" i="2"/>
  <c r="F22" i="2"/>
  <c r="G10" i="2"/>
  <c r="C22" i="2"/>
  <c r="H145" i="1"/>
  <c r="C144" i="5" s="1"/>
  <c r="G102" i="2"/>
  <c r="G116" i="2"/>
  <c r="C102" i="2"/>
  <c r="E23" i="2"/>
  <c r="E116" i="2"/>
  <c r="D116" i="2"/>
  <c r="G51" i="2"/>
  <c r="C116" i="2"/>
  <c r="E95" i="2"/>
  <c r="E51" i="2"/>
  <c r="C113" i="1"/>
  <c r="H113" i="1" s="1"/>
  <c r="C112" i="5" s="1"/>
  <c r="D112" i="5" s="1"/>
  <c r="E108" i="2"/>
  <c r="F79" i="2"/>
  <c r="F51" i="2"/>
  <c r="F23" i="2"/>
  <c r="D16" i="2"/>
  <c r="C51" i="2"/>
  <c r="F37" i="2"/>
  <c r="C29" i="2"/>
  <c r="D50" i="2"/>
  <c r="D37" i="2"/>
  <c r="F28" i="2"/>
  <c r="H142" i="1"/>
  <c r="G142" i="2" s="1"/>
  <c r="D51" i="2"/>
  <c r="I23" i="1"/>
  <c r="E35" i="2"/>
  <c r="D84" i="2"/>
  <c r="D48" i="2"/>
  <c r="D28" i="2"/>
  <c r="D35" i="2"/>
  <c r="G56" i="2"/>
  <c r="C28" i="2"/>
  <c r="H122" i="1"/>
  <c r="C121" i="5" s="1"/>
  <c r="I63" i="1"/>
  <c r="I57" i="1"/>
  <c r="F56" i="2"/>
  <c r="F42" i="2"/>
  <c r="C65" i="2"/>
  <c r="E28" i="2"/>
  <c r="C84" i="2"/>
  <c r="I55" i="1"/>
  <c r="C56" i="2"/>
  <c r="E42" i="2"/>
  <c r="F63" i="2"/>
  <c r="C42" i="2"/>
  <c r="E133" i="2"/>
  <c r="F41" i="2"/>
  <c r="G28" i="2"/>
  <c r="C100" i="5"/>
  <c r="D101" i="5" s="1"/>
  <c r="E101" i="2"/>
  <c r="I52" i="1"/>
  <c r="E56" i="2"/>
  <c r="G52" i="2"/>
  <c r="G100" i="2"/>
  <c r="D127" i="2"/>
  <c r="C100" i="2"/>
  <c r="E44" i="2"/>
  <c r="H109" i="1"/>
  <c r="C108" i="5" s="1"/>
  <c r="C123" i="1"/>
  <c r="H123" i="1" s="1"/>
  <c r="C122" i="5" s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H128" i="1" s="1"/>
  <c r="G128" i="2" s="1"/>
  <c r="I61" i="1"/>
  <c r="G97" i="2"/>
  <c r="E89" i="2"/>
  <c r="I19" i="1"/>
  <c r="E97" i="2"/>
  <c r="C89" i="2"/>
  <c r="C111" i="1"/>
  <c r="H111" i="1" s="1"/>
  <c r="D111" i="2" s="1"/>
  <c r="H115" i="1"/>
  <c r="G115" i="2" s="1"/>
  <c r="C97" i="2"/>
  <c r="G14" i="2"/>
  <c r="H135" i="1"/>
  <c r="C135" i="2" s="1"/>
  <c r="I34" i="1"/>
  <c r="G68" i="2"/>
  <c r="F94" i="2"/>
  <c r="D87" i="2"/>
  <c r="G60" i="2"/>
  <c r="F53" i="2"/>
  <c r="D33" i="2"/>
  <c r="C80" i="5"/>
  <c r="D81" i="5" s="1"/>
  <c r="C33" i="5"/>
  <c r="H155" i="1"/>
  <c r="G155" i="2" s="1"/>
  <c r="D74" i="2"/>
  <c r="C67" i="5"/>
  <c r="D68" i="5" s="1"/>
  <c r="C73" i="5"/>
  <c r="C74" i="2"/>
  <c r="C94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I94" i="1"/>
  <c r="I54" i="1"/>
  <c r="I53" i="1"/>
  <c r="I15" i="1"/>
  <c r="G94" i="2"/>
  <c r="G53" i="2"/>
  <c r="D46" i="2"/>
  <c r="C34" i="2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C117" i="1"/>
  <c r="H117" i="1" s="1"/>
  <c r="E117" i="2" s="1"/>
  <c r="C41" i="5"/>
  <c r="C39" i="5"/>
  <c r="C29" i="5"/>
  <c r="C134" i="1"/>
  <c r="H134" i="1" s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F108" i="2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I96" i="1"/>
  <c r="I51" i="1"/>
  <c r="I40" i="1"/>
  <c r="I21" i="1"/>
  <c r="I16" i="1"/>
  <c r="F101" i="2"/>
  <c r="F99" i="2"/>
  <c r="F97" i="2"/>
  <c r="C95" i="2"/>
  <c r="D89" i="2"/>
  <c r="F88" i="2"/>
  <c r="E85" i="2"/>
  <c r="C52" i="2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G140" i="2" s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I45" i="1"/>
  <c r="I36" i="1"/>
  <c r="I27" i="1"/>
  <c r="I20" i="1"/>
  <c r="F127" i="2"/>
  <c r="G119" i="2"/>
  <c r="C119" i="2"/>
  <c r="F112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I99" i="1"/>
  <c r="I95" i="1"/>
  <c r="I89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E127" i="2"/>
  <c r="F119" i="2"/>
  <c r="E112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E50" i="2"/>
  <c r="C45" i="2"/>
  <c r="G42" i="2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H103" i="1"/>
  <c r="G103" i="2" s="1"/>
  <c r="C84" i="5"/>
  <c r="C78" i="5"/>
  <c r="C79" i="2"/>
  <c r="G79" i="2"/>
  <c r="C61" i="5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C9" i="5"/>
  <c r="F10" i="2"/>
  <c r="H10" i="2" s="1"/>
  <c r="F66" i="2"/>
  <c r="G69" i="2"/>
  <c r="G75" i="2"/>
  <c r="C47" i="5"/>
  <c r="C48" i="2"/>
  <c r="G48" i="2"/>
  <c r="C27" i="2"/>
  <c r="G27" i="2"/>
  <c r="C19" i="2"/>
  <c r="G19" i="2"/>
  <c r="H157" i="1"/>
  <c r="F157" i="2" s="1"/>
  <c r="E72" i="2"/>
  <c r="C72" i="2"/>
  <c r="I97" i="1"/>
  <c r="I58" i="1"/>
  <c r="I46" i="1"/>
  <c r="I37" i="1"/>
  <c r="I33" i="1"/>
  <c r="I28" i="1"/>
  <c r="I24" i="1"/>
  <c r="C127" i="2"/>
  <c r="D119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46" i="1"/>
  <c r="E146" i="2" s="1"/>
  <c r="C66" i="2"/>
  <c r="C69" i="2"/>
  <c r="F70" i="2"/>
  <c r="E70" i="2"/>
  <c r="H104" i="1"/>
  <c r="C104" i="2" s="1"/>
  <c r="H159" i="1"/>
  <c r="F159" i="2" s="1"/>
  <c r="A181" i="5"/>
  <c r="A182" i="5" s="1"/>
  <c r="D95" i="5"/>
  <c r="H98" i="1"/>
  <c r="C98" i="2" s="1"/>
  <c r="C48" i="5"/>
  <c r="C49" i="2"/>
  <c r="I49" i="1"/>
  <c r="D49" i="2"/>
  <c r="E49" i="2"/>
  <c r="I50" i="1"/>
  <c r="F49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23" i="5"/>
  <c r="F124" i="2"/>
  <c r="G124" i="2"/>
  <c r="C124" i="2"/>
  <c r="C42" i="5"/>
  <c r="D43" i="2"/>
  <c r="E43" i="2"/>
  <c r="C43" i="2"/>
  <c r="I43" i="1"/>
  <c r="F43" i="2"/>
  <c r="G43" i="2"/>
  <c r="I44" i="1"/>
  <c r="G49" i="2"/>
  <c r="H126" i="1"/>
  <c r="H129" i="1"/>
  <c r="C129" i="2" s="1"/>
  <c r="C75" i="5"/>
  <c r="E76" i="2"/>
  <c r="D7" i="6"/>
  <c r="J7" i="6"/>
  <c r="E7" i="6"/>
  <c r="K7" i="6"/>
  <c r="F7" i="6"/>
  <c r="G7" i="6"/>
  <c r="C132" i="1"/>
  <c r="C131" i="1"/>
  <c r="C66" i="5"/>
  <c r="D67" i="2"/>
  <c r="E67" i="2"/>
  <c r="F67" i="2"/>
  <c r="G67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C76" i="2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96" i="5"/>
  <c r="D27" i="5"/>
  <c r="D99" i="5"/>
  <c r="D87" i="5"/>
  <c r="D139" i="2"/>
  <c r="H162" i="1"/>
  <c r="E161" i="2"/>
  <c r="F161" i="2"/>
  <c r="C160" i="5"/>
  <c r="D161" i="2"/>
  <c r="G161" i="2"/>
  <c r="C158" i="2" l="1"/>
  <c r="E114" i="2"/>
  <c r="H54" i="2"/>
  <c r="G158" i="2"/>
  <c r="E142" i="2"/>
  <c r="F139" i="2"/>
  <c r="C157" i="5"/>
  <c r="F158" i="2"/>
  <c r="G127" i="2"/>
  <c r="H127" i="2" s="1"/>
  <c r="D100" i="5"/>
  <c r="I80" i="1"/>
  <c r="E139" i="2"/>
  <c r="C139" i="2"/>
  <c r="D158" i="2"/>
  <c r="F115" i="2"/>
  <c r="G139" i="2"/>
  <c r="C133" i="2"/>
  <c r="H133" i="2" s="1"/>
  <c r="C141" i="5"/>
  <c r="D141" i="5" s="1"/>
  <c r="F142" i="2"/>
  <c r="G135" i="2"/>
  <c r="F135" i="2"/>
  <c r="G114" i="2"/>
  <c r="I79" i="1"/>
  <c r="H71" i="2"/>
  <c r="H61" i="2"/>
  <c r="I86" i="1"/>
  <c r="C142" i="2"/>
  <c r="C145" i="2"/>
  <c r="H62" i="2"/>
  <c r="D160" i="2"/>
  <c r="C134" i="5"/>
  <c r="E145" i="2"/>
  <c r="D142" i="2"/>
  <c r="E160" i="2"/>
  <c r="H18" i="2"/>
  <c r="F160" i="2"/>
  <c r="C160" i="2"/>
  <c r="H82" i="2"/>
  <c r="C159" i="5"/>
  <c r="D160" i="5" s="1"/>
  <c r="E115" i="2"/>
  <c r="H108" i="2"/>
  <c r="C115" i="2"/>
  <c r="H52" i="2"/>
  <c r="D67" i="5"/>
  <c r="H51" i="2"/>
  <c r="D61" i="5"/>
  <c r="F145" i="2"/>
  <c r="G145" i="2"/>
  <c r="D145" i="2"/>
  <c r="H65" i="2"/>
  <c r="D56" i="5"/>
  <c r="G113" i="2"/>
  <c r="E113" i="2"/>
  <c r="D113" i="2"/>
  <c r="G110" i="2"/>
  <c r="H42" i="2"/>
  <c r="F110" i="2"/>
  <c r="E110" i="2"/>
  <c r="C111" i="2"/>
  <c r="G111" i="2"/>
  <c r="F103" i="2"/>
  <c r="D110" i="2"/>
  <c r="I77" i="1"/>
  <c r="C110" i="5"/>
  <c r="D111" i="5" s="1"/>
  <c r="H34" i="2"/>
  <c r="F113" i="2"/>
  <c r="E103" i="2"/>
  <c r="F111" i="2"/>
  <c r="C109" i="5"/>
  <c r="D109" i="5" s="1"/>
  <c r="C113" i="2"/>
  <c r="E111" i="2"/>
  <c r="H116" i="2"/>
  <c r="H53" i="2"/>
  <c r="H56" i="2"/>
  <c r="D122" i="5"/>
  <c r="C139" i="5"/>
  <c r="D139" i="5" s="1"/>
  <c r="H22" i="2"/>
  <c r="H28" i="2"/>
  <c r="D122" i="2"/>
  <c r="G122" i="2"/>
  <c r="F114" i="2"/>
  <c r="F122" i="2"/>
  <c r="C113" i="5"/>
  <c r="D113" i="5" s="1"/>
  <c r="I78" i="1"/>
  <c r="C122" i="2"/>
  <c r="E122" i="2"/>
  <c r="F117" i="2"/>
  <c r="F109" i="2"/>
  <c r="H81" i="2"/>
  <c r="E123" i="2"/>
  <c r="H84" i="2"/>
  <c r="C118" i="2"/>
  <c r="E118" i="2"/>
  <c r="D109" i="2"/>
  <c r="I87" i="1"/>
  <c r="H77" i="2"/>
  <c r="C123" i="2"/>
  <c r="G118" i="2"/>
  <c r="D123" i="5"/>
  <c r="C109" i="2"/>
  <c r="I88" i="1"/>
  <c r="E109" i="2"/>
  <c r="G123" i="2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G144" i="2"/>
  <c r="C116" i="5"/>
  <c r="G117" i="2"/>
  <c r="H75" i="2"/>
  <c r="C141" i="2"/>
  <c r="G38" i="5"/>
  <c r="D84" i="5"/>
  <c r="D43" i="5"/>
  <c r="D149" i="2"/>
  <c r="G149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5" s="1"/>
  <c r="D138" i="2"/>
  <c r="E138" i="2"/>
  <c r="D107" i="5"/>
  <c r="D108" i="5"/>
  <c r="F141" i="2"/>
  <c r="D32" i="5"/>
  <c r="E159" i="2"/>
  <c r="C159" i="2"/>
  <c r="G159" i="2"/>
  <c r="C158" i="5"/>
  <c r="D159" i="2"/>
  <c r="F26" i="5"/>
  <c r="D19" i="5"/>
  <c r="D29" i="5"/>
  <c r="F32" i="5"/>
  <c r="D28" i="5"/>
  <c r="E20" i="5"/>
  <c r="H87" i="2"/>
  <c r="H29" i="2"/>
  <c r="H36" i="2"/>
  <c r="H112" i="2"/>
  <c r="E32" i="5"/>
  <c r="D17" i="5"/>
  <c r="D10" i="5"/>
  <c r="D15" i="5"/>
  <c r="D78" i="5"/>
  <c r="D128" i="2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G157" i="2"/>
  <c r="C157" i="2"/>
  <c r="E157" i="2"/>
  <c r="F134" i="2"/>
  <c r="D93" i="5"/>
  <c r="D41" i="5"/>
  <c r="E65" i="5"/>
  <c r="E41" i="5"/>
  <c r="E92" i="5"/>
  <c r="D54" i="5"/>
  <c r="E95" i="5"/>
  <c r="E62" i="5"/>
  <c r="D75" i="5"/>
  <c r="D42" i="5"/>
  <c r="F44" i="5"/>
  <c r="H64" i="2"/>
  <c r="H124" i="2"/>
  <c r="F56" i="5"/>
  <c r="E17" i="5"/>
  <c r="H67" i="2"/>
  <c r="E59" i="5"/>
  <c r="E14" i="5"/>
  <c r="E44" i="5"/>
  <c r="E71" i="5"/>
  <c r="D14" i="5"/>
  <c r="F50" i="5"/>
  <c r="D83" i="5"/>
  <c r="F74" i="5"/>
  <c r="F20" i="5"/>
  <c r="H11" i="2"/>
  <c r="H43" i="2"/>
  <c r="H83" i="2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G136" i="2"/>
  <c r="C136" i="2"/>
  <c r="D136" i="2"/>
  <c r="E136" i="2"/>
  <c r="F136" i="2"/>
  <c r="D86" i="5"/>
  <c r="H132" i="1"/>
  <c r="C132" i="2" s="1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C97" i="5"/>
  <c r="D98" i="2"/>
  <c r="E98" i="2"/>
  <c r="F98" i="2"/>
  <c r="G98" i="2"/>
  <c r="C154" i="2"/>
  <c r="E154" i="2"/>
  <c r="C153" i="5"/>
  <c r="F154" i="2"/>
  <c r="D154" i="2"/>
  <c r="C161" i="5"/>
  <c r="D161" i="5" s="1"/>
  <c r="H161" i="2"/>
  <c r="H163" i="1"/>
  <c r="D163" i="2" s="1"/>
  <c r="H158" i="2" l="1"/>
  <c r="D157" i="5"/>
  <c r="H139" i="2"/>
  <c r="H142" i="2"/>
  <c r="D135" i="5"/>
  <c r="H114" i="2"/>
  <c r="H115" i="2"/>
  <c r="D159" i="5"/>
  <c r="H160" i="2"/>
  <c r="H111" i="2"/>
  <c r="H145" i="2"/>
  <c r="E110" i="5"/>
  <c r="H110" i="2"/>
  <c r="D110" i="5"/>
  <c r="H113" i="2"/>
  <c r="D140" i="5"/>
  <c r="H128" i="2"/>
  <c r="H122" i="2"/>
  <c r="H123" i="2"/>
  <c r="E113" i="5"/>
  <c r="H109" i="2"/>
  <c r="I85" i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H122" i="5" l="1"/>
  <c r="F128" i="5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E176" i="2" l="1"/>
  <c r="C176" i="2"/>
  <c r="C175" i="5"/>
  <c r="F176" i="2"/>
  <c r="G176" i="2"/>
  <c r="H175" i="2"/>
  <c r="D176" i="2"/>
  <c r="H177" i="1"/>
  <c r="D174" i="5"/>
  <c r="D175" i="5" l="1"/>
  <c r="C176" i="5"/>
  <c r="D176" i="5" s="1"/>
  <c r="C177" i="2"/>
  <c r="G177" i="2"/>
  <c r="E177" i="2"/>
  <c r="F177" i="2"/>
  <c r="H176" i="2"/>
  <c r="D177" i="2"/>
  <c r="H178" i="1"/>
  <c r="D178" i="2" s="1"/>
  <c r="F176" i="5" l="1"/>
  <c r="E178" i="2"/>
  <c r="G178" i="2"/>
  <c r="F178" i="2"/>
  <c r="C178" i="2"/>
  <c r="C177" i="5"/>
  <c r="H177" i="2"/>
  <c r="H179" i="1"/>
  <c r="D179" i="2" s="1"/>
  <c r="E176" i="5"/>
  <c r="H180" i="1" l="1"/>
  <c r="D180" i="2" s="1"/>
  <c r="D177" i="5"/>
  <c r="C179" i="2"/>
  <c r="G179" i="2"/>
  <c r="C178" i="5"/>
  <c r="E179" i="2"/>
  <c r="F179" i="2"/>
  <c r="H178" i="2"/>
  <c r="H181" i="1" l="1"/>
  <c r="D178" i="5"/>
  <c r="E180" i="2"/>
  <c r="C180" i="2"/>
  <c r="C179" i="5"/>
  <c r="E179" i="5" s="1"/>
  <c r="F180" i="2"/>
  <c r="G180" i="2"/>
  <c r="H179" i="2"/>
  <c r="C180" i="5" l="1"/>
  <c r="C181" i="2"/>
  <c r="G181" i="2"/>
  <c r="E181" i="2"/>
  <c r="F181" i="2"/>
  <c r="D181" i="2"/>
  <c r="D179" i="5"/>
  <c r="H182" i="1"/>
  <c r="H180" i="2"/>
  <c r="C253" i="1" l="1"/>
  <c r="C255" i="1"/>
  <c r="C254" i="1"/>
  <c r="D182" i="2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258" i="1" l="1"/>
  <c r="C261" i="1" s="1"/>
  <c r="C257" i="1"/>
  <c r="C256" i="1"/>
  <c r="C183" i="5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C259" i="1" l="1"/>
  <c r="C260" i="1"/>
  <c r="C264" i="1"/>
  <c r="H186" i="1"/>
  <c r="C184" i="5"/>
  <c r="E185" i="2"/>
  <c r="G185" i="2"/>
  <c r="F185" i="2"/>
  <c r="C185" i="2"/>
  <c r="H184" i="2"/>
  <c r="D183" i="5"/>
  <c r="H183" i="2"/>
  <c r="D182" i="5"/>
  <c r="G182" i="5"/>
  <c r="E182" i="5"/>
  <c r="F182" i="5"/>
  <c r="C267" i="1" l="1"/>
  <c r="C263" i="1"/>
  <c r="C262" i="1"/>
  <c r="H185" i="2"/>
  <c r="C185" i="5"/>
  <c r="G186" i="2"/>
  <c r="E186" i="2"/>
  <c r="F186" i="2"/>
  <c r="C186" i="2"/>
  <c r="D186" i="2"/>
  <c r="D184" i="5"/>
  <c r="H187" i="1"/>
  <c r="D187" i="2" s="1"/>
  <c r="C265" i="1" l="1"/>
  <c r="C266" i="1"/>
  <c r="H186" i="2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H194" i="1" l="1"/>
  <c r="H192" i="2"/>
  <c r="C192" i="5"/>
  <c r="C193" i="2"/>
  <c r="E193" i="2"/>
  <c r="F193" i="2"/>
  <c r="G193" i="2"/>
  <c r="D191" i="5"/>
  <c r="E191" i="5"/>
  <c r="H196" i="1" l="1"/>
  <c r="C196" i="2" s="1"/>
  <c r="C193" i="5"/>
  <c r="C194" i="2"/>
  <c r="E194" i="2"/>
  <c r="F194" i="2"/>
  <c r="G194" i="2"/>
  <c r="H193" i="2"/>
  <c r="D194" i="2"/>
  <c r="D192" i="5"/>
  <c r="H195" i="1"/>
  <c r="D195" i="2" s="1"/>
  <c r="F196" i="2" l="1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C196" i="5" l="1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H197" i="2" l="1"/>
  <c r="H199" i="1"/>
  <c r="D199" i="2" s="1"/>
  <c r="G198" i="2"/>
  <c r="C198" i="2"/>
  <c r="C197" i="5"/>
  <c r="F198" i="2"/>
  <c r="E198" i="2"/>
  <c r="D198" i="2"/>
  <c r="D197" i="5" l="1"/>
  <c r="E197" i="5"/>
  <c r="H198" i="2"/>
  <c r="H200" i="1"/>
  <c r="F199" i="2"/>
  <c r="E199" i="2"/>
  <c r="C198" i="5"/>
  <c r="G199" i="2"/>
  <c r="C199" i="2"/>
  <c r="C199" i="5" l="1"/>
  <c r="E200" i="2"/>
  <c r="G200" i="2"/>
  <c r="F200" i="2"/>
  <c r="C200" i="2"/>
  <c r="D198" i="5"/>
  <c r="D200" i="2"/>
  <c r="H201" i="1"/>
  <c r="H199" i="2"/>
  <c r="H202" i="1" l="1"/>
  <c r="C201" i="2"/>
  <c r="C200" i="5"/>
  <c r="F200" i="5" s="1"/>
  <c r="E201" i="2"/>
  <c r="G201" i="2"/>
  <c r="F201" i="2"/>
  <c r="H200" i="2"/>
  <c r="D199" i="5"/>
  <c r="D201" i="2"/>
  <c r="H201" i="2" l="1"/>
  <c r="G202" i="2"/>
  <c r="C202" i="2"/>
  <c r="F202" i="2"/>
  <c r="E202" i="2"/>
  <c r="C201" i="5"/>
  <c r="D202" i="2"/>
  <c r="D200" i="5"/>
  <c r="E200" i="5"/>
  <c r="H203" i="1"/>
  <c r="H204" i="1" l="1"/>
  <c r="H202" i="2"/>
  <c r="F203" i="2"/>
  <c r="C202" i="5"/>
  <c r="G203" i="2"/>
  <c r="C203" i="2"/>
  <c r="E203" i="2"/>
  <c r="D203" i="2"/>
  <c r="D201" i="5"/>
  <c r="H205" i="1" l="1"/>
  <c r="H203" i="2"/>
  <c r="C203" i="5"/>
  <c r="E204" i="2"/>
  <c r="C204" i="2"/>
  <c r="F204" i="2"/>
  <c r="G204" i="2"/>
  <c r="D202" i="5"/>
  <c r="D204" i="2"/>
  <c r="H204" i="2" l="1"/>
  <c r="C205" i="2"/>
  <c r="F205" i="2"/>
  <c r="C204" i="5"/>
  <c r="E205" i="2"/>
  <c r="G205" i="2"/>
  <c r="D205" i="2"/>
  <c r="D203" i="5"/>
  <c r="E203" i="5"/>
  <c r="H206" i="1"/>
  <c r="D206" i="2" s="1"/>
  <c r="G252" i="1" l="1"/>
  <c r="G253" i="1" s="1"/>
  <c r="G254" i="1" s="1"/>
  <c r="G255" i="1" s="1"/>
  <c r="G256" i="1" s="1"/>
  <c r="D208" i="2"/>
  <c r="H205" i="2"/>
  <c r="D204" i="5"/>
  <c r="H207" i="1"/>
  <c r="D207" i="2" s="1"/>
  <c r="G206" i="2"/>
  <c r="C206" i="2"/>
  <c r="F206" i="2"/>
  <c r="C205" i="5"/>
  <c r="D205" i="5" s="1"/>
  <c r="E206" i="2"/>
  <c r="G257" i="1" l="1"/>
  <c r="F252" i="1"/>
  <c r="C207" i="5"/>
  <c r="C208" i="2"/>
  <c r="F208" i="2"/>
  <c r="G208" i="2"/>
  <c r="E208" i="2"/>
  <c r="H206" i="2"/>
  <c r="F207" i="2"/>
  <c r="E207" i="2"/>
  <c r="G207" i="2"/>
  <c r="C207" i="2"/>
  <c r="C206" i="5"/>
  <c r="G258" i="1" l="1"/>
  <c r="F253" i="1"/>
  <c r="F254" i="1" s="1"/>
  <c r="F255" i="1" s="1"/>
  <c r="F256" i="1" s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F257" i="1" l="1"/>
  <c r="G259" i="1"/>
  <c r="C209" i="5"/>
  <c r="C210" i="2"/>
  <c r="G210" i="2"/>
  <c r="F210" i="2"/>
  <c r="E210" i="2"/>
  <c r="H209" i="2"/>
  <c r="D211" i="2"/>
  <c r="D208" i="5"/>
  <c r="G260" i="1" l="1"/>
  <c r="F258" i="1"/>
  <c r="H210" i="2"/>
  <c r="C210" i="5"/>
  <c r="C211" i="2"/>
  <c r="F211" i="2"/>
  <c r="G211" i="2"/>
  <c r="E211" i="2"/>
  <c r="D209" i="5"/>
  <c r="E209" i="5"/>
  <c r="F259" i="1" l="1"/>
  <c r="G261" i="1"/>
  <c r="H211" i="2"/>
  <c r="C211" i="5"/>
  <c r="C212" i="2"/>
  <c r="G212" i="2"/>
  <c r="F212" i="2"/>
  <c r="E212" i="2"/>
  <c r="D210" i="5"/>
  <c r="D212" i="2"/>
  <c r="H213" i="1"/>
  <c r="G262" i="1" l="1"/>
  <c r="F260" i="1"/>
  <c r="C212" i="5"/>
  <c r="C213" i="2"/>
  <c r="F213" i="2"/>
  <c r="G213" i="2"/>
  <c r="E213" i="2"/>
  <c r="D213" i="2"/>
  <c r="H212" i="2"/>
  <c r="D211" i="5"/>
  <c r="F261" i="1" l="1"/>
  <c r="G263" i="1"/>
  <c r="H213" i="2"/>
  <c r="C213" i="5"/>
  <c r="C214" i="2"/>
  <c r="G214" i="2"/>
  <c r="F214" i="2"/>
  <c r="E214" i="2"/>
  <c r="D214" i="2"/>
  <c r="D212" i="5"/>
  <c r="F212" i="5"/>
  <c r="E212" i="5"/>
  <c r="G264" i="1" l="1"/>
  <c r="F262" i="1"/>
  <c r="C214" i="5"/>
  <c r="D214" i="5" s="1"/>
  <c r="C215" i="2"/>
  <c r="F215" i="2"/>
  <c r="G215" i="2"/>
  <c r="E215" i="2"/>
  <c r="H214" i="2"/>
  <c r="D215" i="2"/>
  <c r="D213" i="5"/>
  <c r="D216" i="2"/>
  <c r="F263" i="1" l="1"/>
  <c r="G265" i="1"/>
  <c r="H215" i="2"/>
  <c r="C215" i="5"/>
  <c r="C216" i="2"/>
  <c r="G216" i="2"/>
  <c r="F216" i="2"/>
  <c r="E216" i="2"/>
  <c r="D217" i="2"/>
  <c r="G266" i="1" l="1"/>
  <c r="F264" i="1"/>
  <c r="H216" i="2"/>
  <c r="D215" i="5"/>
  <c r="E215" i="5"/>
  <c r="C216" i="5"/>
  <c r="C217" i="2"/>
  <c r="F217" i="2"/>
  <c r="G217" i="2"/>
  <c r="E217" i="2"/>
  <c r="F265" i="1" l="1"/>
  <c r="G267" i="1"/>
  <c r="E252" i="1"/>
  <c r="E253" i="1" s="1"/>
  <c r="E254" i="1" s="1"/>
  <c r="E255" i="1" s="1"/>
  <c r="E256" i="1" s="1"/>
  <c r="C219" i="5"/>
  <c r="H217" i="2"/>
  <c r="C217" i="5"/>
  <c r="D217" i="5" s="1"/>
  <c r="C218" i="2"/>
  <c r="G218" i="2"/>
  <c r="F218" i="2"/>
  <c r="E218" i="2"/>
  <c r="D218" i="2"/>
  <c r="D216" i="5"/>
  <c r="E257" i="1" l="1"/>
  <c r="F266" i="1"/>
  <c r="C220" i="2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F267" i="1" l="1"/>
  <c r="E258" i="1"/>
  <c r="D220" i="5"/>
  <c r="D219" i="5"/>
  <c r="C221" i="2"/>
  <c r="G221" i="2"/>
  <c r="F221" i="2"/>
  <c r="E221" i="2"/>
  <c r="H220" i="2"/>
  <c r="D221" i="2"/>
  <c r="H218" i="5"/>
  <c r="H219" i="2"/>
  <c r="D218" i="5"/>
  <c r="G218" i="5"/>
  <c r="E218" i="5"/>
  <c r="E259" i="1" l="1"/>
  <c r="D222" i="2"/>
  <c r="C221" i="5"/>
  <c r="C222" i="2"/>
  <c r="F222" i="2"/>
  <c r="G222" i="2"/>
  <c r="E222" i="2"/>
  <c r="H221" i="2"/>
  <c r="C222" i="5"/>
  <c r="E260" i="1" l="1"/>
  <c r="H222" i="2"/>
  <c r="D221" i="5"/>
  <c r="E221" i="5"/>
  <c r="D222" i="5"/>
  <c r="C223" i="2"/>
  <c r="F223" i="2"/>
  <c r="G223" i="2"/>
  <c r="E223" i="2"/>
  <c r="D223" i="2"/>
  <c r="C223" i="5"/>
  <c r="D223" i="5" s="1"/>
  <c r="E261" i="1" l="1"/>
  <c r="H223" i="2"/>
  <c r="C224" i="2"/>
  <c r="F224" i="2"/>
  <c r="G224" i="2"/>
  <c r="E224" i="2"/>
  <c r="D224" i="2"/>
  <c r="C224" i="5"/>
  <c r="D224" i="5" s="1"/>
  <c r="E262" i="1" l="1"/>
  <c r="E224" i="5"/>
  <c r="F224" i="5"/>
  <c r="C225" i="2"/>
  <c r="G225" i="2"/>
  <c r="F225" i="2"/>
  <c r="E225" i="2"/>
  <c r="H224" i="2"/>
  <c r="D225" i="2"/>
  <c r="E263" i="1" l="1"/>
  <c r="H225" i="2"/>
  <c r="D226" i="2"/>
  <c r="C225" i="5"/>
  <c r="C226" i="2"/>
  <c r="F226" i="2"/>
  <c r="G226" i="2"/>
  <c r="E226" i="2"/>
  <c r="C226" i="5"/>
  <c r="E264" i="1" l="1"/>
  <c r="D226" i="5"/>
  <c r="D225" i="5"/>
  <c r="H226" i="2"/>
  <c r="C227" i="2"/>
  <c r="G227" i="2"/>
  <c r="F227" i="2"/>
  <c r="E227" i="2"/>
  <c r="D227" i="2"/>
  <c r="E265" i="1" l="1"/>
  <c r="D228" i="2"/>
  <c r="C227" i="5"/>
  <c r="C228" i="2"/>
  <c r="G228" i="2"/>
  <c r="F228" i="2"/>
  <c r="E228" i="2"/>
  <c r="H227" i="2"/>
  <c r="C228" i="5"/>
  <c r="E266" i="1" l="1"/>
  <c r="H228" i="2"/>
  <c r="D227" i="5"/>
  <c r="E227" i="5"/>
  <c r="D228" i="5"/>
  <c r="C229" i="2"/>
  <c r="F229" i="2"/>
  <c r="G229" i="2"/>
  <c r="E229" i="2"/>
  <c r="D229" i="2"/>
  <c r="C229" i="5"/>
  <c r="D229" i="5" s="1"/>
  <c r="E267" i="1" l="1"/>
  <c r="C230" i="2"/>
  <c r="G230" i="2"/>
  <c r="F230" i="2"/>
  <c r="E230" i="2"/>
  <c r="D230" i="2"/>
  <c r="H229" i="2"/>
  <c r="C231" i="5" l="1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5" i="2"/>
  <c r="H234" i="2" l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C236" i="5" l="1"/>
  <c r="D236" i="5" s="1"/>
  <c r="C237" i="2"/>
  <c r="G237" i="2"/>
  <c r="F237" i="2"/>
  <c r="E237" i="2"/>
  <c r="H236" i="2"/>
  <c r="D237" i="2"/>
  <c r="D235" i="5"/>
  <c r="D238" i="2"/>
  <c r="F236" i="5" l="1"/>
  <c r="E236" i="5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0" i="2"/>
  <c r="H239" i="2" l="1"/>
  <c r="C239" i="5"/>
  <c r="C240" i="2"/>
  <c r="G240" i="2"/>
  <c r="F240" i="2"/>
  <c r="E240" i="2"/>
  <c r="H240" i="2" l="1"/>
  <c r="D239" i="5"/>
  <c r="E239" i="5"/>
  <c r="C240" i="5"/>
  <c r="C241" i="2"/>
  <c r="G241" i="2"/>
  <c r="F241" i="2"/>
  <c r="E241" i="2"/>
  <c r="D241" i="2"/>
  <c r="H241" i="2" l="1"/>
  <c r="C241" i="5"/>
  <c r="C242" i="2"/>
  <c r="G242" i="2"/>
  <c r="F242" i="2"/>
  <c r="E242" i="2"/>
  <c r="D243" i="2"/>
  <c r="D242" i="2"/>
  <c r="D240" i="5"/>
  <c r="F245" i="2" l="1"/>
  <c r="C244" i="5"/>
  <c r="E245" i="2"/>
  <c r="D245" i="2"/>
  <c r="G245" i="2"/>
  <c r="C245" i="2"/>
  <c r="C242" i="5"/>
  <c r="F242" i="5" s="1"/>
  <c r="C243" i="2"/>
  <c r="F243" i="2"/>
  <c r="G243" i="2"/>
  <c r="E243" i="2"/>
  <c r="H242" i="2"/>
  <c r="D241" i="5"/>
  <c r="H245" i="2" l="1"/>
  <c r="D246" i="2"/>
  <c r="C245" i="5"/>
  <c r="D245" i="5" s="1"/>
  <c r="E246" i="2"/>
  <c r="G246" i="2"/>
  <c r="F246" i="2"/>
  <c r="C246" i="2"/>
  <c r="H242" i="5"/>
  <c r="H248" i="1"/>
  <c r="H243" i="2"/>
  <c r="D242" i="5"/>
  <c r="G242" i="5"/>
  <c r="E242" i="5"/>
  <c r="H246" i="2" l="1"/>
  <c r="C247" i="5"/>
  <c r="G248" i="2"/>
  <c r="F248" i="2"/>
  <c r="E248" i="2"/>
  <c r="D248" i="2"/>
  <c r="C248" i="2"/>
  <c r="G247" i="2"/>
  <c r="F247" i="2"/>
  <c r="E247" i="2"/>
  <c r="D247" i="2"/>
  <c r="C246" i="5"/>
  <c r="C247" i="2"/>
  <c r="G244" i="2"/>
  <c r="D244" i="2"/>
  <c r="F244" i="2"/>
  <c r="C243" i="5"/>
  <c r="E244" i="2"/>
  <c r="C244" i="2"/>
  <c r="C250" i="2" l="1"/>
  <c r="D247" i="5"/>
  <c r="D243" i="5"/>
  <c r="E245" i="5"/>
  <c r="D244" i="5"/>
  <c r="H248" i="2"/>
  <c r="C248" i="5"/>
  <c r="D248" i="5" s="1"/>
  <c r="E249" i="2"/>
  <c r="F249" i="2"/>
  <c r="G249" i="2"/>
  <c r="D249" i="2"/>
  <c r="C249" i="2"/>
  <c r="H247" i="2"/>
  <c r="D246" i="5"/>
  <c r="H244" i="2"/>
  <c r="D252" i="1"/>
  <c r="C249" i="5" l="1"/>
  <c r="D249" i="5" s="1"/>
  <c r="G250" i="2"/>
  <c r="D250" i="2"/>
  <c r="F250" i="2"/>
  <c r="E250" i="2"/>
  <c r="H249" i="2"/>
  <c r="F248" i="5"/>
  <c r="E248" i="5"/>
  <c r="G251" i="2"/>
  <c r="D251" i="2"/>
  <c r="F251" i="2"/>
  <c r="C250" i="5"/>
  <c r="E251" i="2"/>
  <c r="C251" i="2"/>
  <c r="D253" i="1"/>
  <c r="H252" i="1"/>
  <c r="D250" i="5" l="1"/>
  <c r="H250" i="2"/>
  <c r="H251" i="2"/>
  <c r="F252" i="2"/>
  <c r="E252" i="2"/>
  <c r="D252" i="2"/>
  <c r="G252" i="2"/>
  <c r="C251" i="5"/>
  <c r="C252" i="2"/>
  <c r="D254" i="1"/>
  <c r="H253" i="1"/>
  <c r="H252" i="2" l="1"/>
  <c r="D251" i="5"/>
  <c r="E251" i="5"/>
  <c r="C252" i="5"/>
  <c r="F253" i="2"/>
  <c r="G253" i="2"/>
  <c r="E253" i="2"/>
  <c r="D253" i="2"/>
  <c r="C253" i="2"/>
  <c r="D255" i="1"/>
  <c r="H254" i="1"/>
  <c r="H255" i="1" l="1"/>
  <c r="F255" i="2" s="1"/>
  <c r="D256" i="1"/>
  <c r="D252" i="5"/>
  <c r="D254" i="2"/>
  <c r="C253" i="5"/>
  <c r="G254" i="2"/>
  <c r="E254" i="2"/>
  <c r="F254" i="2"/>
  <c r="C254" i="2"/>
  <c r="H253" i="2"/>
  <c r="D255" i="2" l="1"/>
  <c r="C255" i="2"/>
  <c r="E255" i="2"/>
  <c r="C254" i="5"/>
  <c r="F254" i="5" s="1"/>
  <c r="G255" i="2"/>
  <c r="D257" i="1"/>
  <c r="H256" i="1"/>
  <c r="D253" i="5"/>
  <c r="H254" i="5"/>
  <c r="E254" i="5"/>
  <c r="H254" i="2"/>
  <c r="D254" i="5" l="1"/>
  <c r="G254" i="5"/>
  <c r="H255" i="2"/>
  <c r="C255" i="5"/>
  <c r="C256" i="2"/>
  <c r="G256" i="2"/>
  <c r="F256" i="2"/>
  <c r="E256" i="2"/>
  <c r="D256" i="2"/>
  <c r="D258" i="1"/>
  <c r="H257" i="1"/>
  <c r="C256" i="5" l="1"/>
  <c r="C257" i="2"/>
  <c r="G257" i="2"/>
  <c r="F257" i="2"/>
  <c r="E257" i="2"/>
  <c r="H256" i="2"/>
  <c r="D255" i="5"/>
  <c r="D257" i="2"/>
  <c r="D259" i="1"/>
  <c r="H258" i="1"/>
  <c r="C257" i="5" l="1"/>
  <c r="E257" i="5" s="1"/>
  <c r="C258" i="2"/>
  <c r="G258" i="2"/>
  <c r="F258" i="2"/>
  <c r="E258" i="2"/>
  <c r="D258" i="2"/>
  <c r="H257" i="2"/>
  <c r="D256" i="5"/>
  <c r="D260" i="1"/>
  <c r="H259" i="1"/>
  <c r="D257" i="5" l="1"/>
  <c r="C258" i="5"/>
  <c r="C259" i="2"/>
  <c r="G259" i="2"/>
  <c r="F259" i="2"/>
  <c r="E259" i="2"/>
  <c r="H258" i="2"/>
  <c r="D259" i="2"/>
  <c r="D261" i="1"/>
  <c r="H260" i="1"/>
  <c r="C259" i="5" l="1"/>
  <c r="D259" i="5" s="1"/>
  <c r="C260" i="2"/>
  <c r="G260" i="2"/>
  <c r="F260" i="2"/>
  <c r="E260" i="2"/>
  <c r="H259" i="2"/>
  <c r="D258" i="5"/>
  <c r="D260" i="2"/>
  <c r="D262" i="1"/>
  <c r="H261" i="1"/>
  <c r="D261" i="2" s="1"/>
  <c r="H260" i="2" l="1"/>
  <c r="C260" i="5"/>
  <c r="C261" i="2"/>
  <c r="G261" i="2"/>
  <c r="F261" i="2"/>
  <c r="E261" i="2"/>
  <c r="D263" i="1"/>
  <c r="H262" i="1"/>
  <c r="C261" i="5" l="1"/>
  <c r="C262" i="2"/>
  <c r="G262" i="2"/>
  <c r="F262" i="2"/>
  <c r="E262" i="2"/>
  <c r="H261" i="2"/>
  <c r="D260" i="5"/>
  <c r="F260" i="5"/>
  <c r="E260" i="5"/>
  <c r="D262" i="2"/>
  <c r="D264" i="1"/>
  <c r="H263" i="1"/>
  <c r="C262" i="5" l="1"/>
  <c r="C263" i="2"/>
  <c r="G263" i="2"/>
  <c r="F263" i="2"/>
  <c r="E263" i="2"/>
  <c r="D263" i="2"/>
  <c r="H262" i="2"/>
  <c r="D261" i="5"/>
  <c r="D265" i="1"/>
  <c r="H264" i="1"/>
  <c r="C263" i="5" l="1"/>
  <c r="C264" i="2"/>
  <c r="G264" i="2"/>
  <c r="F264" i="2"/>
  <c r="E264" i="2"/>
  <c r="H263" i="2"/>
  <c r="D264" i="2"/>
  <c r="D262" i="5"/>
  <c r="D266" i="1"/>
  <c r="H265" i="1"/>
  <c r="D265" i="2" s="1"/>
  <c r="H264" i="2" l="1"/>
  <c r="C264" i="5"/>
  <c r="C265" i="2"/>
  <c r="G265" i="2"/>
  <c r="F265" i="2"/>
  <c r="E265" i="2"/>
  <c r="D263" i="5"/>
  <c r="E263" i="5"/>
  <c r="D267" i="1"/>
  <c r="H266" i="1"/>
  <c r="C265" i="5" l="1"/>
  <c r="D265" i="5" s="1"/>
  <c r="C266" i="2"/>
  <c r="G266" i="2"/>
  <c r="F266" i="2"/>
  <c r="E266" i="2"/>
  <c r="H265" i="2"/>
  <c r="H267" i="1"/>
  <c r="D267" i="2" s="1"/>
  <c r="D264" i="5"/>
  <c r="D266" i="2"/>
  <c r="C266" i="5" l="1"/>
  <c r="F266" i="5" s="1"/>
  <c r="C267" i="2"/>
  <c r="G267" i="2"/>
  <c r="F267" i="2"/>
  <c r="E267" i="2"/>
  <c r="H266" i="2"/>
  <c r="H267" i="2" l="1"/>
  <c r="D266" i="5"/>
  <c r="G266" i="5"/>
  <c r="H266" i="5"/>
  <c r="E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<sst xmlns="http://schemas.openxmlformats.org/spreadsheetml/2006/main" count="991" uniqueCount="89">
  <si>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</si>
  <si>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</si>
  <si>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</si>
  <si>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</si>
  <si>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</si>
  <si>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</si>
  <si>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</si>
  <si>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</si>
  <si>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</si>
  <si>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</si>
  <si>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</si>
  <si>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</si>
  <si>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</si>
  <si>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</si>
  <si>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</si>
  <si>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</si>
  <si>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</si>
  <si>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</si>
  <si>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</si>
  <si>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</si>
  <si>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</si>
  <si>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</si>
  <si>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</si>
  <si>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</si>
  <si>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</si>
  <si>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</si>
  <si>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</si>
  <si>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</si>
  <si>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</si>
  <si>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</si>
  <si>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</si>
  <si>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</si>
  <si>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</si>
  <si>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</si>
  <si>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</si>
  <si>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</si>
  <si>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</si>
  <si>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</si>
  <si>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</si>
  <si>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</si>
  <si>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</si>
  <si>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</si>
  <si>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</si>
  <si>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</si>
  <si>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</si>
  <si>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</si>
  <si>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</si>
  <si>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</si>
  <si>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</si>
  <si>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</si>
  <si>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</si>
  <si>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</si>
  <si>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</si>
  <si>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</si>
  <si>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</si>
  <si>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</si>
  <si>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</si>
  <si>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</si>
  <si>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</si>
  <si>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</si>
  <si>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</si>
  <si>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</si>
  <si>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</si>
  <si>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</si>
  <si>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</si>
  <si>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</si>
  <si>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</si>
  <si>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</si>
  <si>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</si>
  <si>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</si>
  <si>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</si>
  <si>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</si>
  <si>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</si>
  <si>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</si>
  <si>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</si>
  <si>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</si>
  <si>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</si>
  <si>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</si>
  <si>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</si>
  <si>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</si>
  <si>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</si>
  <si>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</si>
  <si>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</si>
  <si>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</si>
  <si>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</si>
  <si>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</si>
  <si>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</si>
  <si>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 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</si>
  <si>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  <r>
      <rPr>
        <sz val="10"/>
        <rFont val="Arial"/>
        <family val="2"/>
      </rPr>
      <t xml:space="preserve">
PRIS1115.87 I ALT erstattes fra 1.3.2025 af PRIS1121.87 I ALT. Indeksbasisåret er skiftet fra 2015=100 til 2021=100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</si>
</sst>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  <font>
      <i/>
      <sz val="12"/>
      <name val="Arial"/>
      <family val="2"/>
    </font>
    <font>
      <sz val="1"/>
      <name val="Arial"/>
      <family val="2"/>
    </font>
  </fonts>
  <fills count="10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222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Border="1"/>
    <xf numFmtId="0" fontId="0" fillId="0" borderId="0" xfId="0" applyBorder="1"/>
    <xf numFmtId="167" fontId="0" fillId="3" borderId="3" xfId="0" applyNumberFormat="1" applyFill="1" applyBorder="1"/>
    <xf numFmtId="167" fontId="2" fillId="3" borderId="3" xfId="0" applyNumberFormat="1" applyFont="1" applyFill="1" applyBorder="1"/>
    <xf numFmtId="166" fontId="2" fillId="3" borderId="0" xfId="0" applyNumberFormat="1" applyFont="1" applyFill="1" applyBorder="1"/>
    <xf numFmtId="167" fontId="2" fillId="3" borderId="0" xfId="0" applyNumberFormat="1" applyFont="1" applyFill="1" applyBorder="1"/>
    <xf numFmtId="0" fontId="29" fillId="0" borderId="0" xfId="0" applyFont="1"/>
    <xf numFmtId="0" fontId="2" fillId="0" borderId="0" xfId="0" applyFont="1" applyBorder="1"/>
    <xf numFmtId="166" fontId="8" fillId="3" borderId="0" xfId="0" applyNumberFormat="1" applyFont="1" applyFill="1" applyBorder="1"/>
    <xf numFmtId="2" fontId="8" fillId="3" borderId="0" xfId="0" applyNumberFormat="1" applyFont="1" applyFill="1" applyBorder="1"/>
    <xf numFmtId="166" fontId="30" fillId="3" borderId="0" xfId="1" applyNumberFormat="1" applyFont="1" applyFill="1" applyBorder="1" applyAlignment="1">
      <alignment horizontal="center"/>
    </xf>
    <xf numFmtId="166" fontId="30" fillId="3" borderId="1" xfId="1" applyNumberFormat="1" applyFont="1" applyFill="1" applyBorder="1" applyAlignment="1">
      <alignment horizontal="center"/>
    </xf>
    <xf numFmtId="167" fontId="0" fillId="3" borderId="0" xfId="0" applyNumberFormat="1" applyFill="1" applyBorder="1"/>
    <xf numFmtId="0" fontId="31" fillId="0" borderId="0" xfId="0" applyFont="1" applyFill="1" applyBorder="1"/>
    <xf numFmtId="0" fontId="31" fillId="0" borderId="1" xfId="0" applyFont="1" applyFill="1" applyBorder="1"/>
    <xf numFmtId="0" fontId="31" fillId="0" borderId="2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166" fontId="0" fillId="3" borderId="4" xfId="0" applyNumberFormat="1" applyFont="1" applyFill="1" applyBorder="1"/>
    <xf numFmtId="166" fontId="0" fillId="3" borderId="0" xfId="0" applyNumberFormat="1" applyFont="1" applyFill="1" applyBorder="1"/>
    <xf numFmtId="166" fontId="0" fillId="3" borderId="1" xfId="0" applyNumberFormat="1" applyFont="1" applyFill="1" applyBorder="1"/>
    <xf numFmtId="166" fontId="0" fillId="3" borderId="2" xfId="0" applyNumberFormat="1" applyFont="1" applyFill="1" applyBorder="1"/>
    <xf numFmtId="167" fontId="0" fillId="3" borderId="4" xfId="0" applyNumberFormat="1" applyFont="1" applyFill="1" applyBorder="1"/>
    <xf numFmtId="167" fontId="0" fillId="3" borderId="0" xfId="0" applyNumberFormat="1" applyFont="1" applyFill="1" applyBorder="1"/>
    <xf numFmtId="167" fontId="0" fillId="3" borderId="1" xfId="0" applyNumberFormat="1" applyFont="1" applyFill="1" applyBorder="1"/>
    <xf numFmtId="167" fontId="0" fillId="3" borderId="2" xfId="0" applyNumberFormat="1" applyFont="1" applyFill="1" applyBorder="1"/>
    <xf numFmtId="166" fontId="2" fillId="9" borderId="0" xfId="0" applyNumberFormat="1" applyFont="1" applyFill="1" applyBorder="1"/>
    <xf numFmtId="166" fontId="2" fillId="9" borderId="1" xfId="0" applyNumberFormat="1" applyFont="1" applyFill="1" applyBorder="1"/>
    <xf numFmtId="0" fontId="5" fillId="9" borderId="0" xfId="0" applyFont="1" applyFill="1" applyAlignment="1">
      <alignment vertical="top"/>
    </xf>
    <xf numFmtId="166" fontId="2" fillId="9" borderId="0" xfId="0" applyNumberFormat="1" applyFont="1" applyFill="1"/>
    <xf numFmtId="0" fontId="7" fillId="0" borderId="0" xfId="0" applyFont="1" applyBorder="1"/>
    <xf numFmtId="0" fontId="5" fillId="9" borderId="0" xfId="0" applyFont="1" applyFill="1" applyAlignment="1">
      <alignment horizontal="left" vertical="top" wrapText="1"/>
    </xf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7" totalsRowShown="0" headerRowDxfId="14">
  <autoFilter ref="A3:J267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66" totalsRowShown="0" headerRowDxfId="10" dataDxfId="9" tableBorderDxfId="8">
  <autoFilter ref="A2:H26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5"/>
  <sheetViews>
    <sheetView tabSelected="1" view="pageBreakPreview" zoomScaleNormal="100" zoomScaleSheetLayoutView="100" workbookViewId="0">
      <pane xSplit="2" ySplit="183" topLeftCell="C236" activePane="bottomRight" state="frozen"/>
      <selection pane="topRight" activeCell="C1" sqref="C1"/>
      <selection pane="bottomLeft" activeCell="A184" sqref="A184"/>
      <selection pane="bottomRight" activeCell="D252" sqref="D252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68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86</v>
      </c>
      <c r="D3" s="140" t="s">
        <v>73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2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3" t="s">
        <v>69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2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2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2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2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2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2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2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2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3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2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2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2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2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2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4">
        <f t="shared" si="26"/>
        <v>2017</v>
      </c>
      <c r="B153" s="175" t="s">
        <v>12</v>
      </c>
      <c r="C153" s="119">
        <f>C151</f>
        <v>132.42410999999998</v>
      </c>
      <c r="D153" s="119">
        <v>92.8</v>
      </c>
      <c r="E153" s="162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2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2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2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2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2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3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2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2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2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2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2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4">
        <f t="shared" si="28"/>
        <v>2018</v>
      </c>
      <c r="B165" s="175" t="s">
        <v>12</v>
      </c>
      <c r="C165" s="119">
        <f>133.4*1.0101</f>
        <v>134.74734000000001</v>
      </c>
      <c r="D165" s="119">
        <v>94.9</v>
      </c>
      <c r="E165" s="162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2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2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2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7">
        <v>100.8</v>
      </c>
      <c r="E169" s="172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2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3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2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2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2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2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2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2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2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2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2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7">
        <v>87.1</v>
      </c>
      <c r="E181" s="172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2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3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2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2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2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2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2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2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2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2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2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2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2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3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hidden="1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2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hidden="1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2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hidden="1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2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hidden="1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2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hidden="1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2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hidden="1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2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hidden="1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2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hidden="1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2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hidden="1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2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hidden="1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2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hidden="1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2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hidden="1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3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hidden="1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2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hidden="1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2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hidden="1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2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hidden="1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2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hidden="1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2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hidden="1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3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hidden="1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2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hidden="1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2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hidden="1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2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hidden="1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2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hidden="1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2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hidden="1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3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2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2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2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2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2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 t="shared" ref="H224:H229" si="53">100+((C224-$C$40)/$C$40*100*$C$2)+((D224-$D$40)/$D$40*100*$D$2)+((E224-$E$40)/$E$40*100*$E$2)+((F224-$F$40)/$F$40*100*$F$2)+((G224-$G$40)/$G$40*100*$G$2)</f>
        <v>145.51192223316914</v>
      </c>
    </row>
    <row r="225" spans="1:12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3">
        <f>131/99.8*117.6</f>
        <v>154.36472945891785</v>
      </c>
      <c r="F225" s="156">
        <f>+F$173*(123/103.6)</f>
        <v>124.69468822300382</v>
      </c>
      <c r="G225" s="122">
        <v>3.35</v>
      </c>
      <c r="H225" s="103">
        <f t="shared" si="53"/>
        <v>144.33620312694404</v>
      </c>
    </row>
    <row r="226" spans="1:12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2">
        <f>131/99.8*116</f>
        <v>152.26452905811624</v>
      </c>
      <c r="F226" s="155">
        <f>+F$173*(122.7/103.6)</f>
        <v>124.39055483709409</v>
      </c>
      <c r="G226" s="118">
        <v>3.45</v>
      </c>
      <c r="H226" s="56">
        <f t="shared" si="53"/>
        <v>136.9198220098022</v>
      </c>
    </row>
    <row r="227" spans="1:12" ht="15" x14ac:dyDescent="0.2">
      <c r="A227" s="11">
        <f t="shared" si="50"/>
        <v>2023</v>
      </c>
      <c r="B227" t="s">
        <v>13</v>
      </c>
      <c r="C227" s="116">
        <f t="shared" ref="C227:C228" si="54">150.8*1.0101</f>
        <v>152.32308</v>
      </c>
      <c r="D227" s="116">
        <v>161.19999999999999</v>
      </c>
      <c r="E227" s="172">
        <f>131/99.8*116.4</f>
        <v>152.78957915831666</v>
      </c>
      <c r="F227" s="155">
        <f>+F$173*(123.3/103.6)</f>
        <v>124.9988216089136</v>
      </c>
      <c r="G227" s="118">
        <v>3.69</v>
      </c>
      <c r="H227" s="56">
        <f t="shared" si="53"/>
        <v>137.25239119055155</v>
      </c>
    </row>
    <row r="228" spans="1:12" ht="15" x14ac:dyDescent="0.2">
      <c r="A228" s="13">
        <f t="shared" si="50"/>
        <v>2023</v>
      </c>
      <c r="B228" s="14" t="s">
        <v>14</v>
      </c>
      <c r="C228" s="119">
        <f t="shared" si="54"/>
        <v>152.32308</v>
      </c>
      <c r="D228" s="119">
        <v>144.5</v>
      </c>
      <c r="E228" s="162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 t="shared" si="53"/>
        <v>136.36341660437478</v>
      </c>
    </row>
    <row r="229" spans="1:12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2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 t="shared" si="53"/>
        <v>136.03161137713897</v>
      </c>
    </row>
    <row r="230" spans="1:12" ht="15" x14ac:dyDescent="0.2">
      <c r="A230" s="11">
        <f t="shared" si="50"/>
        <v>2023</v>
      </c>
      <c r="B230" t="s">
        <v>16</v>
      </c>
      <c r="C230" s="116">
        <f t="shared" ref="C230:C231" si="55">151.6*1.0101</f>
        <v>153.13115999999999</v>
      </c>
      <c r="D230" s="116">
        <v>137</v>
      </c>
      <c r="E230" s="172">
        <f>131/99.8*117.4</f>
        <v>154.10220440881764</v>
      </c>
      <c r="F230" s="155">
        <f>+F$173*(124/103.6)</f>
        <v>125.70846617603638</v>
      </c>
      <c r="G230" s="118">
        <v>3.81</v>
      </c>
      <c r="H230" s="56">
        <f t="shared" ref="H230" si="56">100+((C230-$C$40)/$C$40*100*$C$2)+((D230-$D$40)/$D$40*100*$D$2)+((E230-$E$40)/$E$40*100*$E$2)+((F230-$F$40)/$F$40*100*$F$2)+((G230-$G$40)/$G$40*100*$G$2)</f>
        <v>136.3562151181338</v>
      </c>
    </row>
    <row r="231" spans="1:12" ht="15.75" thickBot="1" x14ac:dyDescent="0.25">
      <c r="A231" s="31">
        <f t="shared" si="50"/>
        <v>2023</v>
      </c>
      <c r="B231" s="32" t="s">
        <v>17</v>
      </c>
      <c r="C231" s="121">
        <f t="shared" si="55"/>
        <v>153.13115999999999</v>
      </c>
      <c r="D231" s="121">
        <v>143.69999999999999</v>
      </c>
      <c r="E231" s="173">
        <f>131/99.8*117.7</f>
        <v>154.49599198396794</v>
      </c>
      <c r="F231" s="156">
        <f>+F$173*(123.9/103.6)</f>
        <v>125.60708838073315</v>
      </c>
      <c r="G231" s="122">
        <v>3.78</v>
      </c>
      <c r="H231" s="103">
        <f t="shared" ref="H231" si="57">100+((C231-$C$40)/$C$40*100*$C$2)+((D231-$D$40)/$D$40*100*$D$2)+((E231-$E$40)/$E$40*100*$E$2)+((F231-$F$40)/$F$40*100*$F$2)+((G231-$G$40)/$G$40*100*$G$2)</f>
        <v>136.81794139774954</v>
      </c>
    </row>
    <row r="232" spans="1:12" ht="15" x14ac:dyDescent="0.2">
      <c r="A232" s="2">
        <v>2024</v>
      </c>
      <c r="B232" s="144" t="s">
        <v>7</v>
      </c>
      <c r="C232" s="116">
        <f>153.5*1.0101</f>
        <v>155.05035000000001</v>
      </c>
      <c r="D232" s="116">
        <v>147.80000000000001</v>
      </c>
      <c r="E232" s="172">
        <f>131/99.8*117.3</f>
        <v>153.97094188376755</v>
      </c>
      <c r="F232" s="155">
        <f>+F$173*(123.5/103.6)</f>
        <v>125.20157719952012</v>
      </c>
      <c r="G232" s="118">
        <v>3.51</v>
      </c>
      <c r="H232" s="56">
        <f t="shared" ref="H232" si="58">100+((C232-$C$40)/$C$40*100*$C$2)+((D232-$D$40)/$D$40*100*$D$2)+((E232-$E$40)/$E$40*100*$E$2)+((F232-$F$40)/$F$40*100*$F$2)+((G232-$G$40)/$G$40*100*$G$2)</f>
        <v>137.83784397696468</v>
      </c>
      <c r="L232" s="193"/>
    </row>
    <row r="233" spans="1:12" ht="15" x14ac:dyDescent="0.2">
      <c r="A233" s="11">
        <f>A232</f>
        <v>2024</v>
      </c>
      <c r="B233" s="144" t="s">
        <v>8</v>
      </c>
      <c r="C233" s="116">
        <f t="shared" ref="C233:C234" si="59">153.5*1.0101</f>
        <v>155.05035000000001</v>
      </c>
      <c r="D233" s="116">
        <v>150.30000000000001</v>
      </c>
      <c r="E233" s="172">
        <f>131/99.8*116.7</f>
        <v>153.18336673346695</v>
      </c>
      <c r="F233" s="155">
        <f>+F$173*(123.3/103.6)</f>
        <v>124.9988216089136</v>
      </c>
      <c r="G233" s="118">
        <v>3.18</v>
      </c>
      <c r="H233" s="56">
        <f t="shared" ref="H233" si="60">100+((C233-$C$40)/$C$40*100*$C$2)+((D233-$D$40)/$D$40*100*$D$2)+((E233-$E$40)/$E$40*100*$E$2)+((F233-$F$40)/$F$40*100*$F$2)+((G233-$G$40)/$G$40*100*$G$2)</f>
        <v>137.45247606417558</v>
      </c>
      <c r="L233" s="193"/>
    </row>
    <row r="234" spans="1:12" ht="15" x14ac:dyDescent="0.2">
      <c r="A234" s="13">
        <f t="shared" ref="A234:A243" si="61">A233</f>
        <v>2024</v>
      </c>
      <c r="B234" s="14" t="s">
        <v>9</v>
      </c>
      <c r="C234" s="119">
        <f t="shared" si="59"/>
        <v>155.05035000000001</v>
      </c>
      <c r="D234" s="119">
        <v>166.1</v>
      </c>
      <c r="E234" s="162">
        <f>131/99.8*117.8</f>
        <v>154.62725450901803</v>
      </c>
      <c r="F234" s="157">
        <f>+F$173*(122.3/103.6)</f>
        <v>123.98504365588106</v>
      </c>
      <c r="G234" s="120">
        <v>3.23</v>
      </c>
      <c r="H234" s="138">
        <f t="shared" ref="H234" si="62">100+((C234-$C$40)/$C$40*100*$C$2)+((D234-$D$40)/$D$40*100*$D$2)+((E234-$E$40)/$E$40*100*$E$2)+((F234-$F$40)/$F$40*100*$F$2)+((G234-$G$40)/$G$40*100*$G$2)</f>
        <v>138.67888404177918</v>
      </c>
      <c r="L234" s="193"/>
    </row>
    <row r="235" spans="1:12" ht="15" x14ac:dyDescent="0.2">
      <c r="A235" s="18">
        <f t="shared" si="61"/>
        <v>2024</v>
      </c>
      <c r="B235" s="19" t="s">
        <v>10</v>
      </c>
      <c r="C235" s="116">
        <f>154.8*1.0101</f>
        <v>156.36348000000001</v>
      </c>
      <c r="D235" s="116">
        <v>162</v>
      </c>
      <c r="E235" s="172">
        <f>131/99.8*118.4</f>
        <v>155.41482965931866</v>
      </c>
      <c r="F235" s="155">
        <f>+F$173*(122.6/103.6)</f>
        <v>124.28917704179081</v>
      </c>
      <c r="G235" s="118">
        <v>3.38</v>
      </c>
      <c r="H235" s="56">
        <f t="shared" ref="H235" si="63">100+((C235-$C$40)/$C$40*100*$C$2)+((D235-$D$40)/$D$40*100*$D$2)+((E235-$E$40)/$E$40*100*$E$2)+((F235-$F$40)/$F$40*100*$F$2)+((G235-$G$40)/$G$40*100*$G$2)</f>
        <v>139.51681721738856</v>
      </c>
      <c r="L235" s="193"/>
    </row>
    <row r="236" spans="1:12" ht="15" x14ac:dyDescent="0.2">
      <c r="A236" s="11">
        <f t="shared" si="61"/>
        <v>2024</v>
      </c>
      <c r="B236" t="s">
        <v>11</v>
      </c>
      <c r="C236" s="116">
        <f t="shared" ref="C236:C237" si="64">154.8*1.0101</f>
        <v>156.36348000000001</v>
      </c>
      <c r="D236" s="116">
        <v>161.1</v>
      </c>
      <c r="E236" s="172">
        <f>131/99.8*118.4</f>
        <v>155.41482965931866</v>
      </c>
      <c r="F236" s="155">
        <f>+F$173*(122.2/103.6)</f>
        <v>123.88366586057781</v>
      </c>
      <c r="G236" s="118">
        <v>3.39</v>
      </c>
      <c r="H236" s="56">
        <f t="shared" ref="H236" si="65">100+((C236-$C$40)/$C$40*100*$C$2)+((D236-$D$40)/$D$40*100*$D$2)+((E236-$E$40)/$E$40*100*$E$2)+((F236-$F$40)/$F$40*100*$F$2)+((G236-$G$40)/$G$40*100*$G$2)</f>
        <v>139.42451265591913</v>
      </c>
      <c r="L236" s="193"/>
    </row>
    <row r="237" spans="1:12" ht="15" x14ac:dyDescent="0.2">
      <c r="A237" s="13">
        <f t="shared" si="61"/>
        <v>2024</v>
      </c>
      <c r="B237" s="14" t="s">
        <v>12</v>
      </c>
      <c r="C237" s="119">
        <f t="shared" si="64"/>
        <v>156.36348000000001</v>
      </c>
      <c r="D237" s="119">
        <v>127.9</v>
      </c>
      <c r="E237" s="162">
        <f>131/99.8*118.5</f>
        <v>155.54609218436875</v>
      </c>
      <c r="F237" s="157">
        <f>+F$173*(122.7/103.6)</f>
        <v>124.39055483709409</v>
      </c>
      <c r="G237" s="120">
        <v>3.43</v>
      </c>
      <c r="H237" s="138">
        <f t="shared" ref="H237" si="66">100+((C237-$C$40)/$C$40*100*$C$2)+((D237-$D$40)/$D$40*100*$D$2)+((E237-$E$40)/$E$40*100*$E$2)+((F237-$F$40)/$F$40*100*$F$2)+((G237-$G$40)/$G$40*100*$G$2)</f>
        <v>137.13984679103868</v>
      </c>
    </row>
    <row r="238" spans="1:12" ht="15" x14ac:dyDescent="0.2">
      <c r="A238" s="18">
        <f t="shared" si="61"/>
        <v>2024</v>
      </c>
      <c r="B238" s="23" t="s">
        <v>30</v>
      </c>
      <c r="C238" s="116">
        <f>156.1*1.0101</f>
        <v>157.67660999999998</v>
      </c>
      <c r="D238" s="116">
        <v>127.9</v>
      </c>
      <c r="E238" s="172">
        <f>131/99.8*118.5</f>
        <v>155.54609218436875</v>
      </c>
      <c r="F238" s="155">
        <f>+F$173*(123.2/103.6)</f>
        <v>124.89744381361035</v>
      </c>
      <c r="G238" s="118">
        <v>3.49</v>
      </c>
      <c r="H238" s="56">
        <f t="shared" ref="H238" si="67">100+((C238-$C$40)/$C$40*100*$C$2)+((D238-$D$40)/$D$40*100*$D$2)+((E238-$E$40)/$E$40*100*$E$2)+((F238-$F$40)/$F$40*100*$F$2)+((G238-$G$40)/$G$40*100*$G$2)</f>
        <v>138.10231756328213</v>
      </c>
    </row>
    <row r="239" spans="1:12" ht="15" x14ac:dyDescent="0.2">
      <c r="A239" s="11">
        <f t="shared" si="61"/>
        <v>2024</v>
      </c>
      <c r="B239" t="s">
        <v>13</v>
      </c>
      <c r="C239" s="116">
        <f>156.1*1.0101</f>
        <v>157.67660999999998</v>
      </c>
      <c r="D239" s="116">
        <v>129.6</v>
      </c>
      <c r="E239" s="172">
        <f>131/99.8*118.5</f>
        <v>155.54609218436875</v>
      </c>
      <c r="F239" s="155">
        <f>+F$173*(123.2/103.6)</f>
        <v>124.89744381361035</v>
      </c>
      <c r="G239" s="118">
        <v>3.4</v>
      </c>
      <c r="H239" s="56">
        <f t="shared" ref="H239" si="68">100+((C239-$C$40)/$C$40*100*$C$2)+((D239-$D$40)/$D$40*100*$D$2)+((E239-$E$40)/$E$40*100*$E$2)+((F239-$F$40)/$F$40*100*$F$2)+((G239-$G$40)/$G$40*100*$G$2)</f>
        <v>138.09343049738109</v>
      </c>
    </row>
    <row r="240" spans="1:12" ht="15" x14ac:dyDescent="0.2">
      <c r="A240" s="13">
        <f t="shared" si="61"/>
        <v>2024</v>
      </c>
      <c r="B240" s="14" t="s">
        <v>14</v>
      </c>
      <c r="C240" s="217">
        <f>(1.0101*156.1)/121.5*121.5</f>
        <v>157.67660999999998</v>
      </c>
      <c r="D240" s="119">
        <v>130.4</v>
      </c>
      <c r="E240" s="162">
        <f>131/99.8*119.8</f>
        <v>157.25250501002006</v>
      </c>
      <c r="F240" s="157">
        <f>+F$173*(123.4/103.6)</f>
        <v>125.10019940421687</v>
      </c>
      <c r="G240" s="120">
        <v>3.12</v>
      </c>
      <c r="H240" s="138">
        <f t="shared" ref="H240" si="69">100+((C240-$C$40)/$C$40*100*$C$2)+((D240-$D$40)/$D$40*100*$D$2)+((E240-$E$40)/$E$40*100*$E$2)+((F240-$F$40)/$F$40*100*$F$2)+((G240-$G$40)/$G$40*100*$G$2)</f>
        <v>137.89434838882426</v>
      </c>
      <c r="J240" s="144" t="s">
        <v>81</v>
      </c>
    </row>
    <row r="241" spans="1:10" ht="15" x14ac:dyDescent="0.2">
      <c r="A241" s="11">
        <f t="shared" si="61"/>
        <v>2024</v>
      </c>
      <c r="B241" t="s">
        <v>15</v>
      </c>
      <c r="C241" s="219">
        <f>(1.0101*156.1)/121.5*125.5</f>
        <v>162.86760950617284</v>
      </c>
      <c r="D241" s="116">
        <v>153.4</v>
      </c>
      <c r="E241" s="172">
        <f>131/99.8*119.3</f>
        <v>156.59619238476955</v>
      </c>
      <c r="F241" s="155">
        <f>+F$173*(123.6/103.6)</f>
        <v>125.30295499482337</v>
      </c>
      <c r="G241" s="118">
        <v>3.05</v>
      </c>
      <c r="H241" s="56">
        <f t="shared" ref="H241" si="70">100+((C241-$C$40)/$C$40*100*$C$2)+((D241-$D$40)/$D$40*100*$D$2)+((E241-$E$40)/$E$40*100*$E$2)+((F241-$F$40)/$F$40*100*$F$2)+((G241-$G$40)/$G$40*100*$G$2)</f>
        <v>142.6783791550852</v>
      </c>
    </row>
    <row r="242" spans="1:10" ht="15" x14ac:dyDescent="0.2">
      <c r="A242" s="11">
        <f t="shared" si="61"/>
        <v>2024</v>
      </c>
      <c r="B242" t="s">
        <v>16</v>
      </c>
      <c r="C242" s="219">
        <f>(1.0101*156.1)/121.5*125.5</f>
        <v>162.86760950617284</v>
      </c>
      <c r="D242" s="116">
        <v>136.4</v>
      </c>
      <c r="E242" s="172">
        <f>131/99.8*118.9</f>
        <v>156.07114228456916</v>
      </c>
      <c r="F242" s="155">
        <f>+F$173*(123.5/103.6)</f>
        <v>125.20157719952012</v>
      </c>
      <c r="G242" s="118">
        <v>2.82</v>
      </c>
      <c r="H242" s="56">
        <f t="shared" ref="H242" si="71">100+((C242-$C$40)/$C$40*100*$C$2)+((D242-$D$40)/$D$40*100*$D$2)+((E242-$E$40)/$E$40*100*$E$2)+((F242-$F$40)/$F$40*100*$F$2)+((G242-$G$40)/$G$40*100*$G$2)</f>
        <v>141.05761534119864</v>
      </c>
    </row>
    <row r="243" spans="1:10" ht="15.75" thickBot="1" x14ac:dyDescent="0.25">
      <c r="A243" s="31">
        <f t="shared" si="61"/>
        <v>2024</v>
      </c>
      <c r="B243" s="32" t="s">
        <v>17</v>
      </c>
      <c r="C243" s="217">
        <f>(1.0101*156.1)/121.5*125.5</f>
        <v>162.86760950617284</v>
      </c>
      <c r="D243" s="121">
        <v>162.80000000000001</v>
      </c>
      <c r="E243" s="173">
        <f>131/99.8*119.6</f>
        <v>156.98997995991985</v>
      </c>
      <c r="F243" s="156">
        <f>+F$173*(122.9/103.6)</f>
        <v>124.59331042770057</v>
      </c>
      <c r="G243" s="122">
        <v>2.9</v>
      </c>
      <c r="H243" s="103">
        <f t="shared" ref="H243" si="72">100+((C243-$C$40)/$C$40*100*$C$2)+((D243-$D$40)/$D$40*100*$D$2)+((E243-$E$40)/$E$40*100*$E$2)+((F243-$F$40)/$F$40*100*$F$2)+((G243-$G$40)/$G$40*100*$G$2)</f>
        <v>143.09701364581915</v>
      </c>
    </row>
    <row r="244" spans="1:10" ht="15" x14ac:dyDescent="0.2">
      <c r="A244" s="2">
        <v>2025</v>
      </c>
      <c r="B244" s="144" t="s">
        <v>7</v>
      </c>
      <c r="C244" s="216">
        <f>(1.0101*156.1)/121.5*124.7</f>
        <v>161.82940960493826</v>
      </c>
      <c r="D244" s="116">
        <v>172.2</v>
      </c>
      <c r="E244" s="172">
        <f>131/99.8*119.2</f>
        <v>156.46492985971946</v>
      </c>
      <c r="F244" s="155">
        <f>+F$173*(123.2/103.6)</f>
        <v>124.89744381361035</v>
      </c>
      <c r="G244" s="118">
        <v>2.67</v>
      </c>
      <c r="H244" s="56">
        <f t="shared" ref="H244" si="73">100+((C244-$C$40)/$C$40*100*$C$2)+((D244-$D$40)/$D$40*100*$D$2)+((E244-$E$40)/$E$40*100*$E$2)+((F244-$F$40)/$F$40*100*$F$2)+((G244-$G$40)/$G$40*100*$G$2)</f>
        <v>142.78098561302772</v>
      </c>
    </row>
    <row r="245" spans="1:10" ht="15" x14ac:dyDescent="0.2">
      <c r="A245" s="11">
        <v>2024</v>
      </c>
      <c r="B245" s="144" t="s">
        <v>8</v>
      </c>
      <c r="C245" s="216">
        <f>(1.0101*156.1)/121.5*124.7</f>
        <v>161.82940960493826</v>
      </c>
      <c r="D245" s="116">
        <v>163.69999999999999</v>
      </c>
      <c r="E245" s="172">
        <f>131/99.8*118.9</f>
        <v>156.07114228456916</v>
      </c>
      <c r="F245" s="155">
        <f>+F$173*(123.5/103.6)/113.8*113.8</f>
        <v>125.20157719952012</v>
      </c>
      <c r="G245" s="118">
        <v>2.82</v>
      </c>
      <c r="H245" s="56">
        <f t="shared" ref="H245" si="74">100+((C245-$C$40)/$C$40*100*$C$2)+((D245-$D$40)/$D$40*100*$D$2)+((E245-$E$40)/$E$40*100*$E$2)+((F245-$F$40)/$F$40*100*$F$2)+((G245-$G$40)/$G$40*100*$G$2)</f>
        <v>142.38580629102213</v>
      </c>
    </row>
    <row r="246" spans="1:10" ht="15" x14ac:dyDescent="0.2">
      <c r="A246" s="13">
        <v>2024</v>
      </c>
      <c r="B246" s="175" t="s">
        <v>9</v>
      </c>
      <c r="C246" s="217">
        <f>(1.0101*156.1)/121.5*124.7</f>
        <v>161.82940960493826</v>
      </c>
      <c r="D246" s="119">
        <v>167.2</v>
      </c>
      <c r="E246" s="162">
        <f>131/99.8*119.6</f>
        <v>156.98997995991985</v>
      </c>
      <c r="F246" s="157">
        <f>+F$173*(123.5/103.6)/113.8*113.1</f>
        <v>124.43144447509424</v>
      </c>
      <c r="G246" s="120">
        <v>2.73</v>
      </c>
      <c r="H246" s="138">
        <f t="shared" ref="H246" si="75">100+((C246-$C$40)/$C$40*100*$C$2)+((D246-$D$40)/$D$40*100*$D$2)+((E246-$E$40)/$E$40*100*$E$2)+((F246-$F$40)/$F$40*100*$F$2)+((G246-$G$40)/$G$40*100*$G$2)</f>
        <v>142.49963838878713</v>
      </c>
      <c r="J246" s="144" t="s">
        <v>85</v>
      </c>
    </row>
    <row r="247" spans="1:10" ht="15" x14ac:dyDescent="0.2">
      <c r="A247" s="18">
        <v>2024</v>
      </c>
      <c r="B247" s="185" t="s">
        <v>10</v>
      </c>
      <c r="C247" s="219">
        <f>(1.0101*156.1)/121.5*125.8</f>
        <v>163.25693446913579</v>
      </c>
      <c r="D247" s="116">
        <v>182.6</v>
      </c>
      <c r="E247" s="172">
        <f>131/99.8*120.8</f>
        <v>158.56513026052104</v>
      </c>
      <c r="F247" s="155">
        <f>+F$173*(123.5/103.6)/113.8*112.9</f>
        <v>124.21140655382972</v>
      </c>
      <c r="G247" s="118">
        <v>2.69</v>
      </c>
      <c r="H247" s="56">
        <f t="shared" ref="H247" si="76">100+((C247-$C$40)/$C$40*100*$C$2)+((D247-$D$40)/$D$40*100*$D$2)+((E247-$E$40)/$E$40*100*$E$2)+((F247-$F$40)/$F$40*100*$F$2)+((G247-$G$40)/$G$40*100*$G$2)</f>
        <v>144.55080437227085</v>
      </c>
    </row>
    <row r="248" spans="1:10" ht="15" x14ac:dyDescent="0.2">
      <c r="A248" s="11">
        <v>2024</v>
      </c>
      <c r="B248" s="144" t="s">
        <v>11</v>
      </c>
      <c r="C248" s="219">
        <f t="shared" ref="C248:C249" si="77">(1.0101*156.1)/121.5*125.8</f>
        <v>163.25693446913579</v>
      </c>
      <c r="D248" s="116">
        <v>154.4</v>
      </c>
      <c r="E248" s="172">
        <f>131/99.8*120.2</f>
        <v>157.77755511022045</v>
      </c>
      <c r="F248" s="155">
        <f>+F$173*(123.5/103.6)/113.8*112.8</f>
        <v>124.10138759319744</v>
      </c>
      <c r="G248" s="118">
        <v>2.75</v>
      </c>
      <c r="H248" s="56">
        <f t="shared" ref="H248:H254" si="78">100+((C248-$C$40)/$C$40*100*$C$2)+((D248-$D$40)/$D$40*100*$D$2)+((E248-$E$40)/$E$40*100*$E$2)+((F248-$F$40)/$F$40*100*$F$2)+((G248-$G$40)/$G$40*100*$G$2)</f>
        <v>142.52267645365276</v>
      </c>
    </row>
    <row r="249" spans="1:10" ht="15" x14ac:dyDescent="0.2">
      <c r="A249" s="13">
        <v>2024</v>
      </c>
      <c r="B249" s="175" t="s">
        <v>12</v>
      </c>
      <c r="C249" s="217">
        <f t="shared" si="77"/>
        <v>163.25693446913579</v>
      </c>
      <c r="D249" s="119">
        <v>124.5</v>
      </c>
      <c r="E249" s="162">
        <f>131/99.8*120.3</f>
        <v>157.90881763527054</v>
      </c>
      <c r="F249" s="157">
        <f>+F$173*(123.5/103.6)/113.8*114.6</f>
        <v>126.08172888457825</v>
      </c>
      <c r="G249" s="120">
        <v>2.61</v>
      </c>
      <c r="H249" s="138">
        <f t="shared" ref="H249" si="79">100+((C249-$C$40)/$C$40*100*$C$2)+((D249-$D$40)/$D$40*100*$D$2)+((E249-$E$40)/$E$40*100*$E$2)+((F249-$F$40)/$F$40*100*$F$2)+((G249-$G$40)/$G$40*100*$G$2)</f>
        <v>140.36473594162774</v>
      </c>
    </row>
    <row r="250" spans="1:10" ht="15" x14ac:dyDescent="0.2">
      <c r="A250" s="18">
        <v>2024</v>
      </c>
      <c r="B250" s="185" t="s">
        <v>30</v>
      </c>
      <c r="C250" s="219">
        <f>(1.0101*156.1)/121.5*126.3</f>
        <v>163.90580940740739</v>
      </c>
      <c r="D250" s="116">
        <v>123.7</v>
      </c>
      <c r="E250" s="172">
        <f>131/99.8*120.4</f>
        <v>158.04008016032066</v>
      </c>
      <c r="F250" s="155">
        <f>+F$173*(123.5/103.6)/113.8*114.9</f>
        <v>126.41178576647506</v>
      </c>
      <c r="G250" s="118">
        <v>2.67</v>
      </c>
      <c r="H250" s="56">
        <f t="shared" ref="H250" si="80">100+((C250-$C$40)/$C$40*100*$C$2)+((D250-$D$40)/$D$40*100*$D$2)+((E250-$E$40)/$E$40*100*$E$2)+((F250-$F$40)/$F$40*100*$F$2)+((G250-$G$40)/$G$40*100*$G$2)</f>
        <v>140.84532863009235</v>
      </c>
    </row>
    <row r="251" spans="1:10" ht="15" x14ac:dyDescent="0.2">
      <c r="A251" s="11">
        <v>2024</v>
      </c>
      <c r="B251" s="144" t="s">
        <v>13</v>
      </c>
      <c r="C251" s="219">
        <f t="shared" ref="C251:C252" si="81">(1.0101*156.1)/121.5*126.3</f>
        <v>163.90580940740739</v>
      </c>
      <c r="D251" s="116">
        <v>116</v>
      </c>
      <c r="E251" s="172">
        <f>131/99.8*120.7</f>
        <v>158.43386773547095</v>
      </c>
      <c r="F251" s="155">
        <f>+F$173*(123.5/103.6)/113.8*114.4</f>
        <v>125.86169096331372</v>
      </c>
      <c r="G251" s="118">
        <v>2.75</v>
      </c>
      <c r="H251" s="56">
        <f t="shared" ref="H251" si="82">100+((C251-$C$40)/$C$40*100*$C$2)+((D251-$D$40)/$D$40*100*$D$2)+((E251-$E$40)/$E$40*100*$E$2)+((F251-$F$40)/$F$40*100*$F$2)+((G251-$G$40)/$G$40*100*$G$2)</f>
        <v>140.37879038108881</v>
      </c>
    </row>
    <row r="252" spans="1:10" ht="15" x14ac:dyDescent="0.2">
      <c r="A252" s="13">
        <v>2024</v>
      </c>
      <c r="B252" s="175" t="s">
        <v>14</v>
      </c>
      <c r="C252" s="217">
        <f t="shared" si="81"/>
        <v>163.90580940740739</v>
      </c>
      <c r="D252" s="131">
        <f t="shared" ref="D251:D267" si="83">D251</f>
        <v>116</v>
      </c>
      <c r="E252" s="131">
        <f t="shared" ref="E251:E255" si="84">E251*(1+(((SUM(E$232:E$243)-SUM(E$220:E$231))/SUM(E$220:E$231))/12))</f>
        <v>158.59079807895745</v>
      </c>
      <c r="F252" s="131">
        <f t="shared" ref="F251:F255" si="85">F251*(1+(((SUM(F$232:F$243)-SUM(F$220:F$231))/SUM(F$220:F$231))/12))</f>
        <v>125.86737731422018</v>
      </c>
      <c r="G252" s="73">
        <f t="shared" ref="G251:G267" si="86">+G251</f>
        <v>2.75</v>
      </c>
      <c r="H252" s="180">
        <f t="shared" si="78"/>
        <v>140.39160433755532</v>
      </c>
    </row>
    <row r="253" spans="1:10" ht="15" x14ac:dyDescent="0.2">
      <c r="A253" s="11">
        <v>2024</v>
      </c>
      <c r="B253" s="144" t="s">
        <v>15</v>
      </c>
      <c r="C253" s="130">
        <f t="shared" ref="C253:C255" si="87">C250*(1+(((SUM(C$232:C$243)-SUM(C$220:C$231))/SUM(C$220:C$231))/4))</f>
        <v>165.65680797453865</v>
      </c>
      <c r="D253" s="130">
        <f t="shared" si="83"/>
        <v>116</v>
      </c>
      <c r="E253" s="130">
        <f t="shared" si="84"/>
        <v>158.74788386353151</v>
      </c>
      <c r="F253" s="130">
        <f>F252*(1+(((SUM(F$232:F$243)-SUM(F$220:F$231))/SUM(F$220:F$231))/12))</f>
        <v>125.87306392203234</v>
      </c>
      <c r="G253" s="72">
        <f t="shared" si="86"/>
        <v>2.75</v>
      </c>
      <c r="H253" s="179">
        <f t="shared" si="78"/>
        <v>141.50081995915278</v>
      </c>
    </row>
    <row r="254" spans="1:10" ht="15" x14ac:dyDescent="0.2">
      <c r="A254" s="11">
        <v>2024</v>
      </c>
      <c r="B254" s="144" t="s">
        <v>16</v>
      </c>
      <c r="C254" s="130">
        <f t="shared" si="87"/>
        <v>165.65680797453865</v>
      </c>
      <c r="D254" s="130">
        <f t="shared" si="83"/>
        <v>116</v>
      </c>
      <c r="E254" s="130">
        <f t="shared" si="84"/>
        <v>158.90512524315909</v>
      </c>
      <c r="F254" s="130">
        <f t="shared" si="85"/>
        <v>125.87875078676183</v>
      </c>
      <c r="G254" s="72">
        <f t="shared" si="86"/>
        <v>2.75</v>
      </c>
      <c r="H254" s="179">
        <f t="shared" si="78"/>
        <v>141.51365820511859</v>
      </c>
    </row>
    <row r="255" spans="1:10" ht="15.75" thickBot="1" x14ac:dyDescent="0.25">
      <c r="A255" s="31">
        <v>2024</v>
      </c>
      <c r="B255" s="186" t="s">
        <v>17</v>
      </c>
      <c r="C255" s="182">
        <f t="shared" si="87"/>
        <v>165.65680797453865</v>
      </c>
      <c r="D255" s="182">
        <f t="shared" si="83"/>
        <v>116</v>
      </c>
      <c r="E255" s="182">
        <f t="shared" si="84"/>
        <v>159.06252237195866</v>
      </c>
      <c r="F255" s="182">
        <f t="shared" si="85"/>
        <v>125.88443790842022</v>
      </c>
      <c r="G255" s="183">
        <f t="shared" si="86"/>
        <v>2.75</v>
      </c>
      <c r="H255" s="184">
        <f>100+((C255-$C$40)/$C$40*100*$C$2)+((D255-$D$40)/$D$40*100*$D$2)+((E255-$E$40)/$E$40*100*$E$2)+((F255-$F$40)/$F$40*100*$F$2)+((G255-$G$40)/$G$40*100*$G$2)</f>
        <v>141.52650861384379</v>
      </c>
    </row>
    <row r="256" spans="1:10" ht="15" x14ac:dyDescent="0.2">
      <c r="A256" s="2">
        <v>2026</v>
      </c>
      <c r="B256" s="144" t="s">
        <v>7</v>
      </c>
      <c r="C256" s="130">
        <f>C253*(1+(((SUM(C$244:C$255)-SUM(C$232:C$243))/SUM(C$232:C$243))/4))</f>
        <v>167.1438149232516</v>
      </c>
      <c r="D256" s="130">
        <f t="shared" si="83"/>
        <v>116</v>
      </c>
      <c r="E256" s="130">
        <f>E255*(1+(((SUM(E$244:E$255)-SUM(E$232:E$243))/SUM(E$232:E$243))/12))</f>
        <v>159.27133813473995</v>
      </c>
      <c r="F256" s="130">
        <f>F255*(1+(((SUM(F$244:F$255)-SUM(F$232:F$243))/SUM(F$232:F$243))/12))</f>
        <v>125.94023026904063</v>
      </c>
      <c r="G256" s="72">
        <f>+G255</f>
        <v>2.75</v>
      </c>
      <c r="H256" s="197">
        <f>100+((C256-$C$40)/$C$40*100*$C$2)+((D256-$D$40)/$D$40*100*$D$2)+((E256-$E$40)/$E$40*100*$E$2)+((F256-$F$40)/$F$40*100*$F$2)+((G256-$G$40)/$G$40*100*$G$2)</f>
        <v>142.47961674527696</v>
      </c>
    </row>
    <row r="257" spans="1:13" ht="15" x14ac:dyDescent="0.2">
      <c r="A257" s="11">
        <v>2024</v>
      </c>
      <c r="B257" s="144" t="s">
        <v>8</v>
      </c>
      <c r="C257" s="130">
        <f t="shared" ref="C257:C267" si="88">C254*(1+(((SUM(C$244:C$255)-SUM(C$232:C$243))/SUM(C$232:C$243))/4))</f>
        <v>167.1438149232516</v>
      </c>
      <c r="D257" s="130">
        <f t="shared" si="83"/>
        <v>116</v>
      </c>
      <c r="E257" s="130">
        <f t="shared" ref="E257:E267" si="89">E256*(1+(((SUM(E$244:E$255)-SUM(E$232:E$243))/SUM(E$232:E$243))/12))</f>
        <v>159.48042802886366</v>
      </c>
      <c r="F257" s="130">
        <f t="shared" ref="F257:F267" si="90">F256*(1+(((SUM(F$244:F$255)-SUM(F$232:F$243))/SUM(F$232:F$243))/12))</f>
        <v>125.99604735700267</v>
      </c>
      <c r="G257" s="72">
        <f t="shared" si="86"/>
        <v>2.75</v>
      </c>
      <c r="H257" s="197">
        <f t="shared" ref="H257:H266" si="91">100+((C257-$C$40)/$C$40*100*$C$2)+((D257-$D$40)/$D$40*100*$D$2)+((E257-$E$40)/$E$40*100*$E$2)+((F257-$F$40)/$F$40*100*$F$2)+((G257-$G$40)/$G$40*100*$G$2)</f>
        <v>142.50165787706601</v>
      </c>
    </row>
    <row r="258" spans="1:13" ht="15" x14ac:dyDescent="0.2">
      <c r="A258" s="13">
        <v>2024</v>
      </c>
      <c r="B258" s="175" t="s">
        <v>9</v>
      </c>
      <c r="C258" s="131">
        <f t="shared" si="88"/>
        <v>167.1438149232516</v>
      </c>
      <c r="D258" s="131">
        <f t="shared" si="83"/>
        <v>116</v>
      </c>
      <c r="E258" s="131">
        <f t="shared" si="89"/>
        <v>159.68979241420678</v>
      </c>
      <c r="F258" s="131">
        <f t="shared" si="90"/>
        <v>126.05188918326559</v>
      </c>
      <c r="G258" s="73">
        <f t="shared" si="86"/>
        <v>2.75</v>
      </c>
      <c r="H258" s="198">
        <f t="shared" si="91"/>
        <v>142.52372294549505</v>
      </c>
    </row>
    <row r="259" spans="1:13" ht="15" x14ac:dyDescent="0.2">
      <c r="A259" s="18">
        <v>2024</v>
      </c>
      <c r="B259" s="185" t="s">
        <v>10</v>
      </c>
      <c r="C259" s="130">
        <f t="shared" si="88"/>
        <v>168.64416988761545</v>
      </c>
      <c r="D259" s="132">
        <f t="shared" si="83"/>
        <v>116</v>
      </c>
      <c r="E259" s="130">
        <f t="shared" si="89"/>
        <v>159.89943165111879</v>
      </c>
      <c r="F259" s="130">
        <f t="shared" si="90"/>
        <v>126.10775575879347</v>
      </c>
      <c r="G259" s="129">
        <f t="shared" si="86"/>
        <v>2.75</v>
      </c>
      <c r="H259" s="197">
        <f t="shared" si="91"/>
        <v>143.48526076040537</v>
      </c>
    </row>
    <row r="260" spans="1:13" ht="15" x14ac:dyDescent="0.2">
      <c r="A260" s="11">
        <v>2024</v>
      </c>
      <c r="B260" s="144" t="s">
        <v>11</v>
      </c>
      <c r="C260" s="130">
        <f t="shared" si="88"/>
        <v>168.64416988761545</v>
      </c>
      <c r="D260" s="130">
        <f t="shared" si="83"/>
        <v>116</v>
      </c>
      <c r="E260" s="130">
        <f t="shared" si="89"/>
        <v>160.10934610042221</v>
      </c>
      <c r="F260" s="130">
        <f t="shared" si="90"/>
        <v>126.16364709455527</v>
      </c>
      <c r="G260" s="72">
        <f t="shared" si="86"/>
        <v>2.75</v>
      </c>
      <c r="H260" s="197">
        <f t="shared" si="91"/>
        <v>143.50737378977672</v>
      </c>
    </row>
    <row r="261" spans="1:13" ht="15" x14ac:dyDescent="0.2">
      <c r="A261" s="13">
        <v>2024</v>
      </c>
      <c r="B261" s="175" t="s">
        <v>12</v>
      </c>
      <c r="C261" s="131">
        <f t="shared" si="88"/>
        <v>168.64416988761545</v>
      </c>
      <c r="D261" s="131">
        <f t="shared" si="83"/>
        <v>116</v>
      </c>
      <c r="E261" s="131">
        <f t="shared" si="89"/>
        <v>160.31953612341323</v>
      </c>
      <c r="F261" s="131">
        <f t="shared" si="90"/>
        <v>126.21956320152479</v>
      </c>
      <c r="G261" s="73">
        <f t="shared" si="86"/>
        <v>2.75</v>
      </c>
      <c r="H261" s="198">
        <f t="shared" si="91"/>
        <v>143.52951084352517</v>
      </c>
    </row>
    <row r="262" spans="1:13" ht="15" x14ac:dyDescent="0.2">
      <c r="A262" s="18">
        <v>2024</v>
      </c>
      <c r="B262" s="185" t="s">
        <v>30</v>
      </c>
      <c r="C262" s="130">
        <f t="shared" si="88"/>
        <v>170.15799268517506</v>
      </c>
      <c r="D262" s="130">
        <f t="shared" si="83"/>
        <v>116</v>
      </c>
      <c r="E262" s="130">
        <f t="shared" si="89"/>
        <v>160.53000208186236</v>
      </c>
      <c r="F262" s="130">
        <f t="shared" si="90"/>
        <v>126.27550409068071</v>
      </c>
      <c r="G262" s="72">
        <f t="shared" si="86"/>
        <v>2.75</v>
      </c>
      <c r="H262" s="197">
        <f t="shared" si="91"/>
        <v>144.49955362900127</v>
      </c>
    </row>
    <row r="263" spans="1:13" ht="15" x14ac:dyDescent="0.2">
      <c r="A263" s="11">
        <v>2024</v>
      </c>
      <c r="B263" s="144" t="s">
        <v>13</v>
      </c>
      <c r="C263" s="130">
        <f t="shared" si="88"/>
        <v>170.15799268517506</v>
      </c>
      <c r="D263" s="130">
        <f t="shared" si="83"/>
        <v>116</v>
      </c>
      <c r="E263" s="130">
        <f t="shared" si="89"/>
        <v>160.74074433801505</v>
      </c>
      <c r="F263" s="130">
        <f t="shared" si="90"/>
        <v>126.33146977300656</v>
      </c>
      <c r="G263" s="72">
        <f t="shared" si="86"/>
        <v>2.75</v>
      </c>
      <c r="H263" s="197">
        <f t="shared" si="91"/>
        <v>144.52173881950316</v>
      </c>
    </row>
    <row r="264" spans="1:13" ht="15" x14ac:dyDescent="0.2">
      <c r="A264" s="13">
        <v>2024</v>
      </c>
      <c r="B264" s="175" t="s">
        <v>14</v>
      </c>
      <c r="C264" s="131">
        <f t="shared" si="88"/>
        <v>170.15799268517506</v>
      </c>
      <c r="D264" s="131">
        <f t="shared" si="83"/>
        <v>116</v>
      </c>
      <c r="E264" s="131">
        <f t="shared" si="89"/>
        <v>160.95176325459229</v>
      </c>
      <c r="F264" s="131">
        <f t="shared" si="90"/>
        <v>126.38746025949075</v>
      </c>
      <c r="G264" s="73">
        <f t="shared" si="86"/>
        <v>2.75</v>
      </c>
      <c r="H264" s="198">
        <f t="shared" si="91"/>
        <v>144.54394812245644</v>
      </c>
    </row>
    <row r="265" spans="1:13" ht="15" x14ac:dyDescent="0.2">
      <c r="A265" s="11">
        <v>2024</v>
      </c>
      <c r="B265" s="144" t="s">
        <v>15</v>
      </c>
      <c r="C265" s="130">
        <f t="shared" si="88"/>
        <v>171.68540420900928</v>
      </c>
      <c r="D265" s="130">
        <f t="shared" si="83"/>
        <v>116</v>
      </c>
      <c r="E265" s="130">
        <f t="shared" si="89"/>
        <v>161.16305919479126</v>
      </c>
      <c r="F265" s="130">
        <f t="shared" si="90"/>
        <v>126.44347556112656</v>
      </c>
      <c r="G265" s="72">
        <f t="shared" si="86"/>
        <v>2.75</v>
      </c>
      <c r="H265" s="197">
        <f t="shared" si="91"/>
        <v>145.52257184004503</v>
      </c>
    </row>
    <row r="266" spans="1:13" ht="15" x14ac:dyDescent="0.2">
      <c r="A266" s="11">
        <v>2024</v>
      </c>
      <c r="B266" s="144" t="s">
        <v>16</v>
      </c>
      <c r="C266" s="130">
        <f t="shared" si="88"/>
        <v>171.68540420900928</v>
      </c>
      <c r="D266" s="130">
        <f t="shared" si="83"/>
        <v>116</v>
      </c>
      <c r="E266" s="130">
        <f t="shared" si="89"/>
        <v>161.37463252228591</v>
      </c>
      <c r="F266" s="130">
        <f t="shared" si="90"/>
        <v>126.49951568891214</v>
      </c>
      <c r="G266" s="72">
        <f t="shared" si="86"/>
        <v>2.75</v>
      </c>
      <c r="H266" s="197">
        <f t="shared" si="91"/>
        <v>145.54482945623846</v>
      </c>
    </row>
    <row r="267" spans="1:13" ht="15" x14ac:dyDescent="0.2">
      <c r="A267" s="187">
        <v>2024</v>
      </c>
      <c r="B267" s="194" t="s">
        <v>17</v>
      </c>
      <c r="C267" s="195">
        <f t="shared" si="88"/>
        <v>171.68540420900928</v>
      </c>
      <c r="D267" s="195">
        <f t="shared" si="83"/>
        <v>116</v>
      </c>
      <c r="E267" s="195">
        <f t="shared" si="89"/>
        <v>161.58648360122763</v>
      </c>
      <c r="F267" s="195">
        <f t="shared" si="90"/>
        <v>126.55558065385051</v>
      </c>
      <c r="G267" s="196">
        <f t="shared" si="86"/>
        <v>2.75</v>
      </c>
      <c r="H267" s="197">
        <f>100+((C267-$C$40)/$C$40*100*$C$2)+((D267-$D$40)/$D$40*100*$D$2)+((E267-$E$40)/$E$40*100*$E$2)+((F267-$F$40)/$F$40*100*$F$2)+((G267-$G$40)/$G$40*100*$G$2)</f>
        <v>145.56711127329601</v>
      </c>
      <c r="I267" s="188"/>
      <c r="J267" s="188"/>
    </row>
    <row r="268" spans="1:13" x14ac:dyDescent="0.2">
      <c r="A268" s="167" t="s">
        <v>42</v>
      </c>
      <c r="B268" s="167"/>
      <c r="C268" s="167"/>
      <c r="D268" s="167"/>
      <c r="E268" s="167"/>
      <c r="F268" s="167"/>
      <c r="G268" s="167"/>
      <c r="H268" s="168"/>
      <c r="I268" s="167"/>
      <c r="J268" s="167"/>
      <c r="M268" s="144"/>
    </row>
    <row r="269" spans="1:13" x14ac:dyDescent="0.2">
      <c r="A269" s="167" t="s">
        <v>43</v>
      </c>
      <c r="B269" s="167"/>
      <c r="C269" s="167"/>
      <c r="D269" s="167"/>
      <c r="E269" s="167"/>
      <c r="F269" s="167"/>
      <c r="G269" s="167"/>
      <c r="H269" s="168"/>
      <c r="I269" s="167"/>
      <c r="J269" s="167"/>
    </row>
    <row r="270" spans="1:13" x14ac:dyDescent="0.2">
      <c r="A270" s="167" t="s">
        <v>45</v>
      </c>
      <c r="B270" s="167"/>
      <c r="C270" s="167"/>
      <c r="D270" s="167"/>
      <c r="E270" s="167"/>
      <c r="F270" s="167"/>
      <c r="G270" s="167"/>
      <c r="H270" s="168"/>
      <c r="I270" s="167"/>
      <c r="J270" s="167"/>
    </row>
    <row r="271" spans="1:13" x14ac:dyDescent="0.2">
      <c r="A271" s="169" t="s">
        <v>76</v>
      </c>
      <c r="B271" s="169" t="s">
        <v>67</v>
      </c>
      <c r="C271" s="169"/>
      <c r="D271" s="169"/>
      <c r="E271" s="169"/>
      <c r="F271" s="169"/>
      <c r="G271" s="169"/>
      <c r="H271" s="170"/>
      <c r="I271" s="169"/>
      <c r="J271" s="169"/>
    </row>
    <row r="272" spans="1:13" x14ac:dyDescent="0.2">
      <c r="A272" s="169" t="s">
        <v>77</v>
      </c>
      <c r="B272" s="169" t="s">
        <v>78</v>
      </c>
      <c r="C272" s="169"/>
      <c r="D272" s="169"/>
      <c r="E272" s="169"/>
      <c r="F272" s="169"/>
      <c r="G272" s="169"/>
      <c r="H272" s="170"/>
      <c r="I272" s="169"/>
      <c r="J272" s="169"/>
    </row>
    <row r="273" spans="1:11" x14ac:dyDescent="0.2">
      <c r="A273" s="169" t="s">
        <v>83</v>
      </c>
      <c r="B273" s="169" t="s">
        <v>84</v>
      </c>
      <c r="C273" s="169"/>
      <c r="D273" s="169"/>
      <c r="E273" s="169"/>
      <c r="F273" s="169"/>
      <c r="G273" s="169"/>
      <c r="H273" s="170"/>
      <c r="I273" s="169"/>
      <c r="J273" s="169"/>
    </row>
    <row r="274" spans="1:11" x14ac:dyDescent="0.2">
      <c r="A274" s="164" t="s">
        <v>70</v>
      </c>
      <c r="B274" s="165" t="s">
        <v>72</v>
      </c>
      <c r="C274" s="165"/>
      <c r="D274" s="165"/>
      <c r="E274" s="165"/>
      <c r="F274" s="165"/>
      <c r="G274" s="165"/>
      <c r="H274" s="165"/>
      <c r="I274" s="165"/>
      <c r="J274" s="165"/>
      <c r="K274" s="166"/>
    </row>
    <row r="275" spans="1:11" ht="12" customHeight="1" x14ac:dyDescent="0.2">
      <c r="A275" s="218" t="s">
        <v>80</v>
      </c>
      <c r="B275" s="221" t="s">
        <v>82</v>
      </c>
      <c r="C275" s="221"/>
      <c r="D275" s="221"/>
      <c r="E275" s="221"/>
      <c r="F275" s="221"/>
      <c r="G275" s="221"/>
      <c r="H275" s="221"/>
      <c r="I275" s="221"/>
      <c r="J275" s="221"/>
    </row>
  </sheetData>
  <mergeCells count="1">
    <mergeCell ref="B275:J275"/>
  </mergeCells>
  <phoneticPr fontId="5" type="noConversion"/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rowBreaks count="1" manualBreakCount="1">
    <brk id="243" max="9" man="1"/>
  </rowBreaks>
  <ignoredErrors>
    <ignoredError sqref="C256 E256:F25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topLeftCell="A236" workbookViewId="0">
      <selection activeCell="D252" sqref="D252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40" t="s">
        <v>86</v>
      </c>
      <c r="D3" s="2" t="s">
        <v>73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hidden="1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hidden="1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hidden="1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hidden="1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hidden="1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hidden="1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hidden="1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hidden="1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hidden="1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hidden="1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hidden="1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hidden="1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hidden="1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hidden="1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hidden="1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hidden="1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hidden="1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hidden="1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hidden="1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hidden="1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hidden="1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hidden="1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hidden="1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hidden="1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x14ac:dyDescent="0.2">
      <c r="A225" s="13">
        <f t="shared" si="32"/>
        <v>2023</v>
      </c>
      <c r="B225" s="14" t="s">
        <v>12</v>
      </c>
      <c r="C225" s="63">
        <f>(Indeks!C225/Indeks!$C$40*Indeks!$C$2)/Indeks!H225*100</f>
        <v>0.65466448187121418</v>
      </c>
      <c r="D225" s="63">
        <f>(Indeks!D225/Indeks!$D$40*Indeks!$D$2)/Indeks!H225*100</f>
        <v>0.13896701298739111</v>
      </c>
      <c r="E225" s="63">
        <f>(Indeks!E225/Indeks!$E$40*Indeks!$E$2)/Indeks!H225*100</f>
        <v>8.333612923667702E-2</v>
      </c>
      <c r="F225" s="63">
        <f>(Indeks!F225/Indeks!$F$40*Indeks!$F$2)/Indeks!H225*100</f>
        <v>8.8972019243345704E-2</v>
      </c>
      <c r="G225" s="63">
        <f>(Indeks!G225/Indeks!$G$40*Indeks!$G$2)/Indeks!H225*100</f>
        <v>3.406035666137229E-2</v>
      </c>
      <c r="H225" s="63">
        <f t="shared" si="31"/>
        <v>1.0000000000000002</v>
      </c>
    </row>
    <row r="226" spans="1:8" x14ac:dyDescent="0.2">
      <c r="A226" s="187">
        <f t="shared" si="32"/>
        <v>2023</v>
      </c>
      <c r="B226" s="220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62">
        <f>(Indeks!C230/Indeks!$C$40*Indeks!$C$2)/Indeks!H230*100</f>
        <v>0.70318196245148756</v>
      </c>
      <c r="D230" s="62">
        <f>(Indeks!D230/Indeks!$D$40*Indeks!$D$2)/Indeks!H230*100</f>
        <v>7.2805894643549765E-2</v>
      </c>
      <c r="E230" s="62">
        <f>(Indeks!E230/Indeks!$E$40*Indeks!$E$2)/Indeks!H230*100</f>
        <v>8.8063195135657205E-2</v>
      </c>
      <c r="F230" s="62">
        <f>(Indeks!F230/Indeks!$F$40*Indeks!$F$2)/Indeks!H230*100</f>
        <v>9.4944619776559269E-2</v>
      </c>
      <c r="G230" s="62">
        <f>(Indeks!G230/Indeks!$G$40*Indeks!$G$2)/Indeks!H230*100</f>
        <v>4.1004327992746517E-2</v>
      </c>
      <c r="H230" s="62">
        <f t="shared" si="31"/>
        <v>1.0000000000000004</v>
      </c>
    </row>
    <row r="231" spans="1:8" ht="13.5" thickBot="1" x14ac:dyDescent="0.25">
      <c r="A231" s="31">
        <f t="shared" si="32"/>
        <v>2023</v>
      </c>
      <c r="B231" s="32" t="s">
        <v>17</v>
      </c>
      <c r="C231" s="65">
        <f>(Indeks!C231/Indeks!$C$40*Indeks!$C$2)/Indeks!H231*100</f>
        <v>0.70080889947379132</v>
      </c>
      <c r="D231" s="65">
        <f>(Indeks!D231/Indeks!$D$40*Indeks!$D$2)/Indeks!H231*100</f>
        <v>7.6108757169417174E-2</v>
      </c>
      <c r="E231" s="65">
        <f>(Indeks!E231/Indeks!$E$40*Indeks!$E$2)/Indeks!H231*100</f>
        <v>8.7990278197691812E-2</v>
      </c>
      <c r="F231" s="65">
        <f>(Indeks!F231/Indeks!$F$40*Indeks!$F$2)/Indeks!H231*100</f>
        <v>9.4547895625118006E-2</v>
      </c>
      <c r="G231" s="65">
        <f>(Indeks!G231/Indeks!$G$40*Indeks!$G$2)/Indeks!H231*100</f>
        <v>4.0544169533981884E-2</v>
      </c>
      <c r="H231" s="65">
        <f t="shared" si="31"/>
        <v>1.0000000000000002</v>
      </c>
    </row>
    <row r="232" spans="1:8" x14ac:dyDescent="0.2">
      <c r="A232" s="2">
        <v>2024</v>
      </c>
      <c r="B232" t="s">
        <v>7</v>
      </c>
      <c r="C232" s="62">
        <f>(Indeks!C232/Indeks!$C$40*Indeks!$C$2)/Indeks!H232*100</f>
        <v>0.70434164450426406</v>
      </c>
      <c r="D232" s="62">
        <f>(Indeks!D232/Indeks!$D$40*Indeks!$D$2)/Indeks!H232*100</f>
        <v>7.7701047974358201E-2</v>
      </c>
      <c r="E232" s="62">
        <f>(Indeks!E232/Indeks!$E$40*Indeks!$E$2)/Indeks!H232*100</f>
        <v>8.7042392604513727E-2</v>
      </c>
      <c r="F232" s="62">
        <f>(Indeks!F232/Indeks!$F$40*Indeks!$F$2)/Indeks!H232*100</f>
        <v>9.354532723608748E-2</v>
      </c>
      <c r="G232" s="62">
        <f>(Indeks!G232/Indeks!$G$40*Indeks!$G$2)/Indeks!H232*100</f>
        <v>3.736958768077682E-2</v>
      </c>
      <c r="H232" s="62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62">
        <f>(Indeks!C233/Indeks!$C$40*Indeks!$C$2)/Indeks!H233*100</f>
        <v>0.70631636825755839</v>
      </c>
      <c r="D233" s="62">
        <f>(Indeks!D233/Indeks!$D$40*Indeks!$D$2)/Indeks!H233*100</f>
        <v>7.923687269730241E-2</v>
      </c>
      <c r="E233" s="62">
        <f>(Indeks!E233/Indeks!$E$40*Indeks!$E$2)/Indeks!H233*100</f>
        <v>8.6839950656097648E-2</v>
      </c>
      <c r="F233" s="62">
        <f>(Indeks!F233/Indeks!$F$40*Indeks!$F$2)/Indeks!H233*100</f>
        <v>9.3655679967842256E-2</v>
      </c>
      <c r="G233" s="62">
        <f>(Indeks!G233/Indeks!$G$40*Indeks!$G$2)/Indeks!H233*100</f>
        <v>3.395112842119944E-2</v>
      </c>
      <c r="H233" s="62">
        <f t="shared" si="33"/>
        <v>1.0000000000000002</v>
      </c>
    </row>
    <row r="234" spans="1:8" x14ac:dyDescent="0.2">
      <c r="A234" s="13">
        <f t="shared" ref="A234:A243" si="34">A233</f>
        <v>2024</v>
      </c>
      <c r="B234" s="14" t="s">
        <v>9</v>
      </c>
      <c r="C234" s="63">
        <f>(Indeks!C234/Indeks!$C$40*Indeks!$C$2)/Indeks!H234*100</f>
        <v>0.70007005300395353</v>
      </c>
      <c r="D234" s="63">
        <f>(Indeks!D234/Indeks!$D$40*Indeks!$D$2)/Indeks!H234*100</f>
        <v>8.6792102252797668E-2</v>
      </c>
      <c r="E234" s="63">
        <f>(Indeks!E234/Indeks!$E$40*Indeks!$E$2)/Indeks!H234*100</f>
        <v>8.6883284776785238E-2</v>
      </c>
      <c r="F234" s="63">
        <f>(Indeks!F234/Indeks!$F$40*Indeks!$F$2)/Indeks!H234*100</f>
        <v>9.2074576752197615E-2</v>
      </c>
      <c r="G234" s="63">
        <f>(Indeks!G234/Indeks!$G$40*Indeks!$G$2)/Indeks!H234*100</f>
        <v>3.4179983214266151E-2</v>
      </c>
      <c r="H234" s="63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62">
        <f>(Indeks!C235/Indeks!$C$40*Indeks!$C$2)/Indeks!H235*100</f>
        <v>0.70175877957896038</v>
      </c>
      <c r="D235" s="62">
        <f>(Indeks!D235/Indeks!$D$40*Indeks!$D$2)/Indeks!H235*100</f>
        <v>8.4141329116555502E-2</v>
      </c>
      <c r="E235" s="62">
        <f>(Indeks!E235/Indeks!$E$40*Indeks!$E$2)/Indeks!H235*100</f>
        <v>8.6801338422810181E-2</v>
      </c>
      <c r="F235" s="62">
        <f>(Indeks!F235/Indeks!$F$40*Indeks!$F$2)/Indeks!H235*100</f>
        <v>9.1746081044848979E-2</v>
      </c>
      <c r="G235" s="62">
        <f>(Indeks!G235/Indeks!$G$40*Indeks!$G$2)/Indeks!H235*100</f>
        <v>3.5552471836825209E-2</v>
      </c>
      <c r="H235" s="62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62">
        <f>(Indeks!C236/Indeks!$C$40*Indeks!$C$2)/Indeks!H236*100</f>
        <v>0.70222337174552019</v>
      </c>
      <c r="D236" s="62">
        <f>(Indeks!D236/Indeks!$D$40*Indeks!$D$2)/Indeks!H236*100</f>
        <v>8.3729272716110553E-2</v>
      </c>
      <c r="E236" s="62">
        <f>(Indeks!E236/Indeks!$E$40*Indeks!$E$2)/Indeks!H236*100</f>
        <v>8.6858804354198085E-2</v>
      </c>
      <c r="F236" s="62">
        <f>(Indeks!F236/Indeks!$F$40*Indeks!$F$2)/Indeks!H236*100</f>
        <v>9.1507287735377044E-2</v>
      </c>
      <c r="G236" s="62">
        <f>(Indeks!G236/Indeks!$G$40*Indeks!$G$2)/Indeks!H236*100</f>
        <v>3.568126344879425E-2</v>
      </c>
      <c r="H236" s="62">
        <f t="shared" si="33"/>
        <v>1.0000000000000002</v>
      </c>
    </row>
    <row r="237" spans="1:8" x14ac:dyDescent="0.2">
      <c r="A237" s="13">
        <f t="shared" si="34"/>
        <v>2024</v>
      </c>
      <c r="B237" s="14" t="s">
        <v>12</v>
      </c>
      <c r="C237" s="63">
        <f>(Indeks!C237/Indeks!$C$40*Indeks!$C$2)/Indeks!H237*100</f>
        <v>0.71392198308634225</v>
      </c>
      <c r="D237" s="63">
        <f>(Indeks!D237/Indeks!$D$40*Indeks!$D$2)/Indeks!H237*100</f>
        <v>6.7581495523696369E-2</v>
      </c>
      <c r="E237" s="63">
        <f>(Indeks!E237/Indeks!$E$40*Indeks!$E$2)/Indeks!H237*100</f>
        <v>8.8380401460803601E-2</v>
      </c>
      <c r="F237" s="63">
        <f>(Indeks!F237/Indeks!$F$40*Indeks!$F$2)/Indeks!H237*100</f>
        <v>9.3412396724560268E-2</v>
      </c>
      <c r="G237" s="63">
        <f>(Indeks!G237/Indeks!$G$40*Indeks!$G$2)/Indeks!H237*100</f>
        <v>3.6703723204597589E-2</v>
      </c>
      <c r="H237" s="63">
        <f t="shared" si="33"/>
        <v>1.0000000000000002</v>
      </c>
    </row>
    <row r="238" spans="1:8" x14ac:dyDescent="0.2">
      <c r="A238" s="187">
        <f t="shared" si="34"/>
        <v>2024</v>
      </c>
      <c r="B238" s="220" t="s">
        <v>30</v>
      </c>
      <c r="C238" s="62">
        <f>(Indeks!C238/Indeks!$C$40*Indeks!$C$2)/Indeks!H238*100</f>
        <v>0.71490016100224429</v>
      </c>
      <c r="D238" s="62">
        <f>(Indeks!D238/Indeks!$D$40*Indeks!$D$2)/Indeks!H238*100</f>
        <v>6.7110502600958091E-2</v>
      </c>
      <c r="E238" s="62">
        <f>(Indeks!E238/Indeks!$E$40*Indeks!$E$2)/Indeks!H238*100</f>
        <v>8.7764455582804934E-2</v>
      </c>
      <c r="F238" s="62">
        <f>(Indeks!F238/Indeks!$F$40*Indeks!$F$2)/Indeks!H238*100</f>
        <v>9.313938230990125E-2</v>
      </c>
      <c r="G238" s="62">
        <f>(Indeks!G238/Indeks!$G$40*Indeks!$G$2)/Indeks!H238*100</f>
        <v>3.7085498504091104E-2</v>
      </c>
      <c r="H238" s="62">
        <f t="shared" si="33"/>
        <v>0.99999999999999967</v>
      </c>
    </row>
    <row r="239" spans="1:8" x14ac:dyDescent="0.2">
      <c r="A239" s="11">
        <f t="shared" si="34"/>
        <v>2024</v>
      </c>
      <c r="B239" t="s">
        <v>13</v>
      </c>
      <c r="C239" s="62">
        <f>(Indeks!C239/Indeks!$C$40*Indeks!$C$2)/Indeks!H239*100</f>
        <v>0.71494616872919126</v>
      </c>
      <c r="D239" s="62">
        <f>(Indeks!D239/Indeks!$D$40*Indeks!$D$2)/Indeks!H239*100</f>
        <v>6.8006887177766151E-2</v>
      </c>
      <c r="E239" s="62">
        <f>(Indeks!E239/Indeks!$E$40*Indeks!$E$2)/Indeks!H239*100</f>
        <v>8.7770103704498517E-2</v>
      </c>
      <c r="F239" s="62">
        <f>(Indeks!F239/Indeks!$F$40*Indeks!$F$2)/Indeks!H239*100</f>
        <v>9.3145376337463531E-2</v>
      </c>
      <c r="G239" s="62">
        <f>(Indeks!G239/Indeks!$G$40*Indeks!$G$2)/Indeks!H239*100</f>
        <v>3.6131464051080434E-2</v>
      </c>
      <c r="H239" s="62">
        <f t="shared" si="33"/>
        <v>1</v>
      </c>
    </row>
    <row r="240" spans="1:8" x14ac:dyDescent="0.2">
      <c r="A240" s="13">
        <f t="shared" si="34"/>
        <v>2024</v>
      </c>
      <c r="B240" s="14" t="s">
        <v>14</v>
      </c>
      <c r="C240" s="63">
        <f>(Indeks!C240/Indeks!$C$40*Indeks!$C$2)/Indeks!H240*100</f>
        <v>0.71597835744786087</v>
      </c>
      <c r="D240" s="63">
        <f>(Indeks!D240/Indeks!$D$40*Indeks!$D$2)/Indeks!H240*100</f>
        <v>6.8525472383208011E-2</v>
      </c>
      <c r="E240" s="63">
        <f>(Indeks!E240/Indeks!$E$40*Indeks!$E$2)/Indeks!H240*100</f>
        <v>8.8861088884378242E-2</v>
      </c>
      <c r="F240" s="63">
        <f>(Indeks!F240/Indeks!$F$40*Indeks!$F$2)/Indeks!H240*100</f>
        <v>9.3431281377606409E-2</v>
      </c>
      <c r="G240" s="63">
        <f>(Indeks!G240/Indeks!$G$40*Indeks!$G$2)/Indeks!H240*100</f>
        <v>3.3203799906946267E-2</v>
      </c>
      <c r="H240" s="63">
        <f t="shared" si="33"/>
        <v>0.99999999999999978</v>
      </c>
    </row>
    <row r="241" spans="1:8" x14ac:dyDescent="0.2">
      <c r="A241" s="11">
        <f t="shared" si="34"/>
        <v>2024</v>
      </c>
      <c r="B241" t="s">
        <v>15</v>
      </c>
      <c r="C241" s="62">
        <f>(Indeks!C241/Indeks!$C$40*Indeks!$C$2)/Indeks!H241*100</f>
        <v>0.71475243315341119</v>
      </c>
      <c r="D241" s="62">
        <f>(Indeks!D241/Indeks!$D$40*Indeks!$D$2)/Indeks!H241*100</f>
        <v>7.7909085418632076E-2</v>
      </c>
      <c r="E241" s="62">
        <f>(Indeks!E241/Indeks!$E$40*Indeks!$E$2)/Indeks!H241*100</f>
        <v>8.5523123948887503E-2</v>
      </c>
      <c r="F241" s="62">
        <f>(Indeks!F241/Indeks!$F$40*Indeks!$F$2)/Indeks!H241*100</f>
        <v>9.0444865244504014E-2</v>
      </c>
      <c r="G241" s="62">
        <f>(Indeks!G241/Indeks!$G$40*Indeks!$G$2)/Indeks!H241*100</f>
        <v>3.1370492234565193E-2</v>
      </c>
      <c r="H241" s="62">
        <f t="shared" si="33"/>
        <v>1</v>
      </c>
    </row>
    <row r="242" spans="1:8" x14ac:dyDescent="0.2">
      <c r="A242" s="11">
        <f t="shared" si="34"/>
        <v>2024</v>
      </c>
      <c r="B242" t="s">
        <v>16</v>
      </c>
      <c r="C242" s="62">
        <f>(Indeks!C242/Indeks!$C$40*Indeks!$C$2)/Indeks!H242*100</f>
        <v>0.72296499847106732</v>
      </c>
      <c r="D242" s="62">
        <f>(Indeks!D242/Indeks!$D$40*Indeks!$D$2)/Indeks!H242*100</f>
        <v>7.0071069520821982E-2</v>
      </c>
      <c r="E242" s="62">
        <f>(Indeks!E242/Indeks!$E$40*Indeks!$E$2)/Indeks!H242*100</f>
        <v>8.6215747239659579E-2</v>
      </c>
      <c r="F242" s="62">
        <f>(Indeks!F242/Indeks!$F$40*Indeks!$F$2)/Indeks!H242*100</f>
        <v>9.1410068071496445E-2</v>
      </c>
      <c r="G242" s="62">
        <f>(Indeks!G242/Indeks!$G$40*Indeks!$G$2)/Indeks!H242*100</f>
        <v>2.9338116696954561E-2</v>
      </c>
      <c r="H242" s="62">
        <f t="shared" si="33"/>
        <v>0.99999999999999989</v>
      </c>
    </row>
    <row r="243" spans="1:8" ht="13.5" thickBot="1" x14ac:dyDescent="0.25">
      <c r="A243" s="31">
        <f t="shared" si="34"/>
        <v>2024</v>
      </c>
      <c r="B243" s="32" t="s">
        <v>17</v>
      </c>
      <c r="C243" s="65">
        <f>(Indeks!C243/Indeks!$C$40*Indeks!$C$2)/Indeks!H243*100</f>
        <v>0.71266140404504252</v>
      </c>
      <c r="D243" s="65">
        <f>(Indeks!D243/Indeks!$D$40*Indeks!$D$2)/Indeks!H243*100</f>
        <v>8.2441283355322068E-2</v>
      </c>
      <c r="E243" s="65">
        <f>(Indeks!E243/Indeks!$E$40*Indeks!$E$2)/Indeks!H243*100</f>
        <v>8.5487356722204644E-2</v>
      </c>
      <c r="F243" s="65">
        <f>(Indeks!F243/Indeks!$F$40*Indeks!$F$2)/Indeks!H243*100</f>
        <v>8.9669536488281659E-2</v>
      </c>
      <c r="G243" s="65">
        <f>(Indeks!G243/Indeks!$G$40*Indeks!$G$2)/Indeks!H243*100</f>
        <v>2.9740419389148915E-2</v>
      </c>
      <c r="H243" s="65">
        <f t="shared" si="33"/>
        <v>0.99999999999999989</v>
      </c>
    </row>
    <row r="244" spans="1:8" x14ac:dyDescent="0.2">
      <c r="A244" s="2">
        <v>2025</v>
      </c>
      <c r="B244" t="s">
        <v>7</v>
      </c>
      <c r="C244" s="62">
        <f>(Indeks!C244/Indeks!$C$40*Indeks!$C$2)/Indeks!H244*100</f>
        <v>0.70968587522129267</v>
      </c>
      <c r="D244" s="62">
        <f>(Indeks!D244/Indeks!$D$40*Indeks!$D$2)/Indeks!H244*100</f>
        <v>8.739441611213157E-2</v>
      </c>
      <c r="E244" s="62">
        <f>(Indeks!E244/Indeks!$E$40*Indeks!$E$2)/Indeks!H244*100</f>
        <v>8.5390028681025423E-2</v>
      </c>
      <c r="F244" s="62">
        <f>(Indeks!F244/Indeks!$F$40*Indeks!$F$2)/Indeks!H244*100</f>
        <v>9.0087377518679151E-2</v>
      </c>
      <c r="G244" s="62">
        <f>(Indeks!G244/Indeks!$G$40*Indeks!$G$2)/Indeks!H244*100</f>
        <v>2.74423024668712E-2</v>
      </c>
      <c r="H244" s="62">
        <f t="shared" ref="H244:H255" si="35">SUM(C244:G244)</f>
        <v>1</v>
      </c>
    </row>
    <row r="245" spans="1:8" x14ac:dyDescent="0.2">
      <c r="A245" s="11">
        <f>A244</f>
        <v>2025</v>
      </c>
      <c r="B245" t="s">
        <v>8</v>
      </c>
      <c r="C245" s="62">
        <f>(Indeks!C245/Indeks!$C$40*Indeks!$C$2)/Indeks!H245*100</f>
        <v>0.71165554614785731</v>
      </c>
      <c r="D245" s="62">
        <f>(Indeks!D245/Indeks!$D$40*Indeks!$D$2)/Indeks!H245*100</f>
        <v>8.3311104874697506E-2</v>
      </c>
      <c r="E245" s="62">
        <f>(Indeks!E245/Indeks!$E$40*Indeks!$E$2)/Indeks!H245*100</f>
        <v>8.5411516971215976E-2</v>
      </c>
      <c r="F245" s="62">
        <f>(Indeks!F245/Indeks!$F$40*Indeks!$F$2)/Indeks!H245*100</f>
        <v>9.0557384589217596E-2</v>
      </c>
      <c r="G245" s="62">
        <f>(Indeks!G245/Indeks!$G$40*Indeks!$G$2)/Indeks!H245*100</f>
        <v>2.9064447417011609E-2</v>
      </c>
      <c r="H245" s="62">
        <f t="shared" si="35"/>
        <v>1</v>
      </c>
    </row>
    <row r="246" spans="1:8" x14ac:dyDescent="0.2">
      <c r="A246" s="13">
        <f t="shared" ref="A246:A255" si="36">A245</f>
        <v>2025</v>
      </c>
      <c r="B246" s="14" t="s">
        <v>9</v>
      </c>
      <c r="C246" s="63">
        <f>(Indeks!C246/Indeks!$C$40*Indeks!$C$2)/Indeks!H246*100</f>
        <v>0.71108705878452039</v>
      </c>
      <c r="D246" s="63">
        <f>(Indeks!D246/Indeks!$D$40*Indeks!$D$2)/Indeks!H246*100</f>
        <v>8.502437034913117E-2</v>
      </c>
      <c r="E246" s="63">
        <f>(Indeks!E246/Indeks!$E$40*Indeks!$E$2)/Indeks!H246*100</f>
        <v>8.5845729783865218E-2</v>
      </c>
      <c r="F246" s="63">
        <f>(Indeks!F246/Indeks!$F$40*Indeks!$F$2)/Indeks!H246*100</f>
        <v>8.9928458804223912E-2</v>
      </c>
      <c r="G246" s="63">
        <f>(Indeks!G246/Indeks!$G$40*Indeks!$G$2)/Indeks!H246*100</f>
        <v>2.8114382278259485E-2</v>
      </c>
      <c r="H246" s="63">
        <f t="shared" si="35"/>
        <v>1.0000000000000002</v>
      </c>
    </row>
    <row r="247" spans="1:8" x14ac:dyDescent="0.2">
      <c r="A247" s="18">
        <f t="shared" si="36"/>
        <v>2025</v>
      </c>
      <c r="B247" s="19" t="s">
        <v>10</v>
      </c>
      <c r="C247" s="62">
        <f>(Indeks!C247/Indeks!$C$40*Indeks!$C$2)/Indeks!H247*100</f>
        <v>0.70718039462528748</v>
      </c>
      <c r="D247" s="62">
        <f>(Indeks!D247/Indeks!$D$40*Indeks!$D$2)/Indeks!H247*100</f>
        <v>9.1537948304279956E-2</v>
      </c>
      <c r="E247" s="62">
        <f>(Indeks!E247/Indeks!$E$40*Indeks!$E$2)/Indeks!H247*100</f>
        <v>8.5476690977549161E-2</v>
      </c>
      <c r="F247" s="62">
        <f>(Indeks!F247/Indeks!$F$40*Indeks!$F$2)/Indeks!H247*100</f>
        <v>8.8495612017163605E-2</v>
      </c>
      <c r="G247" s="62">
        <f>(Indeks!G247/Indeks!$G$40*Indeks!$G$2)/Indeks!H247*100</f>
        <v>2.7309354075720115E-2</v>
      </c>
      <c r="H247" s="62">
        <f t="shared" si="35"/>
        <v>1.0000000000000004</v>
      </c>
    </row>
    <row r="248" spans="1:8" x14ac:dyDescent="0.2">
      <c r="A248" s="11">
        <f t="shared" si="36"/>
        <v>2025</v>
      </c>
      <c r="B248" t="s">
        <v>11</v>
      </c>
      <c r="C248" s="62">
        <f>(Indeks!C248/Indeks!$C$40*Indeks!$C$2)/Indeks!H248*100</f>
        <v>0.71724372165174355</v>
      </c>
      <c r="D248" s="62">
        <f>(Indeks!D248/Indeks!$D$40*Indeks!$D$2)/Indeks!H248*100</f>
        <v>7.8502636040095899E-2</v>
      </c>
      <c r="E248" s="62">
        <f>(Indeks!E248/Indeks!$E$40*Indeks!$E$2)/Indeks!H248*100</f>
        <v>8.6262447840372736E-2</v>
      </c>
      <c r="F248" s="62">
        <f>(Indeks!F248/Indeks!$F$40*Indeks!$F$2)/Indeks!H248*100</f>
        <v>8.9675423859099934E-2</v>
      </c>
      <c r="G248" s="62">
        <f>(Indeks!G248/Indeks!$G$40*Indeks!$G$2)/Indeks!H248*100</f>
        <v>2.83157706086881E-2</v>
      </c>
      <c r="H248" s="62">
        <f t="shared" si="35"/>
        <v>1.0000000000000002</v>
      </c>
    </row>
    <row r="249" spans="1:8" x14ac:dyDescent="0.2">
      <c r="A249" s="13">
        <f t="shared" si="36"/>
        <v>2025</v>
      </c>
      <c r="B249" s="14" t="s">
        <v>12</v>
      </c>
      <c r="C249" s="63">
        <f>(Indeks!C249/Indeks!$C$40*Indeks!$C$2)/Indeks!H249*100</f>
        <v>0.72827048897734559</v>
      </c>
      <c r="D249" s="63">
        <f>(Indeks!D249/Indeks!$D$40*Indeks!$D$2)/Indeks!H249*100</f>
        <v>6.4273544704181063E-2</v>
      </c>
      <c r="E249" s="63">
        <f>(Indeks!E249/Indeks!$E$40*Indeks!$E$2)/Indeks!H249*100</f>
        <v>8.7661499234934215E-2</v>
      </c>
      <c r="F249" s="63">
        <f>(Indeks!F249/Indeks!$F$40*Indeks!$F$2)/Indeks!H249*100</f>
        <v>9.2507067199581974E-2</v>
      </c>
      <c r="G249" s="63">
        <f>(Indeks!G249/Indeks!$G$40*Indeks!$G$2)/Indeks!H249*100</f>
        <v>2.7287399883957397E-2</v>
      </c>
      <c r="H249" s="63">
        <f t="shared" si="35"/>
        <v>1.0000000000000002</v>
      </c>
    </row>
    <row r="250" spans="1:8" x14ac:dyDescent="0.2">
      <c r="A250" s="18">
        <f t="shared" si="36"/>
        <v>2025</v>
      </c>
      <c r="B250" s="23" t="s">
        <v>30</v>
      </c>
      <c r="C250" s="62">
        <f>(Indeks!C250/Indeks!$C$40*Indeks!$C$2)/Indeks!H250*100</f>
        <v>0.72867016306067534</v>
      </c>
      <c r="D250" s="62">
        <f>(Indeks!D250/Indeks!$D$40*Indeks!$D$2)/Indeks!H250*100</f>
        <v>6.3642636948818707E-2</v>
      </c>
      <c r="E250" s="62">
        <f>(Indeks!E250/Indeks!$E$40*Indeks!$E$2)/Indeks!H250*100</f>
        <v>8.7435000939270216E-2</v>
      </c>
      <c r="F250" s="62">
        <f>(Indeks!F250/Indeks!$F$40*Indeks!$F$2)/Indeks!H250*100</f>
        <v>9.2432753196547229E-2</v>
      </c>
      <c r="G250" s="62">
        <f>(Indeks!G250/Indeks!$G$40*Indeks!$G$2)/Indeks!H250*100</f>
        <v>2.781944585468871E-2</v>
      </c>
      <c r="H250" s="62">
        <f t="shared" si="35"/>
        <v>1.0000000000000002</v>
      </c>
    </row>
    <row r="251" spans="1:8" x14ac:dyDescent="0.2">
      <c r="A251" s="11">
        <f t="shared" si="36"/>
        <v>2025</v>
      </c>
      <c r="B251" t="s">
        <v>13</v>
      </c>
      <c r="C251" s="62">
        <f>(Indeks!C251/Indeks!$C$40*Indeks!$C$2)/Indeks!H251*100</f>
        <v>0.73109184300999375</v>
      </c>
      <c r="D251" s="62">
        <f>(Indeks!D251/Indeks!$D$40*Indeks!$D$2)/Indeks!H251*100</f>
        <v>5.9879395445921045E-2</v>
      </c>
      <c r="E251" s="62">
        <f>(Indeks!E251/Indeks!$E$40*Indeks!$E$2)/Indeks!H251*100</f>
        <v>8.7944169868290054E-2</v>
      </c>
      <c r="F251" s="62">
        <f>(Indeks!F251/Indeks!$F$40*Indeks!$F$2)/Indeks!H251*100</f>
        <v>9.233637834497592E-2</v>
      </c>
      <c r="G251" s="62">
        <f>(Indeks!G251/Indeks!$G$40*Indeks!$G$2)/Indeks!H251*100</f>
        <v>2.874821333081929E-2</v>
      </c>
      <c r="H251" s="62">
        <f t="shared" si="35"/>
        <v>1</v>
      </c>
    </row>
    <row r="252" spans="1:8" x14ac:dyDescent="0.2">
      <c r="A252" s="13">
        <f t="shared" si="36"/>
        <v>2025</v>
      </c>
      <c r="B252" s="14" t="s">
        <v>14</v>
      </c>
      <c r="C252" s="81">
        <f>(Indeks!C252/Indeks!$C$40*Indeks!$C$2)/Indeks!H252*100</f>
        <v>0.73102511409772331</v>
      </c>
      <c r="D252" s="81">
        <f>(Indeks!D252/Indeks!$D$40*Indeks!$D$2)/Indeks!H252*100</f>
        <v>5.9873930076605665E-2</v>
      </c>
      <c r="E252" s="81">
        <f>(Indeks!E252/Indeks!$E$40*Indeks!$E$2)/Indeks!H252*100</f>
        <v>8.8023244580354904E-2</v>
      </c>
      <c r="F252" s="81">
        <f>(Indeks!F252/Indeks!$F$40*Indeks!$F$2)/Indeks!H252*100</f>
        <v>9.2332121848854351E-2</v>
      </c>
      <c r="G252" s="81">
        <f>(Indeks!G252/Indeks!$G$40*Indeks!$G$2)/Indeks!H252*100</f>
        <v>2.87455893964619E-2</v>
      </c>
      <c r="H252" s="81">
        <f t="shared" si="35"/>
        <v>1.0000000000000002</v>
      </c>
    </row>
    <row r="253" spans="1:8" x14ac:dyDescent="0.2">
      <c r="A253" s="11">
        <f t="shared" si="36"/>
        <v>2025</v>
      </c>
      <c r="B253" t="s">
        <v>15</v>
      </c>
      <c r="C253" s="78">
        <f>(Indeks!C253/Indeks!$C$40*Indeks!$C$2)/Indeks!H253*100</f>
        <v>0.73304294728148645</v>
      </c>
      <c r="D253" s="78">
        <f>(Indeks!D253/Indeks!$D$40*Indeks!$D$2)/Indeks!H253*100</f>
        <v>5.9404582276454558E-2</v>
      </c>
      <c r="E253" s="78">
        <f>(Indeks!E253/Indeks!$E$40*Indeks!$E$2)/Indeks!H253*100</f>
        <v>8.7419740606096363E-2</v>
      </c>
      <c r="F253" s="78">
        <f>(Indeks!F253/Indeks!$F$40*Indeks!$F$2)/Indeks!H253*100</f>
        <v>9.1612475224272877E-2</v>
      </c>
      <c r="G253" s="78">
        <f>(Indeks!G253/Indeks!$G$40*Indeks!$G$2)/Indeks!H253*100</f>
        <v>2.8520254611689722E-2</v>
      </c>
      <c r="H253" s="78">
        <f t="shared" si="35"/>
        <v>0.99999999999999989</v>
      </c>
    </row>
    <row r="254" spans="1:8" x14ac:dyDescent="0.2">
      <c r="A254" s="11">
        <f t="shared" si="36"/>
        <v>2025</v>
      </c>
      <c r="B254" t="s">
        <v>16</v>
      </c>
      <c r="C254" s="78">
        <f>(Indeks!C254/Indeks!$C$40*Indeks!$C$2)/Indeks!H254*100</f>
        <v>0.73297644496799907</v>
      </c>
      <c r="D254" s="78">
        <f>(Indeks!D254/Indeks!$D$40*Indeks!$D$2)/Indeks!H254*100</f>
        <v>5.9399193039483128E-2</v>
      </c>
      <c r="E254" s="78">
        <f>(Indeks!E254/Indeks!$E$40*Indeks!$E$2)/Indeks!H254*100</f>
        <v>8.7498392087832597E-2</v>
      </c>
      <c r="F254" s="78">
        <f>(Indeks!F254/Indeks!$F$40*Indeks!$F$2)/Indeks!H254*100</f>
        <v>9.1608302676067704E-2</v>
      </c>
      <c r="G254" s="78">
        <f>(Indeks!G254/Indeks!$G$40*Indeks!$G$2)/Indeks!H254*100</f>
        <v>2.8517667228617614E-2</v>
      </c>
      <c r="H254" s="78">
        <f t="shared" si="35"/>
        <v>1.0000000000000002</v>
      </c>
    </row>
    <row r="255" spans="1:8" ht="13.5" thickBot="1" x14ac:dyDescent="0.25">
      <c r="A255" s="31">
        <f t="shared" si="36"/>
        <v>2025</v>
      </c>
      <c r="B255" s="32" t="s">
        <v>17</v>
      </c>
      <c r="C255" s="189">
        <f>(Indeks!C255/Indeks!$C$40*Indeks!$C$2)/Indeks!H255*100</f>
        <v>0.73290989173358356</v>
      </c>
      <c r="D255" s="189">
        <f>(Indeks!D255/Indeks!$D$40*Indeks!$D$2)/Indeks!H255*100</f>
        <v>5.9393799675964302E-2</v>
      </c>
      <c r="E255" s="189">
        <f>(Indeks!E255/Indeks!$E$40*Indeks!$E$2)/Indeks!H255*100</f>
        <v>8.7577107526678744E-2</v>
      </c>
      <c r="F255" s="189">
        <f>(Indeks!F255/Indeks!$F$40*Indeks!$F$2)/Indeks!H255*100</f>
        <v>9.1604123199391235E-2</v>
      </c>
      <c r="G255" s="189">
        <f>(Indeks!G255/Indeks!$G$40*Indeks!$G$2)/Indeks!H255*100</f>
        <v>2.8515077864382135E-2</v>
      </c>
      <c r="H255" s="189">
        <f t="shared" si="35"/>
        <v>0.99999999999999989</v>
      </c>
    </row>
    <row r="256" spans="1:8" x14ac:dyDescent="0.2">
      <c r="A256" s="2">
        <v>2026</v>
      </c>
      <c r="B256" t="s">
        <v>7</v>
      </c>
      <c r="C256" s="78">
        <f>(Indeks!C256/Indeks!$C$40*Indeks!$C$2)/Indeks!H256*100</f>
        <v>0.73454204470399576</v>
      </c>
      <c r="D256" s="78">
        <f>(Indeks!D256/Indeks!$D$40*Indeks!$D$2)/Indeks!H256*100</f>
        <v>5.899648871513348E-2</v>
      </c>
      <c r="E256" s="78">
        <f>(Indeks!E256/Indeks!$E$40*Indeks!$E$2)/Indeks!H256*100</f>
        <v>8.7105467465403125E-2</v>
      </c>
      <c r="F256" s="78">
        <f>(Indeks!F256/Indeks!$F$40*Indeks!$F$2)/Indeks!H256*100</f>
        <v>9.1031671010256943E-2</v>
      </c>
      <c r="G256" s="78">
        <f>(Indeks!G256/Indeks!$G$40*Indeks!$G$2)/Indeks!H256*100</f>
        <v>2.8324328105210749E-2</v>
      </c>
      <c r="H256" s="78">
        <f t="shared" ref="H256:H267" si="37">SUM(C256:G256)</f>
        <v>1.0000000000000002</v>
      </c>
    </row>
    <row r="257" spans="1:8" x14ac:dyDescent="0.2">
      <c r="A257" s="11">
        <f>A256</f>
        <v>2026</v>
      </c>
      <c r="B257" t="s">
        <v>8</v>
      </c>
      <c r="C257" s="78">
        <f>(Indeks!C257/Indeks!$C$40*Indeks!$C$2)/Indeks!H257*100</f>
        <v>0.73442843102221056</v>
      </c>
      <c r="D257" s="78">
        <f>(Indeks!D257/Indeks!$D$40*Indeks!$D$2)/Indeks!H257*100</f>
        <v>5.8987363562470453E-2</v>
      </c>
      <c r="E257" s="78">
        <f>(Indeks!E257/Indeks!$E$40*Indeks!$E$2)/Indeks!H257*100</f>
        <v>8.7206328158175361E-2</v>
      </c>
      <c r="F257" s="78">
        <f>(Indeks!F257/Indeks!$F$40*Indeks!$F$2)/Indeks!H257*100</f>
        <v>9.1057930155339611E-2</v>
      </c>
      <c r="G257" s="78">
        <f>(Indeks!G257/Indeks!$G$40*Indeks!$G$2)/Indeks!H257*100</f>
        <v>2.8319947101804167E-2</v>
      </c>
      <c r="H257" s="78">
        <f t="shared" si="37"/>
        <v>1</v>
      </c>
    </row>
    <row r="258" spans="1:8" x14ac:dyDescent="0.2">
      <c r="A258" s="13">
        <f t="shared" ref="A258:A267" si="38">A257</f>
        <v>2026</v>
      </c>
      <c r="B258" s="14" t="s">
        <v>9</v>
      </c>
      <c r="C258" s="78">
        <f>(Indeks!C258/Indeks!$C$40*Indeks!$C$2)/Indeks!H258*100</f>
        <v>0.73431472915383489</v>
      </c>
      <c r="D258" s="78">
        <f>(Indeks!D258/Indeks!$D$40*Indeks!$D$2)/Indeks!H258*100</f>
        <v>5.8978231326892019E-2</v>
      </c>
      <c r="E258" s="78">
        <f>(Indeks!E258/Indeks!$E$40*Indeks!$E$2)/Indeks!H258*100</f>
        <v>8.7307293064600541E-2</v>
      </c>
      <c r="F258" s="78">
        <f>(Indeks!F258/Indeks!$F$40*Indeks!$F$2)/Indeks!H258*100</f>
        <v>9.1084183756796291E-2</v>
      </c>
      <c r="G258" s="78">
        <f>(Indeks!G258/Indeks!$G$40*Indeks!$G$2)/Indeks!H258*100</f>
        <v>2.8315562697876221E-2</v>
      </c>
      <c r="H258" s="78">
        <f t="shared" si="37"/>
        <v>1</v>
      </c>
    </row>
    <row r="259" spans="1:8" x14ac:dyDescent="0.2">
      <c r="A259" s="18">
        <f t="shared" si="38"/>
        <v>2026</v>
      </c>
      <c r="B259" s="19" t="s">
        <v>10</v>
      </c>
      <c r="C259" s="80">
        <f>(Indeks!C259/Indeks!$C$40*Indeks!$C$2)/Indeks!H259*100</f>
        <v>0.73594121956315739</v>
      </c>
      <c r="D259" s="80">
        <f>(Indeks!D259/Indeks!$D$40*Indeks!$D$2)/Indeks!H259*100</f>
        <v>5.858300049010224E-2</v>
      </c>
      <c r="E259" s="80">
        <f>(Indeks!E259/Indeks!$E$40*Indeks!$E$2)/Indeks!H259*100</f>
        <v>8.6836068783538028E-2</v>
      </c>
      <c r="F259" s="80">
        <f>(Indeks!F259/Indeks!$F$40*Indeks!$F$2)/Indeks!H259*100</f>
        <v>9.0513899552930391E-2</v>
      </c>
      <c r="G259" s="80">
        <f>(Indeks!G259/Indeks!$G$40*Indeks!$G$2)/Indeks!H259*100</f>
        <v>2.8125811610271927E-2</v>
      </c>
      <c r="H259" s="80">
        <f t="shared" si="37"/>
        <v>1</v>
      </c>
    </row>
    <row r="260" spans="1:8" x14ac:dyDescent="0.2">
      <c r="A260" s="11">
        <f t="shared" si="38"/>
        <v>2026</v>
      </c>
      <c r="B260" t="s">
        <v>11</v>
      </c>
      <c r="C260" s="78">
        <f>(Indeks!C260/Indeks!$C$40*Indeks!$C$2)/Indeks!H260*100</f>
        <v>0.7358278184927175</v>
      </c>
      <c r="D260" s="78">
        <f>(Indeks!D260/Indeks!$D$40*Indeks!$D$2)/Indeks!H260*100</f>
        <v>5.8573973444478802E-2</v>
      </c>
      <c r="E260" s="78">
        <f>(Indeks!E260/Indeks!$E$40*Indeks!$E$2)/Indeks!H260*100</f>
        <v>8.6936668224213712E-2</v>
      </c>
      <c r="F260" s="78">
        <f>(Indeks!F260/Indeks!$F$40*Indeks!$F$2)/Indeks!H260*100</f>
        <v>9.05400621303456E-2</v>
      </c>
      <c r="G260" s="78">
        <f>(Indeks!G260/Indeks!$G$40*Indeks!$G$2)/Indeks!H260*100</f>
        <v>2.8121477708244413E-2</v>
      </c>
      <c r="H260" s="78">
        <f t="shared" si="37"/>
        <v>1</v>
      </c>
    </row>
    <row r="261" spans="1:8" x14ac:dyDescent="0.2">
      <c r="A261" s="13">
        <f t="shared" si="38"/>
        <v>2026</v>
      </c>
      <c r="B261" s="14" t="s">
        <v>12</v>
      </c>
      <c r="C261" s="79">
        <f>(Indeks!C261/Indeks!$C$40*Indeks!$C$2)/Indeks!H261*100</f>
        <v>0.73571432921882629</v>
      </c>
      <c r="D261" s="79">
        <f>(Indeks!D261/Indeks!$D$40*Indeks!$D$2)/Indeks!H261*100</f>
        <v>5.8564939377611439E-2</v>
      </c>
      <c r="E261" s="79">
        <f>(Indeks!E261/Indeks!$E$40*Indeks!$E$2)/Indeks!H261*100</f>
        <v>8.7037371707196512E-2</v>
      </c>
      <c r="F261" s="79">
        <f>(Indeks!F261/Indeks!$F$40*Indeks!$F$2)/Indeks!H261*100</f>
        <v>9.056621926106162E-2</v>
      </c>
      <c r="G261" s="79">
        <f>(Indeks!G261/Indeks!$G$40*Indeks!$G$2)/Indeks!H261*100</f>
        <v>2.8117140435304132E-2</v>
      </c>
      <c r="H261" s="79">
        <f t="shared" si="37"/>
        <v>0.99999999999999989</v>
      </c>
    </row>
    <row r="262" spans="1:8" x14ac:dyDescent="0.2">
      <c r="A262" s="18">
        <f t="shared" si="38"/>
        <v>2026</v>
      </c>
      <c r="B262" s="23" t="s">
        <v>30</v>
      </c>
      <c r="C262" s="80">
        <f>(Indeks!C262/Indeks!$C$40*Indeks!$C$2)/Indeks!H262*100</f>
        <v>0.73733514599588823</v>
      </c>
      <c r="D262" s="80">
        <f>(Indeks!D262/Indeks!$D$40*Indeks!$D$2)/Indeks!H262*100</f>
        <v>5.817178593527654E-2</v>
      </c>
      <c r="E262" s="80">
        <f>(Indeks!E262/Indeks!$E$40*Indeks!$E$2)/Indeks!H262*100</f>
        <v>8.6566574199739732E-2</v>
      </c>
      <c r="F262" s="80">
        <f>(Indeks!F262/Indeks!$F$40*Indeks!$F$2)/Indeks!H262*100</f>
        <v>8.9998107160308052E-2</v>
      </c>
      <c r="G262" s="80">
        <f>(Indeks!G262/Indeks!$G$40*Indeks!$G$2)/Indeks!H262*100</f>
        <v>2.7928386708787351E-2</v>
      </c>
      <c r="H262" s="80">
        <f t="shared" si="37"/>
        <v>0.99999999999999989</v>
      </c>
    </row>
    <row r="263" spans="1:8" x14ac:dyDescent="0.2">
      <c r="A263" s="11">
        <f t="shared" si="38"/>
        <v>2026</v>
      </c>
      <c r="B263" t="s">
        <v>13</v>
      </c>
      <c r="C263" s="78">
        <f>(Indeks!C263/Indeks!$C$40*Indeks!$C$2)/Indeks!H263*100</f>
        <v>0.73722195942055868</v>
      </c>
      <c r="D263" s="78">
        <f>(Indeks!D263/Indeks!$D$40*Indeks!$D$2)/Indeks!H263*100</f>
        <v>5.8162856121925621E-2</v>
      </c>
      <c r="E263" s="78">
        <f>(Indeks!E263/Indeks!$E$40*Indeks!$E$2)/Indeks!H263*100</f>
        <v>8.6666911897612289E-2</v>
      </c>
      <c r="F263" s="78">
        <f>(Indeks!F263/Indeks!$F$40*Indeks!$F$2)/Indeks!H263*100</f>
        <v>9.0024173071741834E-2</v>
      </c>
      <c r="G263" s="78">
        <f>(Indeks!G263/Indeks!$G$40*Indeks!$G$2)/Indeks!H263*100</f>
        <v>2.7924099488161543E-2</v>
      </c>
      <c r="H263" s="78">
        <f t="shared" si="37"/>
        <v>1</v>
      </c>
    </row>
    <row r="264" spans="1:8" x14ac:dyDescent="0.2">
      <c r="A264" s="13">
        <f t="shared" si="38"/>
        <v>2026</v>
      </c>
      <c r="B264" s="14" t="s">
        <v>14</v>
      </c>
      <c r="C264" s="81">
        <f>(Indeks!C264/Indeks!$C$40*Indeks!$C$2)/Indeks!H264*100</f>
        <v>0.7371086846272985</v>
      </c>
      <c r="D264" s="81">
        <f>(Indeks!D264/Indeks!$D$40*Indeks!$D$2)/Indeks!H264*100</f>
        <v>5.8153919348653417E-2</v>
      </c>
      <c r="E264" s="81">
        <f>(Indeks!E264/Indeks!$E$40*Indeks!$E$2)/Indeks!H264*100</f>
        <v>8.6767353465362351E-2</v>
      </c>
      <c r="F264" s="81">
        <f>(Indeks!F264/Indeks!$F$40*Indeks!$F$2)/Indeks!H264*100</f>
        <v>9.0050233632621532E-2</v>
      </c>
      <c r="G264" s="81">
        <f>(Indeks!G264/Indeks!$G$40*Indeks!$G$2)/Indeks!H264*100</f>
        <v>2.7919808926064091E-2</v>
      </c>
      <c r="H264" s="81">
        <f t="shared" si="37"/>
        <v>0.99999999999999989</v>
      </c>
    </row>
    <row r="265" spans="1:8" x14ac:dyDescent="0.2">
      <c r="A265" s="11">
        <f t="shared" si="38"/>
        <v>2026</v>
      </c>
      <c r="B265" t="s">
        <v>15</v>
      </c>
      <c r="C265" s="78">
        <f>(Indeks!C265/Indeks!$C$40*Indeks!$C$2)/Indeks!H265*100</f>
        <v>0.73872381710167678</v>
      </c>
      <c r="D265" s="78">
        <f>(Indeks!D265/Indeks!$D$40*Indeks!$D$2)/Indeks!H265*100</f>
        <v>5.7762840466348608E-2</v>
      </c>
      <c r="E265" s="78">
        <f>(Indeks!E265/Indeks!$E$40*Indeks!$E$2)/Indeks!H265*100</f>
        <v>8.6296993641238107E-2</v>
      </c>
      <c r="F265" s="78">
        <f>(Indeks!F265/Indeks!$F$40*Indeks!$F$2)/Indeks!H265*100</f>
        <v>8.9484297590914502E-2</v>
      </c>
      <c r="G265" s="78">
        <f>(Indeks!G265/Indeks!$G$40*Indeks!$G$2)/Indeks!H265*100</f>
        <v>2.7732051199822003E-2</v>
      </c>
      <c r="H265" s="78">
        <f t="shared" si="37"/>
        <v>1</v>
      </c>
    </row>
    <row r="266" spans="1:8" x14ac:dyDescent="0.2">
      <c r="A266" s="11">
        <f t="shared" si="38"/>
        <v>2026</v>
      </c>
      <c r="B266" t="s">
        <v>16</v>
      </c>
      <c r="C266" s="78">
        <f>(Indeks!C266/Indeks!$C$40*Indeks!$C$2)/Indeks!H266*100</f>
        <v>0.73861084688311651</v>
      </c>
      <c r="D266" s="78">
        <f>(Indeks!D266/Indeks!$D$40*Indeks!$D$2)/Indeks!H266*100</f>
        <v>5.7754007015252157E-2</v>
      </c>
      <c r="E266" s="78">
        <f>(Indeks!E266/Indeks!$E$40*Indeks!$E$2)/Indeks!H266*100</f>
        <v>8.6397069116282976E-2</v>
      </c>
      <c r="F266" s="78">
        <f>(Indeks!F266/Indeks!$F$40*Indeks!$F$2)/Indeks!H266*100</f>
        <v>8.9510266742447692E-2</v>
      </c>
      <c r="G266" s="78">
        <f>(Indeks!G266/Indeks!$G$40*Indeks!$G$2)/Indeks!H266*100</f>
        <v>2.7727810242900566E-2</v>
      </c>
      <c r="H266" s="78">
        <f t="shared" si="37"/>
        <v>0.99999999999999989</v>
      </c>
    </row>
    <row r="267" spans="1:8" x14ac:dyDescent="0.2">
      <c r="A267" s="187">
        <f t="shared" si="38"/>
        <v>2026</v>
      </c>
      <c r="B267" s="188" t="s">
        <v>17</v>
      </c>
      <c r="C267" s="199">
        <f>(Indeks!C267/Indeks!$C$40*Indeks!$C$2)/Indeks!H267*100</f>
        <v>0.73849778843452174</v>
      </c>
      <c r="D267" s="199">
        <f>(Indeks!D267/Indeks!$D$40*Indeks!$D$2)/Indeks!H267*100</f>
        <v>5.7745166665207445E-2</v>
      </c>
      <c r="E267" s="199">
        <f>(Indeks!E267/Indeks!$E$40*Indeks!$E$2)/Indeks!H267*100</f>
        <v>8.6497248287699224E-2</v>
      </c>
      <c r="F267" s="199">
        <f>(Indeks!F267/Indeks!$F$40*Indeks!$F$2)/Indeks!H267*100</f>
        <v>8.9536230638790515E-2</v>
      </c>
      <c r="G267" s="199">
        <f>(Indeks!G267/Indeks!$G$40*Indeks!$G$2)/Indeks!H267*100</f>
        <v>2.7723565973780742E-2</v>
      </c>
      <c r="H267" s="199">
        <f t="shared" si="37"/>
        <v>0.99999999999999967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opLeftCell="A227" workbookViewId="0">
      <selection activeCell="D252" sqref="D252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ht="13.5" hidden="1" thickBot="1" x14ac:dyDescent="0.25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ht="13.5" hidden="1" thickBot="1" x14ac:dyDescent="0.25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ht="13.5" hidden="1" thickBot="1" x14ac:dyDescent="0.25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ht="13.5" hidden="1" thickBot="1" x14ac:dyDescent="0.25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ht="13.5" hidden="1" thickBot="1" x14ac:dyDescent="0.25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ht="13.5" hidden="1" thickBot="1" x14ac:dyDescent="0.25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ht="13.5" hidden="1" thickBot="1" x14ac:dyDescent="0.25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ht="13.5" hidden="1" thickBot="1" x14ac:dyDescent="0.25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ht="13.5" hidden="1" thickBot="1" x14ac:dyDescent="0.25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ht="13.5" hidden="1" thickBot="1" x14ac:dyDescent="0.25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ht="13.5" hidden="1" thickBot="1" x14ac:dyDescent="0.25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hidden="1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ht="13.5" hidden="1" thickBot="1" x14ac:dyDescent="0.25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ht="13.5" hidden="1" thickBot="1" x14ac:dyDescent="0.25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ht="13.5" hidden="1" thickBot="1" x14ac:dyDescent="0.25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ht="13.5" hidden="1" thickBot="1" x14ac:dyDescent="0.25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ht="13.5" hidden="1" thickBot="1" x14ac:dyDescent="0.25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hidden="1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ht="13.5" hidden="1" thickBot="1" x14ac:dyDescent="0.25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ht="13.5" hidden="1" thickBot="1" x14ac:dyDescent="0.25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ht="13.5" hidden="1" thickBot="1" x14ac:dyDescent="0.25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ht="13.5" hidden="1" thickBot="1" x14ac:dyDescent="0.25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ht="13.5" hidden="1" thickBot="1" x14ac:dyDescent="0.25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hidden="1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58">
        <f>Indeks!H230</f>
        <v>136.3562151181338</v>
      </c>
      <c r="D229" s="110">
        <f t="shared" si="30"/>
        <v>2.3862375642591505E-3</v>
      </c>
      <c r="E229" s="110"/>
      <c r="F229" s="110"/>
      <c r="G229" s="110"/>
      <c r="H229" s="58"/>
    </row>
    <row r="230" spans="1:8" ht="13.5" thickBot="1" x14ac:dyDescent="0.25">
      <c r="A230" s="31">
        <f t="shared" si="31"/>
        <v>2023</v>
      </c>
      <c r="B230" s="32" t="s">
        <v>17</v>
      </c>
      <c r="C230" s="101">
        <f>Indeks!H231</f>
        <v>136.81794139774954</v>
      </c>
      <c r="D230" s="104">
        <f t="shared" si="30"/>
        <v>3.3861770012882067E-3</v>
      </c>
      <c r="E230" s="104">
        <f>(SUM(C228:C230)-SUM(C225:C227))/SUM(C225:C227)</f>
        <v>-3.2393337268650595E-3</v>
      </c>
      <c r="F230" s="104">
        <f>(SUM(C225:C230)-SUM(C219:C224))/SUM(C219:C224)</f>
        <v>-5.8666565235359326E-2</v>
      </c>
      <c r="G230" s="104">
        <f>(SUM(C219:C230)-SUM(C207:C218))/SUM(C207:C218)</f>
        <v>5.5426214695400135E-2</v>
      </c>
      <c r="H230" s="101">
        <f>(C219+C220+C221+C222+C223+C224+C225+C226+C227+C228+C229+C230)/12</f>
        <v>140.88095004731539</v>
      </c>
    </row>
    <row r="231" spans="1:8" x14ac:dyDescent="0.2">
      <c r="A231" s="49">
        <v>2024</v>
      </c>
      <c r="B231" s="50" t="s">
        <v>7</v>
      </c>
      <c r="C231" s="106">
        <f>Indeks!H232</f>
        <v>137.83784397696468</v>
      </c>
      <c r="D231" s="115">
        <f t="shared" ref="D231:D242" si="32">(C231-C230)/C230</f>
        <v>7.4544505552099887E-3</v>
      </c>
      <c r="E231" s="115"/>
      <c r="F231" s="115"/>
      <c r="G231" s="115"/>
      <c r="H231" s="106"/>
    </row>
    <row r="232" spans="1:8" x14ac:dyDescent="0.2">
      <c r="A232" s="187">
        <f>A231</f>
        <v>2024</v>
      </c>
      <c r="B232" s="188" t="s">
        <v>8</v>
      </c>
      <c r="C232" s="58">
        <f>Indeks!H233</f>
        <v>137.45247606417558</v>
      </c>
      <c r="D232" s="110">
        <f t="shared" si="32"/>
        <v>-2.7958063015951925E-3</v>
      </c>
      <c r="E232" s="110"/>
      <c r="F232" s="110"/>
      <c r="G232" s="110"/>
      <c r="H232" s="58"/>
    </row>
    <row r="233" spans="1:8" x14ac:dyDescent="0.2">
      <c r="A233" s="13">
        <f t="shared" ref="A233:A242" si="33">A232</f>
        <v>2024</v>
      </c>
      <c r="B233" s="14" t="s">
        <v>9</v>
      </c>
      <c r="C233" s="105">
        <f>Indeks!H234</f>
        <v>138.67888404177918</v>
      </c>
      <c r="D233" s="67">
        <f t="shared" si="32"/>
        <v>8.9224145880864216E-3</v>
      </c>
      <c r="E233" s="67">
        <f>(SUM(C231:C233)-SUM(C228:C230))/SUM(C228:C230)</f>
        <v>1.1640686822240492E-2</v>
      </c>
      <c r="F233" s="67"/>
      <c r="G233" s="67"/>
      <c r="H233" s="105"/>
    </row>
    <row r="234" spans="1:8" x14ac:dyDescent="0.2">
      <c r="A234" s="18">
        <f t="shared" si="33"/>
        <v>2024</v>
      </c>
      <c r="B234" s="19" t="s">
        <v>10</v>
      </c>
      <c r="C234" s="25">
        <f>Indeks!H235</f>
        <v>139.51681721738856</v>
      </c>
      <c r="D234" s="113">
        <f t="shared" si="32"/>
        <v>6.0422549647640555E-3</v>
      </c>
      <c r="E234" s="113"/>
      <c r="F234" s="113"/>
      <c r="G234" s="113"/>
      <c r="H234" s="25"/>
    </row>
    <row r="235" spans="1:8" x14ac:dyDescent="0.2">
      <c r="A235" s="187">
        <f t="shared" si="33"/>
        <v>2024</v>
      </c>
      <c r="B235" s="188" t="s">
        <v>11</v>
      </c>
      <c r="C235" s="58">
        <f>Indeks!H236</f>
        <v>139.42451265591913</v>
      </c>
      <c r="D235" s="110">
        <f t="shared" si="32"/>
        <v>-6.6160168580686924E-4</v>
      </c>
      <c r="E235" s="110"/>
      <c r="F235" s="110"/>
      <c r="G235" s="110"/>
      <c r="H235" s="58"/>
    </row>
    <row r="236" spans="1:8" ht="13.5" thickBot="1" x14ac:dyDescent="0.25">
      <c r="A236" s="13">
        <f t="shared" si="33"/>
        <v>2024</v>
      </c>
      <c r="B236" s="14" t="s">
        <v>12</v>
      </c>
      <c r="C236" s="101">
        <f>Indeks!H237</f>
        <v>137.13984679103868</v>
      </c>
      <c r="D236" s="104">
        <f t="shared" si="32"/>
        <v>-1.6386400220158553E-2</v>
      </c>
      <c r="E236" s="104">
        <f>(SUM(C234:C236)-SUM(C231:C233))/SUM(C231:C233)</f>
        <v>5.1017625480274794E-3</v>
      </c>
      <c r="F236" s="104">
        <f>(SUM(C231:C236)-SUM(C225:C230))/SUM(C225:C230)</f>
        <v>1.2575896591861388E-2</v>
      </c>
      <c r="G236" s="104"/>
      <c r="H236" s="101"/>
    </row>
    <row r="237" spans="1:8" x14ac:dyDescent="0.2">
      <c r="A237" s="18">
        <f t="shared" si="33"/>
        <v>2024</v>
      </c>
      <c r="B237" s="23" t="s">
        <v>30</v>
      </c>
      <c r="C237" s="25">
        <f>Indeks!H238</f>
        <v>138.10231756328213</v>
      </c>
      <c r="D237" s="113">
        <f t="shared" si="32"/>
        <v>7.0181700998250014E-3</v>
      </c>
      <c r="E237" s="113"/>
      <c r="F237" s="113"/>
      <c r="G237" s="113"/>
      <c r="H237" s="25"/>
    </row>
    <row r="238" spans="1:8" x14ac:dyDescent="0.2">
      <c r="A238" s="187">
        <f t="shared" si="33"/>
        <v>2024</v>
      </c>
      <c r="B238" s="188" t="s">
        <v>13</v>
      </c>
      <c r="C238" s="58">
        <f>Indeks!H239</f>
        <v>138.09343049738109</v>
      </c>
      <c r="D238" s="110">
        <f t="shared" si="32"/>
        <v>-6.4351316167906425E-5</v>
      </c>
      <c r="E238" s="110"/>
      <c r="F238" s="110"/>
      <c r="G238" s="110"/>
      <c r="H238" s="58"/>
    </row>
    <row r="239" spans="1:8" x14ac:dyDescent="0.2">
      <c r="A239" s="13">
        <f t="shared" si="33"/>
        <v>2024</v>
      </c>
      <c r="B239" s="14" t="s">
        <v>14</v>
      </c>
      <c r="C239" s="105">
        <f>Indeks!H240</f>
        <v>137.89434838882426</v>
      </c>
      <c r="D239" s="67">
        <f t="shared" si="32"/>
        <v>-1.4416479324163983E-3</v>
      </c>
      <c r="E239" s="67">
        <f>(SUM(C237:C239)-SUM(C234:C236))/SUM(C234:C236)</f>
        <v>-4.7853167279065219E-3</v>
      </c>
      <c r="F239" s="67"/>
      <c r="G239" s="67"/>
      <c r="H239" s="105"/>
    </row>
    <row r="240" spans="1:8" x14ac:dyDescent="0.2">
      <c r="A240" s="18">
        <f t="shared" si="33"/>
        <v>2024</v>
      </c>
      <c r="B240" s="19" t="s">
        <v>15</v>
      </c>
      <c r="C240" s="25">
        <f>Indeks!H241</f>
        <v>142.6783791550852</v>
      </c>
      <c r="D240" s="113">
        <f t="shared" si="32"/>
        <v>3.4693450617506713E-2</v>
      </c>
      <c r="E240" s="113"/>
      <c r="F240" s="113"/>
      <c r="G240" s="113"/>
      <c r="H240" s="25"/>
    </row>
    <row r="241" spans="1:8" x14ac:dyDescent="0.2">
      <c r="A241" s="187">
        <f t="shared" si="33"/>
        <v>2024</v>
      </c>
      <c r="B241" s="188" t="s">
        <v>16</v>
      </c>
      <c r="C241" s="58">
        <f>Indeks!H242</f>
        <v>141.05761534119864</v>
      </c>
      <c r="D241" s="110">
        <f t="shared" si="32"/>
        <v>-1.1359561438000742E-2</v>
      </c>
      <c r="E241" s="110"/>
      <c r="F241" s="110"/>
      <c r="G241" s="110"/>
      <c r="H241" s="58"/>
    </row>
    <row r="242" spans="1:8" ht="13.5" thickBot="1" x14ac:dyDescent="0.25">
      <c r="A242" s="31">
        <f t="shared" si="33"/>
        <v>2024</v>
      </c>
      <c r="B242" s="32" t="s">
        <v>17</v>
      </c>
      <c r="C242" s="101">
        <f>Indeks!H243</f>
        <v>143.09701364581915</v>
      </c>
      <c r="D242" s="104">
        <f t="shared" si="32"/>
        <v>1.4457909980170059E-2</v>
      </c>
      <c r="E242" s="104">
        <f>(SUM(C240:C242)-SUM(C237:C239))/SUM(C237:C239)</f>
        <v>3.0773282920496026E-2</v>
      </c>
      <c r="F242" s="104">
        <f>(SUM(C237:C242)-SUM(C231:C236))/SUM(C231:C236)</f>
        <v>1.3098872184765889E-2</v>
      </c>
      <c r="G242" s="104">
        <f>(SUM(C231:C242)-SUM(C219:C230))/SUM(C219:C230)</f>
        <v>-1.1592480046892256E-2</v>
      </c>
      <c r="H242" s="101">
        <f>(C231+C232+C233+C234+C235+C236+C237+C238+C239+C240+C241+C242)/12</f>
        <v>139.24779044490467</v>
      </c>
    </row>
    <row r="243" spans="1:8" x14ac:dyDescent="0.2">
      <c r="A243" s="49">
        <v>2025</v>
      </c>
      <c r="B243" s="50" t="s">
        <v>7</v>
      </c>
      <c r="C243" s="106">
        <f>Indeks!H244</f>
        <v>142.78098561302772</v>
      </c>
      <c r="D243" s="115">
        <f t="shared" ref="D243:D254" si="34">(C243-C242)/C242</f>
        <v>-2.2084879672864899E-3</v>
      </c>
      <c r="E243" s="115"/>
      <c r="F243" s="115"/>
      <c r="G243" s="115"/>
      <c r="H243" s="106"/>
    </row>
    <row r="244" spans="1:8" x14ac:dyDescent="0.2">
      <c r="A244" s="187">
        <f>A243</f>
        <v>2025</v>
      </c>
      <c r="B244" s="188" t="s">
        <v>8</v>
      </c>
      <c r="C244" s="58">
        <f>Indeks!H245</f>
        <v>142.38580629102213</v>
      </c>
      <c r="D244" s="110">
        <f t="shared" si="34"/>
        <v>-2.7677307332548053E-3</v>
      </c>
      <c r="E244" s="110"/>
      <c r="F244" s="110"/>
      <c r="G244" s="110"/>
      <c r="H244" s="58"/>
    </row>
    <row r="245" spans="1:8" x14ac:dyDescent="0.2">
      <c r="A245" s="13">
        <f t="shared" ref="A245:A254" si="35">A244</f>
        <v>2025</v>
      </c>
      <c r="B245" s="14" t="s">
        <v>9</v>
      </c>
      <c r="C245" s="105">
        <f>Indeks!H246</f>
        <v>142.49963838878713</v>
      </c>
      <c r="D245" s="67">
        <f t="shared" si="34"/>
        <v>7.9946239537624273E-4</v>
      </c>
      <c r="E245" s="67">
        <f>(SUM(C243:C245)-SUM(C240:C242))/SUM(C240:C242)</f>
        <v>1.9525719305582443E-3</v>
      </c>
      <c r="F245" s="67"/>
      <c r="G245" s="67"/>
      <c r="H245" s="105"/>
    </row>
    <row r="246" spans="1:8" x14ac:dyDescent="0.2">
      <c r="A246" s="18">
        <f t="shared" si="35"/>
        <v>2025</v>
      </c>
      <c r="B246" s="19" t="s">
        <v>10</v>
      </c>
      <c r="C246" s="25">
        <f>Indeks!H247</f>
        <v>144.55080437227085</v>
      </c>
      <c r="D246" s="113">
        <f t="shared" si="34"/>
        <v>1.4394183779522583E-2</v>
      </c>
      <c r="E246" s="113"/>
      <c r="F246" s="113"/>
      <c r="G246" s="113"/>
      <c r="H246" s="25"/>
    </row>
    <row r="247" spans="1:8" x14ac:dyDescent="0.2">
      <c r="A247" s="187">
        <f t="shared" si="35"/>
        <v>2025</v>
      </c>
      <c r="B247" s="188" t="s">
        <v>11</v>
      </c>
      <c r="C247" s="58">
        <f>Indeks!H248</f>
        <v>142.52267645365276</v>
      </c>
      <c r="D247" s="110">
        <f t="shared" si="34"/>
        <v>-1.4030554360630994E-2</v>
      </c>
      <c r="E247" s="110"/>
      <c r="F247" s="110"/>
      <c r="G247" s="110"/>
      <c r="H247" s="58"/>
    </row>
    <row r="248" spans="1:8" ht="13.5" thickBot="1" x14ac:dyDescent="0.25">
      <c r="A248" s="13">
        <f t="shared" si="35"/>
        <v>2025</v>
      </c>
      <c r="B248" s="14" t="s">
        <v>12</v>
      </c>
      <c r="C248" s="101">
        <f>Indeks!H249</f>
        <v>140.36473594162774</v>
      </c>
      <c r="D248" s="104">
        <f t="shared" si="34"/>
        <v>-1.5141032751561935E-2</v>
      </c>
      <c r="E248" s="104">
        <f>(SUM(C246:C248)-SUM(C243:C245))/SUM(C243:C245)</f>
        <v>-5.3362506177871119E-4</v>
      </c>
      <c r="F248" s="104">
        <f>(SUM(C243:C248)-SUM(C237:C242))/SUM(C237:C242)</f>
        <v>1.686425594845007E-2</v>
      </c>
      <c r="G248" s="104"/>
      <c r="H248" s="101"/>
    </row>
    <row r="249" spans="1:8" x14ac:dyDescent="0.2">
      <c r="A249" s="18">
        <f t="shared" si="35"/>
        <v>2025</v>
      </c>
      <c r="B249" s="23" t="s">
        <v>30</v>
      </c>
      <c r="C249" s="25">
        <f>Indeks!H250</f>
        <v>140.84532863009235</v>
      </c>
      <c r="D249" s="113">
        <f t="shared" si="34"/>
        <v>3.4238848186518237E-3</v>
      </c>
      <c r="E249" s="113"/>
      <c r="F249" s="113"/>
      <c r="G249" s="113"/>
      <c r="H249" s="25"/>
    </row>
    <row r="250" spans="1:8" x14ac:dyDescent="0.2">
      <c r="A250" s="187">
        <f t="shared" si="35"/>
        <v>2025</v>
      </c>
      <c r="B250" s="188" t="s">
        <v>13</v>
      </c>
      <c r="C250" s="58">
        <f>Indeks!H251</f>
        <v>140.37879038108881</v>
      </c>
      <c r="D250" s="110">
        <f t="shared" si="34"/>
        <v>-3.3124154953611288E-3</v>
      </c>
      <c r="E250" s="110"/>
      <c r="F250" s="110"/>
      <c r="G250" s="110"/>
      <c r="H250" s="58"/>
    </row>
    <row r="251" spans="1:8" x14ac:dyDescent="0.2">
      <c r="A251" s="13">
        <f t="shared" si="35"/>
        <v>2025</v>
      </c>
      <c r="B251" s="14" t="s">
        <v>14</v>
      </c>
      <c r="C251" s="158">
        <f>Indeks!H252</f>
        <v>140.39160433755532</v>
      </c>
      <c r="D251" s="160">
        <f t="shared" si="34"/>
        <v>9.1281285668083463E-5</v>
      </c>
      <c r="E251" s="160">
        <f>(SUM(C249:C251)-SUM(C246:C248))/SUM(C246:C248)</f>
        <v>-1.3621836303844569E-2</v>
      </c>
      <c r="F251" s="160"/>
      <c r="G251" s="160"/>
      <c r="H251" s="160"/>
    </row>
    <row r="252" spans="1:8" x14ac:dyDescent="0.2">
      <c r="A252" s="18">
        <f t="shared" si="35"/>
        <v>2025</v>
      </c>
      <c r="B252" s="19" t="s">
        <v>15</v>
      </c>
      <c r="C252" s="159">
        <f>Indeks!H253</f>
        <v>141.50081995915278</v>
      </c>
      <c r="D252" s="192">
        <f t="shared" si="34"/>
        <v>7.9008686226740218E-3</v>
      </c>
      <c r="E252" s="161"/>
      <c r="F252" s="161"/>
      <c r="G252" s="161"/>
      <c r="H252" s="192"/>
    </row>
    <row r="253" spans="1:8" x14ac:dyDescent="0.2">
      <c r="A253" s="187">
        <f t="shared" si="35"/>
        <v>2025</v>
      </c>
      <c r="B253" s="188" t="s">
        <v>16</v>
      </c>
      <c r="C253" s="191">
        <f>Indeks!H254</f>
        <v>141.51365820511859</v>
      </c>
      <c r="D253" s="192">
        <f t="shared" si="34"/>
        <v>9.0729127714707806E-5</v>
      </c>
      <c r="E253" s="192"/>
      <c r="F253" s="192"/>
      <c r="G253" s="192"/>
      <c r="H253" s="192"/>
    </row>
    <row r="254" spans="1:8" ht="13.5" thickBot="1" x14ac:dyDescent="0.25">
      <c r="A254" s="31">
        <f t="shared" si="35"/>
        <v>2025</v>
      </c>
      <c r="B254" s="32" t="s">
        <v>17</v>
      </c>
      <c r="C254" s="181">
        <f>Indeks!H255</f>
        <v>141.52650861384379</v>
      </c>
      <c r="D254" s="190">
        <f t="shared" si="34"/>
        <v>9.0806844287591958E-5</v>
      </c>
      <c r="E254" s="190">
        <f>(SUM(C252:C254)-SUM(C249:C251))/SUM(C249:C251)</f>
        <v>6.9382218626582448E-3</v>
      </c>
      <c r="F254" s="190">
        <f>(SUM(C249:C254)-SUM(C243:C248))/SUM(C243:C248)</f>
        <v>-1.0464142563482791E-2</v>
      </c>
      <c r="G254" s="190">
        <f>(SUM(C243:C254)-SUM(C231:C242))/SUM(C231:C242)</f>
        <v>1.8125884171191164E-2</v>
      </c>
      <c r="H254" s="181">
        <f>(C243+C244+C245+C246+C247+C248+C249+C250+C251+C252+C253+C254)/12</f>
        <v>141.77177976560333</v>
      </c>
    </row>
    <row r="255" spans="1:8" x14ac:dyDescent="0.2">
      <c r="A255" s="49">
        <v>2026</v>
      </c>
      <c r="B255" s="203" t="s">
        <v>7</v>
      </c>
      <c r="C255" s="208">
        <f>Indeks!H256</f>
        <v>142.47961674527696</v>
      </c>
      <c r="D255" s="212">
        <f t="shared" ref="D255:D266" si="36">(C255-C254)/C254</f>
        <v>6.7344848733160781E-3</v>
      </c>
      <c r="E255" s="212"/>
      <c r="F255" s="212"/>
      <c r="G255" s="212"/>
      <c r="H255" s="212"/>
    </row>
    <row r="256" spans="1:8" x14ac:dyDescent="0.2">
      <c r="A256" s="200">
        <f>A255</f>
        <v>2026</v>
      </c>
      <c r="B256" s="204" t="s">
        <v>8</v>
      </c>
      <c r="C256" s="209">
        <f>Indeks!H257</f>
        <v>142.50165787706601</v>
      </c>
      <c r="D256" s="213">
        <f t="shared" si="36"/>
        <v>1.54696736926638E-4</v>
      </c>
      <c r="E256" s="213"/>
      <c r="F256" s="213"/>
      <c r="G256" s="213"/>
      <c r="H256" s="213"/>
    </row>
    <row r="257" spans="1:8" x14ac:dyDescent="0.2">
      <c r="A257" s="201">
        <f t="shared" ref="A257:A266" si="37">A256</f>
        <v>2026</v>
      </c>
      <c r="B257" s="205" t="s">
        <v>9</v>
      </c>
      <c r="C257" s="210">
        <f>Indeks!H258</f>
        <v>142.52372294549505</v>
      </c>
      <c r="D257" s="214">
        <f t="shared" si="36"/>
        <v>1.5484078401444646E-4</v>
      </c>
      <c r="E257" s="214">
        <f>(SUM(C255:C257)-SUM(C252:C254))/SUM(C252:C254)</f>
        <v>6.9816834699918751E-3</v>
      </c>
      <c r="F257" s="214"/>
      <c r="G257" s="214"/>
      <c r="H257" s="214"/>
    </row>
    <row r="258" spans="1:8" x14ac:dyDescent="0.2">
      <c r="A258" s="202">
        <f t="shared" si="37"/>
        <v>2026</v>
      </c>
      <c r="B258" s="206" t="s">
        <v>10</v>
      </c>
      <c r="C258" s="211">
        <f>Indeks!H259</f>
        <v>143.48526076040537</v>
      </c>
      <c r="D258" s="215">
        <f t="shared" si="36"/>
        <v>6.7465106512691452E-3</v>
      </c>
      <c r="E258" s="215"/>
      <c r="F258" s="215"/>
      <c r="G258" s="215"/>
      <c r="H258" s="213"/>
    </row>
    <row r="259" spans="1:8" x14ac:dyDescent="0.2">
      <c r="A259" s="200">
        <f t="shared" si="37"/>
        <v>2026</v>
      </c>
      <c r="B259" s="204" t="s">
        <v>11</v>
      </c>
      <c r="C259" s="209">
        <f>Indeks!H260</f>
        <v>143.50737378977672</v>
      </c>
      <c r="D259" s="213">
        <f t="shared" si="36"/>
        <v>1.541135950422049E-4</v>
      </c>
      <c r="E259" s="213"/>
      <c r="F259" s="213"/>
      <c r="G259" s="213"/>
      <c r="H259" s="213"/>
    </row>
    <row r="260" spans="1:8" x14ac:dyDescent="0.2">
      <c r="A260" s="201">
        <f t="shared" si="37"/>
        <v>2026</v>
      </c>
      <c r="B260" s="205" t="s">
        <v>12</v>
      </c>
      <c r="C260" s="210">
        <f>Indeks!H261</f>
        <v>143.52951084352517</v>
      </c>
      <c r="D260" s="214">
        <f t="shared" si="36"/>
        <v>1.5425725636147608E-4</v>
      </c>
      <c r="E260" s="214">
        <f>(SUM(C258:C260)-SUM(C255:C257))/SUM(C255:C257)</f>
        <v>7.0575732284636414E-3</v>
      </c>
      <c r="F260" s="214">
        <f>(SUM(C255:C260)-SUM(C249:C254))/SUM(C249:C254)</f>
        <v>1.402864586739957E-2</v>
      </c>
      <c r="G260" s="214"/>
      <c r="H260" s="214"/>
    </row>
    <row r="261" spans="1:8" x14ac:dyDescent="0.2">
      <c r="A261" s="202">
        <f t="shared" si="37"/>
        <v>2026</v>
      </c>
      <c r="B261" s="207" t="s">
        <v>30</v>
      </c>
      <c r="C261" s="211">
        <f>Indeks!H262</f>
        <v>144.49955362900127</v>
      </c>
      <c r="D261" s="215">
        <f t="shared" si="36"/>
        <v>6.7584901514339416E-3</v>
      </c>
      <c r="E261" s="215"/>
      <c r="F261" s="215"/>
      <c r="G261" s="215"/>
      <c r="H261" s="213"/>
    </row>
    <row r="262" spans="1:8" x14ac:dyDescent="0.2">
      <c r="A262" s="200">
        <f t="shared" si="37"/>
        <v>2026</v>
      </c>
      <c r="B262" s="204" t="s">
        <v>13</v>
      </c>
      <c r="C262" s="209">
        <f>Indeks!H263</f>
        <v>144.52173881950316</v>
      </c>
      <c r="D262" s="213">
        <f t="shared" si="36"/>
        <v>1.535312043859076E-4</v>
      </c>
      <c r="E262" s="213"/>
      <c r="F262" s="213"/>
      <c r="G262" s="213"/>
      <c r="H262" s="213"/>
    </row>
    <row r="263" spans="1:8" x14ac:dyDescent="0.2">
      <c r="A263" s="201">
        <f t="shared" si="37"/>
        <v>2026</v>
      </c>
      <c r="B263" s="205" t="s">
        <v>14</v>
      </c>
      <c r="C263" s="210">
        <f>Indeks!H264</f>
        <v>144.54394812245644</v>
      </c>
      <c r="D263" s="214">
        <f t="shared" si="36"/>
        <v>1.5367447924926695E-4</v>
      </c>
      <c r="E263" s="214">
        <f>(SUM(C261:C263)-SUM(C258:C260))/SUM(C258:C260)</f>
        <v>7.0683824509673405E-3</v>
      </c>
      <c r="F263" s="214"/>
      <c r="G263" s="214"/>
      <c r="H263" s="214"/>
    </row>
    <row r="264" spans="1:8" x14ac:dyDescent="0.2">
      <c r="A264" s="202">
        <f t="shared" si="37"/>
        <v>2026</v>
      </c>
      <c r="B264" s="206" t="s">
        <v>15</v>
      </c>
      <c r="C264" s="211">
        <f>Indeks!H265</f>
        <v>145.52257184004503</v>
      </c>
      <c r="D264" s="213">
        <f t="shared" si="36"/>
        <v>6.7704233231508813E-3</v>
      </c>
      <c r="E264" s="215"/>
      <c r="F264" s="215"/>
      <c r="G264" s="215"/>
      <c r="H264" s="213"/>
    </row>
    <row r="265" spans="1:8" x14ac:dyDescent="0.2">
      <c r="A265" s="200">
        <f t="shared" si="37"/>
        <v>2026</v>
      </c>
      <c r="B265" s="204" t="s">
        <v>16</v>
      </c>
      <c r="C265" s="209">
        <f>Indeks!H266</f>
        <v>145.54482945623846</v>
      </c>
      <c r="D265" s="213">
        <f t="shared" si="36"/>
        <v>1.5294957965623039E-4</v>
      </c>
      <c r="E265" s="213"/>
      <c r="F265" s="213"/>
      <c r="G265" s="213"/>
      <c r="H265" s="213"/>
    </row>
    <row r="266" spans="1:8" ht="13.5" thickBot="1" x14ac:dyDescent="0.25">
      <c r="A266" s="200">
        <f t="shared" si="37"/>
        <v>2026</v>
      </c>
      <c r="B266" s="204" t="s">
        <v>17</v>
      </c>
      <c r="C266" s="209">
        <f>Indeks!H267</f>
        <v>145.56711127329601</v>
      </c>
      <c r="D266" s="213">
        <f t="shared" si="36"/>
        <v>1.5309246739160918E-4</v>
      </c>
      <c r="E266" s="213">
        <f>(SUM(C264:C266)-SUM(C261:C263))/SUM(C261:C263)</f>
        <v>7.0791468305362471E-3</v>
      </c>
      <c r="F266" s="213">
        <f>(SUM(C261:C266)-SUM(C255:C260))/SUM(C255:C260)</f>
        <v>1.4186742551034366E-2</v>
      </c>
      <c r="G266" s="213">
        <f>(SUM(C255:C266)-SUM(C243:C254))/SUM(C243:C254)</f>
        <v>1.5850321175476995E-2</v>
      </c>
      <c r="H266" s="181">
        <f>(C255+C256+C257+C258+C259+C260+C261+C262+C263+C264+C265+C266)/12</f>
        <v>144.01890800850711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D252" sqref="D252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101.25" x14ac:dyDescent="0.2">
      <c r="A5" s="114" t="s">
        <v>3</v>
      </c>
      <c r="B5" s="143" t="s">
        <v>87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6" t="s">
        <v>73</v>
      </c>
      <c r="B6" s="143" t="s">
        <v>74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1"/>
      <c r="D7" s="7"/>
      <c r="E7" s="5"/>
    </row>
    <row r="8" spans="1:5" ht="38.25" x14ac:dyDescent="0.2">
      <c r="A8" s="114" t="s">
        <v>4</v>
      </c>
      <c r="B8" s="143" t="s">
        <v>75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1" t="s">
        <v>71</v>
      </c>
      <c r="D9" s="7"/>
      <c r="E9" s="5"/>
    </row>
    <row r="10" spans="1:5" ht="114.75" x14ac:dyDescent="0.2">
      <c r="A10" s="114" t="s">
        <v>5</v>
      </c>
      <c r="B10" s="143" t="s">
        <v>88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79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8"/>
    </row>
  </sheetData>
  <phoneticPr fontId="5" type="noConversion"/>
  <pageMargins left="0.35433070866141736" right="0.35433070866141736" top="0.98425196850393704" bottom="0.98425196850393704" header="0" footer="0"/>
  <pageSetup paperSize="9" scale="76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2025-07-15T08:46:14Z</cp:lastPrinted>
  <dcterms:created xsi:type="dcterms:W3CDTF">2009-05-19T06:17:18Z</dcterms:created>
  <dcterms:modified xsi:type="dcterms:W3CDTF">2025-07-15T08:46:19Z</dcterms:modified>
</cp:coreProperties>
</file>