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Indeksberegning til entreprenørafregninger\HVO indeks\Til Hjemmeside\SBLON ØST\"/>
    </mc:Choice>
  </mc:AlternateContent>
  <xr:revisionPtr revIDLastSave="0" documentId="13_ncr:1_{F030ED83-F48D-4E4B-8C4E-75B040EE7D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Indeks!$A$1:$J$277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3" i="1" l="1"/>
  <c r="E253" i="1"/>
  <c r="C254" i="1"/>
  <c r="C253" i="1"/>
  <c r="F252" i="1"/>
  <c r="E252" i="1"/>
  <c r="C252" i="1"/>
  <c r="F251" i="1"/>
  <c r="E251" i="1"/>
  <c r="F250" i="1"/>
  <c r="E250" i="1"/>
  <c r="D250" i="1"/>
  <c r="H250" i="1" s="1"/>
  <c r="F249" i="1"/>
  <c r="E249" i="1"/>
  <c r="C251" i="1"/>
  <c r="C250" i="1"/>
  <c r="C249" i="1"/>
  <c r="D249" i="1"/>
  <c r="F247" i="1"/>
  <c r="E248" i="1"/>
  <c r="H249" i="1" l="1"/>
  <c r="E247" i="1"/>
  <c r="C248" i="1"/>
  <c r="C247" i="1"/>
  <c r="C246" i="1"/>
  <c r="C245" i="1"/>
  <c r="C244" i="1"/>
  <c r="C243" i="1"/>
  <c r="C242" i="1"/>
  <c r="E246" i="1" l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245" i="1" l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E19" i="2"/>
  <c r="C11" i="8"/>
  <c r="C13" i="8"/>
  <c r="I13" i="8"/>
  <c r="D163" i="1"/>
  <c r="C67" i="2"/>
  <c r="C18" i="5"/>
  <c r="I10" i="1"/>
  <c r="C14" i="8"/>
  <c r="D13" i="8"/>
  <c r="F189" i="1"/>
  <c r="F188" i="1"/>
  <c r="D196" i="1"/>
  <c r="D68" i="2" l="1"/>
  <c r="F187" i="1"/>
  <c r="F248" i="1"/>
  <c r="F246" i="1"/>
  <c r="C67" i="5"/>
  <c r="F67" i="2"/>
  <c r="C128" i="8"/>
  <c r="D246" i="1" s="1"/>
  <c r="C129" i="8"/>
  <c r="D247" i="1" s="1"/>
  <c r="C133" i="8"/>
  <c r="D251" i="1" s="1"/>
  <c r="H251" i="1" s="1"/>
  <c r="C139" i="8"/>
  <c r="C131" i="8"/>
  <c r="C138" i="8"/>
  <c r="C137" i="8"/>
  <c r="C134" i="8"/>
  <c r="D252" i="1" s="1"/>
  <c r="H252" i="1" s="1"/>
  <c r="C136" i="8"/>
  <c r="C132" i="8"/>
  <c r="C130" i="8"/>
  <c r="D248" i="1" s="1"/>
  <c r="C135" i="8"/>
  <c r="D253" i="1" s="1"/>
  <c r="H253" i="1" s="1"/>
  <c r="H109" i="1"/>
  <c r="C109" i="2" s="1"/>
  <c r="F192" i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F68" i="2"/>
  <c r="G67" i="2"/>
  <c r="E121" i="2"/>
  <c r="D105" i="2"/>
  <c r="C34" i="2"/>
  <c r="C41" i="5"/>
  <c r="E57" i="2"/>
  <c r="E89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D85" i="2"/>
  <c r="C18" i="2"/>
  <c r="E39" i="2"/>
  <c r="D39" i="2"/>
  <c r="C52" i="5"/>
  <c r="I80" i="1"/>
  <c r="D59" i="2"/>
  <c r="C26" i="2"/>
  <c r="C157" i="2"/>
  <c r="D46" i="2"/>
  <c r="F39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D104" i="2" l="1"/>
  <c r="C104" i="2"/>
  <c r="E157" i="2"/>
  <c r="F104" i="2"/>
  <c r="F157" i="2"/>
  <c r="E104" i="2"/>
  <c r="D157" i="2"/>
  <c r="G157" i="2"/>
  <c r="H157" i="2" s="1"/>
  <c r="E138" i="2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H248" i="1" s="1"/>
  <c r="F160" i="1"/>
  <c r="G160" i="1"/>
  <c r="E160" i="1"/>
  <c r="C160" i="5"/>
  <c r="M13" i="8"/>
  <c r="H246" i="1" l="1"/>
  <c r="H247" i="1"/>
  <c r="H156" i="2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H215" i="2" l="1"/>
  <c r="C215" i="5"/>
  <c r="C216" i="2"/>
  <c r="D216" i="2"/>
  <c r="G216" i="2"/>
  <c r="E216" i="2"/>
  <c r="C257" i="1" l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63" i="1" s="1"/>
  <c r="C259" i="1"/>
  <c r="C258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C240" i="5" l="1"/>
  <c r="C241" i="2"/>
  <c r="G241" i="2"/>
  <c r="D241" i="2"/>
  <c r="D239" i="5"/>
  <c r="E239" i="5"/>
  <c r="E241" i="2"/>
  <c r="F241" i="2"/>
  <c r="H240" i="2"/>
  <c r="F244" i="2" l="1"/>
  <c r="E243" i="2"/>
  <c r="C241" i="5"/>
  <c r="C242" i="2"/>
  <c r="G242" i="2"/>
  <c r="D242" i="2"/>
  <c r="E242" i="2"/>
  <c r="H241" i="2"/>
  <c r="F242" i="2"/>
  <c r="D240" i="5"/>
  <c r="C243" i="5" l="1"/>
  <c r="C244" i="2"/>
  <c r="G244" i="2"/>
  <c r="D244" i="2"/>
  <c r="E244" i="2"/>
  <c r="F245" i="2"/>
  <c r="H242" i="2"/>
  <c r="D241" i="5"/>
  <c r="F243" i="2"/>
  <c r="C242" i="5"/>
  <c r="H242" i="5" s="1"/>
  <c r="C243" i="2"/>
  <c r="G243" i="2"/>
  <c r="D243" i="2"/>
  <c r="H244" i="2" l="1"/>
  <c r="D243" i="5"/>
  <c r="C244" i="5"/>
  <c r="D244" i="5" s="1"/>
  <c r="C245" i="2"/>
  <c r="D245" i="2"/>
  <c r="G245" i="2"/>
  <c r="E245" i="2"/>
  <c r="E246" i="2"/>
  <c r="H243" i="2"/>
  <c r="D242" i="5"/>
  <c r="G242" i="5"/>
  <c r="E242" i="5"/>
  <c r="F242" i="5"/>
  <c r="F246" i="2" l="1"/>
  <c r="C245" i="5"/>
  <c r="D245" i="5" s="1"/>
  <c r="C246" i="2"/>
  <c r="D246" i="2"/>
  <c r="G246" i="2"/>
  <c r="H245" i="2"/>
  <c r="E247" i="2"/>
  <c r="H246" i="2" l="1"/>
  <c r="C246" i="5"/>
  <c r="C247" i="2"/>
  <c r="G247" i="2"/>
  <c r="D247" i="2"/>
  <c r="E245" i="5"/>
  <c r="F247" i="2"/>
  <c r="E248" i="2"/>
  <c r="H247" i="2" l="1"/>
  <c r="F248" i="2"/>
  <c r="D246" i="5"/>
  <c r="D254" i="1"/>
  <c r="C247" i="5"/>
  <c r="D247" i="5" s="1"/>
  <c r="C248" i="2"/>
  <c r="D248" i="2"/>
  <c r="G248" i="2"/>
  <c r="E249" i="2"/>
  <c r="G254" i="1"/>
  <c r="C248" i="5" l="1"/>
  <c r="E248" i="5" s="1"/>
  <c r="C249" i="2"/>
  <c r="G249" i="2"/>
  <c r="D249" i="2"/>
  <c r="D255" i="1"/>
  <c r="F249" i="2"/>
  <c r="H248" i="2"/>
  <c r="F250" i="2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E251" i="2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<sst xmlns="http://schemas.openxmlformats.org/spreadsheetml/2006/main" count="1182" uniqueCount="131">
  <si>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</si>
  <si>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</si>
  <si>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</si>
  <si>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</si>
  <si>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</si>
  <si>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</si>
  <si>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</si>
  <si>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</si>
  <si>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</si>
  <si>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</si>
  <si>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</si>
  <si>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</si>
  <si>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</si>
  <si>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</si>
  <si>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</si>
  <si>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</si>
  <si>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</si>
  <si>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</si>
  <si>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</si>
  <si>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</si>
  <si>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</si>
  <si>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</si>
  <si>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</si>
  <si>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</si>
  <si>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</si>
  <si>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</si>
  <si>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</si>
  <si>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</si>
  <si>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</si>
  <si>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</si>
  <si>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</si>
  <si>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</si>
  <si>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</si>
  <si>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</si>
  <si>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</si>
  <si>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</si>
  <si>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</si>
  <si>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</si>
  <si>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</si>
  <si>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</si>
  <si>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</si>
  <si>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</si>
  <si>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</si>
  <si>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</si>
  <si>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</si>
  <si>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</si>
  <si>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</si>
  <si>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</si>
  <si>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</si>
  <si>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</si>
  <si>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</si>
  <si>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</si>
  <si>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</si>
  <si>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</si>
  <si>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</si>
  <si>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</si>
  <si>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</si>
  <si>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</si>
  <si>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</si>
  <si>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</si>
  <si>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</si>
  <si>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</si>
  <si>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</si>
  <si>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</si>
  <si>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</si>
  <si>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</si>
  <si>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</si>
  <si>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</si>
  <si>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</si>
  <si>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</si>
  <si>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</si>
  <si>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</si>
  <si>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</si>
  <si>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</si>
  <si>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</si>
  <si>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</si>
  <si>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</si>
  <si>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</si>
  <si>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</si>
  <si>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</si>
  <si>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</si>
  <si>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</si>
  <si>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</si>
  <si>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</si>
  <si>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</si>
  <si>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</si>
  <si>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</si>
  <si>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</si>
  <si>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</si>
  <si>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</si>
  <si>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</si>
  <si>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</si>
  <si>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</si>
  <si>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</si>
  <si>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</si>
  <si>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</si>
  <si>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</si>
  <si>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</si>
  <si>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</si>
  <si>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</si>
  <si>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</si>
  <si>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</si>
  <si>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</si>
  <si>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</si>
  <si>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</si>
  <si>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</si>
  <si>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</si>
  <si>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</si>
  <si>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</si>
  <si>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</si>
  <si>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</si>
  <si>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</si>
  <si>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</si>
  <si>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</si>
  <si>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</si>
  <si>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</si>
  <si>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</si>
  <si>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</si>
  <si>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</si>
  <si>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</si>
  <si>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</si>
  <si>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</si>
  <si>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</si>
  <si>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</si>
  <si>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</si>
  <si>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</si>
  <si>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</si>
  <si>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</si>
  <si>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</t>
    </r>
  </si>
  <si>
    <r>
      <t>Indeks for prisudviklingen for syntetisk biodiesel er baseret på et svensk HVO-indeks, der offentliggøres på https://partnersamverkan.se/index/index-hvo/.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</si>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</sst>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6" borderId="0" xfId="0" applyFont="1" applyFill="1" applyAlignment="1">
      <alignment horizontal="center"/>
    </xf>
    <xf numFmtId="166" fontId="1" fillId="8" borderId="1" xfId="0" applyNumberFormat="1" applyFont="1" applyFill="1" applyBorder="1"/>
    <xf numFmtId="166" fontId="1" fillId="7" borderId="0" xfId="0" applyNumberFormat="1" applyFont="1" applyFill="1" applyBorder="1"/>
    <xf numFmtId="166" fontId="1" fillId="6" borderId="0" xfId="0" applyNumberFormat="1" applyFont="1" applyFill="1" applyBorder="1"/>
    <xf numFmtId="2" fontId="1" fillId="0" borderId="0" xfId="0" applyNumberFormat="1" applyFont="1" applyBorder="1"/>
    <xf numFmtId="166" fontId="1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/>
    <xf numFmtId="166" fontId="1" fillId="8" borderId="0" xfId="0" applyNumberFormat="1" applyFont="1" applyFill="1" applyBorder="1"/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7"/>
  <sheetViews>
    <sheetView tabSelected="1" view="pageBreakPreview" topLeftCell="A239" zoomScaleNormal="90" zoomScaleSheetLayoutView="100" workbookViewId="0">
      <selection activeCell="E254" sqref="E254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127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69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68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75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" x14ac:dyDescent="0.2">
      <c r="A239" s="12">
        <f t="shared" si="61"/>
        <v>2024</v>
      </c>
      <c r="B239" s="13" t="s">
        <v>13</v>
      </c>
      <c r="C239" s="117">
        <f t="shared" si="64"/>
        <v>156.36348000000001</v>
      </c>
      <c r="D239" s="325">
        <f>+'Beregning HVO indeks'!C118</f>
        <v>344.99573617578505</v>
      </c>
      <c r="E239" s="161">
        <f>131/99.8*118.5</f>
        <v>155.54609218436875</v>
      </c>
      <c r="F239" s="155">
        <f>+F$175*(122.7/103.6)</f>
        <v>124.39055483709409</v>
      </c>
      <c r="G239" s="118">
        <v>3.43</v>
      </c>
      <c r="H239" s="136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122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+F$175*(123.5/103.6)/113.8*113.8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210">
        <f>+'Beregning HVO indeks'!C130</f>
        <v>326.79642045556284</v>
      </c>
      <c r="E248" s="161">
        <f>131/99.8*119.6</f>
        <v>156.98997995991985</v>
      </c>
      <c r="F248" s="155">
        <f>+F$175*(123.5/103.6)/113.8*113.1</f>
        <v>124.43144447509424</v>
      </c>
      <c r="G248" s="118">
        <v>2.73</v>
      </c>
      <c r="H248" s="136">
        <f t="shared" ref="H248" si="71">(100+((C248-$C$163)/$C$163*100*$C$160)+((D248-$D$163)/$D$163*100*$D$160)+((E248-$E$163)/$E$163*100*$E$160)+((F248-$F$163)/$F$163*100*$F$160)+((G248-$G$163)/$G$163*100*$G$160))*$H$163/100</f>
        <v>154.15387204668417</v>
      </c>
      <c r="J248" s="142" t="s">
        <v>126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320">
        <f>(1.0101*156.1)/121.5*125.8</f>
        <v>163.25693446913579</v>
      </c>
      <c r="D249" s="330">
        <f>+'Beregning HVO indeks'!C131</f>
        <v>322.65613799003739</v>
      </c>
      <c r="E249" s="326">
        <f>131/99.8*120.8</f>
        <v>158.56513026052104</v>
      </c>
      <c r="F249" s="327">
        <f>+F$175*(123.5/103.6)/113.8*112.9</f>
        <v>124.21140655382972</v>
      </c>
      <c r="G249" s="328">
        <v>2.69</v>
      </c>
      <c r="H249" s="329">
        <f t="shared" ref="H249" si="72">(100+((C249-$C$163)/$C$163*100*$C$160)+((D249-$D$163)/$D$163*100*$D$160)+((E249-$E$163)/$E$163*100*$E$160)+((F249-$F$163)/$F$163*100*$F$160)+((G249-$G$163)/$G$163*100*$G$160))*$H$163/100</f>
        <v>154.4880610373981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320">
        <f t="shared" ref="C250:C251" si="73">(1.0101*156.1)/121.5*125.8</f>
        <v>163.25693446913579</v>
      </c>
      <c r="D250" s="201">
        <f>+'Beregning HVO indeks'!C132</f>
        <v>312.9518565961605</v>
      </c>
      <c r="E250" s="169">
        <f>131/99.8*120.2</f>
        <v>157.77755511022045</v>
      </c>
      <c r="F250" s="153">
        <f>+F$175*(123.5/103.6)/113.8*112.8</f>
        <v>124.10138759319744</v>
      </c>
      <c r="G250" s="116">
        <v>2.75</v>
      </c>
      <c r="H250" s="55">
        <f t="shared" ref="H250" si="74">(100+((C250-$C$163)/$C$163*100*$C$160)+((D250-$D$163)/$D$163*100*$D$160)+((E250-$E$163)/$E$163*100*$E$160)+((F250-$F$163)/$F$163*100*$F$160)+((G250-$G$163)/$G$163*100*$G$160))*$H$163/100</f>
        <v>153.34351304925661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321">
        <f t="shared" si="73"/>
        <v>163.25693446913579</v>
      </c>
      <c r="D251" s="325">
        <f>+'Beregning HVO indeks'!C133</f>
        <v>294.59459420304904</v>
      </c>
      <c r="E251" s="161">
        <f>131/99.8*120.3</f>
        <v>157.90881763527054</v>
      </c>
      <c r="F251" s="155">
        <f>+F$175*(123.5/103.6)/113.8*114.6</f>
        <v>126.08172888457825</v>
      </c>
      <c r="G251" s="118">
        <v>2.61</v>
      </c>
      <c r="H251" s="136">
        <f t="shared" ref="H251" si="75">(100+((C251-$C$163)/$C$163*100*$C$160)+((D251-$D$163)/$D$163*100*$D$160)+((E251-$E$163)/$E$163*100*$E$160)+((F251-$F$163)/$F$163*100*$F$160)+((G251-$G$163)/$G$163*100*$G$160))*$H$163/100</f>
        <v>151.17466959254051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320">
        <f>(1.0101*156.1)/121.5*126.3</f>
        <v>163.90580940740739</v>
      </c>
      <c r="D252" s="331">
        <f>+'Beregning HVO indeks'!C134</f>
        <v>275.60212539636592</v>
      </c>
      <c r="E252" s="326">
        <f>131/99.8*120.4</f>
        <v>158.04008016032066</v>
      </c>
      <c r="F252" s="327">
        <f>+F$175*(123.5/103.6)/113.8*114.9</f>
        <v>126.41178576647506</v>
      </c>
      <c r="G252" s="328">
        <v>2.67</v>
      </c>
      <c r="H252" s="329">
        <f t="shared" ref="H252" si="76">(100+((C252-$C$163)/$C$163*100*$C$160)+((D252-$D$163)/$D$163*100*$D$160)+((E252-$E$163)/$E$163*100*$E$160)+((F252-$F$163)/$F$163*100*$F$160)+((G252-$G$163)/$G$163*100*$G$160))*$H$163/100</f>
        <v>149.38731161299614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320">
        <f t="shared" ref="C253:C254" si="77">(1.0101*156.1)/121.5*126.3</f>
        <v>163.90580940740739</v>
      </c>
      <c r="D253" s="114">
        <f>+'Beregning HVO indeks'!C135</f>
        <v>289.37487509345999</v>
      </c>
      <c r="E253" s="169">
        <f>131/99.8*120.7</f>
        <v>158.43386773547095</v>
      </c>
      <c r="F253" s="153">
        <f>+F$175*(123.5/103.6)/113.8*114.4</f>
        <v>125.86169096331372</v>
      </c>
      <c r="G253" s="116">
        <v>2.75</v>
      </c>
      <c r="H253" s="55">
        <f t="shared" ref="H253" si="78">(100+((C253-$C$163)/$C$163*100*$C$160)+((D253-$D$163)/$D$163*100*$D$160)+((E253-$E$163)/$E$163*100*$E$160)+((F253-$F$163)/$F$163*100*$F$160)+((G253-$G$163)/$G$163*100*$G$160))*$H$163/100</f>
        <v>151.10384177294986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321">
        <f t="shared" si="77"/>
        <v>163.90580940740739</v>
      </c>
      <c r="D254" s="129">
        <f t="shared" si="33"/>
        <v>289.37487509345999</v>
      </c>
      <c r="E254" s="129">
        <f t="shared" ref="E254:E257" si="79">E253*(1+(((SUM(E$234:E$245)-SUM(E$222:E$233))/SUM(E$222:E$233))/12))</f>
        <v>158.59079807895745</v>
      </c>
      <c r="F254" s="129">
        <f t="shared" ref="F254:F257" si="80">F253*(1+(((SUM(F$234:F$245)-SUM(F$222:F$233))/SUM(F$222:F$233))/12))</f>
        <v>125.86737731422018</v>
      </c>
      <c r="G254" s="72">
        <f t="shared" ref="G254:G269" si="81">+G253</f>
        <v>2.75</v>
      </c>
      <c r="H254" s="290">
        <f t="shared" ref="H254:H257" si="82">(100+((C254-$C$163)/$C$163*100*$C$160)+((D254-$D$163)/$D$163*100*$D$160)+((E254-$E$163)/$E$163*100*$E$160)+((F254-$F$163)/$F$163*100*$F$160)+((G254-$G$163)/$G$163*100*$G$160))*$H$163/100</f>
        <v>151.11523846334248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ref="C255:C257" si="83">C252*(1+(((SUM(C$234:C$245)-SUM(C$222:C$233))/SUM(C$222:C$233))/4))</f>
        <v>165.65680797453865</v>
      </c>
      <c r="D255" s="128">
        <f t="shared" si="33"/>
        <v>289.37487509345999</v>
      </c>
      <c r="E255" s="128">
        <f t="shared" si="79"/>
        <v>158.74788386353151</v>
      </c>
      <c r="F255" s="128">
        <f t="shared" si="80"/>
        <v>125.87306392203234</v>
      </c>
      <c r="G255" s="71">
        <f t="shared" si="81"/>
        <v>2.75</v>
      </c>
      <c r="H255" s="289">
        <f t="shared" si="82"/>
        <v>152.09404846730638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83"/>
        <v>165.65680797453865</v>
      </c>
      <c r="D256" s="128">
        <f t="shared" si="33"/>
        <v>289.37487509345999</v>
      </c>
      <c r="E256" s="128">
        <f t="shared" si="79"/>
        <v>158.90512524315909</v>
      </c>
      <c r="F256" s="128">
        <f t="shared" si="80"/>
        <v>125.87875078676183</v>
      </c>
      <c r="G256" s="71">
        <f t="shared" si="81"/>
        <v>2.75</v>
      </c>
      <c r="H256" s="289">
        <f t="shared" si="82"/>
        <v>152.10546674895298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83"/>
        <v>165.65680797453865</v>
      </c>
      <c r="D257" s="293">
        <f t="shared" si="33"/>
        <v>289.37487509345999</v>
      </c>
      <c r="E257" s="293">
        <f t="shared" si="79"/>
        <v>159.06252237195866</v>
      </c>
      <c r="F257" s="293">
        <f t="shared" si="80"/>
        <v>125.88443790842022</v>
      </c>
      <c r="G257" s="294">
        <f t="shared" si="81"/>
        <v>2.75</v>
      </c>
      <c r="H257" s="295">
        <f t="shared" si="82"/>
        <v>152.11689584223527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167.1438149232516</v>
      </c>
      <c r="D258" s="128">
        <f t="shared" si="33"/>
        <v>289.37487509345999</v>
      </c>
      <c r="E258" s="128">
        <f>E257*(1+(((SUM(E$246:E$257)-SUM(E$234:E$245))/SUM(E$234:E$245))/12))</f>
        <v>159.27133813473995</v>
      </c>
      <c r="F258" s="128">
        <f>F257*(1+(((SUM(F$246:F$257)-SUM(F$234:F$245))/SUM(F$234:F$245))/12))</f>
        <v>125.94023026904063</v>
      </c>
      <c r="G258" s="71">
        <f t="shared" si="81"/>
        <v>2.75</v>
      </c>
      <c r="H258" s="300">
        <f>(100+((C258-$C$163)/$C$163*100*$C$160)+((D258-$D$163)/$D$163*100*$D$160)+((E258-$E$163)/$E$163*100*$E$160)+((F258-$F$163)/$F$163*100*$F$160)+((G258-$G$163)/$G$163*100*$G$160))*$H$163/100</f>
        <v>152.95808135164904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84">C256*(1+(((SUM(C$246:C$257)-SUM(C$234:C$245))/SUM(C$234:C$245))/4))</f>
        <v>167.1438149232516</v>
      </c>
      <c r="D259" s="128">
        <f t="shared" si="33"/>
        <v>289.37487509345999</v>
      </c>
      <c r="E259" s="128">
        <f t="shared" ref="E259:E269" si="85">E258*(1+(((SUM(E$246:E$257)-SUM(E$234:E$245))/SUM(E$234:E$245))/12))</f>
        <v>159.48042802886366</v>
      </c>
      <c r="F259" s="128">
        <f t="shared" ref="F259:F269" si="86">F258*(1+(((SUM(F$246:F$257)-SUM(F$234:F$245))/SUM(F$234:F$245))/12))</f>
        <v>125.99604735700267</v>
      </c>
      <c r="G259" s="71">
        <f t="shared" si="81"/>
        <v>2.75</v>
      </c>
      <c r="H259" s="300">
        <f t="shared" ref="H259:H269" si="87">(100+((C259-$C$163)/$C$163*100*$C$160)+((D259-$D$163)/$D$163*100*$D$160)+((E259-$E$163)/$E$163*100*$E$160)+((F259-$F$163)/$F$163*100*$F$160)+((G259-$G$163)/$G$163*100*$G$160))*$H$163/100</f>
        <v>152.97773734004781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84"/>
        <v>167.1438149232516</v>
      </c>
      <c r="D260" s="129">
        <f t="shared" ref="D260:D269" si="88">D259</f>
        <v>289.37487509345999</v>
      </c>
      <c r="E260" s="129">
        <f t="shared" si="85"/>
        <v>159.68979241420678</v>
      </c>
      <c r="F260" s="129">
        <f t="shared" si="86"/>
        <v>126.05188918326559</v>
      </c>
      <c r="G260" s="72">
        <f t="shared" si="81"/>
        <v>2.75</v>
      </c>
      <c r="H260" s="301">
        <f t="shared" si="87"/>
        <v>152.99741463376782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84"/>
        <v>168.64416988761545</v>
      </c>
      <c r="D261" s="130">
        <f t="shared" si="88"/>
        <v>289.37487509345999</v>
      </c>
      <c r="E261" s="128">
        <f t="shared" si="85"/>
        <v>159.89943165111879</v>
      </c>
      <c r="F261" s="128">
        <f t="shared" si="86"/>
        <v>126.10775575879347</v>
      </c>
      <c r="G261" s="127">
        <f t="shared" si="81"/>
        <v>2.75</v>
      </c>
      <c r="H261" s="300">
        <f t="shared" si="87"/>
        <v>153.84603865346079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84"/>
        <v>168.64416988761545</v>
      </c>
      <c r="D262" s="128">
        <f t="shared" si="88"/>
        <v>289.37487509345999</v>
      </c>
      <c r="E262" s="128">
        <f t="shared" si="85"/>
        <v>160.10934610042221</v>
      </c>
      <c r="F262" s="128">
        <f t="shared" si="86"/>
        <v>126.16364709455527</v>
      </c>
      <c r="G262" s="71">
        <f t="shared" si="81"/>
        <v>2.75</v>
      </c>
      <c r="H262" s="300">
        <f t="shared" si="87"/>
        <v>153.86575863578304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84"/>
        <v>168.64416988761545</v>
      </c>
      <c r="D263" s="129">
        <f t="shared" si="88"/>
        <v>289.37487509345999</v>
      </c>
      <c r="E263" s="129">
        <f t="shared" si="85"/>
        <v>160.31953612341323</v>
      </c>
      <c r="F263" s="129">
        <f t="shared" si="86"/>
        <v>126.21956320152479</v>
      </c>
      <c r="G263" s="72">
        <f t="shared" si="81"/>
        <v>2.75</v>
      </c>
      <c r="H263" s="301">
        <f t="shared" si="87"/>
        <v>153.88550000145275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84"/>
        <v>170.15799268517506</v>
      </c>
      <c r="D264" s="128">
        <f t="shared" si="88"/>
        <v>289.37487509345999</v>
      </c>
      <c r="E264" s="128">
        <f t="shared" si="85"/>
        <v>160.53000208186236</v>
      </c>
      <c r="F264" s="128">
        <f t="shared" si="86"/>
        <v>126.27550409068071</v>
      </c>
      <c r="G264" s="71">
        <f t="shared" si="81"/>
        <v>2.75</v>
      </c>
      <c r="H264" s="300">
        <f t="shared" si="87"/>
        <v>154.7416289630423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84"/>
        <v>170.15799268517506</v>
      </c>
      <c r="D265" s="128">
        <f t="shared" si="88"/>
        <v>289.37487509345999</v>
      </c>
      <c r="E265" s="128">
        <f t="shared" si="85"/>
        <v>160.74074433801505</v>
      </c>
      <c r="F265" s="128">
        <f t="shared" si="86"/>
        <v>126.33146977300656</v>
      </c>
      <c r="G265" s="71">
        <f t="shared" si="81"/>
        <v>2.75</v>
      </c>
      <c r="H265" s="300">
        <f t="shared" si="87"/>
        <v>154.76141317366614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84"/>
        <v>170.15799268517506</v>
      </c>
      <c r="D266" s="129">
        <f t="shared" si="88"/>
        <v>289.37487509345999</v>
      </c>
      <c r="E266" s="129">
        <f t="shared" si="85"/>
        <v>160.95176325459229</v>
      </c>
      <c r="F266" s="129">
        <f t="shared" si="86"/>
        <v>126.38746025949075</v>
      </c>
      <c r="G266" s="72">
        <f t="shared" si="81"/>
        <v>2.75</v>
      </c>
      <c r="H266" s="301">
        <f t="shared" si="87"/>
        <v>154.78121884596342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84"/>
        <v>171.68540420900928</v>
      </c>
      <c r="D267" s="128">
        <f t="shared" si="88"/>
        <v>289.37487509345999</v>
      </c>
      <c r="E267" s="128">
        <f t="shared" si="85"/>
        <v>161.16305919479126</v>
      </c>
      <c r="F267" s="128">
        <f t="shared" si="86"/>
        <v>126.44347556112656</v>
      </c>
      <c r="G267" s="71">
        <f t="shared" si="81"/>
        <v>2.75</v>
      </c>
      <c r="H267" s="300">
        <f t="shared" si="87"/>
        <v>155.64491977618371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84"/>
        <v>171.68540420900928</v>
      </c>
      <c r="D268" s="128">
        <f t="shared" si="88"/>
        <v>289.37487509345999</v>
      </c>
      <c r="E268" s="128">
        <f t="shared" si="85"/>
        <v>161.37463252228591</v>
      </c>
      <c r="F268" s="128">
        <f t="shared" si="86"/>
        <v>126.49951568891214</v>
      </c>
      <c r="G268" s="71">
        <f t="shared" si="81"/>
        <v>2.75</v>
      </c>
      <c r="H268" s="300">
        <f t="shared" si="87"/>
        <v>155.66476845038767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84"/>
        <v>171.68540420900928</v>
      </c>
      <c r="D269" s="297">
        <f t="shared" si="88"/>
        <v>289.37487509345999</v>
      </c>
      <c r="E269" s="297">
        <f t="shared" si="85"/>
        <v>161.58648360122763</v>
      </c>
      <c r="F269" s="297">
        <f t="shared" si="86"/>
        <v>126.55558065385051</v>
      </c>
      <c r="G269" s="298">
        <f t="shared" si="81"/>
        <v>2.75</v>
      </c>
      <c r="H269" s="300">
        <f t="shared" si="87"/>
        <v>155.68463866489185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113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112</v>
      </c>
      <c r="B274" s="167" t="s">
        <v>114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x14ac:dyDescent="0.2">
      <c r="A275" s="167" t="s">
        <v>124</v>
      </c>
      <c r="B275" s="167" t="s">
        <v>125</v>
      </c>
      <c r="C275" s="167"/>
      <c r="D275" s="167"/>
      <c r="E275" s="167"/>
      <c r="F275" s="167"/>
      <c r="G275" s="167"/>
      <c r="H275" s="324"/>
      <c r="I275" s="167"/>
      <c r="J275" s="167"/>
    </row>
    <row r="276" spans="1:11" ht="15" x14ac:dyDescent="0.2">
      <c r="A276" s="163" t="s">
        <v>70</v>
      </c>
      <c r="B276" s="164" t="s">
        <v>73</v>
      </c>
      <c r="C276" s="164"/>
      <c r="D276" s="164"/>
      <c r="E276" s="164"/>
      <c r="F276" s="313"/>
      <c r="G276" s="164"/>
      <c r="H276" s="316"/>
      <c r="I276" s="164"/>
      <c r="J276" s="164"/>
      <c r="K276" s="165"/>
    </row>
    <row r="277" spans="1:11" ht="50.25" customHeight="1" x14ac:dyDescent="0.2">
      <c r="A277" s="322" t="s">
        <v>121</v>
      </c>
      <c r="B277" s="332" t="s">
        <v>123</v>
      </c>
      <c r="C277" s="332"/>
      <c r="D277" s="332"/>
      <c r="E277" s="332"/>
      <c r="F277" s="332"/>
      <c r="G277" s="332"/>
      <c r="H277" s="332"/>
      <c r="I277" s="332"/>
      <c r="J277" s="332"/>
    </row>
  </sheetData>
  <mergeCells count="1">
    <mergeCell ref="B277:J277"/>
  </mergeCells>
  <phoneticPr fontId="4" type="noConversion"/>
  <pageMargins left="0.74803149606299213" right="0.74803149606299213" top="0.78740157480314965" bottom="0.39370078740157483" header="0" footer="0"/>
  <pageSetup paperSize="9" scale="87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7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I267"/>
  <sheetViews>
    <sheetView topLeftCell="A230" zoomScaleNormal="100" workbookViewId="0">
      <selection activeCell="E254" sqref="E254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38" t="s">
        <v>127</v>
      </c>
      <c r="D3" s="2" t="s">
        <v>75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9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9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9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9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9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9" x14ac:dyDescent="0.2">
      <c r="A246" s="12">
        <f t="shared" ref="A246:A255" si="36">A245</f>
        <v>2025</v>
      </c>
      <c r="B246" s="13" t="s">
        <v>10</v>
      </c>
      <c r="C246" s="62">
        <f>(Indeks!C248/Indeks!C$163*Indeks!C$160)/(Indeks!$H248/Indeks!$H$163)</f>
        <v>0.57999525024458642</v>
      </c>
      <c r="D246" s="62">
        <f>(Indeks!D248/Indeks!D$163*Indeks!D$160)/(Indeks!$H248/Indeks!$H$163)</f>
        <v>0.25237339323359675</v>
      </c>
      <c r="E246" s="62">
        <f>(Indeks!E248/Indeks!E$163*Indeks!E$160)/(Indeks!$H248/Indeks!$H$163)</f>
        <v>7.0538382859534732E-2</v>
      </c>
      <c r="F246" s="62">
        <f>(Indeks!F248/Indeks!F$163*Indeks!F$160)/(Indeks!$H248/Indeks!$H$163)</f>
        <v>7.4816775091603283E-2</v>
      </c>
      <c r="G246" s="62">
        <f>(Indeks!G248/Indeks!G$163*Indeks!G$160)/(Indeks!$H248/Indeks!$H$163)</f>
        <v>2.2276198570678765E-2</v>
      </c>
      <c r="H246" s="62">
        <f t="shared" si="35"/>
        <v>1</v>
      </c>
    </row>
    <row r="247" spans="1:9" x14ac:dyDescent="0.2">
      <c r="A247" s="17">
        <f t="shared" si="36"/>
        <v>2025</v>
      </c>
      <c r="B247" s="18" t="s">
        <v>11</v>
      </c>
      <c r="C247" s="61">
        <f>(Indeks!C249/Indeks!C$163*Indeks!C$160)/(Indeks!$H249/Indeks!$H$163)</f>
        <v>0.58384577266672211</v>
      </c>
      <c r="D247" s="61">
        <f>(Indeks!D249/Indeks!D$163*Indeks!D$160)/(Indeks!$H249/Indeks!$H$163)</f>
        <v>0.2486369803652039</v>
      </c>
      <c r="E247" s="61">
        <f>(Indeks!E249/Indeks!E$163*Indeks!E$160)/(Indeks!$H249/Indeks!$H$163)</f>
        <v>7.1092006019624981E-2</v>
      </c>
      <c r="F247" s="61">
        <f>(Indeks!F249/Indeks!F$163*Indeks!F$160)/(Indeks!$H249/Indeks!$H$163)</f>
        <v>7.4522915448208271E-2</v>
      </c>
      <c r="G247" s="61">
        <f>(Indeks!G249/Indeks!G$163*Indeks!G$160)/(Indeks!$H249/Indeks!$H$163)</f>
        <v>2.1902325500240651E-2</v>
      </c>
      <c r="H247" s="61">
        <f t="shared" si="35"/>
        <v>0.99999999999999978</v>
      </c>
    </row>
    <row r="248" spans="1:9" x14ac:dyDescent="0.2">
      <c r="A248" s="10">
        <f t="shared" si="36"/>
        <v>2025</v>
      </c>
      <c r="B248" t="s">
        <v>12</v>
      </c>
      <c r="C248" s="61">
        <f>(Indeks!C250/Indeks!C$163*Indeks!C$160)/(Indeks!$H250/Indeks!$H$163)</f>
        <v>0.58820356708007926</v>
      </c>
      <c r="D248" s="61">
        <f>(Indeks!D250/Indeks!D$163*Indeks!D$160)/(Indeks!$H250/Indeks!$H$163)</f>
        <v>0.24295891403203665</v>
      </c>
      <c r="E248" s="61">
        <f>(Indeks!E250/Indeks!E$163*Indeks!E$160)/(Indeks!$H250/Indeks!$H$163)</f>
        <v>7.1266891491911052E-2</v>
      </c>
      <c r="F248" s="61">
        <f>(Indeks!F250/Indeks!F$163*Indeks!F$160)/(Indeks!$H250/Indeks!$H$163)</f>
        <v>7.5012650028229974E-2</v>
      </c>
      <c r="G248" s="61">
        <f>(Indeks!G250/Indeks!G$163*Indeks!G$160)/(Indeks!$H250/Indeks!$H$163)</f>
        <v>2.2557977367743075E-2</v>
      </c>
      <c r="H248" s="61">
        <f t="shared" si="35"/>
        <v>1</v>
      </c>
    </row>
    <row r="249" spans="1:9" x14ac:dyDescent="0.2">
      <c r="A249" s="12">
        <f t="shared" si="36"/>
        <v>2025</v>
      </c>
      <c r="B249" s="13" t="s">
        <v>13</v>
      </c>
      <c r="C249" s="62">
        <f>(Indeks!C251/Indeks!C$163*Indeks!C$160)/(Indeks!$H251/Indeks!$H$163)</f>
        <v>0.59664229204053154</v>
      </c>
      <c r="D249" s="62">
        <f>(Indeks!D251/Indeks!D$163*Indeks!D$160)/(Indeks!$H251/Indeks!$H$163)</f>
        <v>0.23198850123964831</v>
      </c>
      <c r="E249" s="62">
        <f>(Indeks!E251/Indeks!E$163*Indeks!E$160)/(Indeks!$H251/Indeks!$H$163)</f>
        <v>7.2349470394584892E-2</v>
      </c>
      <c r="F249" s="62">
        <f>(Indeks!F251/Indeks!F$163*Indeks!F$160)/(Indeks!$H251/Indeks!$H$163)</f>
        <v>7.7303010389777632E-2</v>
      </c>
      <c r="G249" s="62">
        <f>(Indeks!G251/Indeks!G$163*Indeks!G$160)/(Indeks!$H251/Indeks!$H$163)</f>
        <v>2.1716725935457405E-2</v>
      </c>
      <c r="H249" s="62">
        <f t="shared" si="35"/>
        <v>0.99999999999999978</v>
      </c>
    </row>
    <row r="250" spans="1:9" x14ac:dyDescent="0.2">
      <c r="A250" s="17">
        <f t="shared" si="36"/>
        <v>2025</v>
      </c>
      <c r="B250" s="22" t="s">
        <v>30</v>
      </c>
      <c r="C250" s="217">
        <f>(Indeks!C252/Indeks!C$163*Indeks!C$160)/(Indeks!$H252/Indeks!$H$163)</f>
        <v>0.60618063761527297</v>
      </c>
      <c r="D250" s="217">
        <f>(Indeks!D252/Indeks!D$163*Indeks!D$160)/(Indeks!$H252/Indeks!$H$163)</f>
        <v>0.21962893955745025</v>
      </c>
      <c r="E250" s="217">
        <f>(Indeks!E252/Indeks!E$163*Indeks!E$160)/(Indeks!$H252/Indeks!$H$163)</f>
        <v>7.3275962600368574E-2</v>
      </c>
      <c r="F250" s="217">
        <f>(Indeks!F252/Indeks!F$163*Indeks!F$160)/(Indeks!$H252/Indeks!$H$163)</f>
        <v>7.8432694340805034E-2</v>
      </c>
      <c r="G250" s="217">
        <f>(Indeks!G252/Indeks!G$163*Indeks!G$160)/(Indeks!$H252/Indeks!$H$163)</f>
        <v>2.2481765886103271E-2</v>
      </c>
      <c r="H250" s="217">
        <f t="shared" si="35"/>
        <v>1</v>
      </c>
      <c r="I250" s="217"/>
    </row>
    <row r="251" spans="1:9" x14ac:dyDescent="0.2">
      <c r="A251" s="10">
        <f t="shared" si="36"/>
        <v>2025</v>
      </c>
      <c r="B251" t="s">
        <v>14</v>
      </c>
      <c r="C251" s="61">
        <f>(Indeks!C253/Indeks!C$163*Indeks!C$160)/(Indeks!$H253/Indeks!$H$163)</f>
        <v>0.59929446361309169</v>
      </c>
      <c r="D251" s="61">
        <f>(Indeks!D253/Indeks!D$163*Indeks!D$160)/(Indeks!$H253/Indeks!$H$163)</f>
        <v>0.22798487111825105</v>
      </c>
      <c r="E251" s="61">
        <f>(Indeks!E253/Indeks!E$163*Indeks!E$160)/(Indeks!$H253/Indeks!$H$163)</f>
        <v>7.2624059453718942E-2</v>
      </c>
      <c r="F251" s="61">
        <f>(Indeks!F253/Indeks!F$163*Indeks!F$160)/(Indeks!$H253/Indeks!$H$163)</f>
        <v>7.7204272593834486E-2</v>
      </c>
      <c r="G251" s="61">
        <f>(Indeks!G253/Indeks!G$163*Indeks!G$160)/(Indeks!$H253/Indeks!$H$163)</f>
        <v>2.2892333221104021E-2</v>
      </c>
      <c r="H251" s="61">
        <f t="shared" si="35"/>
        <v>1.0000000000000002</v>
      </c>
    </row>
    <row r="252" spans="1:9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0.59924926649382515</v>
      </c>
      <c r="D252" s="78">
        <f>(Indeks!D254/Indeks!D$163*Indeks!D$160)/(Indeks!$H254/Indeks!$H$163)</f>
        <v>0.227967677134264</v>
      </c>
      <c r="E252" s="78">
        <f>(Indeks!E254/Indeks!E$163*Indeks!E$160)/(Indeks!$H254/Indeks!$H$163)</f>
        <v>7.2690511787463372E-2</v>
      </c>
      <c r="F252" s="78">
        <f>(Indeks!F254/Indeks!F$163*Indeks!F$160)/(Indeks!$H254/Indeks!$H$163)</f>
        <v>7.7201937839354348E-2</v>
      </c>
      <c r="G252" s="78">
        <f>(Indeks!G254/Indeks!G$163*Indeks!G$160)/(Indeks!$H254/Indeks!$H$163)</f>
        <v>2.2890606745093141E-2</v>
      </c>
      <c r="H252" s="78">
        <f t="shared" si="35"/>
        <v>1</v>
      </c>
    </row>
    <row r="253" spans="1:9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0.60175331810006938</v>
      </c>
      <c r="D253" s="79">
        <f>(Indeks!D255/Indeks!D$163*Indeks!D$160)/(Indeks!$H255/Indeks!$H$163)</f>
        <v>0.22650057802546888</v>
      </c>
      <c r="E253" s="79">
        <f>(Indeks!E255/Indeks!E$163*Indeks!E$160)/(Indeks!$H255/Indeks!$H$163)</f>
        <v>7.2294245134855703E-2</v>
      </c>
      <c r="F253" s="79">
        <f>(Indeks!F255/Indeks!F$163*Indeks!F$160)/(Indeks!$H255/Indeks!$H$163)</f>
        <v>7.6708565811882123E-2</v>
      </c>
      <c r="G253" s="79">
        <f>(Indeks!G255/Indeks!G$163*Indeks!G$160)/(Indeks!$H255/Indeks!$H$163)</f>
        <v>2.2743292927723639E-2</v>
      </c>
      <c r="H253" s="79">
        <f t="shared" si="35"/>
        <v>0.99999999999999967</v>
      </c>
    </row>
    <row r="254" spans="1:9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0.60170814556935959</v>
      </c>
      <c r="D254" s="77">
        <f>(Indeks!D256/Indeks!D$163*Indeks!D$160)/(Indeks!$H256/Indeks!$H$163)</f>
        <v>0.22648357503768488</v>
      </c>
      <c r="E254" s="77">
        <f>(Indeks!E256/Indeks!E$163*Indeks!E$160)/(Indeks!$H256/Indeks!$H$163)</f>
        <v>7.2360420940186479E-2</v>
      </c>
      <c r="F254" s="77">
        <f>(Indeks!F256/Indeks!F$163*Indeks!F$160)/(Indeks!$H256/Indeks!$H$163)</f>
        <v>7.670627282281553E-2</v>
      </c>
      <c r="G254" s="77">
        <f>(Indeks!G256/Indeks!G$163*Indeks!G$160)/(Indeks!$H256/Indeks!$H$163)</f>
        <v>2.2741585629953414E-2</v>
      </c>
      <c r="H254" s="77">
        <f t="shared" si="35"/>
        <v>0.99999999999999989</v>
      </c>
    </row>
    <row r="255" spans="1:9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0.60166293705727192</v>
      </c>
      <c r="D255" s="250">
        <f>(Indeks!D257/Indeks!D$163*Indeks!D$160)/(Indeks!$H257/Indeks!$H$163)</f>
        <v>0.22646655850647263</v>
      </c>
      <c r="E255" s="250">
        <f>(Indeks!E257/Indeks!E$163*Indeks!E$160)/(Indeks!$H257/Indeks!$H$163)</f>
        <v>7.242665258115237E-2</v>
      </c>
      <c r="F255" s="250">
        <f>(Indeks!F257/Indeks!F$163*Indeks!F$160)/(Indeks!$H257/Indeks!$H$163)</f>
        <v>7.6703974882837506E-2</v>
      </c>
      <c r="G255" s="250">
        <f>(Indeks!G257/Indeks!G$163*Indeks!G$160)/(Indeks!$H257/Indeks!$H$163)</f>
        <v>2.2739876972265437E-2</v>
      </c>
      <c r="H255" s="250">
        <f t="shared" si="35"/>
        <v>0.99999999999999989</v>
      </c>
    </row>
    <row r="256" spans="1:9" x14ac:dyDescent="0.2">
      <c r="A256" s="2">
        <v>2026</v>
      </c>
      <c r="B256" t="s">
        <v>8</v>
      </c>
      <c r="C256" s="77">
        <f>(Indeks!C258/Indeks!C$163*Indeks!C$160)/(Indeks!$H258/Indeks!$H$163)</f>
        <v>0.60372520570893473</v>
      </c>
      <c r="D256" s="77">
        <f>(Indeks!D258/Indeks!D$163*Indeks!D$160)/(Indeks!$H258/Indeks!$H$163)</f>
        <v>0.22522111671157655</v>
      </c>
      <c r="E256" s="77">
        <f>(Indeks!E258/Indeks!E$163*Indeks!E$160)/(Indeks!$H258/Indeks!$H$163)</f>
        <v>7.2122903862684287E-2</v>
      </c>
      <c r="F256" s="77">
        <f>(Indeks!F258/Indeks!F$163*Indeks!F$160)/(Indeks!$H258/Indeks!$H$163)</f>
        <v>7.6315953589040891E-2</v>
      </c>
      <c r="G256" s="77">
        <f>(Indeks!G258/Indeks!G$163*Indeks!G$160)/(Indeks!$H258/Indeks!$H$163)</f>
        <v>2.2614820127763408E-2</v>
      </c>
      <c r="H256" s="77">
        <f t="shared" ref="H256:H267" si="37">SUM(C256:G256)</f>
        <v>0.99999999999999978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0.60364763353506301</v>
      </c>
      <c r="D257" s="77">
        <f>(Indeks!D259/Indeks!D$163*Indeks!D$160)/(Indeks!$H259/Indeks!$H$163)</f>
        <v>0.22519217822853838</v>
      </c>
      <c r="E257" s="77">
        <f>(Indeks!E259/Indeks!E$163*Indeks!E$160)/(Indeks!$H259/Indeks!$H$163)</f>
        <v>7.2208306942730838E-2</v>
      </c>
      <c r="F257" s="77">
        <f>(Indeks!F259/Indeks!F$163*Indeks!F$160)/(Indeks!$H259/Indeks!$H$163)</f>
        <v>7.6339966926244562E-2</v>
      </c>
      <c r="G257" s="77">
        <f>(Indeks!G259/Indeks!G$163*Indeks!G$160)/(Indeks!$H259/Indeks!$H$163)</f>
        <v>2.261191436742337E-2</v>
      </c>
      <c r="H257" s="77">
        <f t="shared" si="37"/>
        <v>1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0.60356999724416938</v>
      </c>
      <c r="D258" s="78">
        <f>(Indeks!D260/Indeks!D$163*Indeks!D$160)/(Indeks!$H260/Indeks!$H$163)</f>
        <v>0.22516321582649346</v>
      </c>
      <c r="E258" s="78">
        <f>(Indeks!E260/Indeks!E$163*Indeks!E$160)/(Indeks!$H260/Indeks!$H$163)</f>
        <v>7.2293802277762539E-2</v>
      </c>
      <c r="F258" s="78">
        <f>(Indeks!F260/Indeks!F$163*Indeks!F$160)/(Indeks!$H260/Indeks!$H$163)</f>
        <v>7.6363978446237935E-2</v>
      </c>
      <c r="G258" s="78">
        <f>(Indeks!G260/Indeks!G$163*Indeks!G$160)/(Indeks!$H260/Indeks!$H$163)</f>
        <v>2.2609006205336811E-2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0.6056286878690359</v>
      </c>
      <c r="D259" s="79">
        <f>(Indeks!D261/Indeks!D$163*Indeks!D$160)/(Indeks!$H261/Indeks!$H$163)</f>
        <v>0.22392120196007159</v>
      </c>
      <c r="E259" s="79">
        <f>(Indeks!E261/Indeks!E$163*Indeks!E$160)/(Indeks!$H261/Indeks!$H$163)</f>
        <v>7.1989408411844494E-2</v>
      </c>
      <c r="F259" s="79">
        <f>(Indeks!F261/Indeks!F$163*Indeks!F$160)/(Indeks!$H261/Indeks!$H$163)</f>
        <v>7.5976408194317072E-2</v>
      </c>
      <c r="G259" s="79">
        <f>(Indeks!G261/Indeks!G$163*Indeks!G$160)/(Indeks!$H261/Indeks!$H$163)</f>
        <v>2.2484293564730876E-2</v>
      </c>
      <c r="H259" s="79">
        <f t="shared" si="37"/>
        <v>1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0.60555106834455874</v>
      </c>
      <c r="D260" s="77">
        <f>(Indeks!D262/Indeks!D$163*Indeks!D$160)/(Indeks!$H262/Indeks!$H$163)</f>
        <v>0.22389250342322115</v>
      </c>
      <c r="E260" s="77">
        <f>(Indeks!E262/Indeks!E$163*Indeks!E$160)/(Indeks!$H262/Indeks!$H$163)</f>
        <v>7.2074676890101996E-2</v>
      </c>
      <c r="F260" s="77">
        <f>(Indeks!F262/Indeks!F$163*Indeks!F$160)/(Indeks!$H262/Indeks!$H$163)</f>
        <v>7.6000339444338705E-2</v>
      </c>
      <c r="G260" s="77">
        <f>(Indeks!G262/Indeks!G$163*Indeks!G$160)/(Indeks!$H262/Indeks!$H$163)</f>
        <v>2.2481411897779396E-2</v>
      </c>
      <c r="H260" s="77">
        <f t="shared" si="37"/>
        <v>1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0.60547338457921529</v>
      </c>
      <c r="D261" s="78">
        <f>(Indeks!D263/Indeks!D$163*Indeks!D$160)/(Indeks!$H263/Indeks!$H$163)</f>
        <v>0.22386378113437169</v>
      </c>
      <c r="E261" s="78">
        <f>(Indeks!E263/Indeks!E$163*Indeks!E$160)/(Indeks!$H263/Indeks!$H$163)</f>
        <v>7.2160037523553031E-2</v>
      </c>
      <c r="F261" s="78">
        <f>(Indeks!F263/Indeks!F$163*Indeks!F$160)/(Indeks!$H263/Indeks!$H$163)</f>
        <v>7.6024268917009155E-2</v>
      </c>
      <c r="G261" s="78">
        <f>(Indeks!G263/Indeks!G$163*Indeks!G$160)/(Indeks!$H263/Indeks!$H$163)</f>
        <v>2.2478527845850908E-2</v>
      </c>
      <c r="H261" s="78">
        <f t="shared" si="37"/>
        <v>1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0.60752844170003095</v>
      </c>
      <c r="D262" s="79">
        <f>(Indeks!D264/Indeks!D$163*Indeks!D$160)/(Indeks!$H264/Indeks!$H$163)</f>
        <v>0.22262522453028</v>
      </c>
      <c r="E262" s="79">
        <f>(Indeks!E264/Indeks!E$163*Indeks!E$160)/(Indeks!$H264/Indeks!$H$163)</f>
        <v>7.1855009267188824E-2</v>
      </c>
      <c r="F262" s="79">
        <f>(Indeks!F264/Indeks!F$163*Indeks!F$160)/(Indeks!$H264/Indeks!$H$163)</f>
        <v>7.5637162147898535E-2</v>
      </c>
      <c r="G262" s="79">
        <f>(Indeks!G264/Indeks!G$163*Indeks!G$160)/(Indeks!$H264/Indeks!$H$163)</f>
        <v>2.2354162354601449E-2</v>
      </c>
      <c r="H262" s="79">
        <f t="shared" si="37"/>
        <v>0.99999999999999967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0.60745077718144025</v>
      </c>
      <c r="D263" s="77">
        <f>(Indeks!D265/Indeks!D$163*Indeks!D$160)/(Indeks!$H265/Indeks!$H$163)</f>
        <v>0.2225967648241946</v>
      </c>
      <c r="E263" s="77">
        <f>(Indeks!E265/Indeks!E$163*Indeks!E$160)/(Indeks!$H265/Indeks!$H$163)</f>
        <v>7.1940142061721543E-2</v>
      </c>
      <c r="F263" s="77">
        <f>(Indeks!F265/Indeks!F$163*Indeks!F$160)/(Indeks!$H265/Indeks!$H$163)</f>
        <v>7.566101126360654E-2</v>
      </c>
      <c r="G263" s="77">
        <f>(Indeks!G265/Indeks!G$163*Indeks!G$160)/(Indeks!$H265/Indeks!$H$163)</f>
        <v>2.2351304669037113E-2</v>
      </c>
      <c r="H263" s="77">
        <f t="shared" si="37"/>
        <v>1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0.60737304829986594</v>
      </c>
      <c r="D264" s="78">
        <f>(Indeks!D266/Indeks!D$163*Indeks!D$160)/(Indeks!$H266/Indeks!$H$163)</f>
        <v>0.22256828153267244</v>
      </c>
      <c r="E264" s="78">
        <f>(Indeks!E266/Indeks!E$163*Indeks!E$160)/(Indeks!$H266/Indeks!$H$163)</f>
        <v>7.2025366910533892E-2</v>
      </c>
      <c r="F264" s="78">
        <f>(Indeks!F266/Indeks!F$163*Indeks!F$160)/(Indeks!$H266/Indeks!$H$163)</f>
        <v>7.5684858641706987E-2</v>
      </c>
      <c r="G264" s="78">
        <f>(Indeks!G266/Indeks!G$163*Indeks!G$160)/(Indeks!$H266/Indeks!$H$163)</f>
        <v>2.2348444615220554E-2</v>
      </c>
      <c r="H264" s="78">
        <f t="shared" si="37"/>
        <v>0.99999999999999989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0.60942441691328408</v>
      </c>
      <c r="D265" s="79">
        <f>(Indeks!D267/Indeks!D$163*Indeks!D$160)/(Indeks!$H267/Indeks!$H$163)</f>
        <v>0.22133321114249377</v>
      </c>
      <c r="E265" s="79">
        <f>(Indeks!E267/Indeks!E$163*Indeks!E$160)/(Indeks!$H267/Indeks!$H$163)</f>
        <v>7.1719715047104393E-2</v>
      </c>
      <c r="F265" s="79">
        <f>(Indeks!F267/Indeks!F$163*Indeks!F$160)/(Indeks!$H267/Indeks!$H$163)</f>
        <v>7.5298227716714489E-2</v>
      </c>
      <c r="G265" s="79">
        <f>(Indeks!G267/Indeks!G$163*Indeks!G$160)/(Indeks!$H267/Indeks!$H$163)</f>
        <v>2.2224429180403286E-2</v>
      </c>
      <c r="H265" s="79">
        <f t="shared" si="37"/>
        <v>0.99999999999999989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0.60934670975562943</v>
      </c>
      <c r="D266" s="77">
        <f>(Indeks!D268/Indeks!D$163*Indeks!D$160)/(Indeks!$H268/Indeks!$H$163)</f>
        <v>0.22130498914439994</v>
      </c>
      <c r="E266" s="77">
        <f>(Indeks!E268/Indeks!E$163*Indeks!E$160)/(Indeks!$H268/Indeks!$H$163)</f>
        <v>7.1804711083675546E-2</v>
      </c>
      <c r="F266" s="77">
        <f>(Indeks!F268/Indeks!F$163*Indeks!F$160)/(Indeks!$H268/Indeks!$H$163)</f>
        <v>7.5321994652808436E-2</v>
      </c>
      <c r="G266" s="77">
        <f>(Indeks!G268/Indeks!G$163*Indeks!G$160)/(Indeks!$H268/Indeks!$H$163)</f>
        <v>2.2221595363486574E-2</v>
      </c>
      <c r="H266" s="77">
        <f t="shared" si="37"/>
        <v>1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0.60926893811461147</v>
      </c>
      <c r="D267" s="318">
        <f>(Indeks!D269/Indeks!D$163*Indeks!D$160)/(Indeks!$H269/Indeks!$H$163)</f>
        <v>0.22127674372697884</v>
      </c>
      <c r="E267" s="318">
        <f>(Indeks!E269/Indeks!E$163*Indeks!E$160)/(Indeks!$H269/Indeks!$H$163)</f>
        <v>7.1889799072493488E-2</v>
      </c>
      <c r="F267" s="318">
        <f>(Indeks!F269/Indeks!F$163*Indeks!F$160)/(Indeks!$H269/Indeks!$H$163)</f>
        <v>7.5345759890919364E-2</v>
      </c>
      <c r="G267" s="318">
        <f>(Indeks!G269/Indeks!G$163*Indeks!G$160)/(Indeks!$H269/Indeks!$H$163)</f>
        <v>2.2218759194996964E-2</v>
      </c>
      <c r="H267" s="318">
        <f t="shared" si="37"/>
        <v>1.0000000000000002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5" zoomScaleNormal="100" workbookViewId="0">
      <selection activeCell="E254" sqref="E25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262">
        <f>Indeks!H248</f>
        <v>154.15387204668417</v>
      </c>
      <c r="D245" s="263">
        <f t="shared" si="34"/>
        <v>1.1730848618446366E-2</v>
      </c>
      <c r="E245" s="263">
        <f>(SUM(C243:C245)-SUM(C240:C242))/SUM(C240:C242)</f>
        <v>5.0369351088682098E-3</v>
      </c>
      <c r="F245" s="263"/>
      <c r="G245" s="263"/>
      <c r="H245" s="262"/>
    </row>
    <row r="246" spans="1:8" x14ac:dyDescent="0.2">
      <c r="A246" s="17">
        <f t="shared" si="35"/>
        <v>2025</v>
      </c>
      <c r="B246" s="18" t="s">
        <v>11</v>
      </c>
      <c r="C246" s="258">
        <f>Indeks!H249</f>
        <v>154.4880610373981</v>
      </c>
      <c r="D246" s="259">
        <f t="shared" si="34"/>
        <v>2.1678922901963819E-3</v>
      </c>
      <c r="E246" s="259"/>
      <c r="F246" s="259"/>
      <c r="G246" s="259"/>
      <c r="H246" s="258"/>
    </row>
    <row r="247" spans="1:8" x14ac:dyDescent="0.2">
      <c r="A247" s="10">
        <f t="shared" si="35"/>
        <v>2025</v>
      </c>
      <c r="B247" t="s">
        <v>12</v>
      </c>
      <c r="C247" s="268">
        <f>Indeks!H250</f>
        <v>153.34351304925661</v>
      </c>
      <c r="D247" s="269">
        <f t="shared" si="34"/>
        <v>-7.4086500953909522E-3</v>
      </c>
      <c r="E247" s="269"/>
      <c r="F247" s="269"/>
      <c r="G247" s="269"/>
      <c r="H247" s="268"/>
    </row>
    <row r="248" spans="1:8" x14ac:dyDescent="0.2">
      <c r="A248" s="12">
        <f t="shared" si="35"/>
        <v>2025</v>
      </c>
      <c r="B248" s="13" t="s">
        <v>13</v>
      </c>
      <c r="C248" s="272">
        <f>Indeks!H251</f>
        <v>151.17466959254051</v>
      </c>
      <c r="D248" s="273">
        <f t="shared" si="34"/>
        <v>-1.4143692247479902E-2</v>
      </c>
      <c r="E248" s="273">
        <f>(SUM(C246:C248)-SUM(C243:C245))/SUM(C243:C245)</f>
        <v>-4.1863005972036507E-4</v>
      </c>
      <c r="F248" s="273">
        <f>(SUM(C243:C248)-SUM(C237:C242))/SUM(C237:C242)</f>
        <v>5.1390430566528658E-3</v>
      </c>
      <c r="G248" s="273"/>
      <c r="H248" s="272"/>
    </row>
    <row r="249" spans="1:8" x14ac:dyDescent="0.2">
      <c r="A249" s="17">
        <f t="shared" si="35"/>
        <v>2025</v>
      </c>
      <c r="B249" s="22" t="s">
        <v>30</v>
      </c>
      <c r="C249" s="276">
        <f>Indeks!H252</f>
        <v>149.38731161299614</v>
      </c>
      <c r="D249" s="277">
        <f t="shared" si="34"/>
        <v>-1.1823131377510628E-2</v>
      </c>
      <c r="E249" s="277"/>
      <c r="F249" s="277"/>
      <c r="G249" s="277"/>
      <c r="H249" s="278"/>
    </row>
    <row r="250" spans="1:8" x14ac:dyDescent="0.2">
      <c r="A250" s="10">
        <f t="shared" si="35"/>
        <v>2025</v>
      </c>
      <c r="B250" t="s">
        <v>14</v>
      </c>
      <c r="C250" s="258">
        <f>Indeks!H253</f>
        <v>151.10384177294986</v>
      </c>
      <c r="D250" s="259">
        <f t="shared" si="34"/>
        <v>1.1490468242715123E-2</v>
      </c>
      <c r="E250" s="259"/>
      <c r="F250" s="259"/>
      <c r="G250" s="259"/>
      <c r="H250" s="258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151.11523846334248</v>
      </c>
      <c r="D251" s="159">
        <f t="shared" si="34"/>
        <v>7.5422902944719724E-5</v>
      </c>
      <c r="E251" s="159">
        <f>(SUM(C249:C251)-SUM(C246:C248))/SUM(C246:C248)</f>
        <v>-1.6121462249822048E-2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152.09404846730638</v>
      </c>
      <c r="D252" s="133">
        <f t="shared" si="34"/>
        <v>6.4772422286276587E-3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152.10546674895298</v>
      </c>
      <c r="D253" s="133">
        <f t="shared" si="34"/>
        <v>7.5073822819916929E-5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152.11689584223527</v>
      </c>
      <c r="D254" s="250">
        <f t="shared" si="34"/>
        <v>7.5139267026817243E-5</v>
      </c>
      <c r="E254" s="251">
        <f>(SUM(C252:C254)-SUM(C249:C251))/SUM(C249:C251)</f>
        <v>1.0429478621679936E-2</v>
      </c>
      <c r="F254" s="251">
        <f>(SUM(C249:C254)-SUM(C243:C248))/SUM(C243:C248)</f>
        <v>-1.1197849994111459E-2</v>
      </c>
      <c r="G254" s="251">
        <f>(SUM(C243:C254)-SUM(C231:C242))/SUM(C231:C242)</f>
        <v>-1.8472803659510598E-2</v>
      </c>
      <c r="H254" s="252">
        <f>(C243+C244+C245+C246+C247+C248+C249+C250+C251+C252+C253+C254)/12</f>
        <v>152.17729371270232</v>
      </c>
    </row>
    <row r="255" spans="1:8" x14ac:dyDescent="0.2">
      <c r="A255" s="2">
        <v>2026</v>
      </c>
      <c r="B255" t="s">
        <v>8</v>
      </c>
      <c r="C255" s="156">
        <f>Indeks!H258</f>
        <v>152.95808135164904</v>
      </c>
      <c r="D255" s="133">
        <f t="shared" ref="D255:D266" si="36">(C255-C254)/C254</f>
        <v>5.5298624439864561E-3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152.97773734004781</v>
      </c>
      <c r="D256" s="133">
        <f t="shared" si="36"/>
        <v>1.2850572016249708E-4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152.99741463376782</v>
      </c>
      <c r="D257" s="159">
        <f t="shared" si="36"/>
        <v>1.2862847929478918E-4</v>
      </c>
      <c r="E257" s="159">
        <f>(SUM(C255:C257)-SUM(C252:C254))/SUM(C252:C254)</f>
        <v>5.7346661298022621E-3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153.84603865346079</v>
      </c>
      <c r="D258" s="160">
        <f t="shared" si="36"/>
        <v>5.5466559466010651E-3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153.86575863578304</v>
      </c>
      <c r="D259" s="133">
        <f t="shared" si="36"/>
        <v>1.2817998106966379E-4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153.88550000145275</v>
      </c>
      <c r="D260" s="159">
        <f t="shared" si="36"/>
        <v>1.2830252711681272E-4</v>
      </c>
      <c r="E260" s="159">
        <f>(SUM(C258:C260)-SUM(C255:C257))/SUM(C255:C257)</f>
        <v>5.8049053147183997E-3</v>
      </c>
      <c r="F260" s="159">
        <f>(SUM(C255:C260)-SUM(C249:C254))/SUM(C249:C254)</f>
        <v>1.388634327500062E-2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154.7416289630423</v>
      </c>
      <c r="D261" s="160">
        <f t="shared" si="36"/>
        <v>5.5634154067892381E-3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154.76141317366614</v>
      </c>
      <c r="D262" s="133">
        <f t="shared" si="36"/>
        <v>1.2785318828823294E-4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154.78121884596342</v>
      </c>
      <c r="D263" s="159">
        <f t="shared" si="36"/>
        <v>1.2797551980903529E-4</v>
      </c>
      <c r="E263" s="159">
        <f>(SUM(C261:C263)-SUM(C258:C260))/SUM(C258:C260)</f>
        <v>5.8210126180247776E-3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155.64491977618371</v>
      </c>
      <c r="D264" s="133">
        <f t="shared" si="36"/>
        <v>5.5801403856357767E-3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155.66476845038767</v>
      </c>
      <c r="D265" s="133">
        <f t="shared" si="36"/>
        <v>1.275253585693549E-4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155.68463866489185</v>
      </c>
      <c r="D266" s="250">
        <f t="shared" si="36"/>
        <v>1.2764747413293833E-4</v>
      </c>
      <c r="E266" s="251">
        <f>(SUM(C264:C266)-SUM(C261:C263))/SUM(C261:C263)</f>
        <v>5.8370833055064724E-3</v>
      </c>
      <c r="F266" s="251">
        <f>(SUM(C261:C266)-SUM(C255:C260))/SUM(C255:C260)</f>
        <v>1.1675937842908489E-2</v>
      </c>
      <c r="G266" s="251">
        <f>(SUM(C255:C266)-SUM(C243:C254))/SUM(C243:C254)</f>
        <v>1.4063417583152129E-2</v>
      </c>
      <c r="H266" s="252">
        <f>(C255+C256+C257+C258+C259+C260+C261+C262+C263+C264+C265+C266)/12</f>
        <v>154.31742654085804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topLeftCell="A6" zoomScaleNormal="100" workbookViewId="0">
      <selection activeCell="E254" sqref="E254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103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101.25" x14ac:dyDescent="0.2">
      <c r="A5" s="112" t="s">
        <v>3</v>
      </c>
      <c r="B5" s="141" t="s">
        <v>128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75</v>
      </c>
      <c r="B6" s="333" t="s">
        <v>129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33"/>
      <c r="D7" s="6"/>
      <c r="E7" s="61"/>
      <c r="F7" s="61"/>
    </row>
    <row r="8" spans="1:6" ht="66" customHeight="1" x14ac:dyDescent="0.2">
      <c r="A8" s="112"/>
      <c r="B8" s="216" t="s">
        <v>108</v>
      </c>
      <c r="D8" s="6"/>
      <c r="E8" s="61"/>
      <c r="F8" s="61"/>
    </row>
    <row r="9" spans="1:6" ht="66" customHeight="1" x14ac:dyDescent="0.2">
      <c r="A9" s="112"/>
      <c r="B9" s="334" t="s">
        <v>109</v>
      </c>
      <c r="C9" s="334"/>
      <c r="D9" s="334"/>
      <c r="E9" s="334"/>
      <c r="F9" s="61"/>
    </row>
    <row r="10" spans="1:6" ht="25.5" x14ac:dyDescent="0.2">
      <c r="A10" s="112" t="s">
        <v>5</v>
      </c>
      <c r="B10" s="141" t="s">
        <v>71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72</v>
      </c>
      <c r="D11" s="6"/>
      <c r="E11" s="61"/>
      <c r="F11" s="61"/>
    </row>
    <row r="12" spans="1:6" ht="127.5" x14ac:dyDescent="0.2">
      <c r="A12" s="112" t="s">
        <v>6</v>
      </c>
      <c r="B12" s="141" t="s">
        <v>130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120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119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8" zoomScale="118" zoomScaleNormal="100" zoomScaleSheetLayoutView="118" workbookViewId="0">
      <selection activeCell="E254" sqref="E254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37" t="s">
        <v>104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13.5" thickBot="1" x14ac:dyDescent="0.25">
      <c r="A2" s="339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14" x14ac:dyDescent="0.2">
      <c r="A3" s="200" t="s">
        <v>102</v>
      </c>
      <c r="B3" s="48"/>
      <c r="C3" s="49"/>
      <c r="D3" s="49"/>
      <c r="E3" s="49"/>
      <c r="F3" s="49"/>
      <c r="G3" s="142" t="s">
        <v>78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79</v>
      </c>
      <c r="G4" s="191" t="s">
        <v>111</v>
      </c>
      <c r="N4" s="192"/>
    </row>
    <row r="5" spans="1:14" x14ac:dyDescent="0.2">
      <c r="A5" s="208" t="s">
        <v>80</v>
      </c>
      <c r="B5" s="207" t="s">
        <v>4</v>
      </c>
      <c r="C5" s="207" t="s">
        <v>75</v>
      </c>
      <c r="D5" s="207" t="s">
        <v>81</v>
      </c>
      <c r="G5" s="227" t="s">
        <v>82</v>
      </c>
      <c r="H5" s="225" t="s">
        <v>3</v>
      </c>
      <c r="I5" s="225" t="s">
        <v>4</v>
      </c>
      <c r="J5" s="211" t="s">
        <v>83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84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85</v>
      </c>
      <c r="B7" s="21">
        <f>B6*0.25</f>
        <v>0.92249999999999999</v>
      </c>
      <c r="C7" s="21">
        <f>C6*0.25</f>
        <v>2.0499999999999998</v>
      </c>
      <c r="G7" s="180" t="s">
        <v>86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87</v>
      </c>
      <c r="B8">
        <v>2.7109999999999999</v>
      </c>
      <c r="C8" s="21">
        <f>C17*C18</f>
        <v>2.594592</v>
      </c>
      <c r="G8" s="180" t="s">
        <v>88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89</v>
      </c>
      <c r="B9">
        <v>0.43</v>
      </c>
      <c r="G9" s="182" t="s">
        <v>90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91</v>
      </c>
      <c r="B10">
        <v>8.9999999999999993E-3</v>
      </c>
      <c r="G10" s="228" t="s">
        <v>92</v>
      </c>
      <c r="H10" s="225" t="s">
        <v>3</v>
      </c>
      <c r="I10" s="225" t="s">
        <v>75</v>
      </c>
      <c r="J10" s="211" t="s">
        <v>83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93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94</v>
      </c>
      <c r="B12">
        <v>1</v>
      </c>
      <c r="C12" s="21">
        <v>0.96</v>
      </c>
      <c r="G12" s="180" t="s">
        <v>86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95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88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97</v>
      </c>
      <c r="C14" s="21">
        <f>C13-B13</f>
        <v>5.6172833333333347</v>
      </c>
      <c r="G14" s="182" t="s">
        <v>90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98</v>
      </c>
      <c r="C15" s="21"/>
      <c r="N15" s="192"/>
    </row>
    <row r="16" spans="1:14" ht="13.15" customHeight="1" x14ac:dyDescent="0.2">
      <c r="A16" s="193" t="s">
        <v>99</v>
      </c>
      <c r="C16" s="21"/>
      <c r="G16" s="338" t="s">
        <v>96</v>
      </c>
      <c r="H16" s="338"/>
      <c r="I16" s="338"/>
      <c r="J16" s="338"/>
      <c r="K16" s="338"/>
      <c r="L16" s="338"/>
      <c r="M16" s="338"/>
      <c r="N16" s="192"/>
    </row>
    <row r="17" spans="1:16" x14ac:dyDescent="0.2">
      <c r="A17" s="193" t="s">
        <v>100</v>
      </c>
      <c r="C17">
        <v>34.32</v>
      </c>
      <c r="G17" s="338"/>
      <c r="H17" s="338"/>
      <c r="I17" s="338"/>
      <c r="J17" s="338"/>
      <c r="K17" s="338"/>
      <c r="L17" s="338"/>
      <c r="M17" s="338"/>
      <c r="N17" s="192"/>
    </row>
    <row r="18" spans="1:16" ht="13.5" thickBot="1" x14ac:dyDescent="0.25">
      <c r="A18" s="196" t="s">
        <v>101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35" t="s">
        <v>74</v>
      </c>
      <c r="C21" s="335" t="s">
        <v>77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36"/>
      <c r="C22" s="336"/>
      <c r="D22" s="224"/>
      <c r="E22" s="224"/>
      <c r="F22" s="224"/>
      <c r="G22" s="222" t="s">
        <v>110</v>
      </c>
      <c r="H22" s="223" t="s">
        <v>107</v>
      </c>
    </row>
    <row r="23" spans="1:16" hidden="1" x14ac:dyDescent="0.2">
      <c r="A23" s="237" t="s">
        <v>105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106</v>
      </c>
      <c r="B24">
        <v>121.4</v>
      </c>
      <c r="C24" s="171" t="s">
        <v>76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35" t="s">
        <v>74</v>
      </c>
      <c r="C36" s="335" t="s">
        <v>77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36"/>
      <c r="C37" s="336"/>
      <c r="D37" s="224"/>
      <c r="E37" s="224"/>
      <c r="F37" s="224"/>
      <c r="G37" s="222" t="s">
        <v>110</v>
      </c>
      <c r="H37" s="223" t="s">
        <v>107</v>
      </c>
    </row>
    <row r="38" spans="1:8" hidden="1" x14ac:dyDescent="0.2">
      <c r="A38" s="237" t="s">
        <v>105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106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115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116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35" t="s">
        <v>74</v>
      </c>
      <c r="C51" s="335" t="s">
        <v>77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36"/>
      <c r="C52" s="336"/>
      <c r="D52" s="224"/>
      <c r="E52" s="224"/>
      <c r="F52" s="224"/>
      <c r="G52" s="222" t="s">
        <v>110</v>
      </c>
      <c r="H52" s="223" t="s">
        <v>107</v>
      </c>
    </row>
    <row r="53" spans="1:13" hidden="1" x14ac:dyDescent="0.2">
      <c r="A53" s="237" t="s">
        <v>105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106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117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35" t="s">
        <v>74</v>
      </c>
      <c r="C66" s="335" t="s">
        <v>77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36"/>
      <c r="C67" s="336"/>
      <c r="D67" s="224"/>
      <c r="E67" s="224"/>
      <c r="F67" s="224"/>
      <c r="G67" s="222" t="s">
        <v>110</v>
      </c>
      <c r="H67" s="223" t="s">
        <v>107</v>
      </c>
    </row>
    <row r="68" spans="1:14" hidden="1" x14ac:dyDescent="0.2">
      <c r="A68" s="237" t="s">
        <v>105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106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118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35" t="s">
        <v>74</v>
      </c>
      <c r="C81" s="335" t="s">
        <v>77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36"/>
      <c r="C82" s="336"/>
      <c r="D82" s="224"/>
      <c r="E82" s="224"/>
      <c r="F82" s="224"/>
      <c r="G82" s="222" t="s">
        <v>110</v>
      </c>
      <c r="H82" s="223" t="s">
        <v>107</v>
      </c>
    </row>
    <row r="83" spans="1:8" x14ac:dyDescent="0.2">
      <c r="A83" s="237" t="s">
        <v>105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106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35" t="s">
        <v>74</v>
      </c>
      <c r="C96" s="335" t="s">
        <v>77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36"/>
      <c r="C97" s="336"/>
      <c r="D97" s="224"/>
      <c r="E97" s="224"/>
      <c r="F97" s="224"/>
      <c r="G97" s="222" t="s">
        <v>110</v>
      </c>
      <c r="H97" s="223" t="s">
        <v>107</v>
      </c>
    </row>
    <row r="98" spans="1:8" x14ac:dyDescent="0.2">
      <c r="A98" s="237" t="s">
        <v>105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106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35" t="s">
        <v>74</v>
      </c>
      <c r="C111" s="335" t="s">
        <v>77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36"/>
      <c r="C112" s="336"/>
      <c r="D112" s="224"/>
      <c r="E112" s="224"/>
      <c r="F112" s="224"/>
      <c r="G112" s="222" t="s">
        <v>110</v>
      </c>
      <c r="H112" s="223" t="s">
        <v>107</v>
      </c>
    </row>
    <row r="113" spans="1:8" x14ac:dyDescent="0.2">
      <c r="A113" s="237" t="s">
        <v>105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106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35" t="s">
        <v>74</v>
      </c>
      <c r="C126" s="335" t="s">
        <v>77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36"/>
      <c r="C127" s="336"/>
      <c r="D127" s="224"/>
      <c r="E127" s="224"/>
      <c r="F127" s="224"/>
      <c r="G127" s="222" t="s">
        <v>110</v>
      </c>
      <c r="H127" s="223" t="s">
        <v>107</v>
      </c>
    </row>
    <row r="128" spans="1:8" x14ac:dyDescent="0.2">
      <c r="A128" s="237" t="s">
        <v>105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106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>
        <v>180.5</v>
      </c>
      <c r="C130" s="174">
        <f>+((B130/$B$24)*Indeks!$D$163)*(H130/$H$24)</f>
        <v>326.79642045556284</v>
      </c>
      <c r="G130" s="238">
        <v>45642</v>
      </c>
      <c r="H130" s="239">
        <v>65.12</v>
      </c>
    </row>
    <row r="131" spans="1:8" x14ac:dyDescent="0.2">
      <c r="A131" s="240" t="s">
        <v>11</v>
      </c>
      <c r="B131" s="11">
        <v>178.9</v>
      </c>
      <c r="C131" s="174">
        <f>+((B131/$B$24)*Indeks!$D$163)*(H131/$H$24)</f>
        <v>322.65613799003739</v>
      </c>
      <c r="G131" s="238">
        <v>45672</v>
      </c>
      <c r="H131" s="239">
        <v>64.87</v>
      </c>
    </row>
    <row r="132" spans="1:8" x14ac:dyDescent="0.2">
      <c r="A132" s="237" t="s">
        <v>12</v>
      </c>
      <c r="B132" s="11">
        <v>169.7</v>
      </c>
      <c r="C132" s="174">
        <f>+((B132/$B$24)*Indeks!$D$163)*(H132/$H$24)</f>
        <v>312.9518565961605</v>
      </c>
      <c r="G132" s="238">
        <v>45702</v>
      </c>
      <c r="H132" s="248">
        <v>66.33</v>
      </c>
    </row>
    <row r="133" spans="1:8" x14ac:dyDescent="0.2">
      <c r="A133" s="240" t="s">
        <v>13</v>
      </c>
      <c r="B133" s="11">
        <v>157</v>
      </c>
      <c r="C133" s="174">
        <f>+((B133/$B$24)*Indeks!$D$163)*(H133/$H$24)</f>
        <v>294.59459420304904</v>
      </c>
      <c r="G133" s="238">
        <v>45730</v>
      </c>
      <c r="H133" s="248">
        <v>67.489999999999995</v>
      </c>
    </row>
    <row r="134" spans="1:8" x14ac:dyDescent="0.2">
      <c r="A134" s="237" t="s">
        <v>30</v>
      </c>
      <c r="B134" s="11">
        <v>146.9</v>
      </c>
      <c r="C134" s="174">
        <f>E136+((B134/$B$24)*Indeks!$D$163)*(H134/$H$24)</f>
        <v>275.60212539636592</v>
      </c>
      <c r="G134" s="238">
        <v>45762</v>
      </c>
      <c r="H134" s="239">
        <v>67.48</v>
      </c>
    </row>
    <row r="135" spans="1:8" x14ac:dyDescent="0.2">
      <c r="A135" s="237" t="s">
        <v>14</v>
      </c>
      <c r="B135" s="11">
        <v>151.9</v>
      </c>
      <c r="C135" s="174">
        <f>+((B135/$B$24)*Indeks!$D$163)*(H135/$H$24)</f>
        <v>289.37487509345999</v>
      </c>
      <c r="G135" s="247">
        <v>45792</v>
      </c>
      <c r="H135" s="248">
        <v>68.52</v>
      </c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2025-07-15T12:30:38Z</cp:lastPrinted>
  <dcterms:created xsi:type="dcterms:W3CDTF">2009-05-19T06:17:18Z</dcterms:created>
  <dcterms:modified xsi:type="dcterms:W3CDTF">2025-07-15T12:30:43Z</dcterms:modified>
</cp:coreProperties>
</file>